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1.xml" ContentType="application/vnd.openxmlformats-officedocument.drawingml.chart+xml"/>
  <Override PartName="/xl/drawings/drawing19.xml" ContentType="application/vnd.openxmlformats-officedocument.drawing+xml"/>
  <Override PartName="/xl/drawings/drawing20.xml" ContentType="application/vnd.openxmlformats-officedocument.drawing+xml"/>
  <Override PartName="/xl/charts/chart2.xml" ContentType="application/vnd.openxmlformats-officedocument.drawingml.chart+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filterPrivacy="1" codeName="ThisWorkbook" defaultThemeVersion="124226"/>
  <xr:revisionPtr revIDLastSave="0" documentId="13_ncr:1_{933FB56B-97A9-4121-ABC5-482678A3B584}" xr6:coauthVersionLast="47" xr6:coauthVersionMax="47" xr10:uidLastSave="{00000000-0000-0000-0000-000000000000}"/>
  <bookViews>
    <workbookView minimized="1" xWindow="4185" yWindow="4185" windowWidth="21600" windowHeight="11295" tabRatio="848" activeTab="15" xr2:uid="{00000000-000D-0000-FFFF-FFFF00000000}"/>
  </bookViews>
  <sheets>
    <sheet name="R- FE-1" sheetId="125" r:id="rId1"/>
    <sheet name="Datos" sheetId="112" r:id="rId2"/>
    <sheet name="FE-2" sheetId="142" r:id="rId3"/>
    <sheet name="C" sheetId="4" r:id="rId4"/>
    <sheet name="C.1" sheetId="48" state="hidden" r:id="rId5"/>
    <sheet name="VAL ADI-OBRA N°01" sheetId="129" r:id="rId6"/>
    <sheet name="FE3-1 " sheetId="70" r:id="rId7"/>
    <sheet name="FE-05" sheetId="107" state="hidden" r:id="rId8"/>
    <sheet name="FE-05 (2)" sheetId="118" state="hidden" r:id="rId9"/>
    <sheet name=" FE 07" sheetId="102" state="hidden" r:id="rId10"/>
    <sheet name="F-09" sheetId="110" state="hidden" r:id="rId11"/>
    <sheet name="F-10 " sheetId="111" state="hidden" r:id="rId12"/>
    <sheet name="FE-11" sheetId="55" state="hidden" r:id="rId13"/>
    <sheet name="FE-12" sheetId="91" state="hidden" r:id="rId14"/>
    <sheet name="VAL-PARTIDAS NUEVAS" sheetId="127" state="hidden" r:id="rId15"/>
    <sheet name="VAL ADI-OBRA N°03 (2)" sheetId="143" r:id="rId16"/>
    <sheet name="VAL ADI-OBRA N°02" sheetId="131" r:id="rId17"/>
    <sheet name="VAL ADI-OBRA N°04" sheetId="140" r:id="rId18"/>
    <sheet name="FE-16" sheetId="120" state="hidden" r:id="rId19"/>
    <sheet name="FE-17" sheetId="122" state="hidden" r:id="rId20"/>
    <sheet name="Curva S-1" sheetId="75" state="hidden" r:id="rId21"/>
    <sheet name="TAREO" sheetId="100" state="hidden" r:id="rId22"/>
    <sheet name="F-12" sheetId="124" r:id="rId23"/>
    <sheet name="FE-14" sheetId="136" r:id="rId24"/>
    <sheet name="Curva S" sheetId="145" r:id="rId25"/>
    <sheet name="CRONOGRAMA VALORIZADO (3)" sheetId="144" r:id="rId26"/>
    <sheet name="P.M" sheetId="82" state="hidden" r:id="rId27"/>
    <sheet name="R.M" sheetId="83" state="hidden" r:id="rId28"/>
  </sheets>
  <externalReferences>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s>
  <definedNames>
    <definedName name="\C" localSheetId="25">[1]Mensual!#REF!</definedName>
    <definedName name="\C" localSheetId="24">[2]Mensual!#REF!</definedName>
    <definedName name="\C" localSheetId="23">[2]Mensual!#REF!</definedName>
    <definedName name="\C">[2]Mensual!#REF!</definedName>
    <definedName name="\E" localSheetId="25">[1]Mensual!#REF!</definedName>
    <definedName name="\E" localSheetId="24">[2]Mensual!#REF!</definedName>
    <definedName name="\E">[2]Mensual!#REF!</definedName>
    <definedName name="\N" localSheetId="25">[1]Mensual!#REF!</definedName>
    <definedName name="\N">[2]Mensual!#REF!</definedName>
    <definedName name="\S" localSheetId="25">[1]Mensual!#REF!</definedName>
    <definedName name="\S">[2]Mensual!#REF!</definedName>
    <definedName name="\W" localSheetId="25">[1]Mensual!#REF!</definedName>
    <definedName name="\W">[2]Mensual!#REF!</definedName>
    <definedName name="_107_0ELSURE" localSheetId="25">'[3]#¡REF'!#REF!</definedName>
    <definedName name="_107_0ELSURE">'[3]#¡REF'!#REF!</definedName>
    <definedName name="_108_0ELSURE" localSheetId="25">'[3]#¡REF'!#REF!</definedName>
    <definedName name="_108_0ELSURE">'[3]#¡REF'!#REF!</definedName>
    <definedName name="_11_0EL" localSheetId="25">'[3]#¡REF'!#REF!</definedName>
    <definedName name="_11_0EL">'[3]#¡REF'!#REF!</definedName>
    <definedName name="_119_0HIDRAND" localSheetId="25">'[3]#¡REF'!#REF!</definedName>
    <definedName name="_119_0HIDRAND">'[3]#¡REF'!#REF!</definedName>
    <definedName name="_12_0EL" localSheetId="25">'[3]#¡REF'!#REF!</definedName>
    <definedName name="_12_0EL">'[3]#¡REF'!#REF!</definedName>
    <definedName name="_120_0HIDRAND" localSheetId="25">'[3]#¡REF'!#REF!</definedName>
    <definedName name="_120_0HIDRAND">'[3]#¡REF'!#REF!</definedName>
    <definedName name="_131_0S" localSheetId="25">'[3]#¡REF'!#REF!</definedName>
    <definedName name="_131_0S">'[3]#¡REF'!#REF!</definedName>
    <definedName name="_132_0S" localSheetId="25">'[3]#¡REF'!#REF!</definedName>
    <definedName name="_132_0S">'[3]#¡REF'!#REF!</definedName>
    <definedName name="_23_0ELCEN" localSheetId="25">'[3]#¡REF'!#REF!</definedName>
    <definedName name="_23_0ELCEN">'[3]#¡REF'!#REF!</definedName>
    <definedName name="_24_0ELCEN" localSheetId="25">'[3]#¡REF'!#REF!</definedName>
    <definedName name="_24_0ELCEN">'[3]#¡REF'!#REF!</definedName>
    <definedName name="_35_0ELECSURE" localSheetId="25">'[3]#¡REF'!#REF!</definedName>
    <definedName name="_35_0ELECSURE">'[3]#¡REF'!#REF!</definedName>
    <definedName name="_36_0ELECSURE" localSheetId="25">'[3]#¡REF'!#REF!</definedName>
    <definedName name="_36_0ELECSURE">'[3]#¡REF'!#REF!</definedName>
    <definedName name="_47_0ELECSURME" localSheetId="25">'[3]#¡REF'!#REF!</definedName>
    <definedName name="_47_0ELECSURME">'[3]#¡REF'!#REF!</definedName>
    <definedName name="_48_0ELECSURME" localSheetId="25">'[3]#¡REF'!#REF!</definedName>
    <definedName name="_48_0ELECSURME">'[3]#¡REF'!#REF!</definedName>
    <definedName name="_59_0ELECT" localSheetId="25">'[3]#¡REF'!#REF!</definedName>
    <definedName name="_59_0ELECT">'[3]#¡REF'!#REF!</definedName>
    <definedName name="_60_0ELECT" localSheetId="25">'[3]#¡REF'!#REF!</definedName>
    <definedName name="_60_0ELECT">'[3]#¡REF'!#REF!</definedName>
    <definedName name="_71_0ELECTROL" localSheetId="25">'[3]#¡REF'!#REF!</definedName>
    <definedName name="_71_0ELECTROL">'[3]#¡REF'!#REF!</definedName>
    <definedName name="_72_0ELECTROL" localSheetId="25">'[3]#¡REF'!#REF!</definedName>
    <definedName name="_72_0ELECTROL">'[3]#¡REF'!#REF!</definedName>
    <definedName name="_83_0ELEORIE" localSheetId="25">'[3]#¡REF'!#REF!</definedName>
    <definedName name="_83_0ELEORIE">'[3]#¡REF'!#REF!</definedName>
    <definedName name="_84_0ELEORIE" localSheetId="25">'[3]#¡REF'!#REF!</definedName>
    <definedName name="_84_0ELEORIE">'[3]#¡REF'!#REF!</definedName>
    <definedName name="_95_0ELNO" localSheetId="25">'[3]#¡REF'!#REF!</definedName>
    <definedName name="_95_0ELNO">'[3]#¡REF'!#REF!</definedName>
    <definedName name="_96_0ELNO" localSheetId="25">'[3]#¡REF'!#REF!</definedName>
    <definedName name="_96_0ELNO">'[3]#¡REF'!#REF!</definedName>
    <definedName name="_Fill" localSheetId="25" hidden="1">#REF!</definedName>
    <definedName name="_Fill" hidden="1">#REF!</definedName>
    <definedName name="_xlnm._FilterDatabase" localSheetId="25" hidden="1">'CRONOGRAMA VALORIZADO (3)'!$S$16:$AD$1061</definedName>
    <definedName name="_xlnm._FilterDatabase" localSheetId="14" hidden="1">'VAL-PARTIDAS NUEVAS'!$A$12:$S$68</definedName>
    <definedName name="A" localSheetId="4">#REF!</definedName>
    <definedName name="A" localSheetId="25">#REF!</definedName>
    <definedName name="A" localSheetId="24">#REF!</definedName>
    <definedName name="A" localSheetId="20">#REF!</definedName>
    <definedName name="A" localSheetId="10">#REF!</definedName>
    <definedName name="A" localSheetId="11">#REF!</definedName>
    <definedName name="A" localSheetId="7">#REF!</definedName>
    <definedName name="A" localSheetId="8">#REF!</definedName>
    <definedName name="A" localSheetId="12">#REF!</definedName>
    <definedName name="A" localSheetId="13">#REF!</definedName>
    <definedName name="A" localSheetId="23">#REF!</definedName>
    <definedName name="A" localSheetId="2">#REF!</definedName>
    <definedName name="A" localSheetId="6">#REF!</definedName>
    <definedName name="A" localSheetId="26">#REF!</definedName>
    <definedName name="A" localSheetId="27">#REF!</definedName>
    <definedName name="A" localSheetId="21">#REF!</definedName>
    <definedName name="A" localSheetId="5">#REF!</definedName>
    <definedName name="A" localSheetId="16">#REF!</definedName>
    <definedName name="A" localSheetId="15">#REF!</definedName>
    <definedName name="A" localSheetId="17">#REF!</definedName>
    <definedName name="A" localSheetId="14">#REF!</definedName>
    <definedName name="A">#REF!</definedName>
    <definedName name="AB" localSheetId="4">#REF!</definedName>
    <definedName name="AB" localSheetId="25">#REF!</definedName>
    <definedName name="AB" localSheetId="24">#REF!</definedName>
    <definedName name="AB" localSheetId="20">#REF!</definedName>
    <definedName name="AB" localSheetId="10">#REF!</definedName>
    <definedName name="AB" localSheetId="11">#REF!</definedName>
    <definedName name="AB" localSheetId="7">#REF!</definedName>
    <definedName name="AB" localSheetId="8">#REF!</definedName>
    <definedName name="AB" localSheetId="12">#REF!</definedName>
    <definedName name="AB" localSheetId="13">#REF!</definedName>
    <definedName name="AB" localSheetId="23">#REF!</definedName>
    <definedName name="AB" localSheetId="2">#REF!</definedName>
    <definedName name="AB" localSheetId="26">#REF!</definedName>
    <definedName name="AB" localSheetId="27">#REF!</definedName>
    <definedName name="AB" localSheetId="21">#REF!</definedName>
    <definedName name="AB" localSheetId="15">#REF!</definedName>
    <definedName name="AB" localSheetId="14">#REF!</definedName>
    <definedName name="AB">#REF!</definedName>
    <definedName name="ABC" localSheetId="4">#REF!</definedName>
    <definedName name="ABC" localSheetId="25">#REF!</definedName>
    <definedName name="ABC" localSheetId="24">#REF!</definedName>
    <definedName name="ABC" localSheetId="20">#REF!</definedName>
    <definedName name="ABC" localSheetId="10">#REF!</definedName>
    <definedName name="ABC" localSheetId="11">#REF!</definedName>
    <definedName name="ABC" localSheetId="7">#REF!</definedName>
    <definedName name="ABC" localSheetId="8">#REF!</definedName>
    <definedName name="ABC" localSheetId="12">#REF!</definedName>
    <definedName name="ABC" localSheetId="13">#REF!</definedName>
    <definedName name="ABC" localSheetId="23">#REF!</definedName>
    <definedName name="ABC" localSheetId="2">#REF!</definedName>
    <definedName name="ABC" localSheetId="6">#REF!</definedName>
    <definedName name="ABC" localSheetId="26">#REF!</definedName>
    <definedName name="ABC" localSheetId="27">#REF!</definedName>
    <definedName name="ABC" localSheetId="21">#REF!</definedName>
    <definedName name="ABC" localSheetId="5">#REF!</definedName>
    <definedName name="ABC" localSheetId="16">#REF!</definedName>
    <definedName name="ABC" localSheetId="15">#REF!</definedName>
    <definedName name="ABC" localSheetId="17">#REF!</definedName>
    <definedName name="ABC" localSheetId="14">#REF!</definedName>
    <definedName name="ABC">#REF!</definedName>
    <definedName name="ADV" localSheetId="4">'[4]#¡REF'!#REF!</definedName>
    <definedName name="ADV" localSheetId="25">'[4]#¡REF'!#REF!</definedName>
    <definedName name="ADV" localSheetId="24">'[4]#¡REF'!#REF!</definedName>
    <definedName name="ADV" localSheetId="20">'[4]#¡REF'!#REF!</definedName>
    <definedName name="ADV" localSheetId="10">'[4]#¡REF'!#REF!</definedName>
    <definedName name="ADV" localSheetId="11">'[4]#¡REF'!#REF!</definedName>
    <definedName name="ADV" localSheetId="7">'[4]#¡REF'!#REF!</definedName>
    <definedName name="ADV" localSheetId="8">'[4]#¡REF'!#REF!</definedName>
    <definedName name="ADV" localSheetId="12">'[4]#¡REF'!#REF!</definedName>
    <definedName name="ADV" localSheetId="13">'[4]#¡REF'!#REF!</definedName>
    <definedName name="ADV" localSheetId="23">'[4]#¡REF'!#REF!</definedName>
    <definedName name="ADV" localSheetId="2">'[4]#¡REF'!#REF!</definedName>
    <definedName name="ADV" localSheetId="6">'[4]#¡REF'!#REF!</definedName>
    <definedName name="ADV" localSheetId="26">'[4]#¡REF'!#REF!</definedName>
    <definedName name="ADV" localSheetId="27">'[4]#¡REF'!#REF!</definedName>
    <definedName name="ADV" localSheetId="21">'[4]#¡REF'!#REF!</definedName>
    <definedName name="ADV" localSheetId="5">'[4]#¡REF'!#REF!</definedName>
    <definedName name="ADV" localSheetId="16">'[4]#¡REF'!#REF!</definedName>
    <definedName name="ADV" localSheetId="15">'[4]#¡REF'!#REF!</definedName>
    <definedName name="ADV" localSheetId="17">'[4]#¡REF'!#REF!</definedName>
    <definedName name="ADV" localSheetId="14">'[4]#¡REF'!#REF!</definedName>
    <definedName name="ADV">'[4]#¡REF'!#REF!</definedName>
    <definedName name="AGO" localSheetId="4">#REF!</definedName>
    <definedName name="AGO" localSheetId="25">#REF!</definedName>
    <definedName name="AGO" localSheetId="24">#REF!</definedName>
    <definedName name="AGO" localSheetId="20">#REF!</definedName>
    <definedName name="AGO" localSheetId="10">#REF!</definedName>
    <definedName name="AGO" localSheetId="11">#REF!</definedName>
    <definedName name="AGO" localSheetId="7">#REF!</definedName>
    <definedName name="AGO" localSheetId="8">#REF!</definedName>
    <definedName name="AGO" localSheetId="12">#REF!</definedName>
    <definedName name="AGO" localSheetId="13">#REF!</definedName>
    <definedName name="AGO" localSheetId="23">#REF!</definedName>
    <definedName name="AGO" localSheetId="2">#REF!</definedName>
    <definedName name="AGO" localSheetId="26">#REF!</definedName>
    <definedName name="AGO" localSheetId="27">#REF!</definedName>
    <definedName name="AGO" localSheetId="21">#REF!</definedName>
    <definedName name="AGO" localSheetId="15">#REF!</definedName>
    <definedName name="AGO" localSheetId="14">#REF!</definedName>
    <definedName name="AGO">#REF!</definedName>
    <definedName name="AMBIENTE" localSheetId="4">#REF!</definedName>
    <definedName name="AMBIENTE" localSheetId="25">#REF!</definedName>
    <definedName name="AMBIENTE" localSheetId="24">#REF!</definedName>
    <definedName name="AMBIENTE" localSheetId="20">#REF!</definedName>
    <definedName name="AMBIENTE" localSheetId="10">#REF!</definedName>
    <definedName name="AMBIENTE" localSheetId="11">#REF!</definedName>
    <definedName name="AMBIENTE" localSheetId="7">#REF!</definedName>
    <definedName name="AMBIENTE" localSheetId="8">#REF!</definedName>
    <definedName name="AMBIENTE" localSheetId="12">#REF!</definedName>
    <definedName name="AMBIENTE" localSheetId="13">#REF!</definedName>
    <definedName name="AMBIENTE" localSheetId="23">#REF!</definedName>
    <definedName name="AMBIENTE" localSheetId="2">#REF!</definedName>
    <definedName name="AMBIENTE" localSheetId="26">#REF!</definedName>
    <definedName name="AMBIENTE" localSheetId="27">#REF!</definedName>
    <definedName name="AMBIENTE" localSheetId="21">#REF!</definedName>
    <definedName name="AMBIENTE" localSheetId="15">#REF!</definedName>
    <definedName name="AMBIENTE" localSheetId="14">#REF!</definedName>
    <definedName name="AMBIENTE">#REF!</definedName>
    <definedName name="AMBIENTEANT" localSheetId="4">#REF!</definedName>
    <definedName name="AMBIENTEANT" localSheetId="25">#REF!</definedName>
    <definedName name="AMBIENTEANT" localSheetId="24">#REF!</definedName>
    <definedName name="AMBIENTEANT" localSheetId="20">#REF!</definedName>
    <definedName name="AMBIENTEANT" localSheetId="10">#REF!</definedName>
    <definedName name="AMBIENTEANT" localSheetId="11">#REF!</definedName>
    <definedName name="AMBIENTEANT" localSheetId="7">#REF!</definedName>
    <definedName name="AMBIENTEANT" localSheetId="8">#REF!</definedName>
    <definedName name="AMBIENTEANT" localSheetId="12">#REF!</definedName>
    <definedName name="AMBIENTEANT" localSheetId="13">#REF!</definedName>
    <definedName name="AMBIENTEANT" localSheetId="23">#REF!</definedName>
    <definedName name="AMBIENTEANT" localSheetId="2">#REF!</definedName>
    <definedName name="AMBIENTEANT" localSheetId="26">#REF!</definedName>
    <definedName name="AMBIENTEANT" localSheetId="27">#REF!</definedName>
    <definedName name="AMBIENTEANT" localSheetId="21">#REF!</definedName>
    <definedName name="AMBIENTEANT" localSheetId="15">#REF!</definedName>
    <definedName name="AMBIENTEANT" localSheetId="14">#REF!</definedName>
    <definedName name="AMBIENTEANT">#REF!</definedName>
    <definedName name="_xlnm.Extract" localSheetId="4">#REF!</definedName>
    <definedName name="_xlnm.Extract" localSheetId="25">#REF!</definedName>
    <definedName name="_xlnm.Extract" localSheetId="24">#REF!</definedName>
    <definedName name="_xlnm.Extract" localSheetId="20">#REF!</definedName>
    <definedName name="_xlnm.Extract" localSheetId="10">#REF!</definedName>
    <definedName name="_xlnm.Extract" localSheetId="11">#REF!</definedName>
    <definedName name="_xlnm.Extract" localSheetId="7">#REF!</definedName>
    <definedName name="_xlnm.Extract" localSheetId="8">#REF!</definedName>
    <definedName name="_xlnm.Extract" localSheetId="12">#REF!</definedName>
    <definedName name="_xlnm.Extract" localSheetId="13">#REF!</definedName>
    <definedName name="_xlnm.Extract" localSheetId="23">#REF!</definedName>
    <definedName name="_xlnm.Extract" localSheetId="2">#REF!</definedName>
    <definedName name="_xlnm.Extract" localSheetId="6">#REF!</definedName>
    <definedName name="_xlnm.Extract" localSheetId="26">#REF!</definedName>
    <definedName name="_xlnm.Extract" localSheetId="27">#REF!</definedName>
    <definedName name="_xlnm.Extract" localSheetId="21">#REF!</definedName>
    <definedName name="_xlnm.Extract" localSheetId="5">#REF!</definedName>
    <definedName name="_xlnm.Extract" localSheetId="16">#REF!</definedName>
    <definedName name="_xlnm.Extract" localSheetId="15">#REF!</definedName>
    <definedName name="_xlnm.Extract" localSheetId="17">#REF!</definedName>
    <definedName name="_xlnm.Extract" localSheetId="14">#REF!</definedName>
    <definedName name="_xlnm.Extract">#REF!</definedName>
    <definedName name="_xlnm.Print_Area" localSheetId="9">' FE 07'!$C$1:$P$27</definedName>
    <definedName name="_xlnm.Print_Area" localSheetId="3">'C'!$B$2:$J$56</definedName>
    <definedName name="_xlnm.Print_Area" localSheetId="4">'C.1'!$B$2:$G$40</definedName>
    <definedName name="_xlnm.Print_Area" localSheetId="25">'CRONOGRAMA VALORIZADO (3)'!$A$1:$AD$2502</definedName>
    <definedName name="_xlnm.Print_Area" localSheetId="24">'Curva S'!$A$1:$K$70</definedName>
    <definedName name="_xlnm.Print_Area" localSheetId="20">'Curva S-1'!$A$1:$K$61</definedName>
    <definedName name="_xlnm.Print_Area" localSheetId="10">'F-09'!$A$1:$M$30</definedName>
    <definedName name="_xlnm.Print_Area" localSheetId="11">'F-10 '!$A$1:$J$27</definedName>
    <definedName name="_xlnm.Print_Area" localSheetId="22">'F-12'!$A$1:$AL$41</definedName>
    <definedName name="_xlnm.Print_Area" localSheetId="7">'FE-05'!$A$1:$V$164</definedName>
    <definedName name="_xlnm.Print_Area" localSheetId="8">'FE-05 (2)'!$A$1:$V$164</definedName>
    <definedName name="_xlnm.Print_Area" localSheetId="12">'FE-11'!$A$2:$N$40</definedName>
    <definedName name="_xlnm.Print_Area" localSheetId="13">'FE-12'!$A$2:$AL$45</definedName>
    <definedName name="_xlnm.Print_Area" localSheetId="23">'FE-14'!$A$1:$AN$223</definedName>
    <definedName name="_xlnm.Print_Area" localSheetId="18">'FE-16'!$A$1:$R$234</definedName>
    <definedName name="_xlnm.Print_Area" localSheetId="6">'FE3-1 '!$A$1:$R$551</definedName>
    <definedName name="_xlnm.Print_Area" localSheetId="26">P.M!$A$1:$J$270</definedName>
    <definedName name="_xlnm.Print_Area" localSheetId="0">'R- FE-1'!$A$1:$K$91</definedName>
    <definedName name="_xlnm.Print_Area" localSheetId="27">'R.M'!$A$1:$D$86</definedName>
    <definedName name="_xlnm.Print_Area" localSheetId="21">TAREO!#REF!</definedName>
    <definedName name="_xlnm.Print_Area" localSheetId="5">'VAL ADI-OBRA N°01'!$A$1:$R$79</definedName>
    <definedName name="_xlnm.Print_Area" localSheetId="16">'VAL ADI-OBRA N°02'!$A$1:$R$295</definedName>
    <definedName name="_xlnm.Print_Area" localSheetId="15">'VAL ADI-OBRA N°03 (2)'!$A$1:$R$190</definedName>
    <definedName name="_xlnm.Print_Area" localSheetId="17">'VAL ADI-OBRA N°04'!$A$1:$R$921</definedName>
    <definedName name="_xlnm.Print_Area" localSheetId="14">'VAL-PARTIDAS NUEVAS'!$A$1:$R$69</definedName>
    <definedName name="ARTE" localSheetId="4">#REF!</definedName>
    <definedName name="ARTE" localSheetId="25">#REF!</definedName>
    <definedName name="ARTE" localSheetId="24">#REF!</definedName>
    <definedName name="ARTE" localSheetId="20">#REF!</definedName>
    <definedName name="ARTE" localSheetId="10">#REF!</definedName>
    <definedName name="ARTE" localSheetId="11">#REF!</definedName>
    <definedName name="ARTE" localSheetId="7">#REF!</definedName>
    <definedName name="ARTE" localSheetId="8">#REF!</definedName>
    <definedName name="ARTE" localSheetId="12">#REF!</definedName>
    <definedName name="ARTE" localSheetId="13">#REF!</definedName>
    <definedName name="ARTE" localSheetId="23">#REF!</definedName>
    <definedName name="ARTE" localSheetId="2">#REF!</definedName>
    <definedName name="ARTE" localSheetId="26">#REF!</definedName>
    <definedName name="ARTE" localSheetId="27">#REF!</definedName>
    <definedName name="ARTE" localSheetId="21">#REF!</definedName>
    <definedName name="ARTE" localSheetId="15">#REF!</definedName>
    <definedName name="ARTE" localSheetId="14">#REF!</definedName>
    <definedName name="ARTE">#REF!</definedName>
    <definedName name="ARTEANT" localSheetId="4">#REF!</definedName>
    <definedName name="ARTEANT" localSheetId="25">#REF!</definedName>
    <definedName name="ARTEANT" localSheetId="24">#REF!</definedName>
    <definedName name="ARTEANT" localSheetId="20">#REF!</definedName>
    <definedName name="ARTEANT" localSheetId="10">#REF!</definedName>
    <definedName name="ARTEANT" localSheetId="11">#REF!</definedName>
    <definedName name="ARTEANT" localSheetId="7">#REF!</definedName>
    <definedName name="ARTEANT" localSheetId="8">#REF!</definedName>
    <definedName name="ARTEANT" localSheetId="12">#REF!</definedName>
    <definedName name="ARTEANT" localSheetId="13">#REF!</definedName>
    <definedName name="ARTEANT" localSheetId="23">#REF!</definedName>
    <definedName name="ARTEANT" localSheetId="2">#REF!</definedName>
    <definedName name="ARTEANT" localSheetId="26">#REF!</definedName>
    <definedName name="ARTEANT" localSheetId="27">#REF!</definedName>
    <definedName name="ARTEANT" localSheetId="21">#REF!</definedName>
    <definedName name="ARTEANT" localSheetId="15">#REF!</definedName>
    <definedName name="ARTEANT" localSheetId="14">#REF!</definedName>
    <definedName name="ARTEANT">#REF!</definedName>
    <definedName name="b" localSheetId="4">#REF!</definedName>
    <definedName name="b" localSheetId="25">#REF!</definedName>
    <definedName name="b" localSheetId="24">#REF!</definedName>
    <definedName name="b" localSheetId="20">#REF!</definedName>
    <definedName name="b" localSheetId="10">#REF!</definedName>
    <definedName name="b" localSheetId="11">#REF!</definedName>
    <definedName name="b" localSheetId="7">#REF!</definedName>
    <definedName name="b" localSheetId="8">#REF!</definedName>
    <definedName name="b" localSheetId="12">#REF!</definedName>
    <definedName name="b" localSheetId="13">#REF!</definedName>
    <definedName name="b" localSheetId="23">#REF!</definedName>
    <definedName name="b" localSheetId="2">#REF!</definedName>
    <definedName name="b" localSheetId="6">#REF!</definedName>
    <definedName name="b" localSheetId="26">#REF!</definedName>
    <definedName name="b" localSheetId="27">#REF!</definedName>
    <definedName name="b" localSheetId="21">#REF!</definedName>
    <definedName name="b" localSheetId="5">#REF!</definedName>
    <definedName name="b" localSheetId="16">#REF!</definedName>
    <definedName name="b" localSheetId="15">#REF!</definedName>
    <definedName name="b" localSheetId="17">#REF!</definedName>
    <definedName name="b" localSheetId="14">#REF!</definedName>
    <definedName name="b">#REF!</definedName>
    <definedName name="BAJO_URUBAMBA">#REF!</definedName>
    <definedName name="BuiltIn_Print_Area">#REF!</definedName>
    <definedName name="BuiltIn_Print_Area___0">#REF!</definedName>
    <definedName name="CHALLHUA" localSheetId="4">'[5]#¡REF'!#REF!</definedName>
    <definedName name="CHALLHUA" localSheetId="25">'[3]#¡REF'!#REF!</definedName>
    <definedName name="CHALLHUA" localSheetId="24">'[5]#¡REF'!#REF!</definedName>
    <definedName name="CHALLHUA" localSheetId="20">'[5]#¡REF'!#REF!</definedName>
    <definedName name="CHALLHUA" localSheetId="10">'[5]#¡REF'!#REF!</definedName>
    <definedName name="CHALLHUA" localSheetId="11">'[5]#¡REF'!#REF!</definedName>
    <definedName name="CHALLHUA" localSheetId="7">'[5]#¡REF'!#REF!</definedName>
    <definedName name="CHALLHUA" localSheetId="8">'[5]#¡REF'!#REF!</definedName>
    <definedName name="CHALLHUA" localSheetId="12">'[5]#¡REF'!#REF!</definedName>
    <definedName name="CHALLHUA" localSheetId="13">'[5]#¡REF'!#REF!</definedName>
    <definedName name="CHALLHUA" localSheetId="23">'[5]#¡REF'!#REF!</definedName>
    <definedName name="CHALLHUA" localSheetId="2">'[5]#¡REF'!#REF!</definedName>
    <definedName name="CHALLHUA" localSheetId="26">'[5]#¡REF'!#REF!</definedName>
    <definedName name="CHALLHUA" localSheetId="27">'[5]#¡REF'!#REF!</definedName>
    <definedName name="CHALLHUA" localSheetId="21">'[5]#¡REF'!#REF!</definedName>
    <definedName name="CHALLHUA">'[5]#¡REF'!#REF!</definedName>
    <definedName name="Corte" localSheetId="25">#REF!</definedName>
    <definedName name="Corte" localSheetId="24">#REF!</definedName>
    <definedName name="Corte">#REF!</definedName>
    <definedName name="_xlnm.Criteria" localSheetId="4">#REF!</definedName>
    <definedName name="_xlnm.Criteria" localSheetId="25">#REF!</definedName>
    <definedName name="_xlnm.Criteria" localSheetId="24">#REF!</definedName>
    <definedName name="_xlnm.Criteria" localSheetId="20">#REF!</definedName>
    <definedName name="_xlnm.Criteria" localSheetId="10">#REF!</definedName>
    <definedName name="_xlnm.Criteria" localSheetId="11">#REF!</definedName>
    <definedName name="_xlnm.Criteria" localSheetId="7">#REF!</definedName>
    <definedName name="_xlnm.Criteria" localSheetId="8">#REF!</definedName>
    <definedName name="_xlnm.Criteria" localSheetId="12">#REF!</definedName>
    <definedName name="_xlnm.Criteria" localSheetId="13">#REF!</definedName>
    <definedName name="_xlnm.Criteria" localSheetId="23">#REF!</definedName>
    <definedName name="_xlnm.Criteria" localSheetId="2">#REF!</definedName>
    <definedName name="_xlnm.Criteria" localSheetId="6">#REF!</definedName>
    <definedName name="_xlnm.Criteria" localSheetId="26">#REF!</definedName>
    <definedName name="_xlnm.Criteria" localSheetId="27">#REF!</definedName>
    <definedName name="_xlnm.Criteria" localSheetId="21">#REF!</definedName>
    <definedName name="_xlnm.Criteria" localSheetId="5">#REF!</definedName>
    <definedName name="_xlnm.Criteria" localSheetId="16">#REF!</definedName>
    <definedName name="_xlnm.Criteria" localSheetId="15">#REF!</definedName>
    <definedName name="_xlnm.Criteria" localSheetId="17">#REF!</definedName>
    <definedName name="_xlnm.Criteria" localSheetId="14">#REF!</definedName>
    <definedName name="_xlnm.Criteria">#REF!</definedName>
    <definedName name="DDD" localSheetId="4">#REF!</definedName>
    <definedName name="DDD" localSheetId="25">#REF!</definedName>
    <definedName name="DDD" localSheetId="24">#REF!</definedName>
    <definedName name="DDD" localSheetId="20">#REF!</definedName>
    <definedName name="DDD" localSheetId="10">#REF!</definedName>
    <definedName name="DDD" localSheetId="11">#REF!</definedName>
    <definedName name="DDD" localSheetId="7">#REF!</definedName>
    <definedName name="DDD" localSheetId="8">#REF!</definedName>
    <definedName name="DDD" localSheetId="12">#REF!</definedName>
    <definedName name="DDD" localSheetId="13">#REF!</definedName>
    <definedName name="DDD" localSheetId="23">#REF!</definedName>
    <definedName name="DDD" localSheetId="2">#REF!</definedName>
    <definedName name="DDD" localSheetId="26">#REF!</definedName>
    <definedName name="DDD" localSheetId="27">#REF!</definedName>
    <definedName name="DDD" localSheetId="21">#REF!</definedName>
    <definedName name="DDD" localSheetId="15">#REF!</definedName>
    <definedName name="DDD" localSheetId="14">#REF!</definedName>
    <definedName name="DDD">#REF!</definedName>
    <definedName name="DESCRIPCION" localSheetId="4">#REF!</definedName>
    <definedName name="DESCRIPCION" localSheetId="25">#REF!</definedName>
    <definedName name="DESCRIPCION" localSheetId="24">#REF!</definedName>
    <definedName name="DESCRIPCION" localSheetId="20">#REF!</definedName>
    <definedName name="DESCRIPCION" localSheetId="10">#REF!</definedName>
    <definedName name="DESCRIPCION" localSheetId="11">#REF!</definedName>
    <definedName name="DESCRIPCION" localSheetId="7">#REF!</definedName>
    <definedName name="DESCRIPCION" localSheetId="8">#REF!</definedName>
    <definedName name="DESCRIPCION" localSheetId="12">#REF!</definedName>
    <definedName name="DESCRIPCION" localSheetId="13">#REF!</definedName>
    <definedName name="DESCRIPCION" localSheetId="23">#REF!</definedName>
    <definedName name="DESCRIPCION" localSheetId="2">#REF!</definedName>
    <definedName name="DESCRIPCION" localSheetId="26">#REF!</definedName>
    <definedName name="DESCRIPCION" localSheetId="27">#REF!</definedName>
    <definedName name="DESCRIPCION" localSheetId="21">#REF!</definedName>
    <definedName name="DESCRIPCION" localSheetId="15">#REF!</definedName>
    <definedName name="DESCRIPCION" localSheetId="14">#REF!</definedName>
    <definedName name="DESCRIPCION">#REF!</definedName>
    <definedName name="DIC" localSheetId="4">#REF!</definedName>
    <definedName name="DIC" localSheetId="25">#REF!</definedName>
    <definedName name="DIC" localSheetId="24">#REF!</definedName>
    <definedName name="DIC" localSheetId="20">#REF!</definedName>
    <definedName name="DIC" localSheetId="10">#REF!</definedName>
    <definedName name="DIC" localSheetId="11">#REF!</definedName>
    <definedName name="DIC" localSheetId="7">#REF!</definedName>
    <definedName name="DIC" localSheetId="8">#REF!</definedName>
    <definedName name="DIC" localSheetId="12">#REF!</definedName>
    <definedName name="DIC" localSheetId="13">#REF!</definedName>
    <definedName name="DIC" localSheetId="23">#REF!</definedName>
    <definedName name="DIC" localSheetId="2">#REF!</definedName>
    <definedName name="DIC" localSheetId="26">#REF!</definedName>
    <definedName name="DIC" localSheetId="27">#REF!</definedName>
    <definedName name="DIC" localSheetId="21">#REF!</definedName>
    <definedName name="DIC" localSheetId="15">#REF!</definedName>
    <definedName name="DIC" localSheetId="14">#REF!</definedName>
    <definedName name="DIC">#REF!</definedName>
    <definedName name="DIRECTO" localSheetId="4">#REF!</definedName>
    <definedName name="DIRECTO" localSheetId="25">#REF!</definedName>
    <definedName name="DIRECTO" localSheetId="24">#REF!</definedName>
    <definedName name="DIRECTO" localSheetId="20">#REF!</definedName>
    <definedName name="DIRECTO" localSheetId="10">#REF!</definedName>
    <definedName name="DIRECTO" localSheetId="11">#REF!</definedName>
    <definedName name="DIRECTO" localSheetId="7">#REF!</definedName>
    <definedName name="DIRECTO" localSheetId="8">#REF!</definedName>
    <definedName name="DIRECTO" localSheetId="12">#REF!</definedName>
    <definedName name="DIRECTO" localSheetId="13">#REF!</definedName>
    <definedName name="DIRECTO" localSheetId="23">#REF!</definedName>
    <definedName name="DIRECTO" localSheetId="2">#REF!</definedName>
    <definedName name="DIRECTO" localSheetId="26">#REF!</definedName>
    <definedName name="DIRECTO" localSheetId="27">#REF!</definedName>
    <definedName name="DIRECTO" localSheetId="21">#REF!</definedName>
    <definedName name="DIRECTO" localSheetId="15">#REF!</definedName>
    <definedName name="DIRECTO" localSheetId="14">#REF!</definedName>
    <definedName name="DIRECTO">#REF!</definedName>
    <definedName name="ECHARATI">#REF!</definedName>
    <definedName name="ENE" localSheetId="4">#REF!</definedName>
    <definedName name="ENE" localSheetId="25">#REF!</definedName>
    <definedName name="ENE" localSheetId="24">#REF!</definedName>
    <definedName name="ENE" localSheetId="20">#REF!</definedName>
    <definedName name="ENE" localSheetId="10">#REF!</definedName>
    <definedName name="ENE" localSheetId="11">#REF!</definedName>
    <definedName name="ENE" localSheetId="7">#REF!</definedName>
    <definedName name="ENE" localSheetId="8">#REF!</definedName>
    <definedName name="ENE" localSheetId="12">#REF!</definedName>
    <definedName name="ENE" localSheetId="13">#REF!</definedName>
    <definedName name="ENE" localSheetId="23">#REF!</definedName>
    <definedName name="ENE" localSheetId="2">#REF!</definedName>
    <definedName name="ENE" localSheetId="26">#REF!</definedName>
    <definedName name="ENE" localSheetId="27">#REF!</definedName>
    <definedName name="ENE" localSheetId="21">#REF!</definedName>
    <definedName name="ENE" localSheetId="15">#REF!</definedName>
    <definedName name="ENE" localSheetId="14">#REF!</definedName>
    <definedName name="ENE">#REF!</definedName>
    <definedName name="EXCAVACION" localSheetId="4">#REF!</definedName>
    <definedName name="EXCAVACION" localSheetId="25">#REF!</definedName>
    <definedName name="EXCAVACION" localSheetId="24">#REF!</definedName>
    <definedName name="EXCAVACION" localSheetId="20">#REF!</definedName>
    <definedName name="EXCAVACION" localSheetId="10">#REF!</definedName>
    <definedName name="EXCAVACION" localSheetId="11">#REF!</definedName>
    <definedName name="EXCAVACION" localSheetId="7">#REF!</definedName>
    <definedName name="EXCAVACION" localSheetId="8">#REF!</definedName>
    <definedName name="EXCAVACION" localSheetId="12">#REF!</definedName>
    <definedName name="EXCAVACION" localSheetId="13">#REF!</definedName>
    <definedName name="EXCAVACION" localSheetId="23">#REF!</definedName>
    <definedName name="EXCAVACION" localSheetId="2">#REF!</definedName>
    <definedName name="EXCAVACION" localSheetId="26">#REF!</definedName>
    <definedName name="EXCAVACION" localSheetId="27">#REF!</definedName>
    <definedName name="EXCAVACION" localSheetId="21">#REF!</definedName>
    <definedName name="EXCAVACION" localSheetId="15">#REF!</definedName>
    <definedName name="EXCAVACION" localSheetId="14">#REF!</definedName>
    <definedName name="EXCAVACION">#REF!</definedName>
    <definedName name="EXCAVACIONANT" localSheetId="4">#REF!</definedName>
    <definedName name="EXCAVACIONANT" localSheetId="25">#REF!</definedName>
    <definedName name="EXCAVACIONANT" localSheetId="24">#REF!</definedName>
    <definedName name="EXCAVACIONANT" localSheetId="20">#REF!</definedName>
    <definedName name="EXCAVACIONANT" localSheetId="10">#REF!</definedName>
    <definedName name="EXCAVACIONANT" localSheetId="11">#REF!</definedName>
    <definedName name="EXCAVACIONANT" localSheetId="7">#REF!</definedName>
    <definedName name="EXCAVACIONANT" localSheetId="8">#REF!</definedName>
    <definedName name="EXCAVACIONANT" localSheetId="12">#REF!</definedName>
    <definedName name="EXCAVACIONANT" localSheetId="13">#REF!</definedName>
    <definedName name="EXCAVACIONANT" localSheetId="23">#REF!</definedName>
    <definedName name="EXCAVACIONANT" localSheetId="2">#REF!</definedName>
    <definedName name="EXCAVACIONANT" localSheetId="26">#REF!</definedName>
    <definedName name="EXCAVACIONANT" localSheetId="27">#REF!</definedName>
    <definedName name="EXCAVACIONANT" localSheetId="21">#REF!</definedName>
    <definedName name="EXCAVACIONANT" localSheetId="15">#REF!</definedName>
    <definedName name="EXCAVACIONANT" localSheetId="14">#REF!</definedName>
    <definedName name="EXCAVACIONANT">#REF!</definedName>
    <definedName name="FACTRELACION" localSheetId="4">#REF!</definedName>
    <definedName name="FACTRELACION" localSheetId="25">#REF!</definedName>
    <definedName name="FACTRELACION" localSheetId="24">#REF!</definedName>
    <definedName name="FACTRELACION" localSheetId="20">#REF!</definedName>
    <definedName name="FACTRELACION" localSheetId="10">#REF!</definedName>
    <definedName name="FACTRELACION" localSheetId="11">#REF!</definedName>
    <definedName name="FACTRELACION" localSheetId="7">#REF!</definedName>
    <definedName name="FACTRELACION" localSheetId="8">#REF!</definedName>
    <definedName name="FACTRELACION" localSheetId="12">#REF!</definedName>
    <definedName name="FACTRELACION" localSheetId="13">#REF!</definedName>
    <definedName name="FACTRELACION" localSheetId="23">#REF!</definedName>
    <definedName name="FACTRELACION" localSheetId="2">#REF!</definedName>
    <definedName name="FACTRELACION" localSheetId="26">#REF!</definedName>
    <definedName name="FACTRELACION" localSheetId="27">#REF!</definedName>
    <definedName name="FACTRELACION" localSheetId="21">#REF!</definedName>
    <definedName name="FACTRELACION" localSheetId="15">#REF!</definedName>
    <definedName name="FACTRELACION" localSheetId="14">#REF!</definedName>
    <definedName name="FACTRELACION">#REF!</definedName>
    <definedName name="FEB" localSheetId="4">#REF!</definedName>
    <definedName name="FEB" localSheetId="25">#REF!</definedName>
    <definedName name="FEB" localSheetId="24">#REF!</definedName>
    <definedName name="FEB" localSheetId="20">#REF!</definedName>
    <definedName name="FEB" localSheetId="10">#REF!</definedName>
    <definedName name="FEB" localSheetId="11">#REF!</definedName>
    <definedName name="FEB" localSheetId="7">#REF!</definedName>
    <definedName name="FEB" localSheetId="8">#REF!</definedName>
    <definedName name="FEB" localSheetId="12">#REF!</definedName>
    <definedName name="FEB" localSheetId="13">#REF!</definedName>
    <definedName name="FEB" localSheetId="23">#REF!</definedName>
    <definedName name="FEB" localSheetId="2">#REF!</definedName>
    <definedName name="FEB" localSheetId="26">#REF!</definedName>
    <definedName name="FEB" localSheetId="27">#REF!</definedName>
    <definedName name="FEB" localSheetId="21">#REF!</definedName>
    <definedName name="FEB" localSheetId="15">#REF!</definedName>
    <definedName name="FEB" localSheetId="14">#REF!</definedName>
    <definedName name="FEB">#REF!</definedName>
    <definedName name="formato03" localSheetId="25">#REF!</definedName>
    <definedName name="formato03">#REF!</definedName>
    <definedName name="formato04" localSheetId="25">#REF!</definedName>
    <definedName name="formato04">#REF!</definedName>
    <definedName name="formato05" localSheetId="25">#REF!</definedName>
    <definedName name="formato05">#REF!</definedName>
    <definedName name="formato06" localSheetId="25">#REF!</definedName>
    <definedName name="formato06">#REF!</definedName>
    <definedName name="formato07" localSheetId="25">#REF!</definedName>
    <definedName name="formato07">#REF!</definedName>
    <definedName name="formato08" localSheetId="25">#REF!</definedName>
    <definedName name="formato08">#REF!</definedName>
    <definedName name="formato10" localSheetId="25">#REF!</definedName>
    <definedName name="formato10">#REF!</definedName>
    <definedName name="formato11" localSheetId="25">#REF!</definedName>
    <definedName name="formato11">#REF!</definedName>
    <definedName name="formato12" localSheetId="25">#REF!</definedName>
    <definedName name="formato12">#REF!</definedName>
    <definedName name="formato13" localSheetId="25">#REF!</definedName>
    <definedName name="formato13">#REF!</definedName>
    <definedName name="formato14" localSheetId="25">#REF!</definedName>
    <definedName name="formato14">#REF!</definedName>
    <definedName name="formato15" localSheetId="25">#REF!</definedName>
    <definedName name="formato15">#REF!</definedName>
    <definedName name="formato16" localSheetId="25">#REF!</definedName>
    <definedName name="formato16">#REF!</definedName>
    <definedName name="formato17" localSheetId="25">#REF!</definedName>
    <definedName name="formato17">#REF!</definedName>
    <definedName name="formato18" localSheetId="25">#REF!</definedName>
    <definedName name="formato18">#REF!</definedName>
    <definedName name="formato201" localSheetId="25">#REF!</definedName>
    <definedName name="formato201">#REF!</definedName>
    <definedName name="formato202" localSheetId="25">#REF!</definedName>
    <definedName name="formato202">#REF!</definedName>
    <definedName name="formato21" localSheetId="25">#REF!</definedName>
    <definedName name="formato21">#REF!</definedName>
    <definedName name="formato23" localSheetId="25">#REF!</definedName>
    <definedName name="formato23">#REF!</definedName>
    <definedName name="formato26" localSheetId="25">#REF!</definedName>
    <definedName name="formato26">#REF!</definedName>
    <definedName name="formato28" localSheetId="25">#REF!</definedName>
    <definedName name="formato28">#REF!</definedName>
    <definedName name="formato29" localSheetId="25">#REF!</definedName>
    <definedName name="formato29">#REF!</definedName>
    <definedName name="formato30" localSheetId="25">#REF!</definedName>
    <definedName name="formato30">#REF!</definedName>
    <definedName name="formato31" localSheetId="25">#REF!</definedName>
    <definedName name="formato31">#REF!</definedName>
    <definedName name="GGF" localSheetId="4">#REF!</definedName>
    <definedName name="GGF" localSheetId="25">#REF!</definedName>
    <definedName name="GGF" localSheetId="24">#REF!</definedName>
    <definedName name="GGF" localSheetId="20">#REF!</definedName>
    <definedName name="GGF" localSheetId="10">#REF!</definedName>
    <definedName name="GGF" localSheetId="11">#REF!</definedName>
    <definedName name="GGF" localSheetId="7">#REF!</definedName>
    <definedName name="GGF" localSheetId="8">#REF!</definedName>
    <definedName name="GGF" localSheetId="12">#REF!</definedName>
    <definedName name="GGF" localSheetId="13">#REF!</definedName>
    <definedName name="GGF" localSheetId="23">#REF!</definedName>
    <definedName name="GGF" localSheetId="2">#REF!</definedName>
    <definedName name="GGF" localSheetId="26">#REF!</definedName>
    <definedName name="GGF" localSheetId="27">#REF!</definedName>
    <definedName name="GGF" localSheetId="21">#REF!</definedName>
    <definedName name="GGF" localSheetId="15">#REF!</definedName>
    <definedName name="GGF" localSheetId="14">#REF!</definedName>
    <definedName name="GGF">#REF!</definedName>
    <definedName name="GGT" localSheetId="4">#REF!</definedName>
    <definedName name="GGT" localSheetId="25">#REF!</definedName>
    <definedName name="GGT" localSheetId="24">#REF!</definedName>
    <definedName name="GGT" localSheetId="20">#REF!</definedName>
    <definedName name="GGT" localSheetId="10">#REF!</definedName>
    <definedName name="GGT" localSheetId="11">#REF!</definedName>
    <definedName name="GGT" localSheetId="7">#REF!</definedName>
    <definedName name="GGT" localSheetId="8">#REF!</definedName>
    <definedName name="GGT" localSheetId="12">#REF!</definedName>
    <definedName name="GGT" localSheetId="13">#REF!</definedName>
    <definedName name="GGT" localSheetId="23">#REF!</definedName>
    <definedName name="GGT" localSheetId="2">#REF!</definedName>
    <definedName name="GGT" localSheetId="26">#REF!</definedName>
    <definedName name="GGT" localSheetId="27">#REF!</definedName>
    <definedName name="GGT" localSheetId="21">#REF!</definedName>
    <definedName name="GGT" localSheetId="15">#REF!</definedName>
    <definedName name="GGT" localSheetId="14">#REF!</definedName>
    <definedName name="GGT">#REF!</definedName>
    <definedName name="GGV" localSheetId="4">#REF!</definedName>
    <definedName name="GGV" localSheetId="25">#REF!</definedName>
    <definedName name="GGV" localSheetId="24">#REF!</definedName>
    <definedName name="GGV" localSheetId="20">#REF!</definedName>
    <definedName name="GGV" localSheetId="10">#REF!</definedName>
    <definedName name="GGV" localSheetId="11">#REF!</definedName>
    <definedName name="GGV" localSheetId="7">#REF!</definedName>
    <definedName name="GGV" localSheetId="8">#REF!</definedName>
    <definedName name="GGV" localSheetId="12">#REF!</definedName>
    <definedName name="GGV" localSheetId="13">#REF!</definedName>
    <definedName name="GGV" localSheetId="23">#REF!</definedName>
    <definedName name="GGV" localSheetId="2">#REF!</definedName>
    <definedName name="GGV" localSheetId="26">#REF!</definedName>
    <definedName name="GGV" localSheetId="27">#REF!</definedName>
    <definedName name="GGV" localSheetId="21">#REF!</definedName>
    <definedName name="GGV" localSheetId="15">#REF!</definedName>
    <definedName name="GGV" localSheetId="14">#REF!</definedName>
    <definedName name="GGV">#REF!</definedName>
    <definedName name="INDICE" localSheetId="4">#REF!</definedName>
    <definedName name="INDICE" localSheetId="25">#REF!</definedName>
    <definedName name="INDICE" localSheetId="24">#REF!</definedName>
    <definedName name="INDICE" localSheetId="20">#REF!</definedName>
    <definedName name="INDICE" localSheetId="10">#REF!</definedName>
    <definedName name="INDICE" localSheetId="11">#REF!</definedName>
    <definedName name="INDICE" localSheetId="7">#REF!</definedName>
    <definedName name="INDICE" localSheetId="8">#REF!</definedName>
    <definedName name="INDICE" localSheetId="12">#REF!</definedName>
    <definedName name="INDICE" localSheetId="13">#REF!</definedName>
    <definedName name="INDICE" localSheetId="23">#REF!</definedName>
    <definedName name="INDICE" localSheetId="2">#REF!</definedName>
    <definedName name="INDICE" localSheetId="26">#REF!</definedName>
    <definedName name="INDICE" localSheetId="27">#REF!</definedName>
    <definedName name="INDICE" localSheetId="21">#REF!</definedName>
    <definedName name="INDICE" localSheetId="15">#REF!</definedName>
    <definedName name="INDICE" localSheetId="14">#REF!</definedName>
    <definedName name="INDICE">#REF!</definedName>
    <definedName name="IU" localSheetId="4">#REF!</definedName>
    <definedName name="IU" localSheetId="25">#REF!</definedName>
    <definedName name="IU" localSheetId="24">#REF!</definedName>
    <definedName name="IU" localSheetId="20">#REF!</definedName>
    <definedName name="IU" localSheetId="10">#REF!</definedName>
    <definedName name="IU" localSheetId="11">#REF!</definedName>
    <definedName name="IU" localSheetId="7">#REF!</definedName>
    <definedName name="IU" localSheetId="8">#REF!</definedName>
    <definedName name="IU" localSheetId="12">#REF!</definedName>
    <definedName name="IU" localSheetId="13">#REF!</definedName>
    <definedName name="IU" localSheetId="23">#REF!</definedName>
    <definedName name="IU" localSheetId="2">#REF!</definedName>
    <definedName name="IU" localSheetId="26">#REF!</definedName>
    <definedName name="IU" localSheetId="27">#REF!</definedName>
    <definedName name="IU" localSheetId="21">#REF!</definedName>
    <definedName name="IU" localSheetId="15">#REF!</definedName>
    <definedName name="IU" localSheetId="14">#REF!</definedName>
    <definedName name="IU">#REF!</definedName>
    <definedName name="JUL" localSheetId="4">#REF!</definedName>
    <definedName name="JUL" localSheetId="25">#REF!</definedName>
    <definedName name="JUL" localSheetId="24">#REF!</definedName>
    <definedName name="JUL" localSheetId="20">#REF!</definedName>
    <definedName name="JUL" localSheetId="10">#REF!</definedName>
    <definedName name="JUL" localSheetId="11">#REF!</definedName>
    <definedName name="JUL" localSheetId="7">#REF!</definedName>
    <definedName name="JUL" localSheetId="8">#REF!</definedName>
    <definedName name="JUL" localSheetId="12">#REF!</definedName>
    <definedName name="JUL" localSheetId="13">#REF!</definedName>
    <definedName name="JUL" localSheetId="23">#REF!</definedName>
    <definedName name="JUL" localSheetId="2">#REF!</definedName>
    <definedName name="JUL" localSheetId="26">#REF!</definedName>
    <definedName name="JUL" localSheetId="27">#REF!</definedName>
    <definedName name="JUL" localSheetId="21">#REF!</definedName>
    <definedName name="JUL" localSheetId="15">#REF!</definedName>
    <definedName name="JUL" localSheetId="14">#REF!</definedName>
    <definedName name="JUL">#REF!</definedName>
    <definedName name="JUN" localSheetId="4">#REF!</definedName>
    <definedName name="JUN" localSheetId="25">#REF!</definedName>
    <definedName name="JUN" localSheetId="24">#REF!</definedName>
    <definedName name="JUN" localSheetId="20">#REF!</definedName>
    <definedName name="JUN" localSheetId="10">#REF!</definedName>
    <definedName name="JUN" localSheetId="11">#REF!</definedName>
    <definedName name="JUN" localSheetId="7">#REF!</definedName>
    <definedName name="JUN" localSheetId="8">#REF!</definedName>
    <definedName name="JUN" localSheetId="12">#REF!</definedName>
    <definedName name="JUN" localSheetId="13">#REF!</definedName>
    <definedName name="JUN" localSheetId="23">#REF!</definedName>
    <definedName name="JUN" localSheetId="2">#REF!</definedName>
    <definedName name="JUN" localSheetId="26">#REF!</definedName>
    <definedName name="JUN" localSheetId="27">#REF!</definedName>
    <definedName name="JUN" localSheetId="21">#REF!</definedName>
    <definedName name="JUN" localSheetId="15">#REF!</definedName>
    <definedName name="JUN" localSheetId="14">#REF!</definedName>
    <definedName name="JUN">#REF!</definedName>
    <definedName name="KITENI">#REF!</definedName>
    <definedName name="lll" localSheetId="4">#REF!</definedName>
    <definedName name="lll" localSheetId="25">#REF!</definedName>
    <definedName name="lll" localSheetId="24">#REF!</definedName>
    <definedName name="lll" localSheetId="20">#REF!</definedName>
    <definedName name="lll" localSheetId="10">#REF!</definedName>
    <definedName name="lll" localSheetId="11">#REF!</definedName>
    <definedName name="lll" localSheetId="7">#REF!</definedName>
    <definedName name="lll" localSheetId="8">#REF!</definedName>
    <definedName name="lll" localSheetId="12">#REF!</definedName>
    <definedName name="lll" localSheetId="13">#REF!</definedName>
    <definedName name="lll" localSheetId="23">#REF!</definedName>
    <definedName name="lll" localSheetId="2">#REF!</definedName>
    <definedName name="lll" localSheetId="26">#REF!</definedName>
    <definedName name="lll" localSheetId="27">#REF!</definedName>
    <definedName name="lll" localSheetId="21">#REF!</definedName>
    <definedName name="lll" localSheetId="15">#REF!</definedName>
    <definedName name="lll" localSheetId="14">#REF!</definedName>
    <definedName name="lll">#REF!</definedName>
    <definedName name="MAR" localSheetId="4">#REF!</definedName>
    <definedName name="MAR" localSheetId="25">#REF!</definedName>
    <definedName name="MAR" localSheetId="24">#REF!</definedName>
    <definedName name="MAR" localSheetId="20">#REF!</definedName>
    <definedName name="MAR" localSheetId="10">#REF!</definedName>
    <definedName name="MAR" localSheetId="11">#REF!</definedName>
    <definedName name="MAR" localSheetId="7">#REF!</definedName>
    <definedName name="MAR" localSheetId="8">#REF!</definedName>
    <definedName name="MAR" localSheetId="12">#REF!</definedName>
    <definedName name="MAR" localSheetId="13">#REF!</definedName>
    <definedName name="MAR" localSheetId="23">#REF!</definedName>
    <definedName name="MAR" localSheetId="2">#REF!</definedName>
    <definedName name="MAR" localSheetId="26">#REF!</definedName>
    <definedName name="MAR" localSheetId="27">#REF!</definedName>
    <definedName name="MAR" localSheetId="21">#REF!</definedName>
    <definedName name="MAR" localSheetId="15">#REF!</definedName>
    <definedName name="MAR" localSheetId="14">#REF!</definedName>
    <definedName name="MAR">#REF!</definedName>
    <definedName name="MAY" localSheetId="4">#REF!</definedName>
    <definedName name="MAY" localSheetId="25">#REF!</definedName>
    <definedName name="MAY" localSheetId="24">#REF!</definedName>
    <definedName name="MAY" localSheetId="20">#REF!</definedName>
    <definedName name="MAY" localSheetId="10">#REF!</definedName>
    <definedName name="MAY" localSheetId="11">#REF!</definedName>
    <definedName name="MAY" localSheetId="7">#REF!</definedName>
    <definedName name="MAY" localSheetId="8">#REF!</definedName>
    <definedName name="MAY" localSheetId="12">#REF!</definedName>
    <definedName name="MAY" localSheetId="13">#REF!</definedName>
    <definedName name="MAY" localSheetId="23">#REF!</definedName>
    <definedName name="MAY" localSheetId="2">#REF!</definedName>
    <definedName name="MAY" localSheetId="26">#REF!</definedName>
    <definedName name="MAY" localSheetId="27">#REF!</definedName>
    <definedName name="MAY" localSheetId="21">#REF!</definedName>
    <definedName name="MAY" localSheetId="15">#REF!</definedName>
    <definedName name="MAY" localSheetId="14">#REF!</definedName>
    <definedName name="MAY">#REF!</definedName>
    <definedName name="meses" localSheetId="4">#REF!</definedName>
    <definedName name="meses" localSheetId="25">#REF!</definedName>
    <definedName name="meses" localSheetId="24">#REF!</definedName>
    <definedName name="meses" localSheetId="20">#REF!</definedName>
    <definedName name="meses" localSheetId="10">#REF!</definedName>
    <definedName name="meses" localSheetId="11">#REF!</definedName>
    <definedName name="meses" localSheetId="7">#REF!</definedName>
    <definedName name="meses" localSheetId="8">#REF!</definedName>
    <definedName name="meses" localSheetId="12">#REF!</definedName>
    <definedName name="meses" localSheetId="13">#REF!</definedName>
    <definedName name="meses" localSheetId="23">#REF!</definedName>
    <definedName name="meses" localSheetId="2">#REF!</definedName>
    <definedName name="meses" localSheetId="26">#REF!</definedName>
    <definedName name="meses" localSheetId="27">#REF!</definedName>
    <definedName name="meses" localSheetId="21">#REF!</definedName>
    <definedName name="meses" localSheetId="15">#REF!</definedName>
    <definedName name="meses" localSheetId="14">#REF!</definedName>
    <definedName name="meses">#REF!</definedName>
    <definedName name="mierdaaaaaaaaaaaaaa" localSheetId="25">#REF!</definedName>
    <definedName name="mierdaaaaaaaaaaaaaa" localSheetId="24">#REF!</definedName>
    <definedName name="mierdaaaaaaaaaaaaaa" localSheetId="20">#REF!</definedName>
    <definedName name="mierdaaaaaaaaaaaaaa" localSheetId="10">#REF!</definedName>
    <definedName name="mierdaaaaaaaaaaaaaa" localSheetId="11">#REF!</definedName>
    <definedName name="mierdaaaaaaaaaaaaaa" localSheetId="7">#REF!</definedName>
    <definedName name="mierdaaaaaaaaaaaaaa" localSheetId="8">#REF!</definedName>
    <definedName name="mierdaaaaaaaaaaaaaa" localSheetId="13">#REF!</definedName>
    <definedName name="mierdaaaaaaaaaaaaaa" localSheetId="2">#REF!</definedName>
    <definedName name="mierdaaaaaaaaaaaaaa" localSheetId="6">#REF!</definedName>
    <definedName name="mierdaaaaaaaaaaaaaa" localSheetId="26">#REF!</definedName>
    <definedName name="mierdaaaaaaaaaaaaaa" localSheetId="27">#REF!</definedName>
    <definedName name="mierdaaaaaaaaaaaaaa" localSheetId="21">#REF!</definedName>
    <definedName name="mierdaaaaaaaaaaaaaa" localSheetId="5">#REF!</definedName>
    <definedName name="mierdaaaaaaaaaaaaaa" localSheetId="16">#REF!</definedName>
    <definedName name="mierdaaaaaaaaaaaaaa" localSheetId="15">#REF!</definedName>
    <definedName name="mierdaaaaaaaaaaaaaa" localSheetId="17">#REF!</definedName>
    <definedName name="mierdaaaaaaaaaaaaaa" localSheetId="14">#REF!</definedName>
    <definedName name="mierdaaaaaaaaaaaaaa">#REF!</definedName>
    <definedName name="MNP" localSheetId="4">'[4]#¡REF'!#REF!</definedName>
    <definedName name="MNP" localSheetId="25">'[4]#¡REF'!#REF!</definedName>
    <definedName name="MNP" localSheetId="24">'[4]#¡REF'!#REF!</definedName>
    <definedName name="MNP" localSheetId="20">'[4]#¡REF'!#REF!</definedName>
    <definedName name="MNP" localSheetId="10">'[4]#¡REF'!#REF!</definedName>
    <definedName name="MNP" localSheetId="11">'[4]#¡REF'!#REF!</definedName>
    <definedName name="MNP" localSheetId="7">'[4]#¡REF'!#REF!</definedName>
    <definedName name="MNP" localSheetId="8">'[4]#¡REF'!#REF!</definedName>
    <definedName name="MNP" localSheetId="12">'[4]#¡REF'!#REF!</definedName>
    <definedName name="MNP" localSheetId="13">'[4]#¡REF'!#REF!</definedName>
    <definedName name="MNP" localSheetId="23">'[4]#¡REF'!#REF!</definedName>
    <definedName name="MNP" localSheetId="2">'[4]#¡REF'!#REF!</definedName>
    <definedName name="MNP" localSheetId="6">'[4]#¡REF'!#REF!</definedName>
    <definedName name="MNP" localSheetId="26">'[4]#¡REF'!#REF!</definedName>
    <definedName name="MNP" localSheetId="27">'[4]#¡REF'!#REF!</definedName>
    <definedName name="MNP" localSheetId="21">'[4]#¡REF'!#REF!</definedName>
    <definedName name="MNP" localSheetId="5">'[4]#¡REF'!#REF!</definedName>
    <definedName name="MNP" localSheetId="16">'[4]#¡REF'!#REF!</definedName>
    <definedName name="MNP" localSheetId="15">'[4]#¡REF'!#REF!</definedName>
    <definedName name="MNP" localSheetId="17">'[4]#¡REF'!#REF!</definedName>
    <definedName name="MNP" localSheetId="14">'[4]#¡REF'!#REF!</definedName>
    <definedName name="MNP">'[4]#¡REF'!#REF!</definedName>
    <definedName name="NOB" localSheetId="4">#REF!</definedName>
    <definedName name="NOB" localSheetId="25">#REF!</definedName>
    <definedName name="NOB" localSheetId="24">#REF!</definedName>
    <definedName name="NOB" localSheetId="20">#REF!</definedName>
    <definedName name="NOB" localSheetId="10">#REF!</definedName>
    <definedName name="NOB" localSheetId="11">#REF!</definedName>
    <definedName name="NOB" localSheetId="7">#REF!</definedName>
    <definedName name="NOB" localSheetId="8">#REF!</definedName>
    <definedName name="NOB" localSheetId="12">#REF!</definedName>
    <definedName name="NOB" localSheetId="13">#REF!</definedName>
    <definedName name="NOB" localSheetId="23">#REF!</definedName>
    <definedName name="NOB" localSheetId="2">#REF!</definedName>
    <definedName name="NOB" localSheetId="26">#REF!</definedName>
    <definedName name="NOB" localSheetId="27">#REF!</definedName>
    <definedName name="NOB" localSheetId="21">#REF!</definedName>
    <definedName name="NOB" localSheetId="15">#REF!</definedName>
    <definedName name="NOB" localSheetId="14">#REF!</definedName>
    <definedName name="NOB">#REF!</definedName>
    <definedName name="OBRAS" localSheetId="4">#REF!</definedName>
    <definedName name="OBRAS" localSheetId="25">#REF!</definedName>
    <definedName name="OBRAS" localSheetId="24">#REF!</definedName>
    <definedName name="OBRAS" localSheetId="20">#REF!</definedName>
    <definedName name="OBRAS" localSheetId="10">#REF!</definedName>
    <definedName name="OBRAS" localSheetId="11">#REF!</definedName>
    <definedName name="OBRAS" localSheetId="7">#REF!</definedName>
    <definedName name="OBRAS" localSheetId="8">#REF!</definedName>
    <definedName name="OBRAS" localSheetId="12">#REF!</definedName>
    <definedName name="OBRAS" localSheetId="13">#REF!</definedName>
    <definedName name="OBRAS" localSheetId="23">#REF!</definedName>
    <definedName name="OBRAS" localSheetId="2">#REF!</definedName>
    <definedName name="OBRAS" localSheetId="26">#REF!</definedName>
    <definedName name="OBRAS" localSheetId="27">#REF!</definedName>
    <definedName name="OBRAS" localSheetId="21">#REF!</definedName>
    <definedName name="OBRAS" localSheetId="15">#REF!</definedName>
    <definedName name="OBRAS" localSheetId="14">#REF!</definedName>
    <definedName name="OBRAS">#REF!</definedName>
    <definedName name="OBRASANT" localSheetId="4">#REF!</definedName>
    <definedName name="OBRASANT" localSheetId="25">#REF!</definedName>
    <definedName name="OBRASANT" localSheetId="24">#REF!</definedName>
    <definedName name="OBRASANT" localSheetId="20">#REF!</definedName>
    <definedName name="OBRASANT" localSheetId="10">#REF!</definedName>
    <definedName name="OBRASANT" localSheetId="11">#REF!</definedName>
    <definedName name="OBRASANT" localSheetId="7">#REF!</definedName>
    <definedName name="OBRASANT" localSheetId="8">#REF!</definedName>
    <definedName name="OBRASANT" localSheetId="12">#REF!</definedName>
    <definedName name="OBRASANT" localSheetId="13">#REF!</definedName>
    <definedName name="OBRASANT" localSheetId="23">#REF!</definedName>
    <definedName name="OBRASANT" localSheetId="2">#REF!</definedName>
    <definedName name="OBRASANT" localSheetId="26">#REF!</definedName>
    <definedName name="OBRASANT" localSheetId="27">#REF!</definedName>
    <definedName name="OBRASANT" localSheetId="21">#REF!</definedName>
    <definedName name="OBRASANT" localSheetId="15">#REF!</definedName>
    <definedName name="OBRASANT" localSheetId="14">#REF!</definedName>
    <definedName name="OBRASANT">#REF!</definedName>
    <definedName name="OCT" localSheetId="4">#REF!</definedName>
    <definedName name="OCT" localSheetId="25">#REF!</definedName>
    <definedName name="OCT" localSheetId="24">#REF!</definedName>
    <definedName name="OCT" localSheetId="20">#REF!</definedName>
    <definedName name="OCT" localSheetId="10">#REF!</definedName>
    <definedName name="OCT" localSheetId="11">#REF!</definedName>
    <definedName name="OCT" localSheetId="7">#REF!</definedName>
    <definedName name="OCT" localSheetId="8">#REF!</definedName>
    <definedName name="OCT" localSheetId="12">#REF!</definedName>
    <definedName name="OCT" localSheetId="13">#REF!</definedName>
    <definedName name="OCT" localSheetId="23">#REF!</definedName>
    <definedName name="OCT" localSheetId="2">#REF!</definedName>
    <definedName name="OCT" localSheetId="26">#REF!</definedName>
    <definedName name="OCT" localSheetId="27">#REF!</definedName>
    <definedName name="OCT" localSheetId="21">#REF!</definedName>
    <definedName name="OCT" localSheetId="15">#REF!</definedName>
    <definedName name="OCT" localSheetId="14">#REF!</definedName>
    <definedName name="OCT">#REF!</definedName>
    <definedName name="OLE_LINK1" localSheetId="25">#REF!</definedName>
    <definedName name="OLE_LINK1" localSheetId="24">#REF!</definedName>
    <definedName name="OLE_LINK1" localSheetId="10">#REF!</definedName>
    <definedName name="OLE_LINK1" localSheetId="11">#REF!</definedName>
    <definedName name="OLE_LINK1" localSheetId="7">#REF!</definedName>
    <definedName name="OLE_LINK1" localSheetId="8">#REF!</definedName>
    <definedName name="OLE_LINK1" localSheetId="13">#REF!</definedName>
    <definedName name="OLE_LINK1" localSheetId="2">#REF!</definedName>
    <definedName name="OLE_LINK1" localSheetId="6">'FE3-1 '!$B$5</definedName>
    <definedName name="OLE_LINK1" localSheetId="26">#REF!</definedName>
    <definedName name="OLE_LINK1" localSheetId="27">#REF!</definedName>
    <definedName name="OLE_LINK1" localSheetId="5">'VAL ADI-OBRA N°01'!$B$6</definedName>
    <definedName name="OLE_LINK1" localSheetId="16">'VAL ADI-OBRA N°02'!$B$6</definedName>
    <definedName name="OLE_LINK1" localSheetId="15">'VAL ADI-OBRA N°03 (2)'!$B$6</definedName>
    <definedName name="OLE_LINK1" localSheetId="17">'VAL ADI-OBRA N°04'!$B$8</definedName>
    <definedName name="OLE_LINK1" localSheetId="14">'VAL-PARTIDAS NUEVAS'!$B$5</definedName>
    <definedName name="OLE_LINK1">#REF!</definedName>
    <definedName name="ope" localSheetId="4">[6]Hoja4!#REF!</definedName>
    <definedName name="ope" localSheetId="25">[6]Hoja4!#REF!</definedName>
    <definedName name="ope" localSheetId="24">[6]Hoja4!#REF!</definedName>
    <definedName name="ope" localSheetId="20">[6]Hoja4!#REF!</definedName>
    <definedName name="ope" localSheetId="10">[6]Hoja4!#REF!</definedName>
    <definedName name="ope" localSheetId="11">[6]Hoja4!#REF!</definedName>
    <definedName name="ope" localSheetId="7">[6]Hoja4!#REF!</definedName>
    <definedName name="ope" localSheetId="8">[6]Hoja4!#REF!</definedName>
    <definedName name="ope" localSheetId="12">[6]Hoja4!#REF!</definedName>
    <definedName name="ope" localSheetId="13">[6]Hoja4!#REF!</definedName>
    <definedName name="ope" localSheetId="23">[6]Hoja4!#REF!</definedName>
    <definedName name="ope" localSheetId="2">[6]Hoja4!#REF!</definedName>
    <definedName name="ope" localSheetId="6">[6]Hoja4!#REF!</definedName>
    <definedName name="ope" localSheetId="26">[6]Hoja4!#REF!</definedName>
    <definedName name="ope" localSheetId="27">[6]Hoja4!#REF!</definedName>
    <definedName name="ope" localSheetId="21">[6]Hoja4!#REF!</definedName>
    <definedName name="ope" localSheetId="5">[6]Hoja4!#REF!</definedName>
    <definedName name="ope" localSheetId="16">[6]Hoja4!#REF!</definedName>
    <definedName name="ope" localSheetId="15">[6]Hoja4!#REF!</definedName>
    <definedName name="ope" localSheetId="17">[6]Hoja4!#REF!</definedName>
    <definedName name="ope" localSheetId="14">[6]Hoja4!#REF!</definedName>
    <definedName name="ope">[6]Hoja4!#REF!</definedName>
    <definedName name="PARTIDA" localSheetId="4">#REF!</definedName>
    <definedName name="PARTIDA" localSheetId="25">#REF!</definedName>
    <definedName name="PARTIDA" localSheetId="24">#REF!</definedName>
    <definedName name="PARTIDA" localSheetId="20">#REF!</definedName>
    <definedName name="PARTIDA" localSheetId="10">#REF!</definedName>
    <definedName name="PARTIDA" localSheetId="11">#REF!</definedName>
    <definedName name="PARTIDA" localSheetId="7">#REF!</definedName>
    <definedName name="PARTIDA" localSheetId="8">#REF!</definedName>
    <definedName name="PARTIDA" localSheetId="12">#REF!</definedName>
    <definedName name="PARTIDA" localSheetId="13">#REF!</definedName>
    <definedName name="PARTIDA" localSheetId="23">#REF!</definedName>
    <definedName name="PARTIDA" localSheetId="2">#REF!</definedName>
    <definedName name="PARTIDA" localSheetId="26">#REF!</definedName>
    <definedName name="PARTIDA" localSheetId="27">#REF!</definedName>
    <definedName name="PARTIDA" localSheetId="21">#REF!</definedName>
    <definedName name="PARTIDA" localSheetId="15">#REF!</definedName>
    <definedName name="PARTIDA" localSheetId="14">#REF!</definedName>
    <definedName name="PARTIDA">#REF!</definedName>
    <definedName name="PAVIMENTOS" localSheetId="4">#REF!</definedName>
    <definedName name="PAVIMENTOS" localSheetId="25">#REF!</definedName>
    <definedName name="PAVIMENTOS" localSheetId="24">#REF!</definedName>
    <definedName name="PAVIMENTOS" localSheetId="20">#REF!</definedName>
    <definedName name="PAVIMENTOS" localSheetId="10">#REF!</definedName>
    <definedName name="PAVIMENTOS" localSheetId="11">#REF!</definedName>
    <definedName name="PAVIMENTOS" localSheetId="7">#REF!</definedName>
    <definedName name="PAVIMENTOS" localSheetId="8">#REF!</definedName>
    <definedName name="PAVIMENTOS" localSheetId="12">#REF!</definedName>
    <definedName name="PAVIMENTOS" localSheetId="13">#REF!</definedName>
    <definedName name="PAVIMENTOS" localSheetId="23">#REF!</definedName>
    <definedName name="PAVIMENTOS" localSheetId="2">#REF!</definedName>
    <definedName name="PAVIMENTOS" localSheetId="26">#REF!</definedName>
    <definedName name="PAVIMENTOS" localSheetId="27">#REF!</definedName>
    <definedName name="PAVIMENTOS" localSheetId="21">#REF!</definedName>
    <definedName name="PAVIMENTOS" localSheetId="15">#REF!</definedName>
    <definedName name="PAVIMENTOS" localSheetId="14">#REF!</definedName>
    <definedName name="PAVIMENTOS">#REF!</definedName>
    <definedName name="PAVIMENTOSANT" localSheetId="4">#REF!</definedName>
    <definedName name="PAVIMENTOSANT" localSheetId="25">#REF!</definedName>
    <definedName name="PAVIMENTOSANT" localSheetId="24">#REF!</definedName>
    <definedName name="PAVIMENTOSANT" localSheetId="20">#REF!</definedName>
    <definedName name="PAVIMENTOSANT" localSheetId="10">#REF!</definedName>
    <definedName name="PAVIMENTOSANT" localSheetId="11">#REF!</definedName>
    <definedName name="PAVIMENTOSANT" localSheetId="7">#REF!</definedName>
    <definedName name="PAVIMENTOSANT" localSheetId="8">#REF!</definedName>
    <definedName name="PAVIMENTOSANT" localSheetId="12">#REF!</definedName>
    <definedName name="PAVIMENTOSANT" localSheetId="13">#REF!</definedName>
    <definedName name="PAVIMENTOSANT" localSheetId="23">#REF!</definedName>
    <definedName name="PAVIMENTOSANT" localSheetId="2">#REF!</definedName>
    <definedName name="PAVIMENTOSANT" localSheetId="26">#REF!</definedName>
    <definedName name="PAVIMENTOSANT" localSheetId="27">#REF!</definedName>
    <definedName name="PAVIMENTOSANT" localSheetId="21">#REF!</definedName>
    <definedName name="PAVIMENTOSANT" localSheetId="15">#REF!</definedName>
    <definedName name="PAVIMENTOSANT" localSheetId="14">#REF!</definedName>
    <definedName name="PAVIMENTOSANT">#REF!</definedName>
    <definedName name="PRESUP" localSheetId="4">#REF!</definedName>
    <definedName name="PRESUP" localSheetId="25">#REF!</definedName>
    <definedName name="PRESUP" localSheetId="24">#REF!</definedName>
    <definedName name="PRESUP" localSheetId="20">#REF!</definedName>
    <definedName name="PRESUP" localSheetId="10">#REF!</definedName>
    <definedName name="PRESUP" localSheetId="11">#REF!</definedName>
    <definedName name="PRESUP" localSheetId="7">#REF!</definedName>
    <definedName name="PRESUP" localSheetId="8">#REF!</definedName>
    <definedName name="PRESUP" localSheetId="12">#REF!</definedName>
    <definedName name="PRESUP" localSheetId="13">#REF!</definedName>
    <definedName name="PRESUP" localSheetId="23">#REF!</definedName>
    <definedName name="PRESUP" localSheetId="2">#REF!</definedName>
    <definedName name="PRESUP" localSheetId="26">#REF!</definedName>
    <definedName name="PRESUP" localSheetId="27">#REF!</definedName>
    <definedName name="PRESUP" localSheetId="21">#REF!</definedName>
    <definedName name="PRESUP" localSheetId="15">#REF!</definedName>
    <definedName name="PRESUP" localSheetId="14">#REF!</definedName>
    <definedName name="PRESUP">#REF!</definedName>
    <definedName name="REVISAR" localSheetId="4">#REF!</definedName>
    <definedName name="REVISAR" localSheetId="25">#REF!</definedName>
    <definedName name="REVISAR" localSheetId="24">#REF!</definedName>
    <definedName name="REVISAR" localSheetId="20">#REF!</definedName>
    <definedName name="REVISAR" localSheetId="10">#REF!</definedName>
    <definedName name="REVISAR" localSheetId="11">#REF!</definedName>
    <definedName name="REVISAR" localSheetId="7">#REF!</definedName>
    <definedName name="REVISAR" localSheetId="8">#REF!</definedName>
    <definedName name="REVISAR" localSheetId="12">#REF!</definedName>
    <definedName name="REVISAR" localSheetId="13">#REF!</definedName>
    <definedName name="REVISAR" localSheetId="23">#REF!</definedName>
    <definedName name="REVISAR" localSheetId="2">#REF!</definedName>
    <definedName name="REVISAR" localSheetId="26">#REF!</definedName>
    <definedName name="REVISAR" localSheetId="27">#REF!</definedName>
    <definedName name="REVISAR" localSheetId="21">#REF!</definedName>
    <definedName name="REVISAR" localSheetId="15">#REF!</definedName>
    <definedName name="REVISAR" localSheetId="14">#REF!</definedName>
    <definedName name="REVISAR">#REF!</definedName>
    <definedName name="REVISAR1" localSheetId="4">#REF!</definedName>
    <definedName name="REVISAR1" localSheetId="25">#REF!</definedName>
    <definedName name="REVISAR1" localSheetId="24">#REF!</definedName>
    <definedName name="REVISAR1" localSheetId="20">#REF!</definedName>
    <definedName name="REVISAR1" localSheetId="10">#REF!</definedName>
    <definedName name="REVISAR1" localSheetId="11">#REF!</definedName>
    <definedName name="REVISAR1" localSheetId="7">#REF!</definedName>
    <definedName name="REVISAR1" localSheetId="8">#REF!</definedName>
    <definedName name="REVISAR1" localSheetId="12">#REF!</definedName>
    <definedName name="REVISAR1" localSheetId="13">#REF!</definedName>
    <definedName name="REVISAR1" localSheetId="23">#REF!</definedName>
    <definedName name="REVISAR1" localSheetId="2">#REF!</definedName>
    <definedName name="REVISAR1" localSheetId="26">#REF!</definedName>
    <definedName name="REVISAR1" localSheetId="27">#REF!</definedName>
    <definedName name="REVISAR1" localSheetId="21">#REF!</definedName>
    <definedName name="REVISAR1" localSheetId="15">#REF!</definedName>
    <definedName name="REVISAR1" localSheetId="14">#REF!</definedName>
    <definedName name="REVISAR1">#REF!</definedName>
    <definedName name="SEÑALIZACION" localSheetId="4">#REF!</definedName>
    <definedName name="SEÑALIZACION" localSheetId="25">#REF!</definedName>
    <definedName name="SEÑALIZACION" localSheetId="24">#REF!</definedName>
    <definedName name="SEÑALIZACION" localSheetId="20">#REF!</definedName>
    <definedName name="SEÑALIZACION" localSheetId="10">#REF!</definedName>
    <definedName name="SEÑALIZACION" localSheetId="11">#REF!</definedName>
    <definedName name="SEÑALIZACION" localSheetId="7">#REF!</definedName>
    <definedName name="SEÑALIZACION" localSheetId="8">#REF!</definedName>
    <definedName name="SEÑALIZACION" localSheetId="12">#REF!</definedName>
    <definedName name="SEÑALIZACION" localSheetId="13">#REF!</definedName>
    <definedName name="SEÑALIZACION" localSheetId="23">#REF!</definedName>
    <definedName name="SEÑALIZACION" localSheetId="2">#REF!</definedName>
    <definedName name="SEÑALIZACION" localSheetId="26">#REF!</definedName>
    <definedName name="SEÑALIZACION" localSheetId="27">#REF!</definedName>
    <definedName name="SEÑALIZACION" localSheetId="21">#REF!</definedName>
    <definedName name="SEÑALIZACION" localSheetId="15">#REF!</definedName>
    <definedName name="SEÑALIZACION" localSheetId="14">#REF!</definedName>
    <definedName name="SEÑALIZACION">#REF!</definedName>
    <definedName name="SEÑALIZACIONANT" localSheetId="4">#REF!</definedName>
    <definedName name="SEÑALIZACIONANT" localSheetId="25">#REF!</definedName>
    <definedName name="SEÑALIZACIONANT" localSheetId="24">#REF!</definedName>
    <definedName name="SEÑALIZACIONANT" localSheetId="20">#REF!</definedName>
    <definedName name="SEÑALIZACIONANT" localSheetId="10">#REF!</definedName>
    <definedName name="SEÑALIZACIONANT" localSheetId="11">#REF!</definedName>
    <definedName name="SEÑALIZACIONANT" localSheetId="7">#REF!</definedName>
    <definedName name="SEÑALIZACIONANT" localSheetId="8">#REF!</definedName>
    <definedName name="SEÑALIZACIONANT" localSheetId="12">#REF!</definedName>
    <definedName name="SEÑALIZACIONANT" localSheetId="13">#REF!</definedName>
    <definedName name="SEÑALIZACIONANT" localSheetId="23">#REF!</definedName>
    <definedName name="SEÑALIZACIONANT" localSheetId="2">#REF!</definedName>
    <definedName name="SEÑALIZACIONANT" localSheetId="26">#REF!</definedName>
    <definedName name="SEÑALIZACIONANT" localSheetId="27">#REF!</definedName>
    <definedName name="SEÑALIZACIONANT" localSheetId="21">#REF!</definedName>
    <definedName name="SEÑALIZACIONANT" localSheetId="15">#REF!</definedName>
    <definedName name="SEÑALIZACIONANT" localSheetId="14">#REF!</definedName>
    <definedName name="SEÑALIZACIONANT">#REF!</definedName>
    <definedName name="SET" localSheetId="4">#REF!</definedName>
    <definedName name="SET" localSheetId="25">#REF!</definedName>
    <definedName name="SET" localSheetId="24">#REF!</definedName>
    <definedName name="SET" localSheetId="20">#REF!</definedName>
    <definedName name="SET" localSheetId="10">#REF!</definedName>
    <definedName name="SET" localSheetId="11">#REF!</definedName>
    <definedName name="SET" localSheetId="7">#REF!</definedName>
    <definedName name="SET" localSheetId="8">#REF!</definedName>
    <definedName name="SET" localSheetId="12">#REF!</definedName>
    <definedName name="SET" localSheetId="13">#REF!</definedName>
    <definedName name="SET" localSheetId="23">#REF!</definedName>
    <definedName name="SET" localSheetId="2">#REF!</definedName>
    <definedName name="SET" localSheetId="26">#REF!</definedName>
    <definedName name="SET" localSheetId="27">#REF!</definedName>
    <definedName name="SET" localSheetId="21">#REF!</definedName>
    <definedName name="SET" localSheetId="15">#REF!</definedName>
    <definedName name="SET" localSheetId="14">#REF!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 localSheetId="25">#REF!</definedName>
    <definedName name="SSS">#REF!</definedName>
    <definedName name="TABLA" localSheetId="4">#REF!</definedName>
    <definedName name="TABLA" localSheetId="25">#REF!</definedName>
    <definedName name="TABLA" localSheetId="24">#REF!</definedName>
    <definedName name="TABLA" localSheetId="20">#REF!</definedName>
    <definedName name="TABLA" localSheetId="10">#REF!</definedName>
    <definedName name="TABLA" localSheetId="11">#REF!</definedName>
    <definedName name="TABLA" localSheetId="7">#REF!</definedName>
    <definedName name="TABLA" localSheetId="8">#REF!</definedName>
    <definedName name="TABLA" localSheetId="12">#REF!</definedName>
    <definedName name="TABLA" localSheetId="13">#REF!</definedName>
    <definedName name="TABLA" localSheetId="23">#REF!</definedName>
    <definedName name="TABLA" localSheetId="2">#REF!</definedName>
    <definedName name="TABLA" localSheetId="6">#REF!</definedName>
    <definedName name="TABLA" localSheetId="26">#REF!</definedName>
    <definedName name="TABLA" localSheetId="27">#REF!</definedName>
    <definedName name="TABLA" localSheetId="21">#REF!</definedName>
    <definedName name="TABLA" localSheetId="5">#REF!</definedName>
    <definedName name="TABLA" localSheetId="16">#REF!</definedName>
    <definedName name="TABLA" localSheetId="15">#REF!</definedName>
    <definedName name="TABLA" localSheetId="17">#REF!</definedName>
    <definedName name="TABLA" localSheetId="14">#REF!</definedName>
    <definedName name="TABLA">#REF!</definedName>
    <definedName name="tabtabtab">[7]LINEAS!$A$3:$BR$18</definedName>
    <definedName name="tareo1" localSheetId="25">#REF!</definedName>
    <definedName name="tareo1" localSheetId="10">#REF!</definedName>
    <definedName name="tareo1" localSheetId="11">#REF!</definedName>
    <definedName name="tareo1" localSheetId="7">#REF!</definedName>
    <definedName name="tareo1" localSheetId="8">#REF!</definedName>
    <definedName name="tareo1" localSheetId="13">#REF!</definedName>
    <definedName name="tareo1" localSheetId="2">#REF!</definedName>
    <definedName name="tareo1" localSheetId="26">#REF!</definedName>
    <definedName name="tareo1" localSheetId="27">#REF!</definedName>
    <definedName name="tareo1" localSheetId="21">#REF!</definedName>
    <definedName name="tareo1" localSheetId="15">#REF!</definedName>
    <definedName name="tareo1" localSheetId="14">#REF!</definedName>
    <definedName name="tareo1">#REF!</definedName>
    <definedName name="_xlnm.Print_Titles" localSheetId="25">'CRONOGRAMA VALORIZADO (3)'!$1:$12</definedName>
    <definedName name="_xlnm.Print_Titles" localSheetId="8">'FE-05 (2)'!$1:$15</definedName>
    <definedName name="_xlnm.Print_Titles" localSheetId="23">'FE-14'!$1:$3</definedName>
    <definedName name="_xlnm.Print_Titles" localSheetId="6">'FE3-1 '!$1:$14</definedName>
    <definedName name="_xlnm.Print_Titles" localSheetId="26">P.M!$1:$9</definedName>
    <definedName name="_xlnm.Print_Titles" localSheetId="0">'R- FE-1'!$55:$73</definedName>
    <definedName name="_xlnm.Print_Titles" localSheetId="17">'VAL ADI-OBRA N°04'!$745:$759</definedName>
    <definedName name="_xlnm.Print_Titles" localSheetId="14">'VAL-PARTIDAS NUEVAS'!$12:$14</definedName>
    <definedName name="TOTORAY" localSheetId="4">'[5]#¡REF'!#REF!</definedName>
    <definedName name="TOTORAY" localSheetId="25">'[3]#¡REF'!#REF!</definedName>
    <definedName name="TOTORAY" localSheetId="24">'[5]#¡REF'!#REF!</definedName>
    <definedName name="TOTORAY" localSheetId="20">'[5]#¡REF'!#REF!</definedName>
    <definedName name="TOTORAY" localSheetId="10">'[5]#¡REF'!#REF!</definedName>
    <definedName name="TOTORAY" localSheetId="11">'[5]#¡REF'!#REF!</definedName>
    <definedName name="TOTORAY" localSheetId="7">'[5]#¡REF'!#REF!</definedName>
    <definedName name="TOTORAY" localSheetId="8">'[5]#¡REF'!#REF!</definedName>
    <definedName name="TOTORAY" localSheetId="12">'[5]#¡REF'!#REF!</definedName>
    <definedName name="TOTORAY" localSheetId="13">'[5]#¡REF'!#REF!</definedName>
    <definedName name="TOTORAY" localSheetId="23">'[5]#¡REF'!#REF!</definedName>
    <definedName name="TOTORAY" localSheetId="2">'[5]#¡REF'!#REF!</definedName>
    <definedName name="TOTORAY" localSheetId="26">'[5]#¡REF'!#REF!</definedName>
    <definedName name="TOTORAY" localSheetId="27">'[5]#¡REF'!#REF!</definedName>
    <definedName name="TOTORAY" localSheetId="21">'[5]#¡REF'!#REF!</definedName>
    <definedName name="TOTORAY">'[5]#¡REF'!#REF!</definedName>
    <definedName name="TRANSPORTE" localSheetId="4">#REF!</definedName>
    <definedName name="TRANSPORTE" localSheetId="25">#REF!</definedName>
    <definedName name="TRANSPORTE" localSheetId="24">#REF!</definedName>
    <definedName name="TRANSPORTE" localSheetId="20">#REF!</definedName>
    <definedName name="TRANSPORTE" localSheetId="10">#REF!</definedName>
    <definedName name="TRANSPORTE" localSheetId="11">#REF!</definedName>
    <definedName name="TRANSPORTE" localSheetId="7">#REF!</definedName>
    <definedName name="TRANSPORTE" localSheetId="8">#REF!</definedName>
    <definedName name="TRANSPORTE" localSheetId="12">#REF!</definedName>
    <definedName name="TRANSPORTE" localSheetId="13">#REF!</definedName>
    <definedName name="TRANSPORTE" localSheetId="23">#REF!</definedName>
    <definedName name="TRANSPORTE" localSheetId="2">#REF!</definedName>
    <definedName name="TRANSPORTE" localSheetId="26">#REF!</definedName>
    <definedName name="TRANSPORTE" localSheetId="27">#REF!</definedName>
    <definedName name="TRANSPORTE" localSheetId="21">#REF!</definedName>
    <definedName name="TRANSPORTE" localSheetId="15">#REF!</definedName>
    <definedName name="TRANSPORTE" localSheetId="14">#REF!</definedName>
    <definedName name="TRANSPORTE">#REF!</definedName>
    <definedName name="TRANSPORTEANT" localSheetId="4">#REF!</definedName>
    <definedName name="TRANSPORTEANT" localSheetId="25">#REF!</definedName>
    <definedName name="TRANSPORTEANT" localSheetId="24">#REF!</definedName>
    <definedName name="TRANSPORTEANT" localSheetId="20">#REF!</definedName>
    <definedName name="TRANSPORTEANT" localSheetId="10">#REF!</definedName>
    <definedName name="TRANSPORTEANT" localSheetId="11">#REF!</definedName>
    <definedName name="TRANSPORTEANT" localSheetId="7">#REF!</definedName>
    <definedName name="TRANSPORTEANT" localSheetId="8">#REF!</definedName>
    <definedName name="TRANSPORTEANT" localSheetId="12">#REF!</definedName>
    <definedName name="TRANSPORTEANT" localSheetId="13">#REF!</definedName>
    <definedName name="TRANSPORTEANT" localSheetId="23">#REF!</definedName>
    <definedName name="TRANSPORTEANT" localSheetId="2">#REF!</definedName>
    <definedName name="TRANSPORTEANT" localSheetId="26">#REF!</definedName>
    <definedName name="TRANSPORTEANT" localSheetId="27">#REF!</definedName>
    <definedName name="TRANSPORTEANT" localSheetId="21">#REF!</definedName>
    <definedName name="TRANSPORTEANT" localSheetId="15">#REF!</definedName>
    <definedName name="TRANSPORTEANT" localSheetId="14">#REF!</definedName>
    <definedName name="TRANSPORTEANT">#REF!</definedName>
    <definedName name="UND." localSheetId="4">#REF!</definedName>
    <definedName name="UND." localSheetId="25">#REF!</definedName>
    <definedName name="UND." localSheetId="24">#REF!</definedName>
    <definedName name="UND." localSheetId="20">#REF!</definedName>
    <definedName name="UND." localSheetId="10">#REF!</definedName>
    <definedName name="UND." localSheetId="11">#REF!</definedName>
    <definedName name="UND." localSheetId="7">#REF!</definedName>
    <definedName name="UND." localSheetId="8">#REF!</definedName>
    <definedName name="UND." localSheetId="12">#REF!</definedName>
    <definedName name="UND." localSheetId="13">#REF!</definedName>
    <definedName name="UND." localSheetId="23">#REF!</definedName>
    <definedName name="UND." localSheetId="2">#REF!</definedName>
    <definedName name="UND." localSheetId="26">#REF!</definedName>
    <definedName name="UND." localSheetId="27">#REF!</definedName>
    <definedName name="UND." localSheetId="21">#REF!</definedName>
    <definedName name="UND." localSheetId="15">#REF!</definedName>
    <definedName name="UND." localSheetId="14">#REF!</definedName>
    <definedName name="UND.">#REF!</definedName>
    <definedName name="UTILIDAD" localSheetId="4">#REF!</definedName>
    <definedName name="UTILIDAD" localSheetId="25">#REF!</definedName>
    <definedName name="UTILIDAD" localSheetId="24">#REF!</definedName>
    <definedName name="UTILIDAD" localSheetId="20">#REF!</definedName>
    <definedName name="UTILIDAD" localSheetId="10">#REF!</definedName>
    <definedName name="UTILIDAD" localSheetId="11">#REF!</definedName>
    <definedName name="UTILIDAD" localSheetId="7">#REF!</definedName>
    <definedName name="UTILIDAD" localSheetId="8">#REF!</definedName>
    <definedName name="UTILIDAD" localSheetId="12">#REF!</definedName>
    <definedName name="UTILIDAD" localSheetId="13">#REF!</definedName>
    <definedName name="UTILIDAD" localSheetId="23">#REF!</definedName>
    <definedName name="UTILIDAD" localSheetId="2">#REF!</definedName>
    <definedName name="UTILIDAD" localSheetId="26">#REF!</definedName>
    <definedName name="UTILIDAD" localSheetId="27">#REF!</definedName>
    <definedName name="UTILIDAD" localSheetId="21">#REF!</definedName>
    <definedName name="UTILIDAD" localSheetId="15">#REF!</definedName>
    <definedName name="UTILIDAD" localSheetId="14">#REF!</definedName>
    <definedName name="UTILIDAD">#REF!</definedName>
    <definedName name="VALOREFERENCIAL" localSheetId="4">#REF!</definedName>
    <definedName name="VALOREFERENCIAL" localSheetId="25">#REF!</definedName>
    <definedName name="VALOREFERENCIAL" localSheetId="24">#REF!</definedName>
    <definedName name="VALOREFERENCIAL" localSheetId="20">#REF!</definedName>
    <definedName name="VALOREFERENCIAL" localSheetId="10">#REF!</definedName>
    <definedName name="VALOREFERENCIAL" localSheetId="11">#REF!</definedName>
    <definedName name="VALOREFERENCIAL" localSheetId="7">#REF!</definedName>
    <definedName name="VALOREFERENCIAL" localSheetId="8">#REF!</definedName>
    <definedName name="VALOREFERENCIAL" localSheetId="12">#REF!</definedName>
    <definedName name="VALOREFERENCIAL" localSheetId="13">#REF!</definedName>
    <definedName name="VALOREFERENCIAL" localSheetId="23">#REF!</definedName>
    <definedName name="VALOREFERENCIAL" localSheetId="2">#REF!</definedName>
    <definedName name="VALOREFERENCIAL" localSheetId="26">#REF!</definedName>
    <definedName name="VALOREFERENCIAL" localSheetId="27">#REF!</definedName>
    <definedName name="VALOREFERENCIAL" localSheetId="21">#REF!</definedName>
    <definedName name="VALOREFERENCIAL" localSheetId="15">#REF!</definedName>
    <definedName name="VALOREFERENCIAL" localSheetId="14">#REF!</definedName>
    <definedName name="VALOREFERENCIAL">#REF!</definedName>
    <definedName name="VARIOS" localSheetId="4">#REF!</definedName>
    <definedName name="VARIOS" localSheetId="25">#REF!</definedName>
    <definedName name="VARIOS" localSheetId="24">#REF!</definedName>
    <definedName name="VARIOS" localSheetId="20">#REF!</definedName>
    <definedName name="VARIOS" localSheetId="10">#REF!</definedName>
    <definedName name="VARIOS" localSheetId="11">#REF!</definedName>
    <definedName name="VARIOS" localSheetId="7">#REF!</definedName>
    <definedName name="VARIOS" localSheetId="8">#REF!</definedName>
    <definedName name="VARIOS" localSheetId="12">#REF!</definedName>
    <definedName name="VARIOS" localSheetId="13">#REF!</definedName>
    <definedName name="VARIOS" localSheetId="23">#REF!</definedName>
    <definedName name="VARIOS" localSheetId="2">#REF!</definedName>
    <definedName name="VARIOS" localSheetId="26">#REF!</definedName>
    <definedName name="VARIOS" localSheetId="27">#REF!</definedName>
    <definedName name="VARIOS" localSheetId="21">#REF!</definedName>
    <definedName name="VARIOS" localSheetId="15">#REF!</definedName>
    <definedName name="VARIOS" localSheetId="14">#REF!</definedName>
    <definedName name="VARIOS">#REF!</definedName>
    <definedName name="VARIOSANT" localSheetId="4">#REF!</definedName>
    <definedName name="VARIOSANT" localSheetId="25">#REF!</definedName>
    <definedName name="VARIOSANT" localSheetId="24">#REF!</definedName>
    <definedName name="VARIOSANT" localSheetId="20">#REF!</definedName>
    <definedName name="VARIOSANT" localSheetId="10">#REF!</definedName>
    <definedName name="VARIOSANT" localSheetId="11">#REF!</definedName>
    <definedName name="VARIOSANT" localSheetId="7">#REF!</definedName>
    <definedName name="VARIOSANT" localSheetId="8">#REF!</definedName>
    <definedName name="VARIOSANT" localSheetId="12">#REF!</definedName>
    <definedName name="VARIOSANT" localSheetId="13">#REF!</definedName>
    <definedName name="VARIOSANT" localSheetId="23">#REF!</definedName>
    <definedName name="VARIOSANT" localSheetId="2">#REF!</definedName>
    <definedName name="VARIOSANT" localSheetId="26">#REF!</definedName>
    <definedName name="VARIOSANT" localSheetId="27">#REF!</definedName>
    <definedName name="VARIOSANT" localSheetId="21">#REF!</definedName>
    <definedName name="VARIOSANT" localSheetId="15">#REF!</definedName>
    <definedName name="VARIOSANT" localSheetId="14">#REF!</definedName>
    <definedName name="VARIOSANT">#REF!</definedName>
    <definedName name="Z_56770540_A97A_11D1_870B_00002143DF72_.wvu.Rows" localSheetId="4"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25"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24"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20"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10"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11"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7"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8"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12"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13"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23"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2"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6"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26"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27"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21"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5"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16"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15"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17"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localSheetId="14" hidden="1">[8]PRESUPUESTO!#REF!,[8]PRESUPUESTO!#REF!,[8]PRESUPUESTO!#REF!,[8]PRESUPUESTO!#REF!,[8]PRESUPUESTO!#REF!,[8]PRESUPUESTO!#REF!,[8]PRESUPUESTO!#REF!,[8]PRESUPUESTO!#REF!,[8]PRESUPUESTO!#REF!,[8]PRESUPUESTO!#REF!,[8]PRESUPUESTO!#REF!,[8]PRESUPUESTO!$287:$287,[8]PRESUPUESTO!$292:$294</definedName>
    <definedName name="Z_56770540_A97A_11D1_870B_00002143DF72_.wvu.Rows" hidden="1">[8]PRESUPUESTO!#REF!,[8]PRESUPUESTO!#REF!,[8]PRESUPUESTO!#REF!,[8]PRESUPUESTO!#REF!,[8]PRESUPUESTO!#REF!,[8]PRESUPUESTO!#REF!,[8]PRESUPUESTO!#REF!,[8]PRESUPUESTO!#REF!,[8]PRESUPUESTO!#REF!,[8]PRESUPUESTO!#REF!,[8]PRESUPUESTO!#REF!,[8]PRESUPUESTO!$287:$287,[8]PRESUPUESTO!$292:$294</definedName>
  </definedNames>
  <calcPr calcId="181029"/>
</workbook>
</file>

<file path=xl/calcChain.xml><?xml version="1.0" encoding="utf-8"?>
<calcChain xmlns="http://schemas.openxmlformats.org/spreadsheetml/2006/main">
  <c r="V388" i="140" l="1"/>
  <c r="T108" i="140"/>
  <c r="N36" i="145"/>
  <c r="M26" i="145"/>
  <c r="L36" i="145"/>
  <c r="L31" i="145"/>
  <c r="H41" i="145"/>
  <c r="H238" i="142" l="1"/>
  <c r="T238" i="142" l="1"/>
  <c r="AF233" i="142"/>
  <c r="AN234" i="142" s="1"/>
  <c r="M227" i="142"/>
  <c r="G146" i="136" l="1"/>
  <c r="Q146" i="136"/>
  <c r="S146" i="136"/>
  <c r="Y146" i="136"/>
  <c r="AA146" i="136"/>
  <c r="AF146" i="136"/>
  <c r="AH146" i="136"/>
  <c r="AM146" i="136"/>
  <c r="Q147" i="136"/>
  <c r="S147" i="136"/>
  <c r="Y147" i="136" s="1"/>
  <c r="AA147" i="136"/>
  <c r="G147" i="136" s="1"/>
  <c r="AF147" i="136"/>
  <c r="AH147" i="136"/>
  <c r="AM147" i="136"/>
  <c r="AA162" i="136"/>
  <c r="R158" i="142"/>
  <c r="Z158" i="142"/>
  <c r="AC158" i="142"/>
  <c r="AH158" i="142" s="1"/>
  <c r="R159" i="142"/>
  <c r="Z159" i="142"/>
  <c r="AC159" i="142"/>
  <c r="AJ159" i="142"/>
  <c r="AL159" i="142" s="1"/>
  <c r="R165" i="142"/>
  <c r="T165" i="142"/>
  <c r="AC165" i="142" s="1"/>
  <c r="AJ165" i="142" s="1"/>
  <c r="AL165" i="142" s="1"/>
  <c r="Z165" i="142"/>
  <c r="M170" i="142"/>
  <c r="R170" i="142" s="1"/>
  <c r="T170" i="142"/>
  <c r="Z170" i="142" s="1"/>
  <c r="M171" i="142"/>
  <c r="T171" i="142"/>
  <c r="Z171" i="142" s="1"/>
  <c r="R172" i="142"/>
  <c r="T172" i="142"/>
  <c r="AC172" i="142" s="1"/>
  <c r="AJ172" i="142" s="1"/>
  <c r="AL172" i="142" s="1"/>
  <c r="Z172" i="142"/>
  <c r="AH172" i="142" s="1"/>
  <c r="M177" i="142"/>
  <c r="R177" i="142" s="1"/>
  <c r="T177" i="142"/>
  <c r="Z177" i="142" s="1"/>
  <c r="M178" i="142"/>
  <c r="R178" i="142" s="1"/>
  <c r="T178" i="142"/>
  <c r="Z178" i="142" s="1"/>
  <c r="R179" i="142"/>
  <c r="T179" i="142"/>
  <c r="Z179" i="142" s="1"/>
  <c r="H184" i="142"/>
  <c r="M184" i="142"/>
  <c r="T184" i="142"/>
  <c r="H185" i="142"/>
  <c r="Z185" i="142" s="1"/>
  <c r="M185" i="142"/>
  <c r="T185" i="142"/>
  <c r="AC185" i="142"/>
  <c r="H186" i="142"/>
  <c r="T186" i="142"/>
  <c r="AC186" i="142"/>
  <c r="H191" i="142"/>
  <c r="R191" i="142" s="1"/>
  <c r="AC191" i="142"/>
  <c r="H192" i="142"/>
  <c r="T192" i="142"/>
  <c r="AC192" i="142"/>
  <c r="AH192" i="142" s="1"/>
  <c r="H194" i="142"/>
  <c r="T215" i="142"/>
  <c r="AH217" i="136"/>
  <c r="AJ186" i="142" l="1"/>
  <c r="AL186" i="142" s="1"/>
  <c r="Z192" i="142"/>
  <c r="AC171" i="142"/>
  <c r="AJ171" i="142" s="1"/>
  <c r="AL171" i="142" s="1"/>
  <c r="Z186" i="142"/>
  <c r="AH191" i="142"/>
  <c r="Z191" i="142"/>
  <c r="AC178" i="142"/>
  <c r="AJ178" i="142" s="1"/>
  <c r="AL178" i="142" s="1"/>
  <c r="AJ191" i="142"/>
  <c r="AL191" i="142" s="1"/>
  <c r="Z184" i="142"/>
  <c r="R184" i="142"/>
  <c r="R171" i="142"/>
  <c r="AH171" i="142" s="1"/>
  <c r="AH179" i="142"/>
  <c r="AH178" i="142"/>
  <c r="AH159" i="142"/>
  <c r="AJ192" i="142"/>
  <c r="AL192" i="142" s="1"/>
  <c r="AC179" i="142"/>
  <c r="AJ179" i="142" s="1"/>
  <c r="AL179" i="142" s="1"/>
  <c r="AH165" i="142"/>
  <c r="R186" i="142"/>
  <c r="AC184" i="142"/>
  <c r="AH184" i="142" s="1"/>
  <c r="AC177" i="142"/>
  <c r="AJ185" i="142"/>
  <c r="AL185" i="142" s="1"/>
  <c r="AC170" i="142"/>
  <c r="AH170" i="142" s="1"/>
  <c r="R185" i="142"/>
  <c r="AH185" i="142" s="1"/>
  <c r="AJ158" i="142"/>
  <c r="AL158" i="142" s="1"/>
  <c r="R194" i="142"/>
  <c r="R192" i="142"/>
  <c r="AJ170" i="142" l="1"/>
  <c r="AL170" i="142" s="1"/>
  <c r="AH186" i="142"/>
  <c r="AJ184" i="142"/>
  <c r="AL184" i="142" s="1"/>
  <c r="AJ177" i="142"/>
  <c r="AL177" i="142" s="1"/>
  <c r="AH177" i="142"/>
  <c r="F89" i="125" l="1"/>
  <c r="F88" i="125"/>
  <c r="F75" i="125"/>
  <c r="D75" i="125"/>
  <c r="AI222" i="142"/>
  <c r="M208" i="142"/>
  <c r="AC213" i="142" l="1"/>
  <c r="AN214" i="142"/>
  <c r="AN215" i="142" s="1"/>
  <c r="D52" i="125"/>
  <c r="AH213" i="136"/>
  <c r="AH197" i="136"/>
  <c r="AH187" i="136"/>
  <c r="AH223" i="136" l="1"/>
  <c r="S180" i="136" s="1"/>
  <c r="AC2497" i="144" l="1"/>
  <c r="AC2495" i="144"/>
  <c r="AC2507" i="144" l="1"/>
  <c r="AD2495" i="144"/>
  <c r="K585" i="140"/>
  <c r="K189" i="140"/>
  <c r="K188" i="140"/>
  <c r="K187" i="140"/>
  <c r="K183" i="140"/>
  <c r="K182" i="140"/>
  <c r="K154" i="140"/>
  <c r="K135" i="140"/>
  <c r="K98" i="140"/>
  <c r="L46" i="140"/>
  <c r="L45" i="140"/>
  <c r="K46" i="140"/>
  <c r="K45" i="140"/>
  <c r="O544" i="70"/>
  <c r="K41" i="129"/>
  <c r="K34" i="129"/>
  <c r="K33" i="129"/>
  <c r="T2502" i="144"/>
  <c r="U2502" i="144"/>
  <c r="V2502" i="144"/>
  <c r="W2502" i="144" s="1"/>
  <c r="X2502" i="144" s="1"/>
  <c r="S2502" i="144"/>
  <c r="R2502" i="144"/>
  <c r="Q2502" i="144"/>
  <c r="AC2500" i="144"/>
  <c r="Q2499" i="144"/>
  <c r="H28" i="145"/>
  <c r="K26" i="129" l="1"/>
  <c r="K25" i="129"/>
  <c r="E41" i="145"/>
  <c r="I40" i="145" s="1"/>
  <c r="F40" i="145"/>
  <c r="S2497" i="144"/>
  <c r="S2498" i="144" s="1"/>
  <c r="AE2495" i="144"/>
  <c r="AF2495" i="144" s="1"/>
  <c r="L41" i="145"/>
  <c r="I39" i="145"/>
  <c r="F38" i="145"/>
  <c r="I37" i="145"/>
  <c r="F37" i="145"/>
  <c r="H36" i="145"/>
  <c r="F36" i="145"/>
  <c r="I35" i="145"/>
  <c r="I34" i="145"/>
  <c r="F34" i="145"/>
  <c r="I33" i="145"/>
  <c r="F33" i="145"/>
  <c r="I32" i="145"/>
  <c r="F32" i="145"/>
  <c r="I31" i="145"/>
  <c r="I30" i="145"/>
  <c r="F30" i="145"/>
  <c r="I29" i="145"/>
  <c r="F29" i="145"/>
  <c r="I28" i="145"/>
  <c r="F28" i="145"/>
  <c r="I27" i="145"/>
  <c r="I26" i="145"/>
  <c r="F26" i="145"/>
  <c r="I25" i="145"/>
  <c r="F25" i="145"/>
  <c r="I24" i="145"/>
  <c r="F24" i="145"/>
  <c r="I23" i="145"/>
  <c r="I22" i="145"/>
  <c r="F22" i="145"/>
  <c r="I21" i="145"/>
  <c r="F21" i="145"/>
  <c r="I20" i="145"/>
  <c r="F20" i="145"/>
  <c r="I19" i="145"/>
  <c r="F19" i="145"/>
  <c r="I18" i="145"/>
  <c r="F18" i="145"/>
  <c r="I17" i="145"/>
  <c r="F17" i="145"/>
  <c r="G17" i="145" s="1"/>
  <c r="I16" i="145"/>
  <c r="J16" i="145" s="1"/>
  <c r="D10" i="145"/>
  <c r="D9" i="145"/>
  <c r="D7" i="145"/>
  <c r="C3" i="145"/>
  <c r="F2502" i="144"/>
  <c r="G2502" i="144" s="1"/>
  <c r="F2501" i="144"/>
  <c r="G2501" i="144" s="1"/>
  <c r="H2501" i="144" s="1"/>
  <c r="I2501" i="144" s="1"/>
  <c r="J2501" i="144" s="1"/>
  <c r="K2501" i="144" s="1"/>
  <c r="L2501" i="144" s="1"/>
  <c r="AB2500" i="144"/>
  <c r="AA2500" i="144"/>
  <c r="Z2500" i="144"/>
  <c r="X2500" i="144"/>
  <c r="W2500" i="144"/>
  <c r="V2500" i="144"/>
  <c r="U2500" i="144"/>
  <c r="S2500" i="144"/>
  <c r="Q2500" i="144"/>
  <c r="P2500" i="144"/>
  <c r="L2500" i="144"/>
  <c r="K2500" i="144"/>
  <c r="J2500" i="144"/>
  <c r="I2500" i="144"/>
  <c r="H2500" i="144"/>
  <c r="G2500" i="144"/>
  <c r="F2500" i="144"/>
  <c r="Y2499" i="144"/>
  <c r="Y2500" i="144" s="1"/>
  <c r="AD2500" i="144" s="1"/>
  <c r="R2499" i="144"/>
  <c r="R2500" i="144" s="1"/>
  <c r="F2498" i="144"/>
  <c r="AC2496" i="144"/>
  <c r="Y2496" i="144"/>
  <c r="W2496" i="144"/>
  <c r="F2496" i="144"/>
  <c r="AD2496" i="144"/>
  <c r="V2496" i="144"/>
  <c r="AB2492" i="144"/>
  <c r="D2492" i="144"/>
  <c r="AD2491" i="144"/>
  <c r="AD2490" i="144"/>
  <c r="AA2490" i="144"/>
  <c r="AD2489" i="144"/>
  <c r="AD2488" i="144"/>
  <c r="AA2488" i="144"/>
  <c r="AD2487" i="144"/>
  <c r="AD2486" i="144"/>
  <c r="Z2485" i="144"/>
  <c r="AD2485" i="144" s="1"/>
  <c r="AD2484" i="144"/>
  <c r="Z2483" i="144"/>
  <c r="AD2483" i="144" s="1"/>
  <c r="AD2482" i="144"/>
  <c r="Z2481" i="144"/>
  <c r="AD2481" i="144" s="1"/>
  <c r="AD2480" i="144"/>
  <c r="Z2479" i="144"/>
  <c r="AD2479" i="144" s="1"/>
  <c r="AD2478" i="144"/>
  <c r="Z2477" i="144"/>
  <c r="AD2477" i="144" s="1"/>
  <c r="AD2476" i="144"/>
  <c r="AD2475" i="144"/>
  <c r="Z2475" i="144"/>
  <c r="AD2474" i="144"/>
  <c r="AD2473" i="144"/>
  <c r="AD2472" i="144"/>
  <c r="Z2472" i="144"/>
  <c r="AD2471" i="144"/>
  <c r="Z2470" i="144"/>
  <c r="AD2470" i="144" s="1"/>
  <c r="AD2469" i="144"/>
  <c r="AD2468" i="144"/>
  <c r="Z2467" i="144"/>
  <c r="AD2467" i="144" s="1"/>
  <c r="AD2466" i="144"/>
  <c r="AD2465" i="144"/>
  <c r="Z2465" i="144"/>
  <c r="AD2464" i="144"/>
  <c r="Z2463" i="144"/>
  <c r="AD2463" i="144" s="1"/>
  <c r="AD2462" i="144"/>
  <c r="Z2461" i="144"/>
  <c r="AD2461" i="144" s="1"/>
  <c r="AD2460" i="144"/>
  <c r="Z2459" i="144"/>
  <c r="AD2459" i="144" s="1"/>
  <c r="AD2458" i="144"/>
  <c r="AD2457" i="144"/>
  <c r="Z2457" i="144"/>
  <c r="AD2456" i="144"/>
  <c r="AD2455" i="144"/>
  <c r="AD2454" i="144"/>
  <c r="AA2453" i="144"/>
  <c r="AD2453" i="144" s="1"/>
  <c r="AD2452" i="144"/>
  <c r="AD2451" i="144"/>
  <c r="AA2451" i="144"/>
  <c r="AD2450" i="144"/>
  <c r="AA2449" i="144"/>
  <c r="AD2449" i="144" s="1"/>
  <c r="AD2448" i="144"/>
  <c r="AD2447" i="144"/>
  <c r="AA2446" i="144"/>
  <c r="AD2446" i="144" s="1"/>
  <c r="AD2445" i="144"/>
  <c r="AD2444" i="144"/>
  <c r="AA2444" i="144"/>
  <c r="AD2443" i="144"/>
  <c r="AD2442" i="144"/>
  <c r="AD2441" i="144"/>
  <c r="AA2441" i="144"/>
  <c r="AD2440" i="144"/>
  <c r="AD2439" i="144"/>
  <c r="AD2438" i="144"/>
  <c r="AC2438" i="144"/>
  <c r="AD2437" i="144"/>
  <c r="AD2436" i="144"/>
  <c r="AD2435" i="144"/>
  <c r="AC2434" i="144"/>
  <c r="AD2434" i="144" s="1"/>
  <c r="AD2433" i="144"/>
  <c r="AD2432" i="144"/>
  <c r="AC2432" i="144"/>
  <c r="AD2431" i="144"/>
  <c r="AD2430" i="144"/>
  <c r="AD2429" i="144"/>
  <c r="AD2428" i="144"/>
  <c r="AD2427" i="144"/>
  <c r="AD2426" i="144"/>
  <c r="AD2425" i="144"/>
  <c r="AD2424" i="144"/>
  <c r="AD2423" i="144"/>
  <c r="AD2422" i="144"/>
  <c r="AD2421" i="144"/>
  <c r="AD2420" i="144"/>
  <c r="AD2419" i="144"/>
  <c r="AD2418" i="144"/>
  <c r="AD2417" i="144"/>
  <c r="AD2416" i="144"/>
  <c r="AD2415" i="144"/>
  <c r="AD2414" i="144"/>
  <c r="AD2413" i="144"/>
  <c r="AD2412" i="144"/>
  <c r="AD2411" i="144"/>
  <c r="AD2410" i="144"/>
  <c r="AD2409" i="144"/>
  <c r="AD2408" i="144"/>
  <c r="AD2407" i="144"/>
  <c r="Z2407" i="144"/>
  <c r="AD2406" i="144"/>
  <c r="Z2405" i="144"/>
  <c r="AD2405" i="144" s="1"/>
  <c r="AD2404" i="144"/>
  <c r="AD2403" i="144"/>
  <c r="AD2402" i="144"/>
  <c r="AD2401" i="144"/>
  <c r="Z2401" i="144"/>
  <c r="AD2400" i="144"/>
  <c r="Z2399" i="144"/>
  <c r="AD2399" i="144" s="1"/>
  <c r="AD2398" i="144"/>
  <c r="AD2397" i="144"/>
  <c r="AD2396" i="144"/>
  <c r="AD2395" i="144"/>
  <c r="Z2394" i="144"/>
  <c r="AD2394" i="144" s="1"/>
  <c r="AD2393" i="144"/>
  <c r="AD2392" i="144"/>
  <c r="Z2391" i="144"/>
  <c r="AD2391" i="144" s="1"/>
  <c r="AD2390" i="144"/>
  <c r="AD2389" i="144"/>
  <c r="Z2389" i="144"/>
  <c r="AD2388" i="144"/>
  <c r="Z2387" i="144"/>
  <c r="AD2387" i="144" s="1"/>
  <c r="AD2386" i="144"/>
  <c r="Z2385" i="144"/>
  <c r="AD2385" i="144" s="1"/>
  <c r="AD2384" i="144"/>
  <c r="Z2383" i="144"/>
  <c r="AD2383" i="144" s="1"/>
  <c r="AD2382" i="144"/>
  <c r="AD2381" i="144"/>
  <c r="Z2381" i="144"/>
  <c r="AD2380" i="144"/>
  <c r="AD2379" i="144"/>
  <c r="AD2378" i="144"/>
  <c r="Z2378" i="144"/>
  <c r="AD2377" i="144"/>
  <c r="Z2376" i="144"/>
  <c r="AD2376" i="144" s="1"/>
  <c r="AD2375" i="144"/>
  <c r="AD2374" i="144"/>
  <c r="AD2373" i="144"/>
  <c r="AD2372" i="144"/>
  <c r="Z2372" i="144"/>
  <c r="AD2371" i="144"/>
  <c r="Z2370" i="144"/>
  <c r="AD2370" i="144" s="1"/>
  <c r="AD2369" i="144"/>
  <c r="AD2368" i="144"/>
  <c r="Z2368" i="144"/>
  <c r="AD2367" i="144"/>
  <c r="Z2366" i="144"/>
  <c r="AD2366" i="144" s="1"/>
  <c r="AD2365" i="144"/>
  <c r="AD2364" i="144"/>
  <c r="AD2363" i="144"/>
  <c r="AD2362" i="144"/>
  <c r="Z2362" i="144"/>
  <c r="AD2361" i="144"/>
  <c r="AD2360" i="144"/>
  <c r="AD2359" i="144"/>
  <c r="Z2359" i="144"/>
  <c r="AD2358" i="144"/>
  <c r="AD2357" i="144"/>
  <c r="Z2357" i="144"/>
  <c r="AD2356" i="144"/>
  <c r="AD2355" i="144"/>
  <c r="Z2355" i="144"/>
  <c r="AD2354" i="144"/>
  <c r="Z2353" i="144"/>
  <c r="AD2353" i="144" s="1"/>
  <c r="AD2352" i="144"/>
  <c r="AD2351" i="144"/>
  <c r="Z2351" i="144"/>
  <c r="AD2350" i="144"/>
  <c r="Z2349" i="144"/>
  <c r="AD2349" i="144" s="1"/>
  <c r="AD2348" i="144"/>
  <c r="AD2347" i="144"/>
  <c r="AD2346" i="144"/>
  <c r="Z2345" i="144"/>
  <c r="AD2345" i="144" s="1"/>
  <c r="AD2344" i="144"/>
  <c r="Z2343" i="144"/>
  <c r="AD2343" i="144" s="1"/>
  <c r="AD2342" i="144"/>
  <c r="Z2341" i="144"/>
  <c r="AD2341" i="144" s="1"/>
  <c r="AD2340" i="144"/>
  <c r="Z2339" i="144"/>
  <c r="AD2339" i="144" s="1"/>
  <c r="AD2338" i="144"/>
  <c r="AD2337" i="144"/>
  <c r="Z2337" i="144"/>
  <c r="AD2336" i="144"/>
  <c r="AD2335" i="144"/>
  <c r="Z2335" i="144"/>
  <c r="AD2334" i="144"/>
  <c r="AD2333" i="144"/>
  <c r="Z2332" i="144"/>
  <c r="AD2332" i="144" s="1"/>
  <c r="AD2331" i="144"/>
  <c r="Z2330" i="144"/>
  <c r="AD2330" i="144" s="1"/>
  <c r="AD2329" i="144"/>
  <c r="AD2328" i="144"/>
  <c r="Z2328" i="144"/>
  <c r="AD2327" i="144"/>
  <c r="AD2326" i="144"/>
  <c r="Z2326" i="144"/>
  <c r="AD2325" i="144"/>
  <c r="AD2324" i="144"/>
  <c r="AD2323" i="144"/>
  <c r="AD2322" i="144"/>
  <c r="AD2321" i="144"/>
  <c r="Z2321" i="144"/>
  <c r="AD2320" i="144"/>
  <c r="AD2319" i="144"/>
  <c r="Z2318" i="144"/>
  <c r="AD2318" i="144" s="1"/>
  <c r="AD2317" i="144"/>
  <c r="Z2316" i="144"/>
  <c r="AD2316" i="144" s="1"/>
  <c r="AD2315" i="144"/>
  <c r="AD2314" i="144"/>
  <c r="AD2313" i="144"/>
  <c r="AD2312" i="144"/>
  <c r="Z2311" i="144"/>
  <c r="AD2311" i="144" s="1"/>
  <c r="AD2310" i="144"/>
  <c r="AD2309" i="144"/>
  <c r="Z2309" i="144"/>
  <c r="AD2308" i="144"/>
  <c r="AD2307" i="144"/>
  <c r="Z2306" i="144"/>
  <c r="AD2306" i="144" s="1"/>
  <c r="AD2305" i="144"/>
  <c r="Z2304" i="144"/>
  <c r="AD2304" i="144" s="1"/>
  <c r="AD2303" i="144"/>
  <c r="AD2302" i="144"/>
  <c r="AD2301" i="144"/>
  <c r="Z2300" i="144"/>
  <c r="AD2300" i="144" s="1"/>
  <c r="AD2299" i="144"/>
  <c r="AD2298" i="144"/>
  <c r="Z2298" i="144"/>
  <c r="AD2297" i="144"/>
  <c r="AD2296" i="144"/>
  <c r="AD2295" i="144"/>
  <c r="Z2294" i="144"/>
  <c r="AD2294" i="144" s="1"/>
  <c r="AD2293" i="144"/>
  <c r="AD2292" i="144"/>
  <c r="AD2291" i="144"/>
  <c r="AD2290" i="144"/>
  <c r="Z2289" i="144"/>
  <c r="AA2289" i="144" s="1"/>
  <c r="AB2289" i="144" s="1"/>
  <c r="AC2289" i="144" s="1"/>
  <c r="AD2288" i="144"/>
  <c r="Z2287" i="144"/>
  <c r="AA2287" i="144" s="1"/>
  <c r="AB2287" i="144" s="1"/>
  <c r="AC2287" i="144" s="1"/>
  <c r="AD2286" i="144"/>
  <c r="Z2285" i="144"/>
  <c r="AD2284" i="144"/>
  <c r="AC2283" i="144"/>
  <c r="AD2283" i="144" s="1"/>
  <c r="AB2283" i="144"/>
  <c r="AA2283" i="144"/>
  <c r="Z2283" i="144"/>
  <c r="AD2282" i="144"/>
  <c r="Z2281" i="144"/>
  <c r="AD2280" i="144"/>
  <c r="AD2279" i="144"/>
  <c r="Z2278" i="144"/>
  <c r="AD2277" i="144"/>
  <c r="AA2276" i="144"/>
  <c r="Z2276" i="144"/>
  <c r="AD2275" i="144"/>
  <c r="AD2274" i="144"/>
  <c r="Z2273" i="144"/>
  <c r="AD2272" i="144"/>
  <c r="AD2271" i="144"/>
  <c r="Z2271" i="144"/>
  <c r="AD2266" i="144"/>
  <c r="AC2265" i="144"/>
  <c r="AD2265" i="144" s="1"/>
  <c r="AD2264" i="144"/>
  <c r="AD2263" i="144"/>
  <c r="AC2262" i="144"/>
  <c r="AD2262" i="144" s="1"/>
  <c r="AD2261" i="144"/>
  <c r="AD2260" i="144"/>
  <c r="AD2259" i="144"/>
  <c r="AD2258" i="144"/>
  <c r="AC2258" i="144"/>
  <c r="AD2257" i="144"/>
  <c r="AD2256" i="144"/>
  <c r="AD2255" i="144"/>
  <c r="AA2255" i="144"/>
  <c r="AD2254" i="144"/>
  <c r="AD2253" i="144"/>
  <c r="AD2252" i="144"/>
  <c r="AA2252" i="144"/>
  <c r="AD2251" i="144"/>
  <c r="AA2250" i="144"/>
  <c r="AD2250" i="144" s="1"/>
  <c r="AD2249" i="144"/>
  <c r="AD2248" i="144"/>
  <c r="AA2248" i="144"/>
  <c r="AD2247" i="144"/>
  <c r="AA2246" i="144"/>
  <c r="AD2246" i="144" s="1"/>
  <c r="AD2245" i="144"/>
  <c r="AA2244" i="144"/>
  <c r="AD2244" i="144" s="1"/>
  <c r="AD2243" i="144"/>
  <c r="AD2242" i="144"/>
  <c r="AA2242" i="144"/>
  <c r="AD2241" i="144"/>
  <c r="AD2240" i="144"/>
  <c r="AA2240" i="144"/>
  <c r="AD2239" i="144"/>
  <c r="AA2238" i="144"/>
  <c r="AD2238" i="144" s="1"/>
  <c r="AD2237" i="144"/>
  <c r="AD2236" i="144"/>
  <c r="AA2236" i="144"/>
  <c r="AD2235" i="144"/>
  <c r="AA2234" i="144"/>
  <c r="AD2234" i="144" s="1"/>
  <c r="AD2233" i="144"/>
  <c r="AA2232" i="144"/>
  <c r="AD2232" i="144" s="1"/>
  <c r="AD2231" i="144"/>
  <c r="AA2230" i="144"/>
  <c r="AD2230" i="144" s="1"/>
  <c r="AD2229" i="144"/>
  <c r="AA2228" i="144"/>
  <c r="AD2228" i="144" s="1"/>
  <c r="AD2227" i="144"/>
  <c r="AA2226" i="144"/>
  <c r="AD2226" i="144" s="1"/>
  <c r="AD2225" i="144"/>
  <c r="AD2224" i="144"/>
  <c r="AA2224" i="144"/>
  <c r="AD2223" i="144"/>
  <c r="AD2222" i="144"/>
  <c r="AC2221" i="144"/>
  <c r="AD2221" i="144" s="1"/>
  <c r="AD2220" i="144"/>
  <c r="AC2219" i="144"/>
  <c r="AD2219" i="144" s="1"/>
  <c r="AD2218" i="144"/>
  <c r="AC2217" i="144"/>
  <c r="AD2217" i="144" s="1"/>
  <c r="AD2216" i="144"/>
  <c r="AD2215" i="144"/>
  <c r="AC2215" i="144"/>
  <c r="AD2214" i="144"/>
  <c r="AD2213" i="144"/>
  <c r="AC2213" i="144"/>
  <c r="AD2212" i="144"/>
  <c r="AC2211" i="144"/>
  <c r="AD2211" i="144" s="1"/>
  <c r="AD2210" i="144"/>
  <c r="AD2209" i="144"/>
  <c r="AC2209" i="144"/>
  <c r="AD2208" i="144"/>
  <c r="AC2207" i="144"/>
  <c r="AD2207" i="144" s="1"/>
  <c r="AD2206" i="144"/>
  <c r="AC2205" i="144"/>
  <c r="AD2205" i="144" s="1"/>
  <c r="AD2204" i="144"/>
  <c r="AC2203" i="144"/>
  <c r="AD2203" i="144" s="1"/>
  <c r="AD2202" i="144"/>
  <c r="AD2201" i="144"/>
  <c r="AC2201" i="144"/>
  <c r="AD2200" i="144"/>
  <c r="AD2199" i="144"/>
  <c r="AD2198" i="144"/>
  <c r="AA2198" i="144"/>
  <c r="AD2197" i="144"/>
  <c r="AA2196" i="144"/>
  <c r="AD2196" i="144" s="1"/>
  <c r="AD2195" i="144"/>
  <c r="AA2194" i="144"/>
  <c r="AD2194" i="144" s="1"/>
  <c r="AD2193" i="144"/>
  <c r="AA2192" i="144"/>
  <c r="AD2192" i="144" s="1"/>
  <c r="AD2191" i="144"/>
  <c r="AD2190" i="144"/>
  <c r="AD2189" i="144"/>
  <c r="AA2189" i="144"/>
  <c r="AD2188" i="144"/>
  <c r="AD2187" i="144"/>
  <c r="AA2187" i="144"/>
  <c r="AD2186" i="144"/>
  <c r="AD2185" i="144"/>
  <c r="AD2184" i="144"/>
  <c r="Z2184" i="144"/>
  <c r="AD2183" i="144"/>
  <c r="AD2182" i="144"/>
  <c r="AD2181" i="144"/>
  <c r="AD2180" i="144"/>
  <c r="AD2179" i="144"/>
  <c r="AD2178" i="144"/>
  <c r="AD2177" i="144"/>
  <c r="AD2176" i="144"/>
  <c r="AD2175" i="144"/>
  <c r="AD2174" i="144"/>
  <c r="AD2173" i="144"/>
  <c r="Z2173" i="144"/>
  <c r="AD2172" i="144"/>
  <c r="AD2171" i="144"/>
  <c r="AD2170" i="144"/>
  <c r="AA2170" i="144"/>
  <c r="Z2170" i="144"/>
  <c r="AD2169" i="144"/>
  <c r="AD2168" i="144"/>
  <c r="Z2168" i="144"/>
  <c r="AD2167" i="144"/>
  <c r="Z2166" i="144"/>
  <c r="AD2166" i="144" s="1"/>
  <c r="AD2165" i="144"/>
  <c r="AD2164" i="144"/>
  <c r="Z2164" i="144"/>
  <c r="AD2163" i="144"/>
  <c r="AD2162" i="144"/>
  <c r="AD2161" i="144"/>
  <c r="AA2161" i="144"/>
  <c r="AD2160" i="144"/>
  <c r="AD2159" i="144"/>
  <c r="AD2158" i="144"/>
  <c r="AD2157" i="144"/>
  <c r="AD2156" i="144"/>
  <c r="AA2156" i="144"/>
  <c r="AD2155" i="144"/>
  <c r="AA2154" i="144"/>
  <c r="AD2154" i="144" s="1"/>
  <c r="AD2153" i="144"/>
  <c r="AD2152" i="144"/>
  <c r="AD2151" i="144"/>
  <c r="AD2150" i="144"/>
  <c r="AA2150" i="144"/>
  <c r="AD2149" i="144"/>
  <c r="AD2148" i="144"/>
  <c r="AD2147" i="144"/>
  <c r="AA2146" i="144"/>
  <c r="AD2146" i="144" s="1"/>
  <c r="AD2145" i="144"/>
  <c r="AD2144" i="144"/>
  <c r="AA2144" i="144"/>
  <c r="AD2143" i="144"/>
  <c r="AD2142" i="144"/>
  <c r="AD2141" i="144"/>
  <c r="AD2140" i="144"/>
  <c r="AD2139" i="144"/>
  <c r="AD2138" i="144"/>
  <c r="AD2137" i="144"/>
  <c r="AD2136" i="144"/>
  <c r="AD2135" i="144"/>
  <c r="AD2134" i="144"/>
  <c r="AD2133" i="144"/>
  <c r="AD2132" i="144"/>
  <c r="AD2131" i="144"/>
  <c r="AD2130" i="144"/>
  <c r="AD2129" i="144"/>
  <c r="AD2128" i="144"/>
  <c r="AD2127" i="144"/>
  <c r="AD2126" i="144"/>
  <c r="AD2125" i="144"/>
  <c r="AD2124" i="144"/>
  <c r="AD2123" i="144"/>
  <c r="AD2122" i="144"/>
  <c r="AD2121" i="144"/>
  <c r="AD2120" i="144"/>
  <c r="AD2119" i="144"/>
  <c r="AD2118" i="144"/>
  <c r="AD2117" i="144"/>
  <c r="AD2116" i="144"/>
  <c r="AD2115" i="144"/>
  <c r="AD2114" i="144"/>
  <c r="AD2113" i="144"/>
  <c r="AD2112" i="144"/>
  <c r="AD2111" i="144"/>
  <c r="AD2110" i="144"/>
  <c r="AD2109" i="144"/>
  <c r="AD2108" i="144"/>
  <c r="AD2107" i="144"/>
  <c r="AD2106" i="144"/>
  <c r="AD2105" i="144"/>
  <c r="AD2104" i="144"/>
  <c r="AD2103" i="144"/>
  <c r="AD2102" i="144"/>
  <c r="AD2101" i="144"/>
  <c r="AD2100" i="144"/>
  <c r="AD2099" i="144"/>
  <c r="AD2098" i="144"/>
  <c r="AD2097" i="144"/>
  <c r="AD2096" i="144"/>
  <c r="AD2095" i="144"/>
  <c r="AD2094" i="144"/>
  <c r="AD2093" i="144"/>
  <c r="AD2092" i="144"/>
  <c r="AD2091" i="144"/>
  <c r="AD2090" i="144"/>
  <c r="AD2089" i="144"/>
  <c r="AD2088" i="144"/>
  <c r="AD2087" i="144"/>
  <c r="AD2086" i="144"/>
  <c r="AD2085" i="144"/>
  <c r="AD2084" i="144"/>
  <c r="AD2083" i="144"/>
  <c r="AD2082" i="144"/>
  <c r="AD2081" i="144"/>
  <c r="AD2080" i="144"/>
  <c r="AD2079" i="144"/>
  <c r="AD2078" i="144"/>
  <c r="AD2077" i="144"/>
  <c r="AD2076" i="144"/>
  <c r="AD2075" i="144"/>
  <c r="AD2074" i="144"/>
  <c r="AD2073" i="144"/>
  <c r="AD2072" i="144"/>
  <c r="AD2071" i="144"/>
  <c r="AD2070" i="144"/>
  <c r="AD2069" i="144"/>
  <c r="AD2068" i="144"/>
  <c r="AD2067" i="144"/>
  <c r="AD2066" i="144"/>
  <c r="AD2065" i="144"/>
  <c r="AD2064" i="144"/>
  <c r="AD2063" i="144"/>
  <c r="AD2062" i="144"/>
  <c r="AD2061" i="144"/>
  <c r="AD2060" i="144"/>
  <c r="AD2059" i="144"/>
  <c r="AD2058" i="144"/>
  <c r="AD2057" i="144"/>
  <c r="AD2056" i="144"/>
  <c r="AD2055" i="144"/>
  <c r="AD2054" i="144"/>
  <c r="AD2053" i="144"/>
  <c r="AD2052" i="144"/>
  <c r="AD2051" i="144"/>
  <c r="AD2050" i="144"/>
  <c r="AD2049" i="144"/>
  <c r="AD2048" i="144"/>
  <c r="AD2047" i="144"/>
  <c r="AD2046" i="144"/>
  <c r="AD2045" i="144"/>
  <c r="AD2044" i="144"/>
  <c r="AD2043" i="144"/>
  <c r="AD2042" i="144"/>
  <c r="AD2041" i="144"/>
  <c r="AD2040" i="144"/>
  <c r="AD2039" i="144"/>
  <c r="AD2038" i="144"/>
  <c r="AD2037" i="144"/>
  <c r="AD2036" i="144"/>
  <c r="AD2035" i="144"/>
  <c r="AD2034" i="144"/>
  <c r="AD2033" i="144"/>
  <c r="AD2032" i="144"/>
  <c r="AD2031" i="144"/>
  <c r="AD2030" i="144"/>
  <c r="AD2029" i="144"/>
  <c r="AD2028" i="144"/>
  <c r="AD2027" i="144"/>
  <c r="AD2026" i="144"/>
  <c r="AD2025" i="144"/>
  <c r="AD2024" i="144"/>
  <c r="AD2023" i="144"/>
  <c r="AD2022" i="144"/>
  <c r="AD2021" i="144"/>
  <c r="AD2020" i="144"/>
  <c r="AD2019" i="144"/>
  <c r="AD2018" i="144"/>
  <c r="AD2017" i="144"/>
  <c r="AD2016" i="144"/>
  <c r="AD2015" i="144"/>
  <c r="AD2014" i="144"/>
  <c r="AD2013" i="144"/>
  <c r="AD2012" i="144"/>
  <c r="AD2011" i="144"/>
  <c r="AD2010" i="144"/>
  <c r="AD2009" i="144"/>
  <c r="AD2008" i="144"/>
  <c r="AD2007" i="144"/>
  <c r="AD2006" i="144"/>
  <c r="AD2005" i="144"/>
  <c r="AD2004" i="144"/>
  <c r="AD2003" i="144"/>
  <c r="AD2002" i="144"/>
  <c r="AD2001" i="144"/>
  <c r="AD2000" i="144"/>
  <c r="AD1999" i="144"/>
  <c r="AD1998" i="144"/>
  <c r="AD1997" i="144"/>
  <c r="AD1996" i="144"/>
  <c r="AD1995" i="144"/>
  <c r="AD1994" i="144"/>
  <c r="AD1993" i="144"/>
  <c r="AD1992" i="144"/>
  <c r="AD1991" i="144"/>
  <c r="AD1990" i="144"/>
  <c r="AD1989" i="144"/>
  <c r="AD1988" i="144"/>
  <c r="AD1987" i="144"/>
  <c r="AD1986" i="144"/>
  <c r="AD1985" i="144"/>
  <c r="AD1984" i="144"/>
  <c r="AD1983" i="144"/>
  <c r="AD1982" i="144"/>
  <c r="AD1981" i="144"/>
  <c r="AD1980" i="144"/>
  <c r="AD1979" i="144"/>
  <c r="AD1978" i="144"/>
  <c r="AD1977" i="144"/>
  <c r="AD1976" i="144"/>
  <c r="AD1975" i="144"/>
  <c r="AD1974" i="144"/>
  <c r="AD1973" i="144"/>
  <c r="AD1972" i="144"/>
  <c r="AD1971" i="144"/>
  <c r="AD1970" i="144"/>
  <c r="AD1969" i="144"/>
  <c r="AD1968" i="144"/>
  <c r="AD1967" i="144"/>
  <c r="AD1966" i="144"/>
  <c r="AD1965" i="144"/>
  <c r="AD1964" i="144"/>
  <c r="AD1963" i="144"/>
  <c r="AD1962" i="144"/>
  <c r="AD1961" i="144"/>
  <c r="AB1960" i="144"/>
  <c r="AD1960" i="144" s="1"/>
  <c r="AD1959" i="144"/>
  <c r="AD1958" i="144"/>
  <c r="AD1957" i="144"/>
  <c r="AD1956" i="144"/>
  <c r="AD1955" i="144"/>
  <c r="AD1954" i="144"/>
  <c r="AD1953" i="144"/>
  <c r="AD1952" i="144"/>
  <c r="AD1951" i="144"/>
  <c r="AD1950" i="144"/>
  <c r="AD1949" i="144"/>
  <c r="AD1948" i="144"/>
  <c r="AD1947" i="144"/>
  <c r="AD1946" i="144"/>
  <c r="AD1945" i="144"/>
  <c r="AD1944" i="144"/>
  <c r="AA1944" i="144"/>
  <c r="AD1943" i="144"/>
  <c r="AD1942" i="144"/>
  <c r="AD1941" i="144"/>
  <c r="AD1940" i="144"/>
  <c r="AD1939" i="144"/>
  <c r="AD1938" i="144"/>
  <c r="AD1937" i="144"/>
  <c r="AA1936" i="144"/>
  <c r="AD1936" i="144" s="1"/>
  <c r="AD1935" i="144"/>
  <c r="AA1934" i="144"/>
  <c r="AD1934" i="144" s="1"/>
  <c r="AD1933" i="144"/>
  <c r="AA1932" i="144"/>
  <c r="AD1932" i="144" s="1"/>
  <c r="AD1931" i="144"/>
  <c r="AA1930" i="144"/>
  <c r="AD1930" i="144" s="1"/>
  <c r="AD1929" i="144"/>
  <c r="AA1928" i="144"/>
  <c r="AD1928" i="144" s="1"/>
  <c r="AD1927" i="144"/>
  <c r="AD1926" i="144"/>
  <c r="AA1926" i="144"/>
  <c r="AD1925" i="144"/>
  <c r="AA1924" i="144"/>
  <c r="AD1924" i="144" s="1"/>
  <c r="AD1923" i="144"/>
  <c r="AD1922" i="144"/>
  <c r="AA1922" i="144"/>
  <c r="AD1921" i="144"/>
  <c r="AA1920" i="144"/>
  <c r="AD1920" i="144" s="1"/>
  <c r="AD1919" i="144"/>
  <c r="AA1918" i="144"/>
  <c r="AD1918" i="144" s="1"/>
  <c r="AD1917" i="144"/>
  <c r="AA1916" i="144"/>
  <c r="AD1916" i="144" s="1"/>
  <c r="AD1915" i="144"/>
  <c r="AD1914" i="144"/>
  <c r="AA1914" i="144"/>
  <c r="AD1913" i="144"/>
  <c r="AA1912" i="144"/>
  <c r="AD1912" i="144" s="1"/>
  <c r="AD1911" i="144"/>
  <c r="AD1910" i="144"/>
  <c r="AA1910" i="144"/>
  <c r="AD1909" i="144"/>
  <c r="AD1908" i="144"/>
  <c r="AA1907" i="144"/>
  <c r="AD1907" i="144" s="1"/>
  <c r="AD1906" i="144"/>
  <c r="AA1905" i="144"/>
  <c r="AD1905" i="144" s="1"/>
  <c r="AD1904" i="144"/>
  <c r="AA1903" i="144"/>
  <c r="AD1903" i="144" s="1"/>
  <c r="AD1902" i="144"/>
  <c r="AA1901" i="144"/>
  <c r="AD1901" i="144" s="1"/>
  <c r="AD1900" i="144"/>
  <c r="AD1899" i="144"/>
  <c r="AC1899" i="144"/>
  <c r="AD1898" i="144"/>
  <c r="AD1897" i="144"/>
  <c r="AA1897" i="144"/>
  <c r="AD1896" i="144"/>
  <c r="AD1895" i="144"/>
  <c r="AA1895" i="144"/>
  <c r="AD1894" i="144"/>
  <c r="AA1893" i="144"/>
  <c r="AD1893" i="144" s="1"/>
  <c r="AD1892" i="144"/>
  <c r="AD1891" i="144"/>
  <c r="AA1891" i="144"/>
  <c r="AD1890" i="144"/>
  <c r="AD1889" i="144"/>
  <c r="AD1888" i="144"/>
  <c r="AA1888" i="144"/>
  <c r="AD1887" i="144"/>
  <c r="AA1886" i="144"/>
  <c r="AD1886" i="144" s="1"/>
  <c r="AD1885" i="144"/>
  <c r="AD1884" i="144"/>
  <c r="AA1884" i="144"/>
  <c r="AD1883" i="144"/>
  <c r="AA1882" i="144"/>
  <c r="AD1882" i="144" s="1"/>
  <c r="AD1881" i="144"/>
  <c r="AD1880" i="144"/>
  <c r="AD1879" i="144"/>
  <c r="Z1879" i="144"/>
  <c r="AD1878" i="144"/>
  <c r="AD1877" i="144"/>
  <c r="Z1877" i="144"/>
  <c r="AD1876" i="144"/>
  <c r="Z1875" i="144"/>
  <c r="AD1875" i="144" s="1"/>
  <c r="AD1874" i="144"/>
  <c r="AD1873" i="144"/>
  <c r="Z1873" i="144"/>
  <c r="AD1872" i="144"/>
  <c r="AD1871" i="144"/>
  <c r="AD1870" i="144"/>
  <c r="Z1870" i="144"/>
  <c r="AD1869" i="144"/>
  <c r="AD1868" i="144"/>
  <c r="Z1868" i="144"/>
  <c r="AD1867" i="144"/>
  <c r="AD1866" i="144"/>
  <c r="Z1866" i="144"/>
  <c r="AD1865" i="144"/>
  <c r="Z1864" i="144"/>
  <c r="AD1864" i="144" s="1"/>
  <c r="AD1863" i="144"/>
  <c r="AD1862" i="144"/>
  <c r="Z1862" i="144"/>
  <c r="AD1861" i="144"/>
  <c r="Z1860" i="144"/>
  <c r="AD1860" i="144" s="1"/>
  <c r="AD1859" i="144"/>
  <c r="AD1858" i="144"/>
  <c r="Z1857" i="144"/>
  <c r="AD1857" i="144" s="1"/>
  <c r="AD1856" i="144"/>
  <c r="AD1855" i="144"/>
  <c r="Z1855" i="144"/>
  <c r="AD1854" i="144"/>
  <c r="AD1853" i="144"/>
  <c r="Z1853" i="144"/>
  <c r="AD1852" i="144"/>
  <c r="AD1851" i="144"/>
  <c r="Z1851" i="144"/>
  <c r="AD1850" i="144"/>
  <c r="Z1849" i="144"/>
  <c r="AD1849" i="144" s="1"/>
  <c r="AD1848" i="144"/>
  <c r="AD1847" i="144"/>
  <c r="Z1847" i="144"/>
  <c r="AD1846" i="144"/>
  <c r="Z1845" i="144"/>
  <c r="AD1845" i="144" s="1"/>
  <c r="AD1844" i="144"/>
  <c r="Z1843" i="144"/>
  <c r="AD1843" i="144" s="1"/>
  <c r="AD1842" i="144"/>
  <c r="Z1841" i="144"/>
  <c r="AD1841" i="144" s="1"/>
  <c r="AD1840" i="144"/>
  <c r="AD1839" i="144"/>
  <c r="Z1839" i="144"/>
  <c r="AD1838" i="144"/>
  <c r="Z1837" i="144"/>
  <c r="AD1837" i="144" s="1"/>
  <c r="AD1836" i="144"/>
  <c r="AD1835" i="144"/>
  <c r="AD1834" i="144"/>
  <c r="AD1833" i="144"/>
  <c r="Z1833" i="144"/>
  <c r="AD1832" i="144"/>
  <c r="Z1831" i="144"/>
  <c r="AD1831" i="144" s="1"/>
  <c r="AD1830" i="144"/>
  <c r="AD1829" i="144"/>
  <c r="Z1828" i="144"/>
  <c r="AD1828" i="144" s="1"/>
  <c r="AD1827" i="144"/>
  <c r="AD1826" i="144"/>
  <c r="AD1825" i="144"/>
  <c r="AD1824" i="144"/>
  <c r="AD1823" i="144"/>
  <c r="AD1822" i="144"/>
  <c r="AD1821" i="144"/>
  <c r="AD1820" i="144"/>
  <c r="AD1819" i="144"/>
  <c r="AD1818" i="144"/>
  <c r="AD1817" i="144"/>
  <c r="AD1816" i="144"/>
  <c r="AD1815" i="144"/>
  <c r="AD1814" i="144"/>
  <c r="AD1813" i="144"/>
  <c r="AD1812" i="144"/>
  <c r="AD1811" i="144"/>
  <c r="AD1810" i="144"/>
  <c r="AD1809" i="144"/>
  <c r="AD1808" i="144"/>
  <c r="AD1807" i="144"/>
  <c r="AD1806" i="144"/>
  <c r="AD1805" i="144"/>
  <c r="AD1804" i="144"/>
  <c r="AD1803" i="144"/>
  <c r="AD1802" i="144"/>
  <c r="AD1801" i="144"/>
  <c r="AD1800" i="144"/>
  <c r="AD1799" i="144"/>
  <c r="AD1798" i="144"/>
  <c r="AD1797" i="144"/>
  <c r="AD1796" i="144"/>
  <c r="AD1795" i="144"/>
  <c r="AD1794" i="144"/>
  <c r="AD1793" i="144"/>
  <c r="AD1792" i="144"/>
  <c r="AD1791" i="144"/>
  <c r="AD1790" i="144"/>
  <c r="AD1789" i="144"/>
  <c r="AD1788" i="144"/>
  <c r="AD1787" i="144"/>
  <c r="AD1786" i="144"/>
  <c r="AD1785" i="144"/>
  <c r="AD1784" i="144"/>
  <c r="AD1783" i="144"/>
  <c r="AD1782" i="144"/>
  <c r="AD1781" i="144"/>
  <c r="AD1780" i="144"/>
  <c r="AD1779" i="144"/>
  <c r="AD1778" i="144"/>
  <c r="AD1777" i="144"/>
  <c r="AD1776" i="144"/>
  <c r="AD1775" i="144"/>
  <c r="AD1774" i="144"/>
  <c r="AD1773" i="144"/>
  <c r="AD1772" i="144"/>
  <c r="AD1771" i="144"/>
  <c r="AD1770" i="144"/>
  <c r="AD1769" i="144"/>
  <c r="AD1768" i="144"/>
  <c r="AD1767" i="144"/>
  <c r="AD1766" i="144"/>
  <c r="AD1765" i="144"/>
  <c r="AD1764" i="144"/>
  <c r="AD1763" i="144"/>
  <c r="AD1762" i="144"/>
  <c r="AD1761" i="144"/>
  <c r="AD1760" i="144"/>
  <c r="AD1759" i="144"/>
  <c r="AD1758" i="144"/>
  <c r="AD1757" i="144"/>
  <c r="AD1756" i="144"/>
  <c r="AD1755" i="144"/>
  <c r="AD1754" i="144"/>
  <c r="AD1753" i="144"/>
  <c r="AD1752" i="144"/>
  <c r="AD1751" i="144"/>
  <c r="AD1750" i="144"/>
  <c r="AD1749" i="144"/>
  <c r="AD1748" i="144"/>
  <c r="AD1747" i="144"/>
  <c r="AD1746" i="144"/>
  <c r="AD1745" i="144"/>
  <c r="AD1744" i="144"/>
  <c r="AD1743" i="144"/>
  <c r="AD1742" i="144"/>
  <c r="AA1741" i="144"/>
  <c r="AD1741" i="144" s="1"/>
  <c r="AD1740" i="144"/>
  <c r="AD1739" i="144"/>
  <c r="AA1739" i="144"/>
  <c r="AD1738" i="144"/>
  <c r="AA1737" i="144"/>
  <c r="AD1737" i="144" s="1"/>
  <c r="AD1736" i="144"/>
  <c r="AD1735" i="144"/>
  <c r="AA1735" i="144"/>
  <c r="AD1734" i="144"/>
  <c r="AD1733" i="144"/>
  <c r="AA1732" i="144"/>
  <c r="AD1732" i="144" s="1"/>
  <c r="AD1731" i="144"/>
  <c r="AA1730" i="144"/>
  <c r="AD1730" i="144" s="1"/>
  <c r="AD1729" i="144"/>
  <c r="AA1728" i="144"/>
  <c r="AD1728" i="144" s="1"/>
  <c r="AD1727" i="144"/>
  <c r="AA1726" i="144"/>
  <c r="AD1726" i="144" s="1"/>
  <c r="AD1725" i="144"/>
  <c r="AD1724" i="144"/>
  <c r="AA1723" i="144"/>
  <c r="AD1723" i="144" s="1"/>
  <c r="AD1722" i="144"/>
  <c r="AD1721" i="144"/>
  <c r="AA1721" i="144"/>
  <c r="AD1720" i="144"/>
  <c r="AA1719" i="144"/>
  <c r="AD1719" i="144" s="1"/>
  <c r="AD1718" i="144"/>
  <c r="AA1717" i="144"/>
  <c r="AD1717" i="144" s="1"/>
  <c r="AD1716" i="144"/>
  <c r="AD1715" i="144"/>
  <c r="AA1715" i="144"/>
  <c r="AD1714" i="144"/>
  <c r="AD1713" i="144"/>
  <c r="AA1713" i="144"/>
  <c r="AD1712" i="144"/>
  <c r="AD1711" i="144"/>
  <c r="AA1711" i="144"/>
  <c r="AD1710" i="144"/>
  <c r="AD1709" i="144"/>
  <c r="AA1709" i="144"/>
  <c r="AD1708" i="144"/>
  <c r="AA1707" i="144"/>
  <c r="AD1707" i="144" s="1"/>
  <c r="AD1706" i="144"/>
  <c r="AD1705" i="144"/>
  <c r="AA1705" i="144"/>
  <c r="AD1704" i="144"/>
  <c r="AA1703" i="144"/>
  <c r="AD1703" i="144" s="1"/>
  <c r="AD1702" i="144"/>
  <c r="AA1701" i="144"/>
  <c r="AD1701" i="144" s="1"/>
  <c r="AD1700" i="144"/>
  <c r="AA1699" i="144"/>
  <c r="AD1699" i="144" s="1"/>
  <c r="AD1698" i="144"/>
  <c r="AD1697" i="144"/>
  <c r="AA1697" i="144"/>
  <c r="AD1696" i="144"/>
  <c r="AD1695" i="144"/>
  <c r="AA1695" i="144"/>
  <c r="AD1694" i="144"/>
  <c r="AD1693" i="144"/>
  <c r="AA1692" i="144"/>
  <c r="AD1692" i="144" s="1"/>
  <c r="AD1691" i="144"/>
  <c r="AD1690" i="144"/>
  <c r="AD1689" i="144"/>
  <c r="AD1688" i="144"/>
  <c r="AD1687" i="144"/>
  <c r="AD1686" i="144"/>
  <c r="AD1685" i="144"/>
  <c r="AD1684" i="144"/>
  <c r="AD1683" i="144"/>
  <c r="AD1682" i="144"/>
  <c r="AD1681" i="144"/>
  <c r="AD1680" i="144"/>
  <c r="AD1679" i="144"/>
  <c r="AD1678" i="144"/>
  <c r="AD1677" i="144"/>
  <c r="AD1676" i="144"/>
  <c r="AA1676" i="144"/>
  <c r="AD1675" i="144"/>
  <c r="AD1674" i="144"/>
  <c r="AD1673" i="144"/>
  <c r="AA1673" i="144"/>
  <c r="AD1672" i="144"/>
  <c r="AD1671" i="144"/>
  <c r="AD1670" i="144"/>
  <c r="AA1670" i="144"/>
  <c r="AD1669" i="144"/>
  <c r="AA1668" i="144"/>
  <c r="AD1668" i="144" s="1"/>
  <c r="AD1667" i="144"/>
  <c r="AD1666" i="144"/>
  <c r="AA1666" i="144"/>
  <c r="AD1665" i="144"/>
  <c r="AA1664" i="144"/>
  <c r="AD1664" i="144" s="1"/>
  <c r="AD1663" i="144"/>
  <c r="AD1662" i="144"/>
  <c r="AA1661" i="144"/>
  <c r="AD1661" i="144" s="1"/>
  <c r="AD1660" i="144"/>
  <c r="AD1659" i="144"/>
  <c r="AA1658" i="144"/>
  <c r="AD1658" i="144" s="1"/>
  <c r="AD1657" i="144"/>
  <c r="AD1656" i="144"/>
  <c r="AD1655" i="144"/>
  <c r="AD1654" i="144"/>
  <c r="AD1653" i="144"/>
  <c r="AD1652" i="144"/>
  <c r="AD1651" i="144"/>
  <c r="AD1650" i="144"/>
  <c r="AD1649" i="144"/>
  <c r="AD1648" i="144"/>
  <c r="AD1647" i="144"/>
  <c r="AD1646" i="144"/>
  <c r="AD1645" i="144"/>
  <c r="AD1644" i="144"/>
  <c r="AD1643" i="144"/>
  <c r="AD1642" i="144"/>
  <c r="AD1641" i="144"/>
  <c r="AD1640" i="144"/>
  <c r="AD1639" i="144"/>
  <c r="AD1638" i="144"/>
  <c r="AA1638" i="144"/>
  <c r="AD1637" i="144"/>
  <c r="AD1636" i="144"/>
  <c r="AD1635" i="144"/>
  <c r="AA1635" i="144"/>
  <c r="AD1634" i="144"/>
  <c r="AA1633" i="144"/>
  <c r="AD1633" i="144" s="1"/>
  <c r="AD1632" i="144"/>
  <c r="AD1631" i="144"/>
  <c r="AA1631" i="144"/>
  <c r="AD1630" i="144"/>
  <c r="AD1629" i="144"/>
  <c r="AA1629" i="144"/>
  <c r="AD1628" i="144"/>
  <c r="AD1627" i="144"/>
  <c r="AA1627" i="144"/>
  <c r="AD1626" i="144"/>
  <c r="AA1625" i="144"/>
  <c r="AD1625" i="144" s="1"/>
  <c r="AD1624" i="144"/>
  <c r="AD1623" i="144"/>
  <c r="AA1623" i="144"/>
  <c r="AD1622" i="144"/>
  <c r="AA1621" i="144"/>
  <c r="AD1621" i="144" s="1"/>
  <c r="AD1620" i="144"/>
  <c r="AD1619" i="144"/>
  <c r="AA1619" i="144"/>
  <c r="AD1618" i="144"/>
  <c r="AD1617" i="144"/>
  <c r="AA1617" i="144"/>
  <c r="AD1616" i="144"/>
  <c r="AD1615" i="144"/>
  <c r="Z1614" i="144"/>
  <c r="AD1614" i="144" s="1"/>
  <c r="AD1613" i="144"/>
  <c r="AC1612" i="144"/>
  <c r="AD1612" i="144" s="1"/>
  <c r="AD1611" i="144"/>
  <c r="AD1610" i="144"/>
  <c r="AD1609" i="144"/>
  <c r="AC1608" i="144"/>
  <c r="AD1608" i="144" s="1"/>
  <c r="AD1607" i="144"/>
  <c r="AD1606" i="144"/>
  <c r="AC1605" i="144"/>
  <c r="AD1605" i="144" s="1"/>
  <c r="AD1604" i="144"/>
  <c r="AD1603" i="144"/>
  <c r="AD1602" i="144"/>
  <c r="AD1601" i="144"/>
  <c r="AD1600" i="144"/>
  <c r="AD1599" i="144"/>
  <c r="AD1598" i="144"/>
  <c r="AD1597" i="144"/>
  <c r="AD1596" i="144"/>
  <c r="AD1595" i="144"/>
  <c r="AD1594" i="144"/>
  <c r="AD1593" i="144"/>
  <c r="AD1592" i="144"/>
  <c r="AD1591" i="144"/>
  <c r="AD1590" i="144"/>
  <c r="AD1589" i="144"/>
  <c r="AD1588" i="144"/>
  <c r="AD1587" i="144"/>
  <c r="AD1586" i="144"/>
  <c r="AD1585" i="144"/>
  <c r="AD1584" i="144"/>
  <c r="AD1583" i="144"/>
  <c r="AD1582" i="144"/>
  <c r="AD1581" i="144"/>
  <c r="AA1580" i="144"/>
  <c r="AD1580" i="144" s="1"/>
  <c r="AD1579" i="144"/>
  <c r="AA1578" i="144"/>
  <c r="AD1578" i="144" s="1"/>
  <c r="AD1577" i="144"/>
  <c r="AD1576" i="144"/>
  <c r="AD1575" i="144"/>
  <c r="AA1575" i="144"/>
  <c r="AD1574" i="144"/>
  <c r="AA1573" i="144"/>
  <c r="AD1573" i="144" s="1"/>
  <c r="AD1572" i="144"/>
  <c r="AA1571" i="144"/>
  <c r="AD1571" i="144" s="1"/>
  <c r="AD1570" i="144"/>
  <c r="AA1569" i="144"/>
  <c r="AD1569" i="144" s="1"/>
  <c r="AD1568" i="144"/>
  <c r="AD1567" i="144"/>
  <c r="AD1566" i="144"/>
  <c r="AD1565" i="144"/>
  <c r="AD1564" i="144"/>
  <c r="AD1563" i="144"/>
  <c r="AD1562" i="144"/>
  <c r="AD1561" i="144"/>
  <c r="AD1560" i="144"/>
  <c r="AD1559" i="144"/>
  <c r="AD1558" i="144"/>
  <c r="AD1557" i="144"/>
  <c r="AD1556" i="144"/>
  <c r="AD1555" i="144"/>
  <c r="AB1555" i="144"/>
  <c r="AD1554" i="144"/>
  <c r="AB1553" i="144"/>
  <c r="AD1553" i="144" s="1"/>
  <c r="AD1552" i="144"/>
  <c r="AD1551" i="144"/>
  <c r="AD1550" i="144"/>
  <c r="AD1549" i="144"/>
  <c r="AD1548" i="144"/>
  <c r="AD1547" i="144"/>
  <c r="AD1546" i="144"/>
  <c r="AD1545" i="144"/>
  <c r="AD1544" i="144"/>
  <c r="AD1543" i="144"/>
  <c r="AD1542" i="144"/>
  <c r="AD1541" i="144"/>
  <c r="AD1540" i="144"/>
  <c r="AD1539" i="144"/>
  <c r="AA1538" i="144"/>
  <c r="AD1538" i="144" s="1"/>
  <c r="AD1537" i="144"/>
  <c r="AD1536" i="144"/>
  <c r="AA1535" i="144"/>
  <c r="AD1535" i="144" s="1"/>
  <c r="AD1534" i="144"/>
  <c r="AD1533" i="144"/>
  <c r="AA1532" i="144"/>
  <c r="AD1532" i="144" s="1"/>
  <c r="AD1531" i="144"/>
  <c r="AD1530" i="144"/>
  <c r="AA1530" i="144"/>
  <c r="AD1529" i="144"/>
  <c r="AA1528" i="144"/>
  <c r="AD1528" i="144" s="1"/>
  <c r="AD1527" i="144"/>
  <c r="AD1526" i="144"/>
  <c r="AA1525" i="144"/>
  <c r="AD1525" i="144" s="1"/>
  <c r="AD1524" i="144"/>
  <c r="AD1523" i="144"/>
  <c r="AA1523" i="144"/>
  <c r="AD1522" i="144"/>
  <c r="AA1521" i="144"/>
  <c r="AD1521" i="144" s="1"/>
  <c r="AD1520" i="144"/>
  <c r="AD1519" i="144"/>
  <c r="AA1518" i="144"/>
  <c r="AD1518" i="144" s="1"/>
  <c r="AD1517" i="144"/>
  <c r="AD1516" i="144"/>
  <c r="AA1516" i="144"/>
  <c r="AD1515" i="144"/>
  <c r="AA1514" i="144"/>
  <c r="AD1514" i="144" s="1"/>
  <c r="AD1513" i="144"/>
  <c r="AD1512" i="144"/>
  <c r="AA1512" i="144"/>
  <c r="AD1511" i="144"/>
  <c r="AA1510" i="144"/>
  <c r="AD1510" i="144" s="1"/>
  <c r="AD1509" i="144"/>
  <c r="AD1508" i="144"/>
  <c r="AD1507" i="144"/>
  <c r="AD1506" i="144"/>
  <c r="AD1505" i="144"/>
  <c r="AD1504" i="144"/>
  <c r="AD1503" i="144"/>
  <c r="AD1502" i="144"/>
  <c r="AD1501" i="144"/>
  <c r="AD1500" i="144"/>
  <c r="AD1499" i="144"/>
  <c r="AD1498" i="144"/>
  <c r="AD1497" i="144"/>
  <c r="AD1496" i="144"/>
  <c r="AD1495" i="144"/>
  <c r="AD1494" i="144"/>
  <c r="AD1493" i="144"/>
  <c r="AD1492" i="144"/>
  <c r="AD1491" i="144"/>
  <c r="AD1490" i="144"/>
  <c r="AD1489" i="144"/>
  <c r="AD1488" i="144"/>
  <c r="AD1487" i="144"/>
  <c r="AD1486" i="144"/>
  <c r="AD1485" i="144"/>
  <c r="AD1484" i="144"/>
  <c r="AD1483" i="144"/>
  <c r="AD1482" i="144"/>
  <c r="AD1481" i="144"/>
  <c r="AD1480" i="144"/>
  <c r="AB1479" i="144"/>
  <c r="AD1479" i="144" s="1"/>
  <c r="AD1478" i="144"/>
  <c r="AD1477" i="144"/>
  <c r="AB1477" i="144"/>
  <c r="AD1476" i="144"/>
  <c r="AB1475" i="144"/>
  <c r="AD1475" i="144" s="1"/>
  <c r="AD1474" i="144"/>
  <c r="AD1473" i="144"/>
  <c r="AB1473" i="144"/>
  <c r="AD1472" i="144"/>
  <c r="AD1471" i="144"/>
  <c r="AB1471" i="144"/>
  <c r="AD1470" i="144"/>
  <c r="AD1469" i="144"/>
  <c r="AD1468" i="144"/>
  <c r="AD1467" i="144"/>
  <c r="AD1466" i="144"/>
  <c r="AD1465" i="144"/>
  <c r="AD1464" i="144"/>
  <c r="AD1463" i="144"/>
  <c r="AD1462" i="144"/>
  <c r="AD1461" i="144"/>
  <c r="AD1460" i="144"/>
  <c r="AD1459" i="144"/>
  <c r="AD1458" i="144"/>
  <c r="AD1457" i="144"/>
  <c r="AD1456" i="144"/>
  <c r="Z1456" i="144"/>
  <c r="AD1455" i="144"/>
  <c r="AD1454" i="144"/>
  <c r="Z1454" i="144"/>
  <c r="AD1453" i="144"/>
  <c r="AD1452" i="144"/>
  <c r="AA1451" i="144"/>
  <c r="AD1451" i="144" s="1"/>
  <c r="AD1450" i="144"/>
  <c r="AD1449" i="144"/>
  <c r="AD1448" i="144"/>
  <c r="AD1447" i="144"/>
  <c r="AD1446" i="144"/>
  <c r="AA1446" i="144"/>
  <c r="AD1445" i="144"/>
  <c r="AD1444" i="144"/>
  <c r="AD1443" i="144"/>
  <c r="AA1443" i="144"/>
  <c r="AD1442" i="144"/>
  <c r="AA1441" i="144"/>
  <c r="AD1441" i="144" s="1"/>
  <c r="AD1440" i="144"/>
  <c r="AD1439" i="144"/>
  <c r="AD1438" i="144"/>
  <c r="AD1437" i="144"/>
  <c r="AD1436" i="144"/>
  <c r="AD1435" i="144"/>
  <c r="AD1434" i="144"/>
  <c r="AD1433" i="144"/>
  <c r="AA1433" i="144"/>
  <c r="AD1432" i="144"/>
  <c r="AA1431" i="144"/>
  <c r="AD1431" i="144" s="1"/>
  <c r="AD1430" i="144"/>
  <c r="AD1429" i="144"/>
  <c r="AA1429" i="144"/>
  <c r="AD1428" i="144"/>
  <c r="AD1427" i="144"/>
  <c r="AA1427" i="144"/>
  <c r="AD1426" i="144"/>
  <c r="AD1425" i="144"/>
  <c r="AA1425" i="144"/>
  <c r="AD1424" i="144"/>
  <c r="AD1423" i="144"/>
  <c r="AD1422" i="144"/>
  <c r="AD1421" i="144"/>
  <c r="AA1421" i="144"/>
  <c r="AD1420" i="144"/>
  <c r="AD1419" i="144"/>
  <c r="AD1418" i="144"/>
  <c r="AD1417" i="144"/>
  <c r="Z1417" i="144"/>
  <c r="AD1416" i="144"/>
  <c r="AD1415" i="144"/>
  <c r="AD1414" i="144"/>
  <c r="AD1413" i="144"/>
  <c r="AD1412" i="144"/>
  <c r="Z1411" i="144"/>
  <c r="AD1411" i="144" s="1"/>
  <c r="AD1410" i="144"/>
  <c r="Z1409" i="144"/>
  <c r="AD1409" i="144" s="1"/>
  <c r="AD1408" i="144"/>
  <c r="AD1407" i="144"/>
  <c r="AD1406" i="144"/>
  <c r="Z1406" i="144"/>
  <c r="AD1405" i="144"/>
  <c r="AD1404" i="144"/>
  <c r="Z1403" i="144"/>
  <c r="AD1403" i="144" s="1"/>
  <c r="AD1402" i="144"/>
  <c r="AD1401" i="144"/>
  <c r="AD1400" i="144"/>
  <c r="Z1400" i="144"/>
  <c r="AD1399" i="144"/>
  <c r="Z1398" i="144"/>
  <c r="AD1398" i="144" s="1"/>
  <c r="AD1397" i="144"/>
  <c r="AD1396" i="144"/>
  <c r="Z1396" i="144"/>
  <c r="AD1395" i="144"/>
  <c r="AD1394" i="144"/>
  <c r="AD1393" i="144"/>
  <c r="Z1393" i="144"/>
  <c r="AD1392" i="144"/>
  <c r="Z1391" i="144"/>
  <c r="AD1391" i="144" s="1"/>
  <c r="AD1390" i="144"/>
  <c r="AD1389" i="144"/>
  <c r="Z1389" i="144"/>
  <c r="AD1388" i="144"/>
  <c r="AD1387" i="144"/>
  <c r="AD1386" i="144"/>
  <c r="Z1386" i="144"/>
  <c r="AD1385" i="144"/>
  <c r="AD1384" i="144"/>
  <c r="Z1384" i="144"/>
  <c r="AD1383" i="144"/>
  <c r="AD1382" i="144"/>
  <c r="Z1382" i="144"/>
  <c r="AD1381" i="144"/>
  <c r="AD1380" i="144"/>
  <c r="AD1379" i="144"/>
  <c r="AD1378" i="144"/>
  <c r="Z1378" i="144"/>
  <c r="AD1377" i="144"/>
  <c r="AD1376" i="144"/>
  <c r="Z1376" i="144"/>
  <c r="AD1375" i="144"/>
  <c r="Z1374" i="144"/>
  <c r="AD1374" i="144" s="1"/>
  <c r="AD1373" i="144"/>
  <c r="AD1372" i="144"/>
  <c r="Z1371" i="144"/>
  <c r="AD1371" i="144" s="1"/>
  <c r="AD1370" i="144"/>
  <c r="Z1369" i="144"/>
  <c r="AD1369" i="144" s="1"/>
  <c r="AD1368" i="144"/>
  <c r="AD1367" i="144"/>
  <c r="Z1367" i="144"/>
  <c r="AD1366" i="144"/>
  <c r="AD1365" i="144"/>
  <c r="Z1364" i="144"/>
  <c r="AD1364" i="144" s="1"/>
  <c r="AD1363" i="144"/>
  <c r="AD1362" i="144"/>
  <c r="Z1362" i="144"/>
  <c r="AD1361" i="144"/>
  <c r="Z1360" i="144"/>
  <c r="AD1360" i="144" s="1"/>
  <c r="AD1359" i="144"/>
  <c r="AD1358" i="144"/>
  <c r="Z1357" i="144"/>
  <c r="AD1357" i="144" s="1"/>
  <c r="AD1356" i="144"/>
  <c r="AD1355" i="144"/>
  <c r="Z1355" i="144"/>
  <c r="AD1354" i="144"/>
  <c r="Z1353" i="144"/>
  <c r="AD1353" i="144" s="1"/>
  <c r="AD1352" i="144"/>
  <c r="AD1351" i="144"/>
  <c r="AD1350" i="144"/>
  <c r="AD1349" i="144"/>
  <c r="Z1349" i="144"/>
  <c r="AD1348" i="144"/>
  <c r="Z1347" i="144"/>
  <c r="AD1347" i="144" s="1"/>
  <c r="AD1346" i="144"/>
  <c r="Z1345" i="144"/>
  <c r="AD1345" i="144" s="1"/>
  <c r="AD1344" i="144"/>
  <c r="Z1343" i="144"/>
  <c r="AD1343" i="144" s="1"/>
  <c r="AD1342" i="144"/>
  <c r="AD1341" i="144"/>
  <c r="Z1341" i="144"/>
  <c r="AD1340" i="144"/>
  <c r="AD1339" i="144"/>
  <c r="AD1338" i="144"/>
  <c r="Z1338" i="144"/>
  <c r="AD1337" i="144"/>
  <c r="Z1336" i="144"/>
  <c r="AD1336" i="144" s="1"/>
  <c r="AD1335" i="144"/>
  <c r="AD1334" i="144"/>
  <c r="Z1334" i="144"/>
  <c r="AD1333" i="144"/>
  <c r="AD1332" i="144"/>
  <c r="AD1331" i="144"/>
  <c r="AD1330" i="144"/>
  <c r="AD1329" i="144"/>
  <c r="AD1328" i="144"/>
  <c r="AD1327" i="144"/>
  <c r="AD1326" i="144"/>
  <c r="AD1325" i="144"/>
  <c r="AD1324" i="144"/>
  <c r="AD1323" i="144"/>
  <c r="AD1322" i="144"/>
  <c r="AD1321" i="144"/>
  <c r="AD1320" i="144"/>
  <c r="AD1319" i="144"/>
  <c r="AD1318" i="144"/>
  <c r="AD1317" i="144"/>
  <c r="AD1316" i="144"/>
  <c r="AD1315" i="144"/>
  <c r="AD1314" i="144"/>
  <c r="AD1313" i="144"/>
  <c r="AD1312" i="144"/>
  <c r="AD1311" i="144"/>
  <c r="AD1310" i="144"/>
  <c r="AD1309" i="144"/>
  <c r="AD1308" i="144"/>
  <c r="AD1307" i="144"/>
  <c r="AD1306" i="144"/>
  <c r="AD1305" i="144"/>
  <c r="AD1304" i="144"/>
  <c r="AD1303" i="144"/>
  <c r="AD1302" i="144"/>
  <c r="AD1301" i="144"/>
  <c r="AD1300" i="144"/>
  <c r="AD1299" i="144"/>
  <c r="AD1298" i="144"/>
  <c r="AD1297" i="144"/>
  <c r="AD1296" i="144"/>
  <c r="AD1295" i="144"/>
  <c r="AD1294" i="144"/>
  <c r="AD1293" i="144"/>
  <c r="AD1292" i="144"/>
  <c r="AD1291" i="144"/>
  <c r="AD1290" i="144"/>
  <c r="AD1289" i="144"/>
  <c r="AD1288" i="144"/>
  <c r="AD1287" i="144"/>
  <c r="AD1286" i="144"/>
  <c r="AD1285" i="144"/>
  <c r="AD1284" i="144"/>
  <c r="AD1283" i="144"/>
  <c r="AD1282" i="144"/>
  <c r="AD1281" i="144"/>
  <c r="AD1280" i="144"/>
  <c r="AD1279" i="144"/>
  <c r="AD1278" i="144"/>
  <c r="AD1277" i="144"/>
  <c r="AD1276" i="144"/>
  <c r="AD1275" i="144"/>
  <c r="AD1274" i="144"/>
  <c r="AD1273" i="144"/>
  <c r="AD1272" i="144"/>
  <c r="T1272" i="144"/>
  <c r="AD1271" i="144"/>
  <c r="AD1270" i="144"/>
  <c r="T1270" i="144"/>
  <c r="AD1269" i="144"/>
  <c r="T1268" i="144"/>
  <c r="AD1268" i="144" s="1"/>
  <c r="AD1267" i="144"/>
  <c r="AD1266" i="144"/>
  <c r="T1266" i="144"/>
  <c r="AD1265" i="144"/>
  <c r="T1264" i="144"/>
  <c r="AD1264" i="144" s="1"/>
  <c r="AD1263" i="144"/>
  <c r="T1262" i="144"/>
  <c r="AD1262" i="144" s="1"/>
  <c r="AD1261" i="144"/>
  <c r="AD1260" i="144"/>
  <c r="AD1259" i="144"/>
  <c r="T1258" i="144"/>
  <c r="AD1258" i="144" s="1"/>
  <c r="AD1257" i="144"/>
  <c r="AD1256" i="144"/>
  <c r="T1255" i="144"/>
  <c r="AD1255" i="144" s="1"/>
  <c r="AD1254" i="144"/>
  <c r="AD1253" i="144"/>
  <c r="AD1252" i="144"/>
  <c r="AD1251" i="144"/>
  <c r="T1250" i="144"/>
  <c r="AD1250" i="144" s="1"/>
  <c r="AD1249" i="144"/>
  <c r="T1248" i="144"/>
  <c r="AD1248" i="144" s="1"/>
  <c r="AD1247" i="144"/>
  <c r="T1246" i="144"/>
  <c r="AD1246" i="144" s="1"/>
  <c r="AD1245" i="144"/>
  <c r="AD1244" i="144"/>
  <c r="T1243" i="144"/>
  <c r="AD1243" i="144" s="1"/>
  <c r="AD1242" i="144"/>
  <c r="AD1241" i="144"/>
  <c r="AD1240" i="144"/>
  <c r="AD1239" i="144"/>
  <c r="AD1238" i="144"/>
  <c r="AD1237" i="144"/>
  <c r="AD1236" i="144"/>
  <c r="AD1235" i="144"/>
  <c r="AD1234" i="144"/>
  <c r="AD1233" i="144"/>
  <c r="AD1232" i="144"/>
  <c r="AD1231" i="144"/>
  <c r="AD1230" i="144"/>
  <c r="AD1229" i="144"/>
  <c r="AD1228" i="144"/>
  <c r="AD1227" i="144"/>
  <c r="AD1226" i="144"/>
  <c r="AD1225" i="144"/>
  <c r="AD1224" i="144"/>
  <c r="AD1223" i="144"/>
  <c r="AD1222" i="144"/>
  <c r="AD1221" i="144"/>
  <c r="AD1220" i="144"/>
  <c r="AD1219" i="144"/>
  <c r="T1219" i="144"/>
  <c r="AD1218" i="144"/>
  <c r="T1217" i="144"/>
  <c r="AD1217" i="144" s="1"/>
  <c r="AD1216" i="144"/>
  <c r="AD1215" i="144"/>
  <c r="T1215" i="144"/>
  <c r="AD1214" i="144"/>
  <c r="AD1213" i="144"/>
  <c r="AD1212" i="144"/>
  <c r="AD1211" i="144"/>
  <c r="AD1210" i="144"/>
  <c r="AD1209" i="144"/>
  <c r="AD1208" i="144"/>
  <c r="AD1207" i="144"/>
  <c r="AD1206" i="144"/>
  <c r="AD1205" i="144"/>
  <c r="AD1204" i="144"/>
  <c r="AD1203" i="144"/>
  <c r="AD1202" i="144"/>
  <c r="AD1201" i="144"/>
  <c r="AD1200" i="144"/>
  <c r="AD1199" i="144"/>
  <c r="AD1198" i="144"/>
  <c r="AD1197" i="144"/>
  <c r="AD1196" i="144"/>
  <c r="AD1195" i="144"/>
  <c r="AD1194" i="144"/>
  <c r="AD1193" i="144"/>
  <c r="AD1192" i="144"/>
  <c r="T1192" i="144"/>
  <c r="AD1191" i="144"/>
  <c r="AD1190" i="144"/>
  <c r="AD1189" i="144"/>
  <c r="AD1188" i="144"/>
  <c r="AD1187" i="144"/>
  <c r="AD1186" i="144"/>
  <c r="AD1185" i="144"/>
  <c r="AD1184" i="144"/>
  <c r="AD1183" i="144"/>
  <c r="AD1182" i="144"/>
  <c r="AD1181" i="144"/>
  <c r="AD1180" i="144"/>
  <c r="AD1179" i="144"/>
  <c r="AD1178" i="144"/>
  <c r="AD1177" i="144"/>
  <c r="AD1176" i="144"/>
  <c r="AD1175" i="144"/>
  <c r="AD1174" i="144"/>
  <c r="AD1173" i="144"/>
  <c r="T1172" i="144"/>
  <c r="AD1172" i="144" s="1"/>
  <c r="AD1171" i="144"/>
  <c r="AD1170" i="144"/>
  <c r="T1170" i="144"/>
  <c r="AD1169" i="144"/>
  <c r="AD1168" i="144"/>
  <c r="AD1167" i="144"/>
  <c r="AD1166" i="144"/>
  <c r="AD1165" i="144"/>
  <c r="AD1164" i="144"/>
  <c r="AD1163" i="144"/>
  <c r="AD1162" i="144"/>
  <c r="AD1161" i="144"/>
  <c r="AD1160" i="144"/>
  <c r="AD1159" i="144"/>
  <c r="AD1158" i="144"/>
  <c r="AD1157" i="144"/>
  <c r="AD1156" i="144"/>
  <c r="AD1155" i="144"/>
  <c r="AD1154" i="144"/>
  <c r="AD1153" i="144"/>
  <c r="AD1152" i="144"/>
  <c r="AD1151" i="144"/>
  <c r="T1150" i="144"/>
  <c r="AD1150" i="144" s="1"/>
  <c r="AD1149" i="144"/>
  <c r="AD1148" i="144"/>
  <c r="AD1147" i="144"/>
  <c r="AD1146" i="144"/>
  <c r="AD1145" i="144"/>
  <c r="AD1144" i="144"/>
  <c r="AD1143" i="144"/>
  <c r="AD1142" i="144"/>
  <c r="AD1141" i="144"/>
  <c r="AD1140" i="144"/>
  <c r="AD1139" i="144"/>
  <c r="AD1138" i="144"/>
  <c r="AD1137" i="144"/>
  <c r="AD1136" i="144"/>
  <c r="AD1135" i="144"/>
  <c r="AD1134" i="144"/>
  <c r="AD1133" i="144"/>
  <c r="AD1132" i="144"/>
  <c r="AD1131" i="144"/>
  <c r="AD1130" i="144"/>
  <c r="AD1129" i="144"/>
  <c r="AD1128" i="144"/>
  <c r="AD1127" i="144"/>
  <c r="AD1126" i="144"/>
  <c r="AA1125" i="144"/>
  <c r="Z1125" i="144"/>
  <c r="AD1124" i="144"/>
  <c r="AD1123" i="144"/>
  <c r="AD1122" i="144"/>
  <c r="AD1121" i="144"/>
  <c r="AD1120" i="144"/>
  <c r="AD1119" i="144"/>
  <c r="AD1118" i="144"/>
  <c r="AD1117" i="144"/>
  <c r="AD1116" i="144"/>
  <c r="AD1115" i="144"/>
  <c r="AD1114" i="144"/>
  <c r="AD1113" i="144"/>
  <c r="AD1112" i="144"/>
  <c r="AD1111" i="144"/>
  <c r="AD1110" i="144"/>
  <c r="AD1109" i="144"/>
  <c r="AD1108" i="144"/>
  <c r="AD1107" i="144"/>
  <c r="U1107" i="144"/>
  <c r="AD1106" i="144"/>
  <c r="AD1105" i="144"/>
  <c r="U1105" i="144"/>
  <c r="AD1104" i="144"/>
  <c r="AD1103" i="144"/>
  <c r="AD1102" i="144"/>
  <c r="AD1101" i="144"/>
  <c r="AD1100" i="144"/>
  <c r="AD1099" i="144"/>
  <c r="AD1098" i="144"/>
  <c r="AD1097" i="144"/>
  <c r="AD1096" i="144"/>
  <c r="AD1095" i="144"/>
  <c r="AD1094" i="144"/>
  <c r="AD1093" i="144"/>
  <c r="AD1092" i="144"/>
  <c r="AD1091" i="144"/>
  <c r="AD1090" i="144"/>
  <c r="AD1089" i="144"/>
  <c r="U1088" i="144"/>
  <c r="AD1088" i="144" s="1"/>
  <c r="AD1087" i="144"/>
  <c r="AD1086" i="144"/>
  <c r="AD1085" i="144"/>
  <c r="U1084" i="144"/>
  <c r="AD1084" i="144" s="1"/>
  <c r="AD1083" i="144"/>
  <c r="U1082" i="144"/>
  <c r="AD1082" i="144" s="1"/>
  <c r="AD1081" i="144"/>
  <c r="AD1080" i="144"/>
  <c r="U1080" i="144"/>
  <c r="AD1079" i="144"/>
  <c r="AD1078" i="144"/>
  <c r="U1078" i="144"/>
  <c r="AD1077" i="144"/>
  <c r="U1076" i="144"/>
  <c r="U2496" i="144" s="1"/>
  <c r="AD1075" i="144"/>
  <c r="AD1074" i="144"/>
  <c r="U1074" i="144"/>
  <c r="AD1073" i="144"/>
  <c r="AD1072" i="144"/>
  <c r="AD1071" i="144"/>
  <c r="AD1070" i="144"/>
  <c r="AD1069" i="144"/>
  <c r="AD1068" i="144"/>
  <c r="AD1067" i="144"/>
  <c r="AD1066" i="144"/>
  <c r="AD1065" i="144"/>
  <c r="AD1064" i="144"/>
  <c r="AD1063" i="144"/>
  <c r="AD1062" i="144"/>
  <c r="AD1061" i="144"/>
  <c r="AD1060" i="144"/>
  <c r="AD1059" i="144"/>
  <c r="Q1058" i="144"/>
  <c r="AD1058" i="144" s="1"/>
  <c r="AD1057" i="144"/>
  <c r="AD1056" i="144"/>
  <c r="AD1055" i="144"/>
  <c r="AD1054" i="144"/>
  <c r="Q1053" i="144"/>
  <c r="AD1053" i="144" s="1"/>
  <c r="T1052" i="144"/>
  <c r="AD1052" i="144" s="1"/>
  <c r="S1051" i="144"/>
  <c r="Q1051" i="144"/>
  <c r="AD1051" i="144" s="1"/>
  <c r="AD1050" i="144"/>
  <c r="AD1049" i="144"/>
  <c r="AD1048" i="144"/>
  <c r="Q1047" i="144"/>
  <c r="AD1047" i="144" s="1"/>
  <c r="AD1046" i="144"/>
  <c r="AD1045" i="144"/>
  <c r="Q1045" i="144"/>
  <c r="AD1044" i="144"/>
  <c r="AD1043" i="144"/>
  <c r="AD1042" i="144"/>
  <c r="Q1042" i="144"/>
  <c r="AD1041" i="144"/>
  <c r="Q1040" i="144"/>
  <c r="AD1040" i="144" s="1"/>
  <c r="AD1039" i="144"/>
  <c r="AD1038" i="144"/>
  <c r="Q1037" i="144"/>
  <c r="AD1037" i="144" s="1"/>
  <c r="AD1036" i="144"/>
  <c r="AD1035" i="144"/>
  <c r="Q1035" i="144"/>
  <c r="AD1034" i="144"/>
  <c r="AD1033" i="144"/>
  <c r="Q1033" i="144"/>
  <c r="AD1032" i="144"/>
  <c r="AD1031" i="144"/>
  <c r="Q1030" i="144"/>
  <c r="AD1030" i="144" s="1"/>
  <c r="AD1029" i="144"/>
  <c r="AD1028" i="144"/>
  <c r="AD1027" i="144"/>
  <c r="Q1027" i="144"/>
  <c r="AD1026" i="144"/>
  <c r="AD1025" i="144"/>
  <c r="AD1024" i="144"/>
  <c r="AD1023" i="144"/>
  <c r="Q1023" i="144"/>
  <c r="AD1022" i="144"/>
  <c r="AD1021" i="144"/>
  <c r="AD1020" i="144"/>
  <c r="AD1019" i="144"/>
  <c r="AD1018" i="144"/>
  <c r="Q1018" i="144"/>
  <c r="AD1017" i="144"/>
  <c r="Q1016" i="144"/>
  <c r="AD1016" i="144" s="1"/>
  <c r="AD1015" i="144"/>
  <c r="AD1014" i="144"/>
  <c r="Q1014" i="144"/>
  <c r="AD1013" i="144"/>
  <c r="AD1012" i="144"/>
  <c r="AD1011" i="144"/>
  <c r="Q1011" i="144"/>
  <c r="AD1010" i="144"/>
  <c r="Q1009" i="144"/>
  <c r="AD1009" i="144" s="1"/>
  <c r="AD1008" i="144"/>
  <c r="AD1007" i="144"/>
  <c r="AD1006" i="144"/>
  <c r="AD1005" i="144"/>
  <c r="AD1004" i="144"/>
  <c r="AD1003" i="144"/>
  <c r="AD1002" i="144"/>
  <c r="AD1001" i="144"/>
  <c r="AD1000" i="144"/>
  <c r="Q1000" i="144"/>
  <c r="AD999" i="144"/>
  <c r="AD998" i="144"/>
  <c r="Q998" i="144"/>
  <c r="AD997" i="144"/>
  <c r="Q996" i="144"/>
  <c r="AD996" i="144" s="1"/>
  <c r="AD995" i="144"/>
  <c r="AD994" i="144"/>
  <c r="AD993" i="144"/>
  <c r="AD992" i="144"/>
  <c r="AD991" i="144"/>
  <c r="AD990" i="144"/>
  <c r="T989" i="144"/>
  <c r="AD989" i="144" s="1"/>
  <c r="AD988" i="144"/>
  <c r="S988" i="144"/>
  <c r="AD987" i="144"/>
  <c r="AD986" i="144"/>
  <c r="AD985" i="144"/>
  <c r="AD984" i="144"/>
  <c r="AD983" i="144"/>
  <c r="AD982" i="144"/>
  <c r="AD981" i="144"/>
  <c r="Q981" i="144"/>
  <c r="AD980" i="144"/>
  <c r="AD979" i="144"/>
  <c r="Q979" i="144"/>
  <c r="AD978" i="144"/>
  <c r="Q977" i="144"/>
  <c r="AD977" i="144" s="1"/>
  <c r="AD976" i="144"/>
  <c r="T976" i="144"/>
  <c r="S975" i="144"/>
  <c r="Q975" i="144"/>
  <c r="AD975" i="144" s="1"/>
  <c r="AD974" i="144"/>
  <c r="AD973" i="144"/>
  <c r="AD972" i="144"/>
  <c r="AD971" i="144"/>
  <c r="AD970" i="144"/>
  <c r="Q970" i="144"/>
  <c r="AD969" i="144"/>
  <c r="Q968" i="144"/>
  <c r="AD968" i="144" s="1"/>
  <c r="AD967" i="144"/>
  <c r="Q966" i="144"/>
  <c r="AD966" i="144" s="1"/>
  <c r="AD965" i="144"/>
  <c r="Q964" i="144"/>
  <c r="AD964" i="144" s="1"/>
  <c r="AD963" i="144"/>
  <c r="Q962" i="144"/>
  <c r="AD962" i="144" s="1"/>
  <c r="AD961" i="144"/>
  <c r="AD960" i="144"/>
  <c r="AD959" i="144"/>
  <c r="AD958" i="144"/>
  <c r="AD957" i="144"/>
  <c r="AD956" i="144"/>
  <c r="S955" i="144"/>
  <c r="AD955" i="144" s="1"/>
  <c r="AD954" i="144"/>
  <c r="S953" i="144"/>
  <c r="AD953" i="144" s="1"/>
  <c r="AD952" i="144"/>
  <c r="AD951" i="144"/>
  <c r="S951" i="144"/>
  <c r="AD950" i="144"/>
  <c r="T949" i="144"/>
  <c r="AD949" i="144" s="1"/>
  <c r="S948" i="144"/>
  <c r="AD948" i="144" s="1"/>
  <c r="Q948" i="144"/>
  <c r="AD947" i="144"/>
  <c r="T947" i="144"/>
  <c r="S946" i="144"/>
  <c r="Q946" i="144"/>
  <c r="AD945" i="144"/>
  <c r="AD944" i="144"/>
  <c r="Q943" i="144"/>
  <c r="AD943" i="144" s="1"/>
  <c r="AD942" i="144"/>
  <c r="Q941" i="144"/>
  <c r="AD941" i="144" s="1"/>
  <c r="AD940" i="144"/>
  <c r="T940" i="144"/>
  <c r="AD939" i="144"/>
  <c r="Q939" i="144"/>
  <c r="AD938" i="144"/>
  <c r="AD937" i="144"/>
  <c r="AD936" i="144"/>
  <c r="AD935" i="144"/>
  <c r="AD934" i="144"/>
  <c r="AD933" i="144"/>
  <c r="AD932" i="144"/>
  <c r="AD931" i="144"/>
  <c r="AD930" i="144"/>
  <c r="AD929" i="144"/>
  <c r="AD928" i="144"/>
  <c r="AD927" i="144"/>
  <c r="AD926" i="144"/>
  <c r="AD925" i="144"/>
  <c r="AD924" i="144"/>
  <c r="AD923" i="144"/>
  <c r="AD922" i="144"/>
  <c r="AD921" i="144"/>
  <c r="AD920" i="144"/>
  <c r="AD919" i="144"/>
  <c r="AD918" i="144"/>
  <c r="AD917" i="144"/>
  <c r="AD916" i="144"/>
  <c r="AD915" i="144"/>
  <c r="AD914" i="144"/>
  <c r="T914" i="144"/>
  <c r="S913" i="144"/>
  <c r="Q913" i="144"/>
  <c r="AD913" i="144" s="1"/>
  <c r="AD912" i="144"/>
  <c r="AD911" i="144"/>
  <c r="T911" i="144"/>
  <c r="AD910" i="144"/>
  <c r="S910" i="144"/>
  <c r="Q910" i="144"/>
  <c r="AD909" i="144"/>
  <c r="AD908" i="144"/>
  <c r="AD907" i="144"/>
  <c r="Q907" i="144"/>
  <c r="AD906" i="144"/>
  <c r="AD905" i="144"/>
  <c r="Q905" i="144"/>
  <c r="AD904" i="144"/>
  <c r="Q903" i="144"/>
  <c r="AD903" i="144" s="1"/>
  <c r="T902" i="144"/>
  <c r="AD902" i="144" s="1"/>
  <c r="AD901" i="144"/>
  <c r="S901" i="144"/>
  <c r="Q901" i="144"/>
  <c r="AD900" i="144"/>
  <c r="AD899" i="144"/>
  <c r="T898" i="144"/>
  <c r="AD898" i="144" s="1"/>
  <c r="S897" i="144"/>
  <c r="AD897" i="144" s="1"/>
  <c r="Q897" i="144"/>
  <c r="AD896" i="144"/>
  <c r="Q895" i="144"/>
  <c r="AD895" i="144" s="1"/>
  <c r="AD894" i="144"/>
  <c r="AD893" i="144"/>
  <c r="AD892" i="144"/>
  <c r="Q892" i="144"/>
  <c r="AD891" i="144"/>
  <c r="T891" i="144"/>
  <c r="S890" i="144"/>
  <c r="Q890" i="144"/>
  <c r="AD890" i="144" s="1"/>
  <c r="AD889" i="144"/>
  <c r="T889" i="144"/>
  <c r="AD888" i="144"/>
  <c r="S888" i="144"/>
  <c r="Q888" i="144"/>
  <c r="T887" i="144"/>
  <c r="AD887" i="144" s="1"/>
  <c r="S886" i="144"/>
  <c r="Q886" i="144"/>
  <c r="AD886" i="144" s="1"/>
  <c r="AD885" i="144"/>
  <c r="AD884" i="144"/>
  <c r="S883" i="144"/>
  <c r="Q883" i="144"/>
  <c r="T882" i="144"/>
  <c r="AD882" i="144" s="1"/>
  <c r="S881" i="144"/>
  <c r="Q881" i="144"/>
  <c r="AD881" i="144" s="1"/>
  <c r="T880" i="144"/>
  <c r="AD880" i="144" s="1"/>
  <c r="S879" i="144"/>
  <c r="Q879" i="144"/>
  <c r="AD879" i="144" s="1"/>
  <c r="AD878" i="144"/>
  <c r="AD877" i="144"/>
  <c r="AD876" i="144"/>
  <c r="Q876" i="144"/>
  <c r="AD875" i="144"/>
  <c r="AD874" i="144"/>
  <c r="Q874" i="144"/>
  <c r="AD873" i="144"/>
  <c r="AD872" i="144"/>
  <c r="Q872" i="144"/>
  <c r="AD871" i="144"/>
  <c r="AD870" i="144"/>
  <c r="AD869" i="144"/>
  <c r="Q869" i="144"/>
  <c r="AD868" i="144"/>
  <c r="Q867" i="144"/>
  <c r="AD867" i="144" s="1"/>
  <c r="AD866" i="144"/>
  <c r="AD865" i="144"/>
  <c r="Q865" i="144"/>
  <c r="AD864" i="144"/>
  <c r="AD863" i="144"/>
  <c r="AD862" i="144"/>
  <c r="AD861" i="144"/>
  <c r="AD860" i="144"/>
  <c r="AD859" i="144"/>
  <c r="AD858" i="144"/>
  <c r="AD857" i="144"/>
  <c r="AD856" i="144"/>
  <c r="Q856" i="144"/>
  <c r="AD855" i="144"/>
  <c r="Q854" i="144"/>
  <c r="AD854" i="144" s="1"/>
  <c r="AD853" i="144"/>
  <c r="AD852" i="144"/>
  <c r="Q852" i="144"/>
  <c r="AD851" i="144"/>
  <c r="AD850" i="144"/>
  <c r="Q849" i="144"/>
  <c r="AD849" i="144" s="1"/>
  <c r="AD848" i="144"/>
  <c r="Q847" i="144"/>
  <c r="AD847" i="144" s="1"/>
  <c r="AD846" i="144"/>
  <c r="AD845" i="144"/>
  <c r="AD844" i="144"/>
  <c r="Q844" i="144"/>
  <c r="AD843" i="144"/>
  <c r="AD842" i="144"/>
  <c r="Q841" i="144"/>
  <c r="AD841" i="144" s="1"/>
  <c r="AD840" i="144"/>
  <c r="AD839" i="144"/>
  <c r="Q839" i="144"/>
  <c r="AD838" i="144"/>
  <c r="AD837" i="144"/>
  <c r="AD836" i="144"/>
  <c r="Q835" i="144"/>
  <c r="AD835" i="144" s="1"/>
  <c r="T834" i="144"/>
  <c r="AD834" i="144" s="1"/>
  <c r="AD833" i="144"/>
  <c r="Q833" i="144"/>
  <c r="AD832" i="144"/>
  <c r="AD831" i="144"/>
  <c r="AD830" i="144"/>
  <c r="AD829" i="144"/>
  <c r="Q828" i="144"/>
  <c r="AD828" i="144" s="1"/>
  <c r="AD827" i="144"/>
  <c r="AD826" i="144"/>
  <c r="Q826" i="144"/>
  <c r="AD825" i="144"/>
  <c r="T824" i="144"/>
  <c r="AD824" i="144" s="1"/>
  <c r="AD823" i="144"/>
  <c r="AD822" i="144"/>
  <c r="AD821" i="144"/>
  <c r="AD820" i="144"/>
  <c r="Q820" i="144"/>
  <c r="AD819" i="144"/>
  <c r="AD818" i="144"/>
  <c r="AD817" i="144"/>
  <c r="AD816" i="144"/>
  <c r="AD815" i="144"/>
  <c r="AD814" i="144"/>
  <c r="AD813" i="144"/>
  <c r="Q813" i="144"/>
  <c r="T812" i="144"/>
  <c r="AD812" i="144" s="1"/>
  <c r="S811" i="144"/>
  <c r="Q811" i="144"/>
  <c r="AD811" i="144" s="1"/>
  <c r="AD810" i="144"/>
  <c r="AD809" i="144"/>
  <c r="Q809" i="144"/>
  <c r="AD808" i="144"/>
  <c r="AD807" i="144"/>
  <c r="S806" i="144"/>
  <c r="Q806" i="144"/>
  <c r="AD806" i="144" s="1"/>
  <c r="AD805" i="144"/>
  <c r="AD804" i="144"/>
  <c r="T804" i="144"/>
  <c r="S803" i="144"/>
  <c r="Q803" i="144"/>
  <c r="AD803" i="144" s="1"/>
  <c r="AD802" i="144"/>
  <c r="AD801" i="144"/>
  <c r="Q800" i="144"/>
  <c r="AD800" i="144" s="1"/>
  <c r="AD799" i="144"/>
  <c r="T798" i="144"/>
  <c r="AD798" i="144" s="1"/>
  <c r="S797" i="144"/>
  <c r="Q797" i="144"/>
  <c r="AD797" i="144" s="1"/>
  <c r="AD796" i="144"/>
  <c r="T796" i="144"/>
  <c r="S795" i="144"/>
  <c r="Q795" i="144"/>
  <c r="AD795" i="144" s="1"/>
  <c r="AD794" i="144"/>
  <c r="AD793" i="144"/>
  <c r="Q792" i="144"/>
  <c r="AD792" i="144" s="1"/>
  <c r="AD791" i="144"/>
  <c r="S790" i="144"/>
  <c r="Q790" i="144"/>
  <c r="AD790" i="144" s="1"/>
  <c r="AD789" i="144"/>
  <c r="Q788" i="144"/>
  <c r="AD788" i="144" s="1"/>
  <c r="T787" i="144"/>
  <c r="AD787" i="144" s="1"/>
  <c r="AD786" i="144"/>
  <c r="S786" i="144"/>
  <c r="Q786" i="144"/>
  <c r="AD785" i="144"/>
  <c r="AD784" i="144"/>
  <c r="AD783" i="144"/>
  <c r="AD782" i="144"/>
  <c r="AD781" i="144"/>
  <c r="AD780" i="144"/>
  <c r="AD779" i="144"/>
  <c r="AD778" i="144"/>
  <c r="AD777" i="144"/>
  <c r="AD776" i="144"/>
  <c r="AD775" i="144"/>
  <c r="AD774" i="144"/>
  <c r="AH773" i="144"/>
  <c r="AD773" i="144"/>
  <c r="AD772" i="144"/>
  <c r="AD771" i="144"/>
  <c r="AD770" i="144"/>
  <c r="AD769" i="144"/>
  <c r="AD768" i="144"/>
  <c r="AD767" i="144"/>
  <c r="AD766" i="144"/>
  <c r="AD765" i="144"/>
  <c r="AD764" i="144"/>
  <c r="AD763" i="144"/>
  <c r="AD762" i="144"/>
  <c r="AD761" i="144"/>
  <c r="AD760" i="144"/>
  <c r="AD759" i="144"/>
  <c r="AD758" i="144"/>
  <c r="AI757" i="144"/>
  <c r="AD757" i="144"/>
  <c r="AD756" i="144"/>
  <c r="AG755" i="144"/>
  <c r="AD755" i="144"/>
  <c r="AD754" i="144"/>
  <c r="AI753" i="144"/>
  <c r="AG753" i="144"/>
  <c r="AD753" i="144"/>
  <c r="AD752" i="144"/>
  <c r="AD751" i="144"/>
  <c r="AD750" i="144"/>
  <c r="AD749" i="144"/>
  <c r="AD748" i="144"/>
  <c r="AD747" i="144"/>
  <c r="AD746" i="144"/>
  <c r="AD745" i="144"/>
  <c r="AD744" i="144"/>
  <c r="AD743" i="144"/>
  <c r="AD742" i="144"/>
  <c r="AD741" i="144"/>
  <c r="AD740" i="144"/>
  <c r="AD739" i="144"/>
  <c r="AD738" i="144"/>
  <c r="AD737" i="144"/>
  <c r="AD736" i="144"/>
  <c r="AD735" i="144"/>
  <c r="AD734" i="144"/>
  <c r="AD733" i="144"/>
  <c r="AD732" i="144"/>
  <c r="AD731" i="144"/>
  <c r="AD730" i="144"/>
  <c r="AD729" i="144"/>
  <c r="AD728" i="144"/>
  <c r="AD727" i="144"/>
  <c r="AD726" i="144"/>
  <c r="AD725" i="144"/>
  <c r="AD724" i="144"/>
  <c r="AD723" i="144"/>
  <c r="AD722" i="144"/>
  <c r="AD721" i="144"/>
  <c r="AD720" i="144"/>
  <c r="AD719" i="144"/>
  <c r="AD718" i="144"/>
  <c r="AD717" i="144"/>
  <c r="AD716" i="144"/>
  <c r="AD715" i="144"/>
  <c r="AD714" i="144"/>
  <c r="AD713" i="144"/>
  <c r="AD712" i="144"/>
  <c r="AD711" i="144"/>
  <c r="AD710" i="144"/>
  <c r="AD709" i="144"/>
  <c r="AD708" i="144"/>
  <c r="AD707" i="144"/>
  <c r="AD706" i="144"/>
  <c r="AD705" i="144"/>
  <c r="AD704" i="144"/>
  <c r="AD703" i="144"/>
  <c r="AD702" i="144"/>
  <c r="AD701" i="144"/>
  <c r="AD700" i="144"/>
  <c r="AD699" i="144"/>
  <c r="AD698" i="144"/>
  <c r="AD697" i="144"/>
  <c r="AD696" i="144"/>
  <c r="AD695" i="144"/>
  <c r="AD694" i="144"/>
  <c r="AD693" i="144"/>
  <c r="AD692" i="144"/>
  <c r="AD691" i="144"/>
  <c r="AD690" i="144"/>
  <c r="AD689" i="144"/>
  <c r="AD688" i="144"/>
  <c r="AD687" i="144"/>
  <c r="AD686" i="144"/>
  <c r="AD685" i="144"/>
  <c r="AD684" i="144"/>
  <c r="AD683" i="144"/>
  <c r="AD682" i="144"/>
  <c r="AD681" i="144"/>
  <c r="AD680" i="144"/>
  <c r="AD679" i="144"/>
  <c r="AD678" i="144"/>
  <c r="AD677" i="144"/>
  <c r="AD676" i="144"/>
  <c r="AD675" i="144"/>
  <c r="AD674" i="144"/>
  <c r="AD673" i="144"/>
  <c r="AD672" i="144"/>
  <c r="AD671" i="144"/>
  <c r="AD670" i="144"/>
  <c r="AD669" i="144"/>
  <c r="AD668" i="144"/>
  <c r="AD667" i="144"/>
  <c r="AD666" i="144"/>
  <c r="AD665" i="144"/>
  <c r="AD664" i="144"/>
  <c r="AD663" i="144"/>
  <c r="AD662" i="144"/>
  <c r="AD661" i="144"/>
  <c r="AD660" i="144"/>
  <c r="AD659" i="144"/>
  <c r="AD658" i="144"/>
  <c r="AD657" i="144"/>
  <c r="AD656" i="144"/>
  <c r="AD655" i="144"/>
  <c r="AD654" i="144"/>
  <c r="AD653" i="144"/>
  <c r="AD652" i="144"/>
  <c r="AD651" i="144"/>
  <c r="AD650" i="144"/>
  <c r="AD649" i="144"/>
  <c r="AD648" i="144"/>
  <c r="AD647" i="144"/>
  <c r="AD646" i="144"/>
  <c r="AD645" i="144"/>
  <c r="AD644" i="144"/>
  <c r="AD643" i="144"/>
  <c r="AD642" i="144"/>
  <c r="AD641" i="144"/>
  <c r="AD640" i="144"/>
  <c r="AD639" i="144"/>
  <c r="AD638" i="144"/>
  <c r="AD637" i="144"/>
  <c r="AD636" i="144"/>
  <c r="AD635" i="144"/>
  <c r="AD634" i="144"/>
  <c r="AD633" i="144"/>
  <c r="AD632" i="144"/>
  <c r="AD631" i="144"/>
  <c r="AD630" i="144"/>
  <c r="AD629" i="144"/>
  <c r="AD628" i="144"/>
  <c r="AD627" i="144"/>
  <c r="AD626" i="144"/>
  <c r="AD625" i="144"/>
  <c r="AD624" i="144"/>
  <c r="AD623" i="144"/>
  <c r="AD622" i="144"/>
  <c r="AD621" i="144"/>
  <c r="AD620" i="144"/>
  <c r="AD619" i="144"/>
  <c r="AD618" i="144"/>
  <c r="AD617" i="144"/>
  <c r="AD616" i="144"/>
  <c r="AD615" i="144"/>
  <c r="AD614" i="144"/>
  <c r="AD613" i="144"/>
  <c r="AD612" i="144"/>
  <c r="AD611" i="144"/>
  <c r="AD610" i="144"/>
  <c r="AD609" i="144"/>
  <c r="AD608" i="144"/>
  <c r="AD607" i="144"/>
  <c r="AD606" i="144"/>
  <c r="AD605" i="144"/>
  <c r="AD604" i="144"/>
  <c r="AD603" i="144"/>
  <c r="AD602" i="144"/>
  <c r="AD601" i="144"/>
  <c r="AD600" i="144"/>
  <c r="AD599" i="144"/>
  <c r="AD598" i="144"/>
  <c r="AD597" i="144"/>
  <c r="AD596" i="144"/>
  <c r="AD595" i="144"/>
  <c r="AD594" i="144"/>
  <c r="AD593" i="144"/>
  <c r="AD592" i="144"/>
  <c r="AD591" i="144"/>
  <c r="AD590" i="144"/>
  <c r="AD589" i="144"/>
  <c r="AD588" i="144"/>
  <c r="AD587" i="144"/>
  <c r="AD586" i="144"/>
  <c r="AD585" i="144"/>
  <c r="AD584" i="144"/>
  <c r="AD583" i="144"/>
  <c r="AD582" i="144"/>
  <c r="AD581" i="144"/>
  <c r="AD580" i="144"/>
  <c r="AD579" i="144"/>
  <c r="AD578" i="144"/>
  <c r="AD577" i="144"/>
  <c r="AD576" i="144"/>
  <c r="AD575" i="144"/>
  <c r="AD574" i="144"/>
  <c r="AD573" i="144"/>
  <c r="AD572" i="144"/>
  <c r="AD571" i="144"/>
  <c r="AD570" i="144"/>
  <c r="AD569" i="144"/>
  <c r="AD568" i="144"/>
  <c r="AD567" i="144"/>
  <c r="AD566" i="144"/>
  <c r="AD565" i="144"/>
  <c r="AD564" i="144"/>
  <c r="AD563" i="144"/>
  <c r="AD562" i="144"/>
  <c r="AD561" i="144"/>
  <c r="AD560" i="144"/>
  <c r="AD559" i="144"/>
  <c r="AD558" i="144"/>
  <c r="AD557" i="144"/>
  <c r="AD556" i="144"/>
  <c r="AD555" i="144"/>
  <c r="AD554" i="144"/>
  <c r="AD553" i="144"/>
  <c r="AD552" i="144"/>
  <c r="AD551" i="144"/>
  <c r="AD550" i="144"/>
  <c r="AD549" i="144"/>
  <c r="AD548" i="144"/>
  <c r="AD547" i="144"/>
  <c r="AD546" i="144"/>
  <c r="AD545" i="144"/>
  <c r="AD544" i="144"/>
  <c r="AD543" i="144"/>
  <c r="AD542" i="144"/>
  <c r="AD541" i="144"/>
  <c r="AD540" i="144"/>
  <c r="AD539" i="144"/>
  <c r="AD538" i="144"/>
  <c r="AD537" i="144"/>
  <c r="AD536" i="144"/>
  <c r="AD535" i="144"/>
  <c r="AD534" i="144"/>
  <c r="AD533" i="144"/>
  <c r="AD532" i="144"/>
  <c r="AD531" i="144"/>
  <c r="AD530" i="144"/>
  <c r="AD529" i="144"/>
  <c r="AD528" i="144"/>
  <c r="AD527" i="144"/>
  <c r="AD526" i="144"/>
  <c r="AD525" i="144"/>
  <c r="AD524" i="144"/>
  <c r="AD523" i="144"/>
  <c r="AD522" i="144"/>
  <c r="AD521" i="144"/>
  <c r="AD520" i="144"/>
  <c r="AD519" i="144"/>
  <c r="AD518" i="144"/>
  <c r="AD517" i="144"/>
  <c r="AD516" i="144"/>
  <c r="AD515" i="144"/>
  <c r="AD514" i="144"/>
  <c r="AD513" i="144"/>
  <c r="AD512" i="144"/>
  <c r="AD511" i="144"/>
  <c r="AD510" i="144"/>
  <c r="AD509" i="144"/>
  <c r="AD508" i="144"/>
  <c r="AD507" i="144"/>
  <c r="AD506" i="144"/>
  <c r="AD505" i="144"/>
  <c r="AD504" i="144"/>
  <c r="AD503" i="144"/>
  <c r="AD502" i="144"/>
  <c r="AD501" i="144"/>
  <c r="AD500" i="144"/>
  <c r="AD499" i="144"/>
  <c r="AD498" i="144"/>
  <c r="AD497" i="144"/>
  <c r="AD496" i="144"/>
  <c r="AD495" i="144"/>
  <c r="AD494" i="144"/>
  <c r="AD493" i="144"/>
  <c r="AD492" i="144"/>
  <c r="AD491" i="144"/>
  <c r="AD490" i="144"/>
  <c r="AD489" i="144"/>
  <c r="AD488" i="144"/>
  <c r="AD487" i="144"/>
  <c r="AD486" i="144"/>
  <c r="AD485" i="144"/>
  <c r="AD484" i="144"/>
  <c r="AD483" i="144"/>
  <c r="AD482" i="144"/>
  <c r="AD481" i="144"/>
  <c r="AD480" i="144"/>
  <c r="AD479" i="144"/>
  <c r="AD478" i="144"/>
  <c r="AD477" i="144"/>
  <c r="AD476" i="144"/>
  <c r="AD475" i="144"/>
  <c r="AD474" i="144"/>
  <c r="AD473" i="144"/>
  <c r="AD472" i="144"/>
  <c r="AD471" i="144"/>
  <c r="AD470" i="144"/>
  <c r="AD469" i="144"/>
  <c r="AD468" i="144"/>
  <c r="AD467" i="144"/>
  <c r="AD466" i="144"/>
  <c r="AD465" i="144"/>
  <c r="AD464" i="144"/>
  <c r="AD463" i="144"/>
  <c r="AD462" i="144"/>
  <c r="AD461" i="144"/>
  <c r="AD460" i="144"/>
  <c r="AD459" i="144"/>
  <c r="AD458" i="144"/>
  <c r="AD457" i="144"/>
  <c r="AD456" i="144"/>
  <c r="AD455" i="144"/>
  <c r="AD454" i="144"/>
  <c r="AD453" i="144"/>
  <c r="AD452" i="144"/>
  <c r="AD451" i="144"/>
  <c r="AD450" i="144"/>
  <c r="AD449" i="144"/>
  <c r="AD448" i="144"/>
  <c r="AD447" i="144"/>
  <c r="AD446" i="144"/>
  <c r="AD445" i="144"/>
  <c r="AD444" i="144"/>
  <c r="AD443" i="144"/>
  <c r="AD442" i="144"/>
  <c r="AD441" i="144"/>
  <c r="AD440" i="144"/>
  <c r="AD439" i="144"/>
  <c r="AD438" i="144"/>
  <c r="AD437" i="144"/>
  <c r="AD436" i="144"/>
  <c r="AD435" i="144"/>
  <c r="AD434" i="144"/>
  <c r="AD433" i="144"/>
  <c r="AD432" i="144"/>
  <c r="AD431" i="144"/>
  <c r="AD430" i="144"/>
  <c r="AD429" i="144"/>
  <c r="AD428" i="144"/>
  <c r="AD427" i="144"/>
  <c r="AD426" i="144"/>
  <c r="AD425" i="144"/>
  <c r="AD424" i="144"/>
  <c r="AD423" i="144"/>
  <c r="AD422" i="144"/>
  <c r="AD421" i="144"/>
  <c r="AD420" i="144"/>
  <c r="AD419" i="144"/>
  <c r="AD418" i="144"/>
  <c r="AD417" i="144"/>
  <c r="AD416" i="144"/>
  <c r="AD415" i="144"/>
  <c r="AD414" i="144"/>
  <c r="AD413" i="144"/>
  <c r="AD412" i="144"/>
  <c r="AD411" i="144"/>
  <c r="AD410" i="144"/>
  <c r="AD409" i="144"/>
  <c r="AD408" i="144"/>
  <c r="AD407" i="144"/>
  <c r="AD406" i="144"/>
  <c r="AD405" i="144"/>
  <c r="AD404" i="144"/>
  <c r="AD403" i="144"/>
  <c r="AD402" i="144"/>
  <c r="AD401" i="144"/>
  <c r="AD400" i="144"/>
  <c r="AD399" i="144"/>
  <c r="AD398" i="144"/>
  <c r="AD397" i="144"/>
  <c r="AD396" i="144"/>
  <c r="AD395" i="144"/>
  <c r="AD394" i="144"/>
  <c r="AD393" i="144"/>
  <c r="AD392" i="144"/>
  <c r="AD391" i="144"/>
  <c r="AD390" i="144"/>
  <c r="AD389" i="144"/>
  <c r="AD388" i="144"/>
  <c r="AD387" i="144"/>
  <c r="AD386" i="144"/>
  <c r="AD385" i="144"/>
  <c r="AD384" i="144"/>
  <c r="AD383" i="144"/>
  <c r="AD382" i="144"/>
  <c r="AD381" i="144"/>
  <c r="AD380" i="144"/>
  <c r="AD379" i="144"/>
  <c r="AD378" i="144"/>
  <c r="AD377" i="144"/>
  <c r="AD376" i="144"/>
  <c r="AD375" i="144"/>
  <c r="AD374" i="144"/>
  <c r="AD373" i="144"/>
  <c r="D373" i="144"/>
  <c r="AD372" i="144"/>
  <c r="AD371" i="144"/>
  <c r="D371" i="144"/>
  <c r="AD370" i="144"/>
  <c r="AD369" i="144"/>
  <c r="AD368" i="144"/>
  <c r="AD367" i="144"/>
  <c r="AD366" i="144"/>
  <c r="D366" i="144"/>
  <c r="AD365" i="144"/>
  <c r="AD364" i="144"/>
  <c r="AD363" i="144"/>
  <c r="AD362" i="144"/>
  <c r="D362" i="144"/>
  <c r="AD361" i="144"/>
  <c r="AD360" i="144"/>
  <c r="AD359" i="144"/>
  <c r="K358" i="144"/>
  <c r="AD358" i="144" s="1"/>
  <c r="D358" i="144"/>
  <c r="AD357" i="144"/>
  <c r="AD356" i="144"/>
  <c r="AD355" i="144"/>
  <c r="AD354" i="144"/>
  <c r="K354" i="144"/>
  <c r="AD353" i="144"/>
  <c r="Q352" i="144"/>
  <c r="N352" i="144"/>
  <c r="M352" i="144"/>
  <c r="K352" i="144"/>
  <c r="J352" i="144"/>
  <c r="AD352" i="144" s="1"/>
  <c r="I352" i="144"/>
  <c r="AD351" i="144"/>
  <c r="AD350" i="144"/>
  <c r="P349" i="144"/>
  <c r="O349" i="144"/>
  <c r="N349" i="144"/>
  <c r="M349" i="144"/>
  <c r="L349" i="144"/>
  <c r="K349" i="144"/>
  <c r="J349" i="144"/>
  <c r="I349" i="144"/>
  <c r="AD348" i="144"/>
  <c r="AD347" i="144"/>
  <c r="AD346" i="144"/>
  <c r="AD345" i="144"/>
  <c r="AD344" i="144"/>
  <c r="AD343" i="144"/>
  <c r="AD342" i="144"/>
  <c r="AD341" i="144"/>
  <c r="AD340" i="144"/>
  <c r="AD339" i="144"/>
  <c r="AD338" i="144"/>
  <c r="AD337" i="144"/>
  <c r="AD336" i="144"/>
  <c r="AD335" i="144"/>
  <c r="AD334" i="144"/>
  <c r="AD333" i="144"/>
  <c r="AD332" i="144"/>
  <c r="AD331" i="144"/>
  <c r="AD330" i="144"/>
  <c r="AD329" i="144"/>
  <c r="AD328" i="144"/>
  <c r="AD327" i="144"/>
  <c r="AD326" i="144"/>
  <c r="AD325" i="144"/>
  <c r="AD324" i="144"/>
  <c r="AD323" i="144"/>
  <c r="AD322" i="144"/>
  <c r="AD321" i="144"/>
  <c r="AD320" i="144"/>
  <c r="AD319" i="144"/>
  <c r="AD318" i="144"/>
  <c r="AD317" i="144"/>
  <c r="AD316" i="144"/>
  <c r="AD315" i="144"/>
  <c r="AD314" i="144"/>
  <c r="AD313" i="144"/>
  <c r="AD312" i="144"/>
  <c r="AD311" i="144"/>
  <c r="AD310" i="144"/>
  <c r="AD309" i="144"/>
  <c r="AD308" i="144"/>
  <c r="AD307" i="144"/>
  <c r="AD306" i="144"/>
  <c r="AD305" i="144"/>
  <c r="AD304" i="144"/>
  <c r="AD303" i="144"/>
  <c r="AD302" i="144"/>
  <c r="AD301" i="144"/>
  <c r="AD300" i="144"/>
  <c r="AD299" i="144"/>
  <c r="AD298" i="144"/>
  <c r="AD297" i="144"/>
  <c r="AD296" i="144"/>
  <c r="AD295" i="144"/>
  <c r="AD294" i="144"/>
  <c r="AD293" i="144"/>
  <c r="AD292" i="144"/>
  <c r="AD291" i="144"/>
  <c r="AD290" i="144"/>
  <c r="AD289" i="144"/>
  <c r="AD288" i="144"/>
  <c r="AD287" i="144"/>
  <c r="AD286" i="144"/>
  <c r="AD285" i="144"/>
  <c r="AD284" i="144"/>
  <c r="AD283" i="144"/>
  <c r="AD282" i="144"/>
  <c r="AD281" i="144"/>
  <c r="AD280" i="144"/>
  <c r="AD279" i="144"/>
  <c r="AD278" i="144"/>
  <c r="AD277" i="144"/>
  <c r="AD276" i="144"/>
  <c r="AD275" i="144"/>
  <c r="AD274" i="144"/>
  <c r="AD273" i="144"/>
  <c r="AD272" i="144"/>
  <c r="AD271" i="144"/>
  <c r="AD270" i="144"/>
  <c r="AD269" i="144"/>
  <c r="AD268" i="144"/>
  <c r="AD267" i="144"/>
  <c r="AD266" i="144"/>
  <c r="AD265" i="144"/>
  <c r="AD264" i="144"/>
  <c r="AD263" i="144"/>
  <c r="AD262" i="144"/>
  <c r="AD261" i="144"/>
  <c r="AD260" i="144"/>
  <c r="AD259" i="144"/>
  <c r="AD258" i="144"/>
  <c r="AD257" i="144"/>
  <c r="AD256" i="144"/>
  <c r="AD255" i="144"/>
  <c r="AD254" i="144"/>
  <c r="AD253" i="144"/>
  <c r="AD252" i="144"/>
  <c r="AD251" i="144"/>
  <c r="AD250" i="144"/>
  <c r="AD249" i="144"/>
  <c r="AD248" i="144"/>
  <c r="AD247" i="144"/>
  <c r="AD246" i="144"/>
  <c r="AD245" i="144"/>
  <c r="AD244" i="144"/>
  <c r="AD243" i="144"/>
  <c r="AD242" i="144"/>
  <c r="AD241" i="144"/>
  <c r="AD240" i="144"/>
  <c r="AD239" i="144"/>
  <c r="AD238" i="144"/>
  <c r="AD237" i="144"/>
  <c r="AD236" i="144"/>
  <c r="AD235" i="144"/>
  <c r="AD234" i="144"/>
  <c r="AD233" i="144"/>
  <c r="AD232" i="144"/>
  <c r="AD231" i="144"/>
  <c r="AD230" i="144"/>
  <c r="AD229" i="144"/>
  <c r="AD228" i="144"/>
  <c r="AD227" i="144"/>
  <c r="AD226" i="144"/>
  <c r="AD225" i="144"/>
  <c r="AD224" i="144"/>
  <c r="AD223" i="144"/>
  <c r="AD222" i="144"/>
  <c r="AD221" i="144"/>
  <c r="AD220" i="144"/>
  <c r="AD219" i="144"/>
  <c r="AD218" i="144"/>
  <c r="AD217" i="144"/>
  <c r="AD216" i="144"/>
  <c r="AD215" i="144"/>
  <c r="AD214" i="144"/>
  <c r="AD213" i="144"/>
  <c r="AD212" i="144"/>
  <c r="AD211" i="144"/>
  <c r="AD210" i="144"/>
  <c r="AD209" i="144"/>
  <c r="AD208" i="144"/>
  <c r="AD207" i="144"/>
  <c r="AD206" i="144"/>
  <c r="AD205" i="144"/>
  <c r="AD204" i="144"/>
  <c r="AD203" i="144"/>
  <c r="AD202" i="144"/>
  <c r="AD201" i="144"/>
  <c r="AD200" i="144"/>
  <c r="AD199" i="144"/>
  <c r="AD198" i="144"/>
  <c r="AD197" i="144"/>
  <c r="AD196" i="144"/>
  <c r="AD195" i="144"/>
  <c r="AD194" i="144"/>
  <c r="L193" i="144"/>
  <c r="AD193" i="144" s="1"/>
  <c r="I193" i="144"/>
  <c r="AD192" i="144"/>
  <c r="L191" i="144"/>
  <c r="I191" i="144"/>
  <c r="AD191" i="144" s="1"/>
  <c r="AD190" i="144"/>
  <c r="L189" i="144"/>
  <c r="I189" i="144"/>
  <c r="AD189" i="144" s="1"/>
  <c r="AD188" i="144"/>
  <c r="L187" i="144"/>
  <c r="I187" i="144"/>
  <c r="AD187" i="144" s="1"/>
  <c r="AD186" i="144"/>
  <c r="L185" i="144"/>
  <c r="I185" i="144"/>
  <c r="AD185" i="144" s="1"/>
  <c r="AD184" i="144"/>
  <c r="L183" i="144"/>
  <c r="I183" i="144"/>
  <c r="AD183" i="144" s="1"/>
  <c r="AD182" i="144"/>
  <c r="AD181" i="144"/>
  <c r="L180" i="144"/>
  <c r="K180" i="144"/>
  <c r="AD180" i="144" s="1"/>
  <c r="J180" i="144"/>
  <c r="I180" i="144"/>
  <c r="AD179" i="144"/>
  <c r="L178" i="144"/>
  <c r="K178" i="144"/>
  <c r="J178" i="144"/>
  <c r="I178" i="144"/>
  <c r="AD178" i="144" s="1"/>
  <c r="AD177" i="144"/>
  <c r="AD176" i="144"/>
  <c r="AD175" i="144"/>
  <c r="L175" i="144"/>
  <c r="AD174" i="144"/>
  <c r="AD173" i="144"/>
  <c r="L173" i="144"/>
  <c r="AD172" i="144"/>
  <c r="AD171" i="144"/>
  <c r="AD170" i="144"/>
  <c r="AD169" i="144"/>
  <c r="L169" i="144"/>
  <c r="AD168" i="144"/>
  <c r="AD167" i="144"/>
  <c r="L167" i="144"/>
  <c r="AD166" i="144"/>
  <c r="AD165" i="144"/>
  <c r="L165" i="144"/>
  <c r="AD164" i="144"/>
  <c r="L163" i="144"/>
  <c r="AD163" i="144" s="1"/>
  <c r="AD162" i="144"/>
  <c r="AD161" i="144"/>
  <c r="AD160" i="144"/>
  <c r="AD159" i="144"/>
  <c r="AD158" i="144"/>
  <c r="D158" i="144"/>
  <c r="AD157" i="144"/>
  <c r="AD156" i="144"/>
  <c r="AD155" i="144"/>
  <c r="AD154" i="144"/>
  <c r="T154" i="144"/>
  <c r="S153" i="144"/>
  <c r="AD153" i="144" s="1"/>
  <c r="AD152" i="144"/>
  <c r="T152" i="144"/>
  <c r="P151" i="144"/>
  <c r="AD151" i="144" s="1"/>
  <c r="AD150" i="144"/>
  <c r="AD149" i="144"/>
  <c r="I149" i="144"/>
  <c r="AD148" i="144"/>
  <c r="AD147" i="144"/>
  <c r="T147" i="144"/>
  <c r="AD146" i="144"/>
  <c r="AD145" i="144"/>
  <c r="T144" i="144"/>
  <c r="AD144" i="144" s="1"/>
  <c r="P143" i="144"/>
  <c r="AD143" i="144" s="1"/>
  <c r="D143" i="144"/>
  <c r="T142" i="144"/>
  <c r="AD142" i="144" s="1"/>
  <c r="S141" i="144"/>
  <c r="P141" i="144"/>
  <c r="AD141" i="144" s="1"/>
  <c r="D141" i="144"/>
  <c r="AD140" i="144"/>
  <c r="AD139" i="144"/>
  <c r="S139" i="144"/>
  <c r="P139" i="144"/>
  <c r="T138" i="144"/>
  <c r="AD138" i="144" s="1"/>
  <c r="P137" i="144"/>
  <c r="O137" i="144"/>
  <c r="N137" i="144"/>
  <c r="M137" i="144"/>
  <c r="K137" i="144"/>
  <c r="J137" i="144"/>
  <c r="D137" i="144"/>
  <c r="AD136" i="144"/>
  <c r="O135" i="144"/>
  <c r="N135" i="144"/>
  <c r="M135" i="144"/>
  <c r="AD135" i="144" s="1"/>
  <c r="L135" i="144"/>
  <c r="K135" i="144"/>
  <c r="T134" i="144"/>
  <c r="AD134" i="144" s="1"/>
  <c r="S133" i="144"/>
  <c r="Q133" i="144"/>
  <c r="P133" i="144"/>
  <c r="O133" i="144"/>
  <c r="N133" i="144"/>
  <c r="M133" i="144"/>
  <c r="K133" i="144"/>
  <c r="J133" i="144"/>
  <c r="D133" i="144"/>
  <c r="AD132" i="144"/>
  <c r="AD131" i="144"/>
  <c r="J131" i="144"/>
  <c r="T130" i="144"/>
  <c r="AD130" i="144" s="1"/>
  <c r="S129" i="144"/>
  <c r="Q129" i="144"/>
  <c r="P129" i="144"/>
  <c r="O129" i="144"/>
  <c r="N129" i="144"/>
  <c r="M129" i="144"/>
  <c r="L129" i="144"/>
  <c r="K129" i="144"/>
  <c r="J129" i="144"/>
  <c r="AD129" i="144" s="1"/>
  <c r="D129" i="144"/>
  <c r="AD128" i="144"/>
  <c r="T128" i="144"/>
  <c r="S127" i="144"/>
  <c r="Q127" i="144"/>
  <c r="P127" i="144"/>
  <c r="O127" i="144"/>
  <c r="N127" i="144"/>
  <c r="M127" i="144"/>
  <c r="L127" i="144"/>
  <c r="K127" i="144"/>
  <c r="D127" i="144"/>
  <c r="AD126" i="144"/>
  <c r="AD125" i="144"/>
  <c r="P125" i="144"/>
  <c r="O125" i="144"/>
  <c r="N125" i="144"/>
  <c r="M125" i="144"/>
  <c r="L125" i="144"/>
  <c r="K125" i="144"/>
  <c r="D125" i="144"/>
  <c r="AD124" i="144"/>
  <c r="T123" i="144"/>
  <c r="AD123" i="144" s="1"/>
  <c r="S122" i="144"/>
  <c r="S2496" i="144" s="1"/>
  <c r="Q122" i="144"/>
  <c r="P122" i="144"/>
  <c r="O122" i="144"/>
  <c r="N122" i="144"/>
  <c r="M122" i="144"/>
  <c r="L122" i="144"/>
  <c r="K122" i="144"/>
  <c r="AD122" i="144" s="1"/>
  <c r="D122" i="144"/>
  <c r="T121" i="144"/>
  <c r="AD121" i="144" s="1"/>
  <c r="S120" i="144"/>
  <c r="Q120" i="144"/>
  <c r="P120" i="144"/>
  <c r="O120" i="144"/>
  <c r="N120" i="144"/>
  <c r="M120" i="144"/>
  <c r="L120" i="144"/>
  <c r="K120" i="144"/>
  <c r="D120" i="144"/>
  <c r="AD119" i="144"/>
  <c r="AD118" i="144"/>
  <c r="AD117" i="144"/>
  <c r="M116" i="144"/>
  <c r="K116" i="144"/>
  <c r="AD116" i="144" s="1"/>
  <c r="J116" i="144"/>
  <c r="I116" i="144"/>
  <c r="AD115" i="144"/>
  <c r="AD114" i="144"/>
  <c r="K114" i="144"/>
  <c r="J114" i="144"/>
  <c r="I114" i="144"/>
  <c r="AD113" i="144"/>
  <c r="N112" i="144"/>
  <c r="M112" i="144"/>
  <c r="K112" i="144"/>
  <c r="J112" i="144"/>
  <c r="I112" i="144"/>
  <c r="D112" i="144"/>
  <c r="AD111" i="144"/>
  <c r="AD110" i="144"/>
  <c r="J109" i="144"/>
  <c r="I109" i="144"/>
  <c r="AD109" i="144" s="1"/>
  <c r="AD108" i="144"/>
  <c r="N107" i="144"/>
  <c r="M107" i="144"/>
  <c r="L107" i="144"/>
  <c r="K107" i="144"/>
  <c r="J107" i="144"/>
  <c r="I107" i="144"/>
  <c r="AD107" i="144" s="1"/>
  <c r="D107" i="144"/>
  <c r="AF107" i="144" s="1"/>
  <c r="AD106" i="144"/>
  <c r="N105" i="144"/>
  <c r="M105" i="144"/>
  <c r="L105" i="144"/>
  <c r="K105" i="144"/>
  <c r="J105" i="144"/>
  <c r="I105" i="144"/>
  <c r="AD104" i="144"/>
  <c r="M103" i="144"/>
  <c r="L103" i="144"/>
  <c r="K103" i="144"/>
  <c r="J103" i="144"/>
  <c r="I103" i="144"/>
  <c r="AD103" i="144" s="1"/>
  <c r="AD102" i="144"/>
  <c r="AD101" i="144"/>
  <c r="K100" i="144"/>
  <c r="AD100" i="144" s="1"/>
  <c r="J100" i="144"/>
  <c r="I100" i="144"/>
  <c r="AD99" i="144"/>
  <c r="K98" i="144"/>
  <c r="AD98" i="144" s="1"/>
  <c r="J98" i="144"/>
  <c r="I98" i="144"/>
  <c r="AD97" i="144"/>
  <c r="J96" i="144"/>
  <c r="I96" i="144"/>
  <c r="AD96" i="144" s="1"/>
  <c r="AD95" i="144"/>
  <c r="AD94" i="144"/>
  <c r="P93" i="144"/>
  <c r="M93" i="144"/>
  <c r="L93" i="144"/>
  <c r="K93" i="144"/>
  <c r="J93" i="144"/>
  <c r="I93" i="144"/>
  <c r="D93" i="144"/>
  <c r="AD92" i="144"/>
  <c r="P91" i="144"/>
  <c r="AD91" i="144" s="1"/>
  <c r="N91" i="144"/>
  <c r="M91" i="144"/>
  <c r="L91" i="144"/>
  <c r="K91" i="144"/>
  <c r="J91" i="144"/>
  <c r="I91" i="144"/>
  <c r="D91" i="144"/>
  <c r="AD90" i="144"/>
  <c r="P89" i="144"/>
  <c r="N89" i="144"/>
  <c r="M89" i="144"/>
  <c r="L89" i="144"/>
  <c r="K89" i="144"/>
  <c r="J89" i="144"/>
  <c r="I89" i="144"/>
  <c r="AD89" i="144" s="1"/>
  <c r="AD88" i="144"/>
  <c r="AD87" i="144"/>
  <c r="N86" i="144"/>
  <c r="M86" i="144"/>
  <c r="L86" i="144"/>
  <c r="K86" i="144"/>
  <c r="J86" i="144"/>
  <c r="I86" i="144"/>
  <c r="H86" i="144"/>
  <c r="AD85" i="144"/>
  <c r="AC84" i="144"/>
  <c r="P84" i="144"/>
  <c r="N84" i="144"/>
  <c r="M84" i="144"/>
  <c r="L84" i="144"/>
  <c r="K84" i="144"/>
  <c r="J84" i="144"/>
  <c r="I84" i="144"/>
  <c r="AD83" i="144"/>
  <c r="N82" i="144"/>
  <c r="M82" i="144"/>
  <c r="L82" i="144"/>
  <c r="K82" i="144"/>
  <c r="J82" i="144"/>
  <c r="I82" i="144"/>
  <c r="H82" i="144"/>
  <c r="D82" i="144"/>
  <c r="AD81" i="144"/>
  <c r="AD80" i="144"/>
  <c r="P79" i="144"/>
  <c r="O79" i="144"/>
  <c r="N79" i="144"/>
  <c r="M79" i="144"/>
  <c r="L79" i="144"/>
  <c r="K79" i="144"/>
  <c r="J79" i="144"/>
  <c r="I79" i="144"/>
  <c r="H79" i="144"/>
  <c r="AD79" i="144" s="1"/>
  <c r="D79" i="144"/>
  <c r="AD78" i="144"/>
  <c r="N77" i="144"/>
  <c r="M77" i="144"/>
  <c r="L77" i="144"/>
  <c r="K77" i="144"/>
  <c r="J77" i="144"/>
  <c r="AD77" i="144" s="1"/>
  <c r="I77" i="144"/>
  <c r="AD76" i="144"/>
  <c r="N75" i="144"/>
  <c r="M75" i="144"/>
  <c r="L75" i="144"/>
  <c r="K75" i="144"/>
  <c r="J75" i="144"/>
  <c r="I75" i="144"/>
  <c r="H75" i="144"/>
  <c r="AD73" i="144"/>
  <c r="AD72" i="144"/>
  <c r="L72" i="144"/>
  <c r="H72" i="144"/>
  <c r="AD71" i="144"/>
  <c r="AD70" i="144"/>
  <c r="L70" i="144"/>
  <c r="H70" i="144"/>
  <c r="AD69" i="144"/>
  <c r="AD68" i="144"/>
  <c r="L68" i="144"/>
  <c r="H68" i="144"/>
  <c r="AD67" i="144"/>
  <c r="AD66" i="144"/>
  <c r="L65" i="144"/>
  <c r="H65" i="144"/>
  <c r="AD65" i="144" s="1"/>
  <c r="D65" i="144"/>
  <c r="AD64" i="144"/>
  <c r="L63" i="144"/>
  <c r="H63" i="144"/>
  <c r="AD63" i="144" s="1"/>
  <c r="AD60" i="144"/>
  <c r="T60" i="144"/>
  <c r="K59" i="144"/>
  <c r="H59" i="144"/>
  <c r="G59" i="144"/>
  <c r="D59" i="144"/>
  <c r="AC59" i="144" s="1"/>
  <c r="AD57" i="144"/>
  <c r="K56" i="144"/>
  <c r="H56" i="144"/>
  <c r="G56" i="144"/>
  <c r="AD56" i="144" s="1"/>
  <c r="D56" i="144"/>
  <c r="AD55" i="144"/>
  <c r="AD54" i="144"/>
  <c r="AD53" i="144"/>
  <c r="AD52" i="144"/>
  <c r="J51" i="144"/>
  <c r="AD51" i="144" s="1"/>
  <c r="AD50" i="144"/>
  <c r="AD49" i="144"/>
  <c r="H49" i="144"/>
  <c r="AD48" i="144"/>
  <c r="AD47" i="144"/>
  <c r="G47" i="144"/>
  <c r="AD46" i="144"/>
  <c r="J45" i="144"/>
  <c r="AD44" i="144"/>
  <c r="G43" i="144"/>
  <c r="AD43" i="144" s="1"/>
  <c r="AD42" i="144"/>
  <c r="H41" i="144"/>
  <c r="AD41" i="144" s="1"/>
  <c r="AD40" i="144"/>
  <c r="AD39" i="144"/>
  <c r="L38" i="144"/>
  <c r="H38" i="144"/>
  <c r="AD38" i="144" s="1"/>
  <c r="AD37" i="144"/>
  <c r="G36" i="144"/>
  <c r="AD36" i="144" s="1"/>
  <c r="AD35" i="144"/>
  <c r="AD34" i="144"/>
  <c r="G33" i="144"/>
  <c r="AD33" i="144" s="1"/>
  <c r="AD32" i="144"/>
  <c r="AD31" i="144"/>
  <c r="F31" i="144"/>
  <c r="AD30" i="144"/>
  <c r="AD29" i="144"/>
  <c r="AD28" i="144"/>
  <c r="I27" i="144"/>
  <c r="AD27" i="144" s="1"/>
  <c r="AD26" i="144"/>
  <c r="AD25" i="144"/>
  <c r="I25" i="144"/>
  <c r="AD24" i="144"/>
  <c r="AD23" i="144"/>
  <c r="F22" i="144"/>
  <c r="AD22" i="144" s="1"/>
  <c r="AD21" i="144"/>
  <c r="AD20" i="144"/>
  <c r="I20" i="144"/>
  <c r="AD19" i="144"/>
  <c r="F18" i="144"/>
  <c r="AD17" i="144"/>
  <c r="J16" i="144"/>
  <c r="I16" i="144"/>
  <c r="AD16" i="144" s="1"/>
  <c r="S11" i="144"/>
  <c r="K11" i="144"/>
  <c r="N11" i="144" s="1"/>
  <c r="P11" i="144" s="1"/>
  <c r="J11" i="144"/>
  <c r="F8" i="144"/>
  <c r="C6" i="144"/>
  <c r="I38" i="145" l="1"/>
  <c r="F23" i="145"/>
  <c r="F27" i="145"/>
  <c r="F31" i="145"/>
  <c r="F35" i="145"/>
  <c r="F39" i="145"/>
  <c r="Y2502" i="144"/>
  <c r="Z2502" i="144" s="1"/>
  <c r="AA2502" i="144" s="1"/>
  <c r="AB2502" i="144" s="1"/>
  <c r="AC2502" i="144" s="1"/>
  <c r="G18" i="145"/>
  <c r="G19" i="145" s="1"/>
  <c r="G20" i="145" s="1"/>
  <c r="G21" i="145" s="1"/>
  <c r="G22" i="145" s="1"/>
  <c r="J17" i="145"/>
  <c r="J18" i="145"/>
  <c r="J19" i="145" s="1"/>
  <c r="J20" i="145" s="1"/>
  <c r="J21" i="145" s="1"/>
  <c r="J22" i="145" s="1"/>
  <c r="J23" i="145" s="1"/>
  <c r="J24" i="145" s="1"/>
  <c r="J25" i="145" s="1"/>
  <c r="J26" i="145" s="1"/>
  <c r="J27" i="145" s="1"/>
  <c r="J28" i="145" s="1"/>
  <c r="J29" i="145" s="1"/>
  <c r="J30" i="145" s="1"/>
  <c r="J31" i="145" s="1"/>
  <c r="J32" i="145" s="1"/>
  <c r="J33" i="145" s="1"/>
  <c r="J34" i="145" s="1"/>
  <c r="J35" i="145" s="1"/>
  <c r="I36" i="145"/>
  <c r="J41" i="145" s="1"/>
  <c r="I2496" i="144"/>
  <c r="N2499" i="144"/>
  <c r="N2500" i="144" s="1"/>
  <c r="N2496" i="144"/>
  <c r="H2496" i="144"/>
  <c r="AD59" i="144"/>
  <c r="Z2496" i="144"/>
  <c r="AD1125" i="144"/>
  <c r="AD1076" i="144"/>
  <c r="AD2289" i="144"/>
  <c r="AD2281" i="144"/>
  <c r="M11" i="144"/>
  <c r="L11" i="144"/>
  <c r="O11" i="144"/>
  <c r="Q11" i="144" s="1"/>
  <c r="AA2281" i="144"/>
  <c r="AB2281" i="144" s="1"/>
  <c r="AC2281" i="144" s="1"/>
  <c r="AA2273" i="144"/>
  <c r="AB2273" i="144" s="1"/>
  <c r="AC2273" i="144" s="1"/>
  <c r="AD2273" i="144"/>
  <c r="D2494" i="144"/>
  <c r="AD75" i="144"/>
  <c r="AD133" i="144"/>
  <c r="AB2276" i="144"/>
  <c r="AC2276" i="144" s="1"/>
  <c r="AD2276" i="144"/>
  <c r="AD18" i="144"/>
  <c r="AD84" i="144"/>
  <c r="AD105" i="144"/>
  <c r="AD120" i="144"/>
  <c r="AD127" i="144"/>
  <c r="AA2285" i="144"/>
  <c r="AB2285" i="144" s="1"/>
  <c r="AC2285" i="144" s="1"/>
  <c r="AD2285" i="144"/>
  <c r="AD82" i="144"/>
  <c r="H2502" i="144"/>
  <c r="I2502" i="144" s="1"/>
  <c r="J2502" i="144" s="1"/>
  <c r="K2502" i="144" s="1"/>
  <c r="L2502" i="144" s="1"/>
  <c r="AD93" i="144"/>
  <c r="AD349" i="144"/>
  <c r="AA2278" i="144"/>
  <c r="AB2278" i="144" s="1"/>
  <c r="AC2278" i="144" s="1"/>
  <c r="AD45" i="144"/>
  <c r="AD86" i="144"/>
  <c r="AD112" i="144"/>
  <c r="AD946" i="144"/>
  <c r="AD2287" i="144"/>
  <c r="AD883" i="144"/>
  <c r="X2506" i="144"/>
  <c r="X2496" i="144"/>
  <c r="R2496" i="144"/>
  <c r="G23" i="145" l="1"/>
  <c r="G24" i="145" s="1"/>
  <c r="G25" i="145" s="1"/>
  <c r="G26" i="145" s="1"/>
  <c r="G27" i="145" s="1"/>
  <c r="G28" i="145" s="1"/>
  <c r="G29" i="145" s="1"/>
  <c r="G30" i="145" s="1"/>
  <c r="G31" i="145" s="1"/>
  <c r="G32" i="145" s="1"/>
  <c r="G33" i="145" s="1"/>
  <c r="G34" i="145" s="1"/>
  <c r="G35" i="145" s="1"/>
  <c r="G36" i="145" s="1"/>
  <c r="G37" i="145" s="1"/>
  <c r="G38" i="145" s="1"/>
  <c r="G39" i="145" s="1"/>
  <c r="G40" i="145" s="1"/>
  <c r="I41" i="145"/>
  <c r="J36" i="145"/>
  <c r="J37" i="145" s="1"/>
  <c r="J38" i="145" s="1"/>
  <c r="J39" i="145" s="1"/>
  <c r="J40" i="145" s="1"/>
  <c r="P2496" i="144"/>
  <c r="J2496" i="144"/>
  <c r="T11" i="144"/>
  <c r="R11" i="144"/>
  <c r="X11" i="144" s="1"/>
  <c r="T2499" i="144"/>
  <c r="T2500" i="144" s="1"/>
  <c r="T2497" i="144"/>
  <c r="T2496" i="144"/>
  <c r="L2496" i="144"/>
  <c r="AD2278" i="144"/>
  <c r="AA2496" i="144"/>
  <c r="O2499" i="144"/>
  <c r="O2500" i="144" s="1"/>
  <c r="O2496" i="144"/>
  <c r="K2496" i="144"/>
  <c r="G2497" i="144"/>
  <c r="G2496" i="144"/>
  <c r="Q2496" i="144"/>
  <c r="M2499" i="144"/>
  <c r="M2496" i="144"/>
  <c r="AG2499" i="144" l="1"/>
  <c r="AB2496" i="144"/>
  <c r="AE2499" i="144"/>
  <c r="M2500" i="144"/>
  <c r="M2502" i="144" s="1"/>
  <c r="N2502" i="144" s="1"/>
  <c r="O2502" i="144" s="1"/>
  <c r="P2502" i="144" s="1"/>
  <c r="M2501" i="144"/>
  <c r="N2501" i="144" s="1"/>
  <c r="O2501" i="144" s="1"/>
  <c r="P2501" i="144" s="1"/>
  <c r="Q2501" i="144" s="1"/>
  <c r="R2501" i="144" s="1"/>
  <c r="S2501" i="144" s="1"/>
  <c r="T2501" i="144" s="1"/>
  <c r="G2498" i="144"/>
  <c r="H2497" i="144"/>
  <c r="T2498" i="144"/>
  <c r="U2497" i="144"/>
  <c r="U2501" i="144" l="1"/>
  <c r="H2498" i="144"/>
  <c r="I2497" i="144"/>
  <c r="U2498" i="144"/>
  <c r="V2497" i="144"/>
  <c r="V2498" i="144" l="1"/>
  <c r="W2497" i="144"/>
  <c r="I2498" i="144"/>
  <c r="J2497" i="144"/>
  <c r="V2501" i="144"/>
  <c r="W2501" i="144" l="1"/>
  <c r="J2498" i="144"/>
  <c r="K2497" i="144"/>
  <c r="X2497" i="144"/>
  <c r="W2498" i="144"/>
  <c r="Y2497" i="144" l="1"/>
  <c r="X2498" i="144"/>
  <c r="K2498" i="144"/>
  <c r="L2497" i="144"/>
  <c r="X2501" i="144"/>
  <c r="Y2501" i="144" l="1"/>
  <c r="L2498" i="144"/>
  <c r="M2497" i="144"/>
  <c r="Y2498" i="144"/>
  <c r="Z2497" i="144"/>
  <c r="AA2497" i="144" l="1"/>
  <c r="Z2498" i="144"/>
  <c r="M2498" i="144"/>
  <c r="N2497" i="144"/>
  <c r="Z2501" i="144"/>
  <c r="AA2501" i="144" l="1"/>
  <c r="N2498" i="144"/>
  <c r="O2497" i="144"/>
  <c r="AA2498" i="144"/>
  <c r="AB2497" i="144"/>
  <c r="AB2498" i="144" l="1"/>
  <c r="O2498" i="144"/>
  <c r="P2497" i="144"/>
  <c r="AB2501" i="144"/>
  <c r="AC2501" i="144" s="1"/>
  <c r="AC2498" i="144" l="1"/>
  <c r="AE2496" i="144"/>
  <c r="AE2501" i="144"/>
  <c r="P2498" i="144"/>
  <c r="Q2497" i="144"/>
  <c r="Q2498" i="144" l="1"/>
  <c r="R2497" i="144"/>
  <c r="R2498" i="144" s="1"/>
  <c r="K138" i="140" l="1"/>
  <c r="K139" i="140"/>
  <c r="K20" i="129"/>
  <c r="K21" i="129"/>
  <c r="K22" i="129"/>
  <c r="K23" i="129"/>
  <c r="J222" i="142"/>
  <c r="A55" i="125"/>
  <c r="A23" i="125"/>
  <c r="G60" i="125"/>
  <c r="G27" i="125"/>
  <c r="B3" i="142"/>
  <c r="R215" i="142" l="1"/>
  <c r="H44" i="129" l="1"/>
  <c r="W68" i="142"/>
  <c r="D20" i="125" l="1"/>
  <c r="D77" i="125" s="1"/>
  <c r="D91" i="125" s="1"/>
  <c r="M164" i="142"/>
  <c r="R164" i="142" s="1"/>
  <c r="S21" i="70"/>
  <c r="S22" i="70"/>
  <c r="S24" i="70"/>
  <c r="S25" i="70"/>
  <c r="S26" i="70"/>
  <c r="S27" i="70"/>
  <c r="S28" i="70"/>
  <c r="S29" i="70"/>
  <c r="S30" i="70"/>
  <c r="S31" i="70"/>
  <c r="S32" i="70"/>
  <c r="S33" i="70"/>
  <c r="S34" i="70"/>
  <c r="S35" i="70"/>
  <c r="S36" i="70"/>
  <c r="S37" i="70"/>
  <c r="S38" i="70"/>
  <c r="S39" i="70"/>
  <c r="S40" i="70"/>
  <c r="S41" i="70"/>
  <c r="S42" i="70"/>
  <c r="S43" i="70"/>
  <c r="S44" i="70"/>
  <c r="S45" i="70"/>
  <c r="S46" i="70"/>
  <c r="S47" i="70"/>
  <c r="S48" i="70"/>
  <c r="S49" i="70"/>
  <c r="S50" i="70"/>
  <c r="S51" i="70"/>
  <c r="S52" i="70"/>
  <c r="S53" i="70"/>
  <c r="S54" i="70"/>
  <c r="S55" i="70"/>
  <c r="S56" i="70"/>
  <c r="S57" i="70"/>
  <c r="S58" i="70"/>
  <c r="S59" i="70"/>
  <c r="S60" i="70"/>
  <c r="S61" i="70"/>
  <c r="S62" i="70"/>
  <c r="S63" i="70"/>
  <c r="S64" i="70"/>
  <c r="S65" i="70"/>
  <c r="S66" i="70"/>
  <c r="S67" i="70"/>
  <c r="S68" i="70"/>
  <c r="S69" i="70"/>
  <c r="S70" i="70"/>
  <c r="S71" i="70"/>
  <c r="S72" i="70"/>
  <c r="S73" i="70"/>
  <c r="S74" i="70"/>
  <c r="S75" i="70"/>
  <c r="S76" i="70"/>
  <c r="S77" i="70"/>
  <c r="S78" i="70"/>
  <c r="S79" i="70"/>
  <c r="S80" i="70"/>
  <c r="S81" i="70"/>
  <c r="S82" i="70"/>
  <c r="S83" i="70"/>
  <c r="S84" i="70"/>
  <c r="S85" i="70"/>
  <c r="S86" i="70"/>
  <c r="S87" i="70"/>
  <c r="S88" i="70"/>
  <c r="S89" i="70"/>
  <c r="S90" i="70"/>
  <c r="S91" i="70"/>
  <c r="S92" i="70"/>
  <c r="S93" i="70"/>
  <c r="S94" i="70"/>
  <c r="S95" i="70"/>
  <c r="S96" i="70"/>
  <c r="S97" i="70"/>
  <c r="S98" i="70"/>
  <c r="S99" i="70"/>
  <c r="S100" i="70"/>
  <c r="S101" i="70"/>
  <c r="S102" i="70"/>
  <c r="S103" i="70"/>
  <c r="S104" i="70"/>
  <c r="S105" i="70"/>
  <c r="S106" i="70"/>
  <c r="S107" i="70"/>
  <c r="S108" i="70"/>
  <c r="S109" i="70"/>
  <c r="S110" i="70"/>
  <c r="S111" i="70"/>
  <c r="S112" i="70"/>
  <c r="S113" i="70"/>
  <c r="S114" i="70"/>
  <c r="S115" i="70"/>
  <c r="S116" i="70"/>
  <c r="S117" i="70"/>
  <c r="S118" i="70"/>
  <c r="S119" i="70"/>
  <c r="S120" i="70"/>
  <c r="S121" i="70"/>
  <c r="S122" i="70"/>
  <c r="S123" i="70"/>
  <c r="S124" i="70"/>
  <c r="S125" i="70"/>
  <c r="S126" i="70"/>
  <c r="S127" i="70"/>
  <c r="S128" i="70"/>
  <c r="S129" i="70"/>
  <c r="S130" i="70"/>
  <c r="S131" i="70"/>
  <c r="S132" i="70"/>
  <c r="S133" i="70"/>
  <c r="S134" i="70"/>
  <c r="S135" i="70"/>
  <c r="S136" i="70"/>
  <c r="S137" i="70"/>
  <c r="S138" i="70"/>
  <c r="S139" i="70"/>
  <c r="S140" i="70"/>
  <c r="S141" i="70"/>
  <c r="S142" i="70"/>
  <c r="S143" i="70"/>
  <c r="S144" i="70"/>
  <c r="S145" i="70"/>
  <c r="S146" i="70"/>
  <c r="S147" i="70"/>
  <c r="S148" i="70"/>
  <c r="S149" i="70"/>
  <c r="S150" i="70"/>
  <c r="S151" i="70"/>
  <c r="S152" i="70"/>
  <c r="S153" i="70"/>
  <c r="S154" i="70"/>
  <c r="S155" i="70"/>
  <c r="S156" i="70"/>
  <c r="S157" i="70"/>
  <c r="S158" i="70"/>
  <c r="S159" i="70"/>
  <c r="S160" i="70"/>
  <c r="S161" i="70"/>
  <c r="S162" i="70"/>
  <c r="S163" i="70"/>
  <c r="S164" i="70"/>
  <c r="S167" i="70"/>
  <c r="S168" i="70"/>
  <c r="S169" i="70"/>
  <c r="S170" i="70"/>
  <c r="S171" i="70"/>
  <c r="S172" i="70"/>
  <c r="S173" i="70"/>
  <c r="S174" i="70"/>
  <c r="S175" i="70"/>
  <c r="S176" i="70"/>
  <c r="S177" i="70"/>
  <c r="S178" i="70"/>
  <c r="S179" i="70"/>
  <c r="S180" i="70"/>
  <c r="S181" i="70"/>
  <c r="S182" i="70"/>
  <c r="S183" i="70"/>
  <c r="S184" i="70"/>
  <c r="S185" i="70"/>
  <c r="S186" i="70"/>
  <c r="S187" i="70"/>
  <c r="S188" i="70"/>
  <c r="S189" i="70"/>
  <c r="S190" i="70"/>
  <c r="S191" i="70"/>
  <c r="S192" i="70"/>
  <c r="S193" i="70"/>
  <c r="S194" i="70"/>
  <c r="S195" i="70"/>
  <c r="S196" i="70"/>
  <c r="S197" i="70"/>
  <c r="S198" i="70"/>
  <c r="S199" i="70"/>
  <c r="S200" i="70"/>
  <c r="S201" i="70"/>
  <c r="S202" i="70"/>
  <c r="S203" i="70"/>
  <c r="S204" i="70"/>
  <c r="S205" i="70"/>
  <c r="S206" i="70"/>
  <c r="S207" i="70"/>
  <c r="S208" i="70"/>
  <c r="S209" i="70"/>
  <c r="S210" i="70"/>
  <c r="S211" i="70"/>
  <c r="S212" i="70"/>
  <c r="S213" i="70"/>
  <c r="S214" i="70"/>
  <c r="S215" i="70"/>
  <c r="S216" i="70"/>
  <c r="S217" i="70"/>
  <c r="S218" i="70"/>
  <c r="S219" i="70"/>
  <c r="S220" i="70"/>
  <c r="S221" i="70"/>
  <c r="S222" i="70"/>
  <c r="S223" i="70"/>
  <c r="S224" i="70"/>
  <c r="S225" i="70"/>
  <c r="S226" i="70"/>
  <c r="S227" i="70"/>
  <c r="S228" i="70"/>
  <c r="S229" i="70"/>
  <c r="S230" i="70"/>
  <c r="S231" i="70"/>
  <c r="S232" i="70"/>
  <c r="S233" i="70"/>
  <c r="S234" i="70"/>
  <c r="S235" i="70"/>
  <c r="S236" i="70"/>
  <c r="S237" i="70"/>
  <c r="S238" i="70"/>
  <c r="S239" i="70"/>
  <c r="S240" i="70"/>
  <c r="S241" i="70"/>
  <c r="S242" i="70"/>
  <c r="S243" i="70"/>
  <c r="S244" i="70"/>
  <c r="S245" i="70"/>
  <c r="S246" i="70"/>
  <c r="S247" i="70"/>
  <c r="S248" i="70"/>
  <c r="S249" i="70"/>
  <c r="S250" i="70"/>
  <c r="S251" i="70"/>
  <c r="S252" i="70"/>
  <c r="S253" i="70"/>
  <c r="S254" i="70"/>
  <c r="S255" i="70"/>
  <c r="S256" i="70"/>
  <c r="S257" i="70"/>
  <c r="S258" i="70"/>
  <c r="S259" i="70"/>
  <c r="S260" i="70"/>
  <c r="S261" i="70"/>
  <c r="S262" i="70"/>
  <c r="S263" i="70"/>
  <c r="S264" i="70"/>
  <c r="S265" i="70"/>
  <c r="S266" i="70"/>
  <c r="S267" i="70"/>
  <c r="S268" i="70"/>
  <c r="S269" i="70"/>
  <c r="S270" i="70"/>
  <c r="S271" i="70"/>
  <c r="S272" i="70"/>
  <c r="S273" i="70"/>
  <c r="S274" i="70"/>
  <c r="S275" i="70"/>
  <c r="S276" i="70"/>
  <c r="S277" i="70"/>
  <c r="S278" i="70"/>
  <c r="S279" i="70"/>
  <c r="S280" i="70"/>
  <c r="S281" i="70"/>
  <c r="S282" i="70"/>
  <c r="S283" i="70"/>
  <c r="S284" i="70"/>
  <c r="S285" i="70"/>
  <c r="S286" i="70"/>
  <c r="S287" i="70"/>
  <c r="S288" i="70"/>
  <c r="S289" i="70"/>
  <c r="S290" i="70"/>
  <c r="S291" i="70"/>
  <c r="S292" i="70"/>
  <c r="S293" i="70"/>
  <c r="S294" i="70"/>
  <c r="S295" i="70"/>
  <c r="S296" i="70"/>
  <c r="S297" i="70"/>
  <c r="S298" i="70"/>
  <c r="S299" i="70"/>
  <c r="S300" i="70"/>
  <c r="S301" i="70"/>
  <c r="S302" i="70"/>
  <c r="S303" i="70"/>
  <c r="S304" i="70"/>
  <c r="S305" i="70"/>
  <c r="S306" i="70"/>
  <c r="S307" i="70"/>
  <c r="S308" i="70"/>
  <c r="S309" i="70"/>
  <c r="S310" i="70"/>
  <c r="S311" i="70"/>
  <c r="S312" i="70"/>
  <c r="S313" i="70"/>
  <c r="S314" i="70"/>
  <c r="S315" i="70"/>
  <c r="S316" i="70"/>
  <c r="S317" i="70"/>
  <c r="S318" i="70"/>
  <c r="S319" i="70"/>
  <c r="S320" i="70"/>
  <c r="S321" i="70"/>
  <c r="S322" i="70"/>
  <c r="S323" i="70"/>
  <c r="S324" i="70"/>
  <c r="S325" i="70"/>
  <c r="S326" i="70"/>
  <c r="S327" i="70"/>
  <c r="S328" i="70"/>
  <c r="S329" i="70"/>
  <c r="S330" i="70"/>
  <c r="S331" i="70"/>
  <c r="S332" i="70"/>
  <c r="S333" i="70"/>
  <c r="S334" i="70"/>
  <c r="S335" i="70"/>
  <c r="S336" i="70"/>
  <c r="S337" i="70"/>
  <c r="S338" i="70"/>
  <c r="S339" i="70"/>
  <c r="S340" i="70"/>
  <c r="S341" i="70"/>
  <c r="S342" i="70"/>
  <c r="S343" i="70"/>
  <c r="S344" i="70"/>
  <c r="S345" i="70"/>
  <c r="S346" i="70"/>
  <c r="S347" i="70"/>
  <c r="S348" i="70"/>
  <c r="S349" i="70"/>
  <c r="S350" i="70"/>
  <c r="S351" i="70"/>
  <c r="S352" i="70"/>
  <c r="S353" i="70"/>
  <c r="S354" i="70"/>
  <c r="S355" i="70"/>
  <c r="S356" i="70"/>
  <c r="S357" i="70"/>
  <c r="S358" i="70"/>
  <c r="S359" i="70"/>
  <c r="S360" i="70"/>
  <c r="S361" i="70"/>
  <c r="S362" i="70"/>
  <c r="S363" i="70"/>
  <c r="S364" i="70"/>
  <c r="S365" i="70"/>
  <c r="S366" i="70"/>
  <c r="S367" i="70"/>
  <c r="S368" i="70"/>
  <c r="S369" i="70"/>
  <c r="S370" i="70"/>
  <c r="S371" i="70"/>
  <c r="S372" i="70"/>
  <c r="S373" i="70"/>
  <c r="S374" i="70"/>
  <c r="S375" i="70"/>
  <c r="S376" i="70"/>
  <c r="S377" i="70"/>
  <c r="S378" i="70"/>
  <c r="S379" i="70"/>
  <c r="S380" i="70"/>
  <c r="S381" i="70"/>
  <c r="S382" i="70"/>
  <c r="S383" i="70"/>
  <c r="S384" i="70"/>
  <c r="S385" i="70"/>
  <c r="S386" i="70"/>
  <c r="S387" i="70"/>
  <c r="S388" i="70"/>
  <c r="S389" i="70"/>
  <c r="S390" i="70"/>
  <c r="S391" i="70"/>
  <c r="S392" i="70"/>
  <c r="S393" i="70"/>
  <c r="S394" i="70"/>
  <c r="S395" i="70"/>
  <c r="S396" i="70"/>
  <c r="S397" i="70"/>
  <c r="S398" i="70"/>
  <c r="S399" i="70"/>
  <c r="S400" i="70"/>
  <c r="S401" i="70"/>
  <c r="S402" i="70"/>
  <c r="S403" i="70"/>
  <c r="S404" i="70"/>
  <c r="S405" i="70"/>
  <c r="S406" i="70"/>
  <c r="S407" i="70"/>
  <c r="S408" i="70"/>
  <c r="S409" i="70"/>
  <c r="S410" i="70"/>
  <c r="S411" i="70"/>
  <c r="S412" i="70"/>
  <c r="S413" i="70"/>
  <c r="S414" i="70"/>
  <c r="S415" i="70"/>
  <c r="S416" i="70"/>
  <c r="S417" i="70"/>
  <c r="S418" i="70"/>
  <c r="S419" i="70"/>
  <c r="S420" i="70"/>
  <c r="S421" i="70"/>
  <c r="S422" i="70"/>
  <c r="S423" i="70"/>
  <c r="S424" i="70"/>
  <c r="S425" i="70"/>
  <c r="S426" i="70"/>
  <c r="S427" i="70"/>
  <c r="S428" i="70"/>
  <c r="S429" i="70"/>
  <c r="S430" i="70"/>
  <c r="S431" i="70"/>
  <c r="S432" i="70"/>
  <c r="S433" i="70"/>
  <c r="S434" i="70"/>
  <c r="S435" i="70"/>
  <c r="S436" i="70"/>
  <c r="S437" i="70"/>
  <c r="S438" i="70"/>
  <c r="S439" i="70"/>
  <c r="S440" i="70"/>
  <c r="S441" i="70"/>
  <c r="S442" i="70"/>
  <c r="S443" i="70"/>
  <c r="S444" i="70"/>
  <c r="S445" i="70"/>
  <c r="S446" i="70"/>
  <c r="S447" i="70"/>
  <c r="S448" i="70"/>
  <c r="S449" i="70"/>
  <c r="S450" i="70"/>
  <c r="S451" i="70"/>
  <c r="S452" i="70"/>
  <c r="S453" i="70"/>
  <c r="S454" i="70"/>
  <c r="S455" i="70"/>
  <c r="S456" i="70"/>
  <c r="S457" i="70"/>
  <c r="S458" i="70"/>
  <c r="S459" i="70"/>
  <c r="S460" i="70"/>
  <c r="S461" i="70"/>
  <c r="S462" i="70"/>
  <c r="S463" i="70"/>
  <c r="S464" i="70"/>
  <c r="S465" i="70"/>
  <c r="S466" i="70"/>
  <c r="S467" i="70"/>
  <c r="S468" i="70"/>
  <c r="S469" i="70"/>
  <c r="S470" i="70"/>
  <c r="S471" i="70"/>
  <c r="S472" i="70"/>
  <c r="S473" i="70"/>
  <c r="S474" i="70"/>
  <c r="S475" i="70"/>
  <c r="S476" i="70"/>
  <c r="S477" i="70"/>
  <c r="S478" i="70"/>
  <c r="S479" i="70"/>
  <c r="S480" i="70"/>
  <c r="S481" i="70"/>
  <c r="S482" i="70"/>
  <c r="S483" i="70"/>
  <c r="S484" i="70"/>
  <c r="S485" i="70"/>
  <c r="S486" i="70"/>
  <c r="S487" i="70"/>
  <c r="S488" i="70"/>
  <c r="S489" i="70"/>
  <c r="S490" i="70"/>
  <c r="S491" i="70"/>
  <c r="S492" i="70"/>
  <c r="S493" i="70"/>
  <c r="S494" i="70"/>
  <c r="S495" i="70"/>
  <c r="S496" i="70"/>
  <c r="S497" i="70"/>
  <c r="S498" i="70"/>
  <c r="S499" i="70"/>
  <c r="S500" i="70"/>
  <c r="S501" i="70"/>
  <c r="S502" i="70"/>
  <c r="S503" i="70"/>
  <c r="S504" i="70"/>
  <c r="S505" i="70"/>
  <c r="S506" i="70"/>
  <c r="S507" i="70"/>
  <c r="S508" i="70"/>
  <c r="S509" i="70"/>
  <c r="S510" i="70"/>
  <c r="S511" i="70"/>
  <c r="S512" i="70"/>
  <c r="S513" i="70"/>
  <c r="S514" i="70"/>
  <c r="S515" i="70"/>
  <c r="S516" i="70"/>
  <c r="S517" i="70"/>
  <c r="S518" i="70"/>
  <c r="S519" i="70"/>
  <c r="S520" i="70"/>
  <c r="S521" i="70"/>
  <c r="S522" i="70"/>
  <c r="S523" i="70"/>
  <c r="S524" i="70"/>
  <c r="S525" i="70"/>
  <c r="S526" i="70"/>
  <c r="S527" i="70"/>
  <c r="S528" i="70"/>
  <c r="S529" i="70"/>
  <c r="S530" i="70"/>
  <c r="S531" i="70"/>
  <c r="S532" i="70"/>
  <c r="S533" i="70"/>
  <c r="S534" i="70"/>
  <c r="S535" i="70"/>
  <c r="S536" i="70"/>
  <c r="S537" i="70"/>
  <c r="S538" i="70"/>
  <c r="S539" i="70"/>
  <c r="S540" i="70"/>
  <c r="S541" i="70"/>
  <c r="S542" i="70"/>
  <c r="S543" i="70"/>
  <c r="S20" i="70"/>
  <c r="Q57" i="70"/>
  <c r="K38" i="129" l="1"/>
  <c r="K136" i="140"/>
  <c r="M38" i="129"/>
  <c r="N38" i="129" s="1"/>
  <c r="K24" i="129"/>
  <c r="K28" i="129"/>
  <c r="K27" i="129"/>
  <c r="K39" i="129"/>
  <c r="K40" i="129"/>
  <c r="M39" i="129"/>
  <c r="K44" i="129" l="1"/>
  <c r="P38" i="129"/>
  <c r="H744" i="140"/>
  <c r="M114" i="143"/>
  <c r="S114" i="143" s="1"/>
  <c r="M111" i="143"/>
  <c r="M109" i="143"/>
  <c r="S109" i="143" s="1"/>
  <c r="M108" i="143"/>
  <c r="S108" i="143" s="1"/>
  <c r="M106" i="143"/>
  <c r="S106" i="143" s="1"/>
  <c r="N103" i="143"/>
  <c r="M102" i="143"/>
  <c r="S102" i="143" s="1"/>
  <c r="M100" i="143"/>
  <c r="M93" i="143"/>
  <c r="M90" i="143"/>
  <c r="N89" i="143"/>
  <c r="M87" i="143"/>
  <c r="M86" i="143"/>
  <c r="M82" i="143"/>
  <c r="M79" i="143"/>
  <c r="S79" i="143" s="1"/>
  <c r="M73" i="143"/>
  <c r="M72" i="143"/>
  <c r="P72" i="143" s="1"/>
  <c r="M70" i="143"/>
  <c r="P70" i="143" s="1"/>
  <c r="M69" i="143"/>
  <c r="M67" i="143"/>
  <c r="M64" i="143"/>
  <c r="N61" i="143"/>
  <c r="O61" i="143" s="1"/>
  <c r="M61" i="143"/>
  <c r="M60" i="143"/>
  <c r="M58" i="143"/>
  <c r="S58" i="143" s="1"/>
  <c r="N57" i="143"/>
  <c r="M51" i="143"/>
  <c r="M47" i="143"/>
  <c r="M46" i="143"/>
  <c r="M38" i="143"/>
  <c r="M32" i="143"/>
  <c r="M30" i="143"/>
  <c r="M29" i="143"/>
  <c r="N26" i="143"/>
  <c r="M25" i="143"/>
  <c r="N22" i="143"/>
  <c r="N170" i="131"/>
  <c r="Q170" i="131"/>
  <c r="Q186" i="143"/>
  <c r="Q156" i="143"/>
  <c r="H156" i="143"/>
  <c r="H544" i="70"/>
  <c r="F46" i="125"/>
  <c r="C46" i="125"/>
  <c r="F45" i="125"/>
  <c r="D45" i="125"/>
  <c r="C45" i="125"/>
  <c r="C44" i="125"/>
  <c r="AI71" i="136"/>
  <c r="AI67" i="136"/>
  <c r="L190" i="143"/>
  <c r="P188" i="143"/>
  <c r="N188" i="143"/>
  <c r="O188" i="143" s="1"/>
  <c r="M188" i="143"/>
  <c r="L188" i="143"/>
  <c r="H188" i="143"/>
  <c r="I188" i="143" s="1"/>
  <c r="F188" i="143"/>
  <c r="Q188" i="143" s="1"/>
  <c r="R188" i="143" s="1"/>
  <c r="P187" i="143"/>
  <c r="N187" i="143"/>
  <c r="O187" i="143" s="1"/>
  <c r="M187" i="143"/>
  <c r="L187" i="143"/>
  <c r="H187" i="143"/>
  <c r="I187" i="143" s="1"/>
  <c r="F187" i="143"/>
  <c r="Q187" i="143" s="1"/>
  <c r="R187" i="143" s="1"/>
  <c r="P186" i="143"/>
  <c r="N186" i="143"/>
  <c r="O186" i="143" s="1"/>
  <c r="M186" i="143"/>
  <c r="L186" i="143"/>
  <c r="H186" i="143"/>
  <c r="I186" i="143" s="1"/>
  <c r="F186" i="143"/>
  <c r="R186" i="143" s="1"/>
  <c r="M185" i="143"/>
  <c r="N185" i="143" s="1"/>
  <c r="Q185" i="143" s="1"/>
  <c r="H185" i="143"/>
  <c r="P184" i="143"/>
  <c r="N184" i="143"/>
  <c r="O184" i="143" s="1"/>
  <c r="M184" i="143"/>
  <c r="L184" i="143"/>
  <c r="H184" i="143"/>
  <c r="I184" i="143" s="1"/>
  <c r="F184" i="143"/>
  <c r="Q184" i="143" s="1"/>
  <c r="R184" i="143" s="1"/>
  <c r="M183" i="143"/>
  <c r="N183" i="143" s="1"/>
  <c r="Q183" i="143" s="1"/>
  <c r="H183" i="143"/>
  <c r="P182" i="143"/>
  <c r="N182" i="143"/>
  <c r="O182" i="143" s="1"/>
  <c r="M182" i="143"/>
  <c r="L182" i="143"/>
  <c r="H182" i="143"/>
  <c r="I182" i="143" s="1"/>
  <c r="F182" i="143"/>
  <c r="Q182" i="143" s="1"/>
  <c r="R182" i="143" s="1"/>
  <c r="M181" i="143"/>
  <c r="N181" i="143" s="1"/>
  <c r="Q181" i="143" s="1"/>
  <c r="H181" i="143"/>
  <c r="P180" i="143"/>
  <c r="N180" i="143"/>
  <c r="O180" i="143" s="1"/>
  <c r="M180" i="143"/>
  <c r="L180" i="143"/>
  <c r="H180" i="143"/>
  <c r="I180" i="143" s="1"/>
  <c r="F180" i="143"/>
  <c r="F190" i="143" s="1"/>
  <c r="F172" i="143" s="1"/>
  <c r="P179" i="143"/>
  <c r="N179" i="143"/>
  <c r="O179" i="143" s="1"/>
  <c r="M179" i="143"/>
  <c r="L179" i="143"/>
  <c r="H179" i="143"/>
  <c r="I179" i="143" s="1"/>
  <c r="F179" i="143"/>
  <c r="Q179" i="143" s="1"/>
  <c r="R179" i="143" s="1"/>
  <c r="P178" i="143"/>
  <c r="N178" i="143"/>
  <c r="O178" i="143" s="1"/>
  <c r="M178" i="143"/>
  <c r="L178" i="143"/>
  <c r="H178" i="143"/>
  <c r="I178" i="143" s="1"/>
  <c r="F178" i="143"/>
  <c r="Q178" i="143" s="1"/>
  <c r="R178" i="143" s="1"/>
  <c r="M177" i="143"/>
  <c r="N177" i="143" s="1"/>
  <c r="Q177" i="143" s="1"/>
  <c r="H177" i="143"/>
  <c r="P176" i="143"/>
  <c r="N176" i="143"/>
  <c r="O176" i="143" s="1"/>
  <c r="M176" i="143"/>
  <c r="L176" i="143"/>
  <c r="H176" i="143"/>
  <c r="I176" i="143" s="1"/>
  <c r="F176" i="143"/>
  <c r="Q176" i="143" s="1"/>
  <c r="R176" i="143" s="1"/>
  <c r="P175" i="143"/>
  <c r="N175" i="143"/>
  <c r="M175" i="143"/>
  <c r="L175" i="143"/>
  <c r="H175" i="143"/>
  <c r="I175" i="143" s="1"/>
  <c r="F175" i="143"/>
  <c r="Q175" i="143" s="1"/>
  <c r="F174" i="143"/>
  <c r="K172" i="143"/>
  <c r="P155" i="143"/>
  <c r="N155" i="143"/>
  <c r="M155" i="143"/>
  <c r="K155" i="143"/>
  <c r="I155" i="143"/>
  <c r="H155" i="143"/>
  <c r="F155" i="143"/>
  <c r="Q155" i="143" s="1"/>
  <c r="R155" i="143" s="1"/>
  <c r="M154" i="143"/>
  <c r="K154" i="143"/>
  <c r="L154" i="143" s="1"/>
  <c r="H154" i="143"/>
  <c r="I154" i="143" s="1"/>
  <c r="F154" i="143"/>
  <c r="P153" i="143"/>
  <c r="N153" i="143"/>
  <c r="O153" i="143" s="1"/>
  <c r="M153" i="143"/>
  <c r="K153" i="143"/>
  <c r="I153" i="143"/>
  <c r="H153" i="143"/>
  <c r="F153" i="143"/>
  <c r="M152" i="143"/>
  <c r="K152" i="143"/>
  <c r="L152" i="143" s="1"/>
  <c r="H152" i="143"/>
  <c r="I152" i="143" s="1"/>
  <c r="F152" i="143"/>
  <c r="P151" i="143"/>
  <c r="N151" i="143"/>
  <c r="M151" i="143"/>
  <c r="L151" i="143"/>
  <c r="K151" i="143"/>
  <c r="H151" i="143"/>
  <c r="F151" i="143"/>
  <c r="M150" i="143"/>
  <c r="P150" i="143" s="1"/>
  <c r="K150" i="143"/>
  <c r="L150" i="143" s="1"/>
  <c r="H150" i="143"/>
  <c r="I150" i="143" s="1"/>
  <c r="F150" i="143"/>
  <c r="K149" i="143"/>
  <c r="F149" i="143"/>
  <c r="K148" i="143"/>
  <c r="F148" i="143"/>
  <c r="P147" i="143"/>
  <c r="N147" i="143"/>
  <c r="O147" i="143" s="1"/>
  <c r="M147" i="143"/>
  <c r="K147" i="143"/>
  <c r="I147" i="143"/>
  <c r="H147" i="143"/>
  <c r="F147" i="143"/>
  <c r="K146" i="143"/>
  <c r="F146" i="143"/>
  <c r="M145" i="143"/>
  <c r="K145" i="143"/>
  <c r="L145" i="143" s="1"/>
  <c r="H145" i="143"/>
  <c r="I145" i="143" s="1"/>
  <c r="F145" i="143"/>
  <c r="K144" i="143"/>
  <c r="F144" i="143"/>
  <c r="K143" i="143"/>
  <c r="F143" i="143"/>
  <c r="K142" i="143"/>
  <c r="F142" i="143"/>
  <c r="P141" i="143"/>
  <c r="M141" i="143"/>
  <c r="N141" i="143" s="1"/>
  <c r="O141" i="143" s="1"/>
  <c r="K141" i="143"/>
  <c r="I141" i="143"/>
  <c r="H141" i="143"/>
  <c r="F141" i="143"/>
  <c r="L141" i="143" s="1"/>
  <c r="M140" i="143"/>
  <c r="N140" i="143" s="1"/>
  <c r="K140" i="143"/>
  <c r="H140" i="143"/>
  <c r="I140" i="143" s="1"/>
  <c r="F140" i="143"/>
  <c r="Q140" i="143" s="1"/>
  <c r="R140" i="143" s="1"/>
  <c r="P139" i="143"/>
  <c r="N139" i="143"/>
  <c r="M139" i="143"/>
  <c r="K139" i="143"/>
  <c r="L139" i="143" s="1"/>
  <c r="I139" i="143"/>
  <c r="H139" i="143"/>
  <c r="F139" i="143"/>
  <c r="Q139" i="143" s="1"/>
  <c r="R139" i="143" s="1"/>
  <c r="K138" i="143"/>
  <c r="F138" i="143"/>
  <c r="M137" i="143"/>
  <c r="N137" i="143" s="1"/>
  <c r="O137" i="143" s="1"/>
  <c r="K137" i="143"/>
  <c r="H137" i="143"/>
  <c r="I137" i="143" s="1"/>
  <c r="F137" i="143"/>
  <c r="Q137" i="143" s="1"/>
  <c r="R137" i="143" s="1"/>
  <c r="F136" i="143"/>
  <c r="F135" i="143"/>
  <c r="H116" i="143"/>
  <c r="I116" i="143" s="1"/>
  <c r="M115" i="143"/>
  <c r="S115" i="143" s="1"/>
  <c r="K115" i="143"/>
  <c r="N115" i="143" s="1"/>
  <c r="F115" i="143"/>
  <c r="K114" i="143"/>
  <c r="F114" i="143"/>
  <c r="M113" i="143"/>
  <c r="S113" i="143" s="1"/>
  <c r="K113" i="143"/>
  <c r="F113" i="143"/>
  <c r="M112" i="143"/>
  <c r="S112" i="143" s="1"/>
  <c r="K112" i="143"/>
  <c r="N112" i="143" s="1"/>
  <c r="O112" i="143" s="1"/>
  <c r="F112" i="143"/>
  <c r="L111" i="143"/>
  <c r="K111" i="143"/>
  <c r="F111" i="143"/>
  <c r="M110" i="143"/>
  <c r="S110" i="143" s="1"/>
  <c r="K110" i="143"/>
  <c r="N110" i="143" s="1"/>
  <c r="F110" i="143"/>
  <c r="K109" i="143"/>
  <c r="L109" i="143" s="1"/>
  <c r="F109" i="143"/>
  <c r="K108" i="143"/>
  <c r="L108" i="143" s="1"/>
  <c r="F108" i="143"/>
  <c r="M107" i="143"/>
  <c r="S107" i="143" s="1"/>
  <c r="K107" i="143"/>
  <c r="N107" i="143" s="1"/>
  <c r="O107" i="143" s="1"/>
  <c r="F107" i="143"/>
  <c r="K106" i="143"/>
  <c r="N106" i="143" s="1"/>
  <c r="F106" i="143"/>
  <c r="M105" i="143"/>
  <c r="P105" i="143" s="1"/>
  <c r="K105" i="143"/>
  <c r="L105" i="143" s="1"/>
  <c r="F105" i="143"/>
  <c r="M104" i="143"/>
  <c r="S104" i="143" s="1"/>
  <c r="K104" i="143"/>
  <c r="N104" i="143" s="1"/>
  <c r="O104" i="143" s="1"/>
  <c r="F104" i="143"/>
  <c r="S103" i="143"/>
  <c r="K102" i="143"/>
  <c r="L102" i="143" s="1"/>
  <c r="F102" i="143"/>
  <c r="M101" i="143"/>
  <c r="P101" i="143" s="1"/>
  <c r="K101" i="143"/>
  <c r="L101" i="143" s="1"/>
  <c r="F101" i="143"/>
  <c r="K100" i="143"/>
  <c r="F100" i="143"/>
  <c r="M99" i="143"/>
  <c r="S99" i="143" s="1"/>
  <c r="K99" i="143"/>
  <c r="L99" i="143" s="1"/>
  <c r="F99" i="143"/>
  <c r="M98" i="143"/>
  <c r="S98" i="143" s="1"/>
  <c r="K98" i="143"/>
  <c r="L98" i="143" s="1"/>
  <c r="F98" i="143"/>
  <c r="M97" i="143"/>
  <c r="S97" i="143" s="1"/>
  <c r="K97" i="143"/>
  <c r="L97" i="143" s="1"/>
  <c r="F97" i="143"/>
  <c r="S96" i="143"/>
  <c r="S95" i="143"/>
  <c r="N94" i="143"/>
  <c r="M94" i="143"/>
  <c r="S94" i="143" s="1"/>
  <c r="K94" i="143"/>
  <c r="F94" i="143"/>
  <c r="K93" i="143"/>
  <c r="N93" i="143" s="1"/>
  <c r="F93" i="143"/>
  <c r="M92" i="143"/>
  <c r="S92" i="143" s="1"/>
  <c r="K92" i="143"/>
  <c r="F92" i="143"/>
  <c r="N91" i="143"/>
  <c r="O91" i="143" s="1"/>
  <c r="M91" i="143"/>
  <c r="S91" i="143" s="1"/>
  <c r="L91" i="143"/>
  <c r="K91" i="143"/>
  <c r="F91" i="143"/>
  <c r="K90" i="143"/>
  <c r="L90" i="143" s="1"/>
  <c r="F90" i="143"/>
  <c r="S89" i="143"/>
  <c r="M88" i="143"/>
  <c r="S88" i="143" s="1"/>
  <c r="K88" i="143"/>
  <c r="N88" i="143" s="1"/>
  <c r="O88" i="143" s="1"/>
  <c r="F88" i="143"/>
  <c r="K87" i="143"/>
  <c r="N87" i="143" s="1"/>
  <c r="F87" i="143"/>
  <c r="K86" i="143"/>
  <c r="N86" i="143" s="1"/>
  <c r="F86" i="143"/>
  <c r="S85" i="143"/>
  <c r="N85" i="143"/>
  <c r="S84" i="143"/>
  <c r="N84" i="143"/>
  <c r="M83" i="143"/>
  <c r="S83" i="143" s="1"/>
  <c r="K83" i="143"/>
  <c r="N83" i="143" s="1"/>
  <c r="F83" i="143"/>
  <c r="L82" i="143"/>
  <c r="K82" i="143"/>
  <c r="F82" i="143"/>
  <c r="M81" i="143"/>
  <c r="S81" i="143" s="1"/>
  <c r="K81" i="143"/>
  <c r="L81" i="143" s="1"/>
  <c r="F81" i="143"/>
  <c r="S80" i="143"/>
  <c r="N80" i="143"/>
  <c r="K79" i="143"/>
  <c r="N79" i="143" s="1"/>
  <c r="O79" i="143" s="1"/>
  <c r="F79" i="143"/>
  <c r="N78" i="143"/>
  <c r="O78" i="143" s="1"/>
  <c r="M78" i="143"/>
  <c r="S78" i="143" s="1"/>
  <c r="L78" i="143"/>
  <c r="K78" i="143"/>
  <c r="F78" i="143"/>
  <c r="S77" i="143"/>
  <c r="N77" i="143"/>
  <c r="N76" i="143"/>
  <c r="O76" i="143" s="1"/>
  <c r="M76" i="143"/>
  <c r="S76" i="143" s="1"/>
  <c r="K76" i="143"/>
  <c r="L76" i="143" s="1"/>
  <c r="F76" i="143"/>
  <c r="M75" i="143"/>
  <c r="S75" i="143" s="1"/>
  <c r="K75" i="143"/>
  <c r="L75" i="143" s="1"/>
  <c r="F75" i="143"/>
  <c r="S74" i="143"/>
  <c r="K73" i="143"/>
  <c r="F73" i="143"/>
  <c r="K72" i="143"/>
  <c r="F72" i="143"/>
  <c r="M71" i="143"/>
  <c r="P71" i="143" s="1"/>
  <c r="K71" i="143"/>
  <c r="N71" i="143" s="1"/>
  <c r="Q71" i="143" s="1"/>
  <c r="R71" i="143" s="1"/>
  <c r="F71" i="143"/>
  <c r="K70" i="143"/>
  <c r="L70" i="143" s="1"/>
  <c r="F70" i="143"/>
  <c r="K69" i="143"/>
  <c r="F69" i="143"/>
  <c r="M68" i="143"/>
  <c r="P68" i="143" s="1"/>
  <c r="K68" i="143"/>
  <c r="F68" i="143"/>
  <c r="K67" i="143"/>
  <c r="N67" i="143" s="1"/>
  <c r="Q67" i="143" s="1"/>
  <c r="R67" i="143" s="1"/>
  <c r="F67" i="143"/>
  <c r="S66" i="143"/>
  <c r="M65" i="143"/>
  <c r="S65" i="143" s="1"/>
  <c r="K65" i="143"/>
  <c r="F65" i="143"/>
  <c r="K64" i="143"/>
  <c r="N64" i="143" s="1"/>
  <c r="Q64" i="143" s="1"/>
  <c r="R64" i="143" s="1"/>
  <c r="F64" i="143"/>
  <c r="L64" i="143" s="1"/>
  <c r="M63" i="143"/>
  <c r="P63" i="143" s="1"/>
  <c r="K63" i="143"/>
  <c r="F63" i="143"/>
  <c r="M62" i="143"/>
  <c r="S62" i="143" s="1"/>
  <c r="K62" i="143"/>
  <c r="N62" i="143" s="1"/>
  <c r="O62" i="143" s="1"/>
  <c r="F62" i="143"/>
  <c r="K61" i="143"/>
  <c r="F61" i="143"/>
  <c r="K60" i="143"/>
  <c r="N60" i="143" s="1"/>
  <c r="F60" i="143"/>
  <c r="M59" i="143"/>
  <c r="S59" i="143" s="1"/>
  <c r="K59" i="143"/>
  <c r="N59" i="143" s="1"/>
  <c r="O59" i="143" s="1"/>
  <c r="F59" i="143"/>
  <c r="K58" i="143"/>
  <c r="N58" i="143" s="1"/>
  <c r="O58" i="143" s="1"/>
  <c r="F58" i="143"/>
  <c r="S57" i="143"/>
  <c r="M56" i="143"/>
  <c r="S56" i="143" s="1"/>
  <c r="K56" i="143"/>
  <c r="F56" i="143"/>
  <c r="M55" i="143"/>
  <c r="P55" i="143" s="1"/>
  <c r="K55" i="143"/>
  <c r="N55" i="143" s="1"/>
  <c r="Q55" i="143" s="1"/>
  <c r="R55" i="143" s="1"/>
  <c r="F55" i="143"/>
  <c r="M54" i="143"/>
  <c r="P54" i="143" s="1"/>
  <c r="K54" i="143"/>
  <c r="F54" i="143"/>
  <c r="S53" i="143"/>
  <c r="N53" i="143"/>
  <c r="M52" i="143"/>
  <c r="S52" i="143" s="1"/>
  <c r="K52" i="143"/>
  <c r="F52" i="143"/>
  <c r="K51" i="143"/>
  <c r="N51" i="143" s="1"/>
  <c r="Q51" i="143" s="1"/>
  <c r="R51" i="143" s="1"/>
  <c r="F51" i="143"/>
  <c r="S50" i="143"/>
  <c r="S49" i="143"/>
  <c r="M48" i="143"/>
  <c r="P48" i="143" s="1"/>
  <c r="K48" i="143"/>
  <c r="L48" i="143" s="1"/>
  <c r="F48" i="143"/>
  <c r="K47" i="143"/>
  <c r="F47" i="143"/>
  <c r="K46" i="143"/>
  <c r="N46" i="143" s="1"/>
  <c r="O46" i="143" s="1"/>
  <c r="F46" i="143"/>
  <c r="S45" i="143"/>
  <c r="N45" i="143"/>
  <c r="M44" i="143"/>
  <c r="S44" i="143" s="1"/>
  <c r="K44" i="143"/>
  <c r="L44" i="143" s="1"/>
  <c r="F44" i="143"/>
  <c r="M43" i="143"/>
  <c r="S43" i="143" s="1"/>
  <c r="K43" i="143"/>
  <c r="F43" i="143"/>
  <c r="M42" i="143"/>
  <c r="P42" i="143" s="1"/>
  <c r="K42" i="143"/>
  <c r="N42" i="143" s="1"/>
  <c r="O42" i="143" s="1"/>
  <c r="F42" i="143"/>
  <c r="Q42" i="143" s="1"/>
  <c r="R42" i="143" s="1"/>
  <c r="S41" i="143"/>
  <c r="N40" i="143"/>
  <c r="O40" i="143" s="1"/>
  <c r="M40" i="143"/>
  <c r="S40" i="143" s="1"/>
  <c r="L40" i="143"/>
  <c r="K40" i="143"/>
  <c r="F40" i="143"/>
  <c r="S39" i="143"/>
  <c r="K38" i="143"/>
  <c r="F38" i="143"/>
  <c r="M37" i="143"/>
  <c r="P37" i="143" s="1"/>
  <c r="L37" i="143"/>
  <c r="K37" i="143"/>
  <c r="N37" i="143" s="1"/>
  <c r="O37" i="143" s="1"/>
  <c r="F37" i="143"/>
  <c r="M36" i="143"/>
  <c r="P36" i="143" s="1"/>
  <c r="K36" i="143"/>
  <c r="L36" i="143" s="1"/>
  <c r="F36" i="143"/>
  <c r="M35" i="143"/>
  <c r="P35" i="143" s="1"/>
  <c r="K35" i="143"/>
  <c r="L35" i="143" s="1"/>
  <c r="F35" i="143"/>
  <c r="M34" i="143"/>
  <c r="S34" i="143" s="1"/>
  <c r="K34" i="143"/>
  <c r="F34" i="143"/>
  <c r="S33" i="143"/>
  <c r="K32" i="143"/>
  <c r="L32" i="143" s="1"/>
  <c r="F32" i="143"/>
  <c r="N31" i="143"/>
  <c r="O31" i="143" s="1"/>
  <c r="M31" i="143"/>
  <c r="S31" i="143" s="1"/>
  <c r="K31" i="143"/>
  <c r="F31" i="143"/>
  <c r="K30" i="143"/>
  <c r="N30" i="143" s="1"/>
  <c r="Q30" i="143" s="1"/>
  <c r="R30" i="143" s="1"/>
  <c r="F30" i="143"/>
  <c r="L30" i="143" s="1"/>
  <c r="K29" i="143"/>
  <c r="L29" i="143" s="1"/>
  <c r="F29" i="143"/>
  <c r="M28" i="143"/>
  <c r="S28" i="143" s="1"/>
  <c r="K28" i="143"/>
  <c r="N28" i="143" s="1"/>
  <c r="F28" i="143"/>
  <c r="M27" i="143"/>
  <c r="S27" i="143" s="1"/>
  <c r="K27" i="143"/>
  <c r="L27" i="143" s="1"/>
  <c r="F27" i="143"/>
  <c r="M26" i="143"/>
  <c r="S26" i="143" s="1"/>
  <c r="K26" i="143"/>
  <c r="F26" i="143"/>
  <c r="L26" i="143" s="1"/>
  <c r="K25" i="143"/>
  <c r="N25" i="143" s="1"/>
  <c r="O25" i="143" s="1"/>
  <c r="F25" i="143"/>
  <c r="S24" i="143"/>
  <c r="N23" i="143"/>
  <c r="O23" i="143" s="1"/>
  <c r="M23" i="143"/>
  <c r="S23" i="143" s="1"/>
  <c r="K23" i="143"/>
  <c r="L23" i="143" s="1"/>
  <c r="F23" i="143"/>
  <c r="S22" i="143"/>
  <c r="S21" i="143"/>
  <c r="N21" i="143"/>
  <c r="M20" i="143"/>
  <c r="P20" i="143" s="1"/>
  <c r="K20" i="143"/>
  <c r="L20" i="143" s="1"/>
  <c r="F20" i="143"/>
  <c r="F15" i="143"/>
  <c r="B9" i="143"/>
  <c r="B126" i="143" s="1"/>
  <c r="B166" i="143" s="1"/>
  <c r="B8" i="143"/>
  <c r="B125" i="143" s="1"/>
  <c r="B165" i="143" s="1"/>
  <c r="B5" i="143"/>
  <c r="B122" i="143" s="1"/>
  <c r="B162" i="143" s="1"/>
  <c r="H588" i="140" l="1"/>
  <c r="L83" i="143"/>
  <c r="L104" i="143"/>
  <c r="N27" i="143"/>
  <c r="O27" i="143" s="1"/>
  <c r="L110" i="143"/>
  <c r="L79" i="143"/>
  <c r="L28" i="143"/>
  <c r="N36" i="143"/>
  <c r="O36" i="143" s="1"/>
  <c r="L71" i="143"/>
  <c r="N81" i="143"/>
  <c r="L51" i="143"/>
  <c r="L67" i="143"/>
  <c r="N98" i="143"/>
  <c r="O98" i="143" s="1"/>
  <c r="Q27" i="143"/>
  <c r="R27" i="143" s="1"/>
  <c r="Q94" i="143"/>
  <c r="R94" i="143" s="1"/>
  <c r="Q37" i="143"/>
  <c r="R37" i="143" s="1"/>
  <c r="S105" i="143"/>
  <c r="P81" i="143"/>
  <c r="Q81" i="143"/>
  <c r="R81" i="143" s="1"/>
  <c r="S87" i="143"/>
  <c r="P87" i="143"/>
  <c r="P51" i="143"/>
  <c r="S51" i="143"/>
  <c r="P67" i="143"/>
  <c r="S67" i="143"/>
  <c r="S60" i="143"/>
  <c r="P60" i="143"/>
  <c r="Q26" i="143"/>
  <c r="R26" i="143" s="1"/>
  <c r="O26" i="143"/>
  <c r="S30" i="143"/>
  <c r="P30" i="143"/>
  <c r="S47" i="143"/>
  <c r="P47" i="143"/>
  <c r="S64" i="143"/>
  <c r="P64" i="143"/>
  <c r="S93" i="143"/>
  <c r="P93" i="143"/>
  <c r="S82" i="143"/>
  <c r="P82" i="143"/>
  <c r="S100" i="143"/>
  <c r="P100" i="143"/>
  <c r="P29" i="143"/>
  <c r="S29" i="143"/>
  <c r="S38" i="143"/>
  <c r="P38" i="143"/>
  <c r="S61" i="143"/>
  <c r="P61" i="143"/>
  <c r="S69" i="143"/>
  <c r="P69" i="143"/>
  <c r="S86" i="143"/>
  <c r="P86" i="143"/>
  <c r="S90" i="143"/>
  <c r="P90" i="143"/>
  <c r="S111" i="143"/>
  <c r="P111" i="143"/>
  <c r="P25" i="143"/>
  <c r="S25" i="143"/>
  <c r="S32" i="143"/>
  <c r="P32" i="143"/>
  <c r="P46" i="143"/>
  <c r="S46" i="143"/>
  <c r="S73" i="143"/>
  <c r="P73" i="143"/>
  <c r="O30" i="143"/>
  <c r="P34" i="143"/>
  <c r="P92" i="143"/>
  <c r="P52" i="143"/>
  <c r="N32" i="143"/>
  <c r="O32" i="143" s="1"/>
  <c r="N111" i="143"/>
  <c r="O111" i="143" s="1"/>
  <c r="D44" i="125"/>
  <c r="P62" i="143"/>
  <c r="N35" i="143"/>
  <c r="Q35" i="143" s="1"/>
  <c r="R35" i="143" s="1"/>
  <c r="N65" i="143"/>
  <c r="O65" i="143" s="1"/>
  <c r="N75" i="143"/>
  <c r="O75" i="143" s="1"/>
  <c r="N82" i="143"/>
  <c r="O82" i="143" s="1"/>
  <c r="Q87" i="143"/>
  <c r="R87" i="143" s="1"/>
  <c r="P88" i="143"/>
  <c r="N90" i="143"/>
  <c r="O90" i="143" s="1"/>
  <c r="P91" i="143"/>
  <c r="N102" i="143"/>
  <c r="O102" i="143" s="1"/>
  <c r="N109" i="143"/>
  <c r="O109" i="143" s="1"/>
  <c r="Q86" i="143"/>
  <c r="R86" i="143" s="1"/>
  <c r="S20" i="143"/>
  <c r="S63" i="143"/>
  <c r="P76" i="143"/>
  <c r="O51" i="143"/>
  <c r="Q93" i="143"/>
  <c r="R93" i="143" s="1"/>
  <c r="N113" i="143"/>
  <c r="O113" i="143" s="1"/>
  <c r="S48" i="143"/>
  <c r="P94" i="143"/>
  <c r="Q23" i="143"/>
  <c r="R23" i="143" s="1"/>
  <c r="P26" i="143"/>
  <c r="O67" i="143"/>
  <c r="N114" i="143"/>
  <c r="O114" i="143" s="1"/>
  <c r="P99" i="143"/>
  <c r="P78" i="143"/>
  <c r="S68" i="143"/>
  <c r="N100" i="143"/>
  <c r="O100" i="143" s="1"/>
  <c r="Q46" i="143"/>
  <c r="R46" i="143" s="1"/>
  <c r="N54" i="143"/>
  <c r="O54" i="143" s="1"/>
  <c r="Q60" i="143"/>
  <c r="R60" i="143" s="1"/>
  <c r="N63" i="143"/>
  <c r="O63" i="143" s="1"/>
  <c r="P65" i="143"/>
  <c r="Q83" i="143"/>
  <c r="R83" i="143" s="1"/>
  <c r="N92" i="143"/>
  <c r="O92" i="143" s="1"/>
  <c r="N99" i="143"/>
  <c r="O99" i="143" s="1"/>
  <c r="P107" i="143"/>
  <c r="K116" i="143"/>
  <c r="S118" i="143" s="1"/>
  <c r="O110" i="143"/>
  <c r="Q110" i="143"/>
  <c r="R110" i="143" s="1"/>
  <c r="O106" i="143"/>
  <c r="Q106" i="143"/>
  <c r="R106" i="143" s="1"/>
  <c r="Q115" i="143"/>
  <c r="R115" i="143" s="1"/>
  <c r="P113" i="143"/>
  <c r="N97" i="143"/>
  <c r="O97" i="143" s="1"/>
  <c r="L107" i="143"/>
  <c r="P109" i="143"/>
  <c r="P97" i="143"/>
  <c r="L100" i="143"/>
  <c r="N101" i="143"/>
  <c r="O101" i="143" s="1"/>
  <c r="P104" i="143"/>
  <c r="N108" i="143"/>
  <c r="O108" i="143" s="1"/>
  <c r="L112" i="143"/>
  <c r="S101" i="143"/>
  <c r="L106" i="143"/>
  <c r="P108" i="143"/>
  <c r="N105" i="143"/>
  <c r="P114" i="143"/>
  <c r="P98" i="143"/>
  <c r="P115" i="143"/>
  <c r="P102" i="143"/>
  <c r="P112" i="143"/>
  <c r="P106" i="143"/>
  <c r="P110" i="143"/>
  <c r="L59" i="143"/>
  <c r="L55" i="143"/>
  <c r="P59" i="143"/>
  <c r="O55" i="143"/>
  <c r="L54" i="143"/>
  <c r="L58" i="143"/>
  <c r="Q59" i="143"/>
  <c r="R59" i="143" s="1"/>
  <c r="P56" i="143"/>
  <c r="Q25" i="143"/>
  <c r="R25" i="143" s="1"/>
  <c r="Q28" i="143"/>
  <c r="R28" i="143" s="1"/>
  <c r="O28" i="143"/>
  <c r="L42" i="143"/>
  <c r="Q61" i="143"/>
  <c r="R61" i="143" s="1"/>
  <c r="F57" i="143"/>
  <c r="Q62" i="143"/>
  <c r="R62" i="143" s="1"/>
  <c r="Q88" i="143"/>
  <c r="R88" i="143" s="1"/>
  <c r="K156" i="143"/>
  <c r="L137" i="143"/>
  <c r="P145" i="143"/>
  <c r="N145" i="143"/>
  <c r="P152" i="143"/>
  <c r="N152" i="143"/>
  <c r="R175" i="143"/>
  <c r="L25" i="143"/>
  <c r="N47" i="143"/>
  <c r="O47" i="143" s="1"/>
  <c r="L47" i="143"/>
  <c r="P75" i="143"/>
  <c r="H15" i="143"/>
  <c r="N20" i="143"/>
  <c r="P23" i="143"/>
  <c r="Q36" i="143"/>
  <c r="R36" i="143" s="1"/>
  <c r="P43" i="143"/>
  <c r="L46" i="143"/>
  <c r="L61" i="143"/>
  <c r="L62" i="143"/>
  <c r="L63" i="143"/>
  <c r="N68" i="143"/>
  <c r="O68" i="143" s="1"/>
  <c r="L68" i="143"/>
  <c r="N70" i="143"/>
  <c r="O71" i="143"/>
  <c r="P79" i="143"/>
  <c r="O81" i="143"/>
  <c r="O83" i="143"/>
  <c r="L88" i="143"/>
  <c r="Q91" i="143"/>
  <c r="R91" i="143" s="1"/>
  <c r="Q112" i="143"/>
  <c r="R112" i="143" s="1"/>
  <c r="L140" i="143"/>
  <c r="L153" i="143"/>
  <c r="Q153" i="143"/>
  <c r="R153" i="143" s="1"/>
  <c r="P28" i="143"/>
  <c r="N29" i="143"/>
  <c r="O29" i="143" s="1"/>
  <c r="Q31" i="143"/>
  <c r="R31" i="143" s="1"/>
  <c r="S35" i="143"/>
  <c r="S36" i="143"/>
  <c r="S37" i="143"/>
  <c r="P40" i="143"/>
  <c r="P44" i="143"/>
  <c r="N48" i="143"/>
  <c r="N52" i="143"/>
  <c r="L52" i="143"/>
  <c r="S54" i="143"/>
  <c r="S55" i="143"/>
  <c r="P58" i="143"/>
  <c r="L65" i="143"/>
  <c r="S72" i="143"/>
  <c r="Q76" i="143"/>
  <c r="R76" i="143" s="1"/>
  <c r="P83" i="143"/>
  <c r="L86" i="143"/>
  <c r="L87" i="143"/>
  <c r="L92" i="143"/>
  <c r="L93" i="143"/>
  <c r="L94" i="143"/>
  <c r="Q107" i="143"/>
  <c r="R107" i="143" s="1"/>
  <c r="L113" i="143"/>
  <c r="L114" i="143"/>
  <c r="L115" i="143"/>
  <c r="P137" i="143"/>
  <c r="O151" i="143"/>
  <c r="L155" i="143"/>
  <c r="O60" i="143"/>
  <c r="S71" i="143"/>
  <c r="Q104" i="143"/>
  <c r="R104" i="143" s="1"/>
  <c r="F156" i="143"/>
  <c r="O140" i="143"/>
  <c r="L147" i="143"/>
  <c r="Q147" i="143"/>
  <c r="R147" i="143" s="1"/>
  <c r="N190" i="143"/>
  <c r="O175" i="143"/>
  <c r="P27" i="143"/>
  <c r="P31" i="143"/>
  <c r="N44" i="143"/>
  <c r="L60" i="143"/>
  <c r="N69" i="143"/>
  <c r="L69" i="143"/>
  <c r="L31" i="143"/>
  <c r="N34" i="143"/>
  <c r="L34" i="143"/>
  <c r="N38" i="143"/>
  <c r="L38" i="143"/>
  <c r="Q40" i="143"/>
  <c r="R40" i="143" s="1"/>
  <c r="S42" i="143"/>
  <c r="N56" i="143"/>
  <c r="L56" i="143"/>
  <c r="O64" i="143"/>
  <c r="S70" i="143"/>
  <c r="N73" i="143"/>
  <c r="L73" i="143"/>
  <c r="Q78" i="143"/>
  <c r="R78" i="143" s="1"/>
  <c r="Q79" i="143"/>
  <c r="R79" i="143" s="1"/>
  <c r="O87" i="143"/>
  <c r="O93" i="143"/>
  <c r="O139" i="143"/>
  <c r="P140" i="143"/>
  <c r="P154" i="143"/>
  <c r="N154" i="143"/>
  <c r="O155" i="143"/>
  <c r="H190" i="143"/>
  <c r="Q58" i="143"/>
  <c r="R58" i="143" s="1"/>
  <c r="N72" i="143"/>
  <c r="L72" i="143"/>
  <c r="O86" i="143"/>
  <c r="O94" i="143"/>
  <c r="O115" i="143"/>
  <c r="I151" i="143"/>
  <c r="Q151" i="143"/>
  <c r="R151" i="143" s="1"/>
  <c r="N43" i="143"/>
  <c r="O43" i="143" s="1"/>
  <c r="L43" i="143"/>
  <c r="Q141" i="143"/>
  <c r="R141" i="143" s="1"/>
  <c r="N150" i="143"/>
  <c r="Q180" i="143"/>
  <c r="R180" i="143" s="1"/>
  <c r="Q98" i="143" l="1"/>
  <c r="R98" i="143" s="1"/>
  <c r="Q63" i="143"/>
  <c r="R63" i="143" s="1"/>
  <c r="Q111" i="143"/>
  <c r="R111" i="143" s="1"/>
  <c r="Q75" i="143"/>
  <c r="R75" i="143" s="1"/>
  <c r="Q32" i="143"/>
  <c r="R32" i="143" s="1"/>
  <c r="Q113" i="143"/>
  <c r="R113" i="143" s="1"/>
  <c r="Q108" i="143"/>
  <c r="R108" i="143" s="1"/>
  <c r="Q54" i="143"/>
  <c r="R54" i="143" s="1"/>
  <c r="Q92" i="143"/>
  <c r="R92" i="143" s="1"/>
  <c r="Q82" i="143"/>
  <c r="R82" i="143" s="1"/>
  <c r="Q29" i="143"/>
  <c r="R29" i="143" s="1"/>
  <c r="Q97" i="143"/>
  <c r="R97" i="143" s="1"/>
  <c r="O35" i="143"/>
  <c r="Q114" i="143"/>
  <c r="R114" i="143" s="1"/>
  <c r="Q90" i="143"/>
  <c r="R90" i="143" s="1"/>
  <c r="Q102" i="143"/>
  <c r="R102" i="143" s="1"/>
  <c r="Q100" i="143"/>
  <c r="R100" i="143" s="1"/>
  <c r="Q99" i="143"/>
  <c r="R99" i="143" s="1"/>
  <c r="Q65" i="143"/>
  <c r="R65" i="143" s="1"/>
  <c r="Q109" i="143"/>
  <c r="R109" i="143" s="1"/>
  <c r="Q43" i="143"/>
  <c r="R43" i="143" s="1"/>
  <c r="O105" i="143"/>
  <c r="N116" i="143"/>
  <c r="Q116" i="143" s="1"/>
  <c r="Q105" i="143"/>
  <c r="R105" i="143" s="1"/>
  <c r="Q101" i="143"/>
  <c r="R101" i="143" s="1"/>
  <c r="F44" i="125"/>
  <c r="O73" i="143"/>
  <c r="Q73" i="143"/>
  <c r="R73" i="143" s="1"/>
  <c r="Q47" i="143"/>
  <c r="R47" i="143" s="1"/>
  <c r="Q72" i="143"/>
  <c r="R72" i="143" s="1"/>
  <c r="O72" i="143"/>
  <c r="O34" i="143"/>
  <c r="Q34" i="143"/>
  <c r="R34" i="143" s="1"/>
  <c r="O20" i="143"/>
  <c r="L156" i="143"/>
  <c r="K132" i="143"/>
  <c r="Q20" i="143"/>
  <c r="R20" i="143" s="1"/>
  <c r="O190" i="143"/>
  <c r="N172" i="143"/>
  <c r="L116" i="143"/>
  <c r="K15" i="143"/>
  <c r="Q190" i="143"/>
  <c r="O38" i="143"/>
  <c r="Q38" i="143"/>
  <c r="R38" i="143" s="1"/>
  <c r="I190" i="143"/>
  <c r="H172" i="143"/>
  <c r="O56" i="143"/>
  <c r="Q56" i="143"/>
  <c r="R56" i="143" s="1"/>
  <c r="Q69" i="143"/>
  <c r="R69" i="143" s="1"/>
  <c r="O69" i="143"/>
  <c r="Q154" i="143"/>
  <c r="R154" i="143" s="1"/>
  <c r="O154" i="143"/>
  <c r="Q48" i="143"/>
  <c r="R48" i="143" s="1"/>
  <c r="O48" i="143"/>
  <c r="I156" i="143"/>
  <c r="H132" i="143"/>
  <c r="N156" i="143"/>
  <c r="Q52" i="143"/>
  <c r="R52" i="143" s="1"/>
  <c r="O52" i="143"/>
  <c r="O152" i="143"/>
  <c r="Q152" i="143"/>
  <c r="R152" i="143" s="1"/>
  <c r="Q150" i="143"/>
  <c r="R150" i="143" s="1"/>
  <c r="O150" i="143"/>
  <c r="Q44" i="143"/>
  <c r="R44" i="143" s="1"/>
  <c r="O44" i="143"/>
  <c r="T190" i="143"/>
  <c r="F132" i="143"/>
  <c r="Q70" i="143"/>
  <c r="R70" i="143" s="1"/>
  <c r="O70" i="143"/>
  <c r="Q145" i="143"/>
  <c r="R145" i="143" s="1"/>
  <c r="O145" i="143"/>
  <c r="Q68" i="143"/>
  <c r="R68" i="143" s="1"/>
  <c r="O116" i="143" l="1"/>
  <c r="R116" i="143"/>
  <c r="N15" i="143"/>
  <c r="Q15" i="143" s="1"/>
  <c r="Q172" i="143"/>
  <c r="R190" i="143"/>
  <c r="O156" i="143"/>
  <c r="N132" i="143"/>
  <c r="R156" i="143" l="1"/>
  <c r="Q132" i="143"/>
  <c r="S170" i="131" l="1"/>
  <c r="H170" i="131"/>
  <c r="Q24" i="70"/>
  <c r="Q27" i="70"/>
  <c r="Q29" i="70"/>
  <c r="Q31" i="70"/>
  <c r="Q34" i="70"/>
  <c r="Q41" i="70"/>
  <c r="Q42" i="70"/>
  <c r="Q43" i="70"/>
  <c r="Q45" i="70"/>
  <c r="Q47" i="70"/>
  <c r="Q48" i="70"/>
  <c r="Q52" i="70"/>
  <c r="Q56" i="70"/>
  <c r="Q60" i="70"/>
  <c r="Q64" i="70"/>
  <c r="Q68" i="70"/>
  <c r="Q72" i="70"/>
  <c r="Q77" i="70"/>
  <c r="Q81" i="70"/>
  <c r="Q84" i="70"/>
  <c r="Q85" i="70"/>
  <c r="Q88" i="70"/>
  <c r="Q92" i="70"/>
  <c r="Q104" i="70"/>
  <c r="Q106" i="70"/>
  <c r="Q110" i="70"/>
  <c r="Q120" i="70"/>
  <c r="Q123" i="70"/>
  <c r="Q125" i="70"/>
  <c r="Q127" i="70"/>
  <c r="Q133" i="70"/>
  <c r="Q134" i="70"/>
  <c r="Q135" i="70"/>
  <c r="Q141" i="70"/>
  <c r="Q142" i="70"/>
  <c r="Q146" i="70"/>
  <c r="Q150" i="70"/>
  <c r="Q152" i="70"/>
  <c r="Q162" i="70"/>
  <c r="Q164" i="70"/>
  <c r="Q167" i="70"/>
  <c r="Q168" i="70"/>
  <c r="Q173" i="70"/>
  <c r="Q180" i="70"/>
  <c r="Q181" i="70"/>
  <c r="Q183" i="70"/>
  <c r="Q197" i="70"/>
  <c r="Q201" i="70"/>
  <c r="Q205" i="70"/>
  <c r="Q206" i="70"/>
  <c r="Q210" i="70"/>
  <c r="Q222" i="70"/>
  <c r="Q224" i="70"/>
  <c r="Q226" i="70"/>
  <c r="Q229" i="70"/>
  <c r="Q232" i="70"/>
  <c r="Q233" i="70"/>
  <c r="Q234" i="70"/>
  <c r="Q236" i="70"/>
  <c r="Q237" i="70"/>
  <c r="Q243" i="70"/>
  <c r="Q246" i="70"/>
  <c r="Q249" i="70"/>
  <c r="Q250" i="70"/>
  <c r="Q276" i="70"/>
  <c r="Q286" i="70"/>
  <c r="Q291" i="70"/>
  <c r="Q297" i="70"/>
  <c r="Q298" i="70"/>
  <c r="Q300" i="70"/>
  <c r="Q303" i="70"/>
  <c r="Q313" i="70"/>
  <c r="Q319" i="70"/>
  <c r="Q322" i="70"/>
  <c r="Q323" i="70"/>
  <c r="Q329" i="70"/>
  <c r="Q330" i="70"/>
  <c r="Q333" i="70"/>
  <c r="Q340" i="70"/>
  <c r="Q343" i="70"/>
  <c r="Q347" i="70"/>
  <c r="Q349" i="70"/>
  <c r="Q354" i="70"/>
  <c r="Q364" i="70"/>
  <c r="Q366" i="70"/>
  <c r="Q367" i="70"/>
  <c r="Q369" i="70"/>
  <c r="Q376" i="70"/>
  <c r="Q379" i="70"/>
  <c r="Q384" i="70"/>
  <c r="Q386" i="70"/>
  <c r="Q392" i="70"/>
  <c r="Q394" i="70"/>
  <c r="Q396" i="70"/>
  <c r="Q397" i="70"/>
  <c r="Q400" i="70"/>
  <c r="Q409" i="70"/>
  <c r="Q413" i="70"/>
  <c r="Q419" i="70"/>
  <c r="Q420" i="70"/>
  <c r="Q422" i="70"/>
  <c r="Q424" i="70"/>
  <c r="Q433" i="70"/>
  <c r="Q435" i="70"/>
  <c r="Q438" i="70"/>
  <c r="Q446" i="70"/>
  <c r="Q447" i="70"/>
  <c r="Q448" i="70"/>
  <c r="Q449" i="70"/>
  <c r="Q452" i="70"/>
  <c r="Q454" i="70"/>
  <c r="Q461" i="70"/>
  <c r="Q462" i="70"/>
  <c r="Q465" i="70"/>
  <c r="Q477" i="70"/>
  <c r="Q486" i="70"/>
  <c r="Q490" i="70"/>
  <c r="Q494" i="70"/>
  <c r="Q499" i="70"/>
  <c r="Q502" i="70"/>
  <c r="Q515" i="70"/>
  <c r="Q521" i="70"/>
  <c r="Q522" i="70"/>
  <c r="Q533" i="70"/>
  <c r="W53" i="142"/>
  <c r="E46" i="142" s="1"/>
  <c r="E48" i="142" s="1"/>
  <c r="J82" i="125"/>
  <c r="J81" i="125"/>
  <c r="H81" i="125"/>
  <c r="G166" i="136"/>
  <c r="L166" i="136"/>
  <c r="S166" i="136"/>
  <c r="AA166" i="136"/>
  <c r="G167" i="136"/>
  <c r="L167" i="136"/>
  <c r="S167" i="136"/>
  <c r="AA167" i="136"/>
  <c r="G173" i="136"/>
  <c r="L173" i="136"/>
  <c r="S173" i="136"/>
  <c r="G174" i="136"/>
  <c r="L174" i="136"/>
  <c r="S174" i="136"/>
  <c r="Y166" i="136" l="1"/>
  <c r="AA173" i="136"/>
  <c r="AH173" i="136" s="1"/>
  <c r="AM173" i="136" s="1"/>
  <c r="AH167" i="136"/>
  <c r="AM167" i="136" s="1"/>
  <c r="Q166" i="136"/>
  <c r="Q167" i="136"/>
  <c r="Y167" i="136"/>
  <c r="Q174" i="136"/>
  <c r="AF167" i="136"/>
  <c r="Q173" i="136"/>
  <c r="AA174" i="136"/>
  <c r="AF174" i="136" s="1"/>
  <c r="Y174" i="136"/>
  <c r="AH166" i="136"/>
  <c r="AM166" i="136" s="1"/>
  <c r="Y173" i="136"/>
  <c r="AF166" i="136"/>
  <c r="AF173" i="136" l="1"/>
  <c r="AH174" i="136"/>
  <c r="AM174" i="136" s="1"/>
  <c r="K230" i="70" l="1"/>
  <c r="M230" i="70"/>
  <c r="P230" i="70" s="1"/>
  <c r="N230" i="70"/>
  <c r="Q230" i="70" s="1"/>
  <c r="K231" i="70"/>
  <c r="M231" i="70"/>
  <c r="P231" i="70" s="1"/>
  <c r="N231" i="70"/>
  <c r="Q231" i="70" s="1"/>
  <c r="S23" i="140"/>
  <c r="S24" i="140"/>
  <c r="S28" i="140"/>
  <c r="S29" i="140"/>
  <c r="S33" i="140"/>
  <c r="S37" i="140"/>
  <c r="S38" i="140"/>
  <c r="S40" i="140"/>
  <c r="S47" i="140"/>
  <c r="S50" i="140"/>
  <c r="S52" i="140"/>
  <c r="S53" i="140"/>
  <c r="S59" i="140"/>
  <c r="S65" i="140"/>
  <c r="S66" i="140"/>
  <c r="S70" i="140"/>
  <c r="S74" i="140"/>
  <c r="S78" i="140"/>
  <c r="S82" i="140"/>
  <c r="S83" i="140"/>
  <c r="S87" i="140"/>
  <c r="S91" i="140"/>
  <c r="S95" i="140"/>
  <c r="S97" i="140"/>
  <c r="S99" i="140"/>
  <c r="S102" i="140"/>
  <c r="S103" i="140"/>
  <c r="S108" i="140"/>
  <c r="S114" i="140"/>
  <c r="S116" i="140"/>
  <c r="S119" i="140"/>
  <c r="S122" i="140"/>
  <c r="S124" i="140"/>
  <c r="S129" i="140"/>
  <c r="S130" i="140"/>
  <c r="S134" i="140"/>
  <c r="S140" i="140"/>
  <c r="S141" i="140"/>
  <c r="S153" i="140"/>
  <c r="S155" i="140"/>
  <c r="S156" i="140"/>
  <c r="S162" i="140"/>
  <c r="S166" i="140"/>
  <c r="S170" i="140"/>
  <c r="S172" i="140"/>
  <c r="S174" i="140"/>
  <c r="S175" i="140"/>
  <c r="S181" i="140"/>
  <c r="S184" i="140"/>
  <c r="S186" i="140"/>
  <c r="S190" i="140"/>
  <c r="S191" i="140"/>
  <c r="S196" i="140"/>
  <c r="S199" i="140"/>
  <c r="S203" i="140"/>
  <c r="S205" i="140"/>
  <c r="S206" i="140"/>
  <c r="S208" i="140"/>
  <c r="S211" i="140"/>
  <c r="S213" i="140"/>
  <c r="S215" i="140"/>
  <c r="S217" i="140"/>
  <c r="S218" i="140"/>
  <c r="S221" i="140"/>
  <c r="S232" i="140"/>
  <c r="S234" i="140"/>
  <c r="S237" i="140"/>
  <c r="S238" i="140"/>
  <c r="S243" i="140"/>
  <c r="S244" i="140"/>
  <c r="S245" i="140"/>
  <c r="S247" i="140"/>
  <c r="S249" i="140"/>
  <c r="S254" i="140"/>
  <c r="S256" i="140"/>
  <c r="S258" i="140"/>
  <c r="S263" i="140"/>
  <c r="S265" i="140"/>
  <c r="S266" i="140"/>
  <c r="S268" i="140"/>
  <c r="S284" i="140"/>
  <c r="S289" i="140"/>
  <c r="S299" i="140"/>
  <c r="S302" i="140"/>
  <c r="S303" i="140"/>
  <c r="S307" i="140"/>
  <c r="S325" i="140"/>
  <c r="S327" i="140"/>
  <c r="S333" i="140"/>
  <c r="S336" i="140"/>
  <c r="S338" i="140"/>
  <c r="S340" i="140"/>
  <c r="S341" i="140"/>
  <c r="S343" i="140"/>
  <c r="S346" i="140"/>
  <c r="S347" i="140"/>
  <c r="S359" i="140"/>
  <c r="S366" i="140"/>
  <c r="S371" i="140"/>
  <c r="S376" i="140"/>
  <c r="S386" i="140"/>
  <c r="S401" i="140"/>
  <c r="S404" i="140"/>
  <c r="S406" i="140"/>
  <c r="S407" i="140"/>
  <c r="S418" i="140"/>
  <c r="S419" i="140"/>
  <c r="S421" i="140"/>
  <c r="S424" i="140"/>
  <c r="S431" i="140"/>
  <c r="S437" i="140"/>
  <c r="S439" i="140"/>
  <c r="S441" i="140"/>
  <c r="S444" i="140"/>
  <c r="S446" i="140"/>
  <c r="S449" i="140"/>
  <c r="S452" i="140"/>
  <c r="S453" i="140"/>
  <c r="S468" i="140"/>
  <c r="S484" i="140"/>
  <c r="S491" i="140"/>
  <c r="S497" i="140"/>
  <c r="S508" i="140"/>
  <c r="S509" i="140"/>
  <c r="S511" i="140"/>
  <c r="S512" i="140"/>
  <c r="S515" i="140"/>
  <c r="S519" i="140"/>
  <c r="S520" i="140"/>
  <c r="S522" i="140"/>
  <c r="S523" i="140"/>
  <c r="S526" i="140"/>
  <c r="S529" i="140"/>
  <c r="S534" i="140"/>
  <c r="S536" i="140"/>
  <c r="S540" i="140"/>
  <c r="S541" i="140"/>
  <c r="S543" i="140"/>
  <c r="S546" i="140"/>
  <c r="S551" i="140"/>
  <c r="S563" i="140"/>
  <c r="S583" i="140"/>
  <c r="S584" i="140"/>
  <c r="S586" i="140"/>
  <c r="S29" i="129"/>
  <c r="S32" i="129"/>
  <c r="S35" i="129"/>
  <c r="S37" i="129"/>
  <c r="S42" i="129"/>
  <c r="AK26" i="124" l="1"/>
  <c r="AL26" i="124" s="1"/>
  <c r="AK27" i="124"/>
  <c r="AL27" i="124" s="1"/>
  <c r="AK25" i="124"/>
  <c r="AL25" i="124" s="1"/>
  <c r="D53" i="125" l="1"/>
  <c r="K611" i="140"/>
  <c r="L611" i="140" s="1"/>
  <c r="M611" i="140"/>
  <c r="N611" i="140" s="1"/>
  <c r="O611" i="140" s="1"/>
  <c r="P611" i="140"/>
  <c r="K613" i="140"/>
  <c r="L613" i="140" s="1"/>
  <c r="M613" i="140"/>
  <c r="N613" i="140" s="1"/>
  <c r="K614" i="140"/>
  <c r="L614" i="140" s="1"/>
  <c r="M614" i="140"/>
  <c r="N614" i="140" s="1"/>
  <c r="K616" i="140"/>
  <c r="L616" i="140" s="1"/>
  <c r="M616" i="140"/>
  <c r="P616" i="140" s="1"/>
  <c r="K617" i="140"/>
  <c r="L617" i="140" s="1"/>
  <c r="M617" i="140"/>
  <c r="P617" i="140" s="1"/>
  <c r="K618" i="140"/>
  <c r="L618" i="140" s="1"/>
  <c r="M618" i="140"/>
  <c r="P618" i="140" s="1"/>
  <c r="K619" i="140"/>
  <c r="L619" i="140" s="1"/>
  <c r="M619" i="140"/>
  <c r="N619" i="140" s="1"/>
  <c r="Q619" i="140" s="1"/>
  <c r="R619" i="140" s="1"/>
  <c r="K620" i="140"/>
  <c r="L620" i="140" s="1"/>
  <c r="M620" i="140"/>
  <c r="N620" i="140" s="1"/>
  <c r="P620" i="140"/>
  <c r="K624" i="140"/>
  <c r="L624" i="140" s="1"/>
  <c r="M624" i="140"/>
  <c r="P624" i="140" s="1"/>
  <c r="K627" i="140"/>
  <c r="L627" i="140" s="1"/>
  <c r="M627" i="140"/>
  <c r="P627" i="140" s="1"/>
  <c r="K628" i="140"/>
  <c r="L628" i="140" s="1"/>
  <c r="M628" i="140"/>
  <c r="N628" i="140" s="1"/>
  <c r="P628" i="140"/>
  <c r="K631" i="140"/>
  <c r="L631" i="140" s="1"/>
  <c r="M631" i="140"/>
  <c r="P631" i="140" s="1"/>
  <c r="K632" i="140"/>
  <c r="L632" i="140" s="1"/>
  <c r="M632" i="140"/>
  <c r="N632" i="140" s="1"/>
  <c r="K634" i="140"/>
  <c r="L634" i="140"/>
  <c r="M634" i="140"/>
  <c r="P634" i="140" s="1"/>
  <c r="K635" i="140"/>
  <c r="L635" i="140" s="1"/>
  <c r="M635" i="140"/>
  <c r="P635" i="140" s="1"/>
  <c r="K636" i="140"/>
  <c r="L636" i="140" s="1"/>
  <c r="M636" i="140"/>
  <c r="P636" i="140" s="1"/>
  <c r="K638" i="140"/>
  <c r="L638" i="140" s="1"/>
  <c r="M638" i="140"/>
  <c r="N638" i="140"/>
  <c r="O638" i="140"/>
  <c r="P638" i="140"/>
  <c r="Q638" i="140"/>
  <c r="R638" i="140" s="1"/>
  <c r="K639" i="140"/>
  <c r="L639" i="140"/>
  <c r="M639" i="140"/>
  <c r="P639" i="140" s="1"/>
  <c r="N639" i="140"/>
  <c r="K641" i="140"/>
  <c r="L641" i="140" s="1"/>
  <c r="M641" i="140"/>
  <c r="P641" i="140" s="1"/>
  <c r="K645" i="140"/>
  <c r="L645" i="140" s="1"/>
  <c r="M645" i="140"/>
  <c r="P645" i="140" s="1"/>
  <c r="K646" i="140"/>
  <c r="L646" i="140"/>
  <c r="M646" i="140"/>
  <c r="P646" i="140" s="1"/>
  <c r="K647" i="140"/>
  <c r="L647" i="140" s="1"/>
  <c r="M647" i="140"/>
  <c r="P647" i="140" s="1"/>
  <c r="N647" i="140"/>
  <c r="Q647" i="140" s="1"/>
  <c r="R647" i="140" s="1"/>
  <c r="K648" i="140"/>
  <c r="L648" i="140"/>
  <c r="M648" i="140"/>
  <c r="P648" i="140" s="1"/>
  <c r="K650" i="140"/>
  <c r="L650" i="140" s="1"/>
  <c r="M650" i="140"/>
  <c r="N650" i="140"/>
  <c r="Q650" i="140" s="1"/>
  <c r="R650" i="140" s="1"/>
  <c r="P650" i="140"/>
  <c r="K651" i="140"/>
  <c r="L651" i="140"/>
  <c r="M651" i="140"/>
  <c r="P651" i="140" s="1"/>
  <c r="K652" i="140"/>
  <c r="L652" i="140"/>
  <c r="M652" i="140"/>
  <c r="P652" i="140" s="1"/>
  <c r="N652" i="140"/>
  <c r="O652" i="140" s="1"/>
  <c r="K653" i="140"/>
  <c r="L653" i="140" s="1"/>
  <c r="M653" i="140"/>
  <c r="P653" i="140" s="1"/>
  <c r="K654" i="140"/>
  <c r="L654" i="140" s="1"/>
  <c r="M654" i="140"/>
  <c r="P654" i="140" s="1"/>
  <c r="K655" i="140"/>
  <c r="L655" i="140"/>
  <c r="M655" i="140"/>
  <c r="P655" i="140" s="1"/>
  <c r="K658" i="140"/>
  <c r="L658" i="140" s="1"/>
  <c r="M658" i="140"/>
  <c r="N658" i="140" s="1"/>
  <c r="K659" i="140"/>
  <c r="L659" i="140" s="1"/>
  <c r="M659" i="140"/>
  <c r="P659" i="140" s="1"/>
  <c r="N659" i="140"/>
  <c r="Q659" i="140" s="1"/>
  <c r="R659" i="140" s="1"/>
  <c r="K660" i="140"/>
  <c r="L660" i="140" s="1"/>
  <c r="M660" i="140"/>
  <c r="P660" i="140" s="1"/>
  <c r="K661" i="140"/>
  <c r="L661" i="140"/>
  <c r="M661" i="140"/>
  <c r="P661" i="140" s="1"/>
  <c r="N661" i="140"/>
  <c r="O661" i="140" s="1"/>
  <c r="K662" i="140"/>
  <c r="L662" i="140" s="1"/>
  <c r="M662" i="140"/>
  <c r="P662" i="140" s="1"/>
  <c r="K663" i="140"/>
  <c r="L663" i="140" s="1"/>
  <c r="M663" i="140"/>
  <c r="P663" i="140" s="1"/>
  <c r="K665" i="140"/>
  <c r="L665" i="140" s="1"/>
  <c r="M665" i="140"/>
  <c r="P665" i="140" s="1"/>
  <c r="N665" i="140"/>
  <c r="Q665" i="140" s="1"/>
  <c r="R665" i="140" s="1"/>
  <c r="K668" i="140"/>
  <c r="L668" i="140" s="1"/>
  <c r="M668" i="140"/>
  <c r="P668" i="140" s="1"/>
  <c r="K669" i="140"/>
  <c r="L669" i="140" s="1"/>
  <c r="M669" i="140"/>
  <c r="P669" i="140" s="1"/>
  <c r="K670" i="140"/>
  <c r="L670" i="140"/>
  <c r="M670" i="140"/>
  <c r="P670" i="140" s="1"/>
  <c r="K671" i="140"/>
  <c r="L671" i="140" s="1"/>
  <c r="M671" i="140"/>
  <c r="P671" i="140" s="1"/>
  <c r="N671" i="140"/>
  <c r="Q671" i="140" s="1"/>
  <c r="R671" i="140" s="1"/>
  <c r="K674" i="140"/>
  <c r="L674" i="140" s="1"/>
  <c r="M674" i="140"/>
  <c r="P674" i="140" s="1"/>
  <c r="N674" i="140"/>
  <c r="Q674" i="140" s="1"/>
  <c r="R674" i="140" s="1"/>
  <c r="K675" i="140"/>
  <c r="L675" i="140" s="1"/>
  <c r="M675" i="140"/>
  <c r="P675" i="140" s="1"/>
  <c r="N675" i="140"/>
  <c r="K677" i="140"/>
  <c r="L677" i="140" s="1"/>
  <c r="M677" i="140"/>
  <c r="P677" i="140" s="1"/>
  <c r="K678" i="140"/>
  <c r="L678" i="140"/>
  <c r="M678" i="140"/>
  <c r="P678" i="140" s="1"/>
  <c r="N678" i="140"/>
  <c r="K679" i="140"/>
  <c r="L679" i="140"/>
  <c r="M679" i="140"/>
  <c r="P679" i="140" s="1"/>
  <c r="K680" i="140"/>
  <c r="L680" i="140" s="1"/>
  <c r="M680" i="140"/>
  <c r="N680" i="140"/>
  <c r="O680" i="140" s="1"/>
  <c r="P680" i="140"/>
  <c r="Q680" i="140"/>
  <c r="R680" i="140"/>
  <c r="K681" i="140"/>
  <c r="L681" i="140" s="1"/>
  <c r="M681" i="140"/>
  <c r="P681" i="140" s="1"/>
  <c r="K682" i="140"/>
  <c r="L682" i="140"/>
  <c r="M682" i="140"/>
  <c r="N682" i="140"/>
  <c r="Q682" i="140" s="1"/>
  <c r="R682" i="140" s="1"/>
  <c r="O682" i="140"/>
  <c r="P682" i="140"/>
  <c r="K684" i="140"/>
  <c r="L684" i="140" s="1"/>
  <c r="M684" i="140"/>
  <c r="P684" i="140" s="1"/>
  <c r="N684" i="140"/>
  <c r="K688" i="140"/>
  <c r="L688" i="140" s="1"/>
  <c r="M688" i="140"/>
  <c r="P688" i="140" s="1"/>
  <c r="K689" i="140"/>
  <c r="L689" i="140" s="1"/>
  <c r="M689" i="140"/>
  <c r="P689" i="140" s="1"/>
  <c r="K692" i="140"/>
  <c r="L692" i="140" s="1"/>
  <c r="M692" i="140"/>
  <c r="N692" i="140" s="1"/>
  <c r="K693" i="140"/>
  <c r="L693" i="140" s="1"/>
  <c r="M693" i="140"/>
  <c r="P693" i="140" s="1"/>
  <c r="K696" i="140"/>
  <c r="L696" i="140"/>
  <c r="M696" i="140"/>
  <c r="P696" i="140" s="1"/>
  <c r="K699" i="140"/>
  <c r="L699" i="140" s="1"/>
  <c r="M699" i="140"/>
  <c r="P699" i="140" s="1"/>
  <c r="K701" i="140"/>
  <c r="L701" i="140" s="1"/>
  <c r="M701" i="140"/>
  <c r="P701" i="140" s="1"/>
  <c r="N701" i="140"/>
  <c r="Q701" i="140" s="1"/>
  <c r="R701" i="140" s="1"/>
  <c r="K702" i="140"/>
  <c r="L702" i="140" s="1"/>
  <c r="M702" i="140"/>
  <c r="P702" i="140" s="1"/>
  <c r="N702" i="140"/>
  <c r="K703" i="140"/>
  <c r="L703" i="140" s="1"/>
  <c r="M703" i="140"/>
  <c r="P703" i="140" s="1"/>
  <c r="K704" i="140"/>
  <c r="L704" i="140" s="1"/>
  <c r="M704" i="140"/>
  <c r="P704" i="140" s="1"/>
  <c r="K705" i="140"/>
  <c r="L705" i="140"/>
  <c r="M705" i="140"/>
  <c r="P705" i="140" s="1"/>
  <c r="K706" i="140"/>
  <c r="L706" i="140" s="1"/>
  <c r="M706" i="140"/>
  <c r="P706" i="140" s="1"/>
  <c r="K707" i="140"/>
  <c r="L707" i="140" s="1"/>
  <c r="M707" i="140"/>
  <c r="P707" i="140" s="1"/>
  <c r="N707" i="140"/>
  <c r="Q707" i="140" s="1"/>
  <c r="R707" i="140" s="1"/>
  <c r="K708" i="140"/>
  <c r="L708" i="140" s="1"/>
  <c r="M708" i="140"/>
  <c r="P708" i="140" s="1"/>
  <c r="K709" i="140"/>
  <c r="L709" i="140"/>
  <c r="M709" i="140"/>
  <c r="P709" i="140" s="1"/>
  <c r="K711" i="140"/>
  <c r="L711" i="140"/>
  <c r="M711" i="140"/>
  <c r="P711" i="140" s="1"/>
  <c r="N711" i="140"/>
  <c r="K714" i="140"/>
  <c r="L714" i="140"/>
  <c r="M714" i="140"/>
  <c r="P714" i="140" s="1"/>
  <c r="K716" i="140"/>
  <c r="L716" i="140" s="1"/>
  <c r="M716" i="140"/>
  <c r="N716" i="140" s="1"/>
  <c r="K717" i="140"/>
  <c r="L717" i="140" s="1"/>
  <c r="M717" i="140"/>
  <c r="P717" i="140" s="1"/>
  <c r="N717" i="140"/>
  <c r="K719" i="140"/>
  <c r="L719" i="140" s="1"/>
  <c r="M719" i="140"/>
  <c r="N719" i="140" s="1"/>
  <c r="K720" i="140"/>
  <c r="L720" i="140" s="1"/>
  <c r="M720" i="140"/>
  <c r="P720" i="140" s="1"/>
  <c r="K721" i="140"/>
  <c r="L721" i="140" s="1"/>
  <c r="M721" i="140"/>
  <c r="N721" i="140"/>
  <c r="Q721" i="140" s="1"/>
  <c r="R721" i="140" s="1"/>
  <c r="O721" i="140"/>
  <c r="P721" i="140"/>
  <c r="K724" i="140"/>
  <c r="L724" i="140"/>
  <c r="M724" i="140"/>
  <c r="N724" i="140" s="1"/>
  <c r="K725" i="140"/>
  <c r="L725" i="140" s="1"/>
  <c r="M725" i="140"/>
  <c r="P725" i="140" s="1"/>
  <c r="N725" i="140"/>
  <c r="Q725" i="140" s="1"/>
  <c r="R725" i="140" s="1"/>
  <c r="K726" i="140"/>
  <c r="L726" i="140" s="1"/>
  <c r="M726" i="140"/>
  <c r="P726" i="140" s="1"/>
  <c r="N726" i="140"/>
  <c r="K727" i="140"/>
  <c r="L727" i="140"/>
  <c r="M727" i="140"/>
  <c r="P727" i="140" s="1"/>
  <c r="N727" i="140"/>
  <c r="Q727" i="140" s="1"/>
  <c r="R727" i="140" s="1"/>
  <c r="K728" i="140"/>
  <c r="L728" i="140" s="1"/>
  <c r="M728" i="140"/>
  <c r="P728" i="140" s="1"/>
  <c r="N728" i="140"/>
  <c r="Q728" i="140" s="1"/>
  <c r="R728" i="140" s="1"/>
  <c r="K729" i="140"/>
  <c r="L729" i="140"/>
  <c r="M729" i="140"/>
  <c r="P729" i="140" s="1"/>
  <c r="K731" i="140"/>
  <c r="L731" i="140" s="1"/>
  <c r="M731" i="140"/>
  <c r="P731" i="140" s="1"/>
  <c r="N731" i="140"/>
  <c r="O731" i="140" s="1"/>
  <c r="K732" i="140"/>
  <c r="L732" i="140"/>
  <c r="M732" i="140"/>
  <c r="P732" i="140" s="1"/>
  <c r="N732" i="140"/>
  <c r="K734" i="140"/>
  <c r="L734" i="140" s="1"/>
  <c r="M734" i="140"/>
  <c r="P734" i="140" s="1"/>
  <c r="K735" i="140"/>
  <c r="L735" i="140" s="1"/>
  <c r="M735" i="140"/>
  <c r="P735" i="140" s="1"/>
  <c r="N735" i="140"/>
  <c r="K736" i="140"/>
  <c r="L736" i="140" s="1"/>
  <c r="M736" i="140"/>
  <c r="N736" i="140" s="1"/>
  <c r="O736" i="140" s="1"/>
  <c r="K737" i="140"/>
  <c r="L737" i="140" s="1"/>
  <c r="M737" i="140"/>
  <c r="P737" i="140" s="1"/>
  <c r="K738" i="140"/>
  <c r="L738" i="140"/>
  <c r="M738" i="140"/>
  <c r="P738" i="140" s="1"/>
  <c r="N738" i="140"/>
  <c r="K739" i="140"/>
  <c r="L739" i="140" s="1"/>
  <c r="M739" i="140"/>
  <c r="P739" i="140" s="1"/>
  <c r="N739" i="140"/>
  <c r="O739" i="140" s="1"/>
  <c r="K741" i="140"/>
  <c r="L741" i="140"/>
  <c r="M741" i="140"/>
  <c r="P741" i="140" s="1"/>
  <c r="N741" i="140"/>
  <c r="O741" i="140" s="1"/>
  <c r="K742" i="140"/>
  <c r="L742" i="140" s="1"/>
  <c r="M742" i="140"/>
  <c r="P742" i="140" s="1"/>
  <c r="N742" i="140"/>
  <c r="Q742" i="140" s="1"/>
  <c r="R742" i="140" s="1"/>
  <c r="M610" i="140"/>
  <c r="N610" i="140" s="1"/>
  <c r="K610" i="140"/>
  <c r="K127" i="140"/>
  <c r="L127" i="140" s="1"/>
  <c r="M127" i="140"/>
  <c r="N127" i="140"/>
  <c r="O127" i="140" s="1"/>
  <c r="K128" i="140"/>
  <c r="L128" i="140" s="1"/>
  <c r="M128" i="140"/>
  <c r="N128" i="140" s="1"/>
  <c r="K131" i="140"/>
  <c r="L131" i="140" s="1"/>
  <c r="M131" i="140"/>
  <c r="K132" i="140"/>
  <c r="L132" i="140" s="1"/>
  <c r="M132" i="140"/>
  <c r="S132" i="140" s="1"/>
  <c r="N132" i="140"/>
  <c r="Q132" i="140" s="1"/>
  <c r="R132" i="140" s="1"/>
  <c r="P132" i="140"/>
  <c r="K133" i="140"/>
  <c r="L133" i="140"/>
  <c r="M133" i="140"/>
  <c r="S133" i="140" s="1"/>
  <c r="L135" i="140"/>
  <c r="M135" i="140"/>
  <c r="S135" i="140" s="1"/>
  <c r="L136" i="140"/>
  <c r="M136" i="140"/>
  <c r="P136" i="140" s="1"/>
  <c r="K137" i="140"/>
  <c r="L137" i="140" s="1"/>
  <c r="M137" i="140"/>
  <c r="S137" i="140" s="1"/>
  <c r="L138" i="140"/>
  <c r="M138" i="140"/>
  <c r="N138" i="140" s="1"/>
  <c r="O138" i="140" s="1"/>
  <c r="L139" i="140"/>
  <c r="M139" i="140"/>
  <c r="S139" i="140" s="1"/>
  <c r="P139" i="140"/>
  <c r="K142" i="140"/>
  <c r="L142" i="140"/>
  <c r="M142" i="140"/>
  <c r="N142" i="140"/>
  <c r="Q142" i="140" s="1"/>
  <c r="R142" i="140" s="1"/>
  <c r="O142" i="140"/>
  <c r="K143" i="140"/>
  <c r="L143" i="140"/>
  <c r="M143" i="140"/>
  <c r="K144" i="140"/>
  <c r="L144" i="140"/>
  <c r="M144" i="140"/>
  <c r="S144" i="140" s="1"/>
  <c r="K145" i="140"/>
  <c r="L145" i="140"/>
  <c r="M145" i="140"/>
  <c r="S145" i="140" s="1"/>
  <c r="K146" i="140"/>
  <c r="L146" i="140"/>
  <c r="M146" i="140"/>
  <c r="N146" i="140" s="1"/>
  <c r="K147" i="140"/>
  <c r="L147" i="140" s="1"/>
  <c r="M147" i="140"/>
  <c r="K148" i="140"/>
  <c r="L148" i="140" s="1"/>
  <c r="M148" i="140"/>
  <c r="S148" i="140" s="1"/>
  <c r="K149" i="140"/>
  <c r="L149" i="140" s="1"/>
  <c r="M149" i="140"/>
  <c r="K150" i="140"/>
  <c r="L150" i="140"/>
  <c r="M150" i="140"/>
  <c r="N150" i="140" s="1"/>
  <c r="K151" i="140"/>
  <c r="L151" i="140"/>
  <c r="M151" i="140"/>
  <c r="K152" i="140"/>
  <c r="L152" i="140" s="1"/>
  <c r="M152" i="140"/>
  <c r="S152" i="140" s="1"/>
  <c r="N152" i="140"/>
  <c r="O152" i="140" s="1"/>
  <c r="L154" i="140"/>
  <c r="M154" i="140"/>
  <c r="S154" i="140" s="1"/>
  <c r="K157" i="140"/>
  <c r="L157" i="140"/>
  <c r="M157" i="140"/>
  <c r="N157" i="140" s="1"/>
  <c r="K158" i="140"/>
  <c r="L158" i="140"/>
  <c r="M158" i="140"/>
  <c r="K159" i="140"/>
  <c r="L159" i="140"/>
  <c r="M159" i="140"/>
  <c r="N159" i="140"/>
  <c r="K160" i="140"/>
  <c r="L160" i="140" s="1"/>
  <c r="M160" i="140"/>
  <c r="S160" i="140" s="1"/>
  <c r="N160" i="140"/>
  <c r="O160" i="140" s="1"/>
  <c r="K161" i="140"/>
  <c r="L161" i="140"/>
  <c r="M161" i="140"/>
  <c r="P161" i="140"/>
  <c r="K163" i="140"/>
  <c r="L163" i="140" s="1"/>
  <c r="M163" i="140"/>
  <c r="N163" i="140"/>
  <c r="O163" i="140" s="1"/>
  <c r="K164" i="140"/>
  <c r="L164" i="140"/>
  <c r="M164" i="140"/>
  <c r="S164" i="140" s="1"/>
  <c r="K165" i="140"/>
  <c r="L165" i="140"/>
  <c r="M165" i="140"/>
  <c r="N165" i="140" s="1"/>
  <c r="K167" i="140"/>
  <c r="L167" i="140"/>
  <c r="M167" i="140"/>
  <c r="S167" i="140" s="1"/>
  <c r="K168" i="140"/>
  <c r="L168" i="140" s="1"/>
  <c r="M168" i="140"/>
  <c r="N168" i="140" s="1"/>
  <c r="K169" i="140"/>
  <c r="L169" i="140"/>
  <c r="M169" i="140"/>
  <c r="S169" i="140" s="1"/>
  <c r="K171" i="140"/>
  <c r="L171" i="140"/>
  <c r="M171" i="140"/>
  <c r="N171" i="140"/>
  <c r="Q171" i="140" s="1"/>
  <c r="R171" i="140" s="1"/>
  <c r="K173" i="140"/>
  <c r="L173" i="140"/>
  <c r="M173" i="140"/>
  <c r="S173" i="140" s="1"/>
  <c r="K176" i="140"/>
  <c r="L176" i="140"/>
  <c r="M176" i="140"/>
  <c r="S176" i="140" s="1"/>
  <c r="N176" i="140"/>
  <c r="P176" i="140"/>
  <c r="K177" i="140"/>
  <c r="L177" i="140" s="1"/>
  <c r="M177" i="140"/>
  <c r="N177" i="140" s="1"/>
  <c r="K178" i="140"/>
  <c r="L178" i="140"/>
  <c r="M178" i="140"/>
  <c r="S178" i="140" s="1"/>
  <c r="K179" i="140"/>
  <c r="L179" i="140"/>
  <c r="M179" i="140"/>
  <c r="S179" i="140" s="1"/>
  <c r="K180" i="140"/>
  <c r="L180" i="140" s="1"/>
  <c r="M180" i="140"/>
  <c r="L182" i="140"/>
  <c r="M182" i="140"/>
  <c r="L183" i="140"/>
  <c r="M183" i="140"/>
  <c r="S183" i="140" s="1"/>
  <c r="K185" i="140"/>
  <c r="L185" i="140" s="1"/>
  <c r="M185" i="140"/>
  <c r="L187" i="140"/>
  <c r="M187" i="140"/>
  <c r="L188" i="140"/>
  <c r="M188" i="140"/>
  <c r="S188" i="140" s="1"/>
  <c r="L189" i="140"/>
  <c r="M189" i="140"/>
  <c r="N189" i="140" s="1"/>
  <c r="Q189" i="140" s="1"/>
  <c r="R189" i="140" s="1"/>
  <c r="K192" i="140"/>
  <c r="L192" i="140"/>
  <c r="M192" i="140"/>
  <c r="N192" i="140" s="1"/>
  <c r="K193" i="140"/>
  <c r="L193" i="140" s="1"/>
  <c r="M193" i="140"/>
  <c r="N193" i="140" s="1"/>
  <c r="K194" i="140"/>
  <c r="L194" i="140" s="1"/>
  <c r="M194" i="140"/>
  <c r="S194" i="140" s="1"/>
  <c r="K195" i="140"/>
  <c r="L195" i="140" s="1"/>
  <c r="M195" i="140"/>
  <c r="S195" i="140" s="1"/>
  <c r="K197" i="140"/>
  <c r="L197" i="140" s="1"/>
  <c r="M197" i="140"/>
  <c r="P197" i="140" s="1"/>
  <c r="K198" i="140"/>
  <c r="L198" i="140" s="1"/>
  <c r="M198" i="140"/>
  <c r="N198" i="140" s="1"/>
  <c r="K200" i="140"/>
  <c r="L200" i="140" s="1"/>
  <c r="M200" i="140"/>
  <c r="N200" i="140" s="1"/>
  <c r="K201" i="140"/>
  <c r="L201" i="140" s="1"/>
  <c r="M201" i="140"/>
  <c r="S201" i="140" s="1"/>
  <c r="K202" i="140"/>
  <c r="L202" i="140" s="1"/>
  <c r="M202" i="140"/>
  <c r="S202" i="140" s="1"/>
  <c r="K204" i="140"/>
  <c r="L204" i="140" s="1"/>
  <c r="M204" i="140"/>
  <c r="S204" i="140" s="1"/>
  <c r="K207" i="140"/>
  <c r="L207" i="140" s="1"/>
  <c r="M207" i="140"/>
  <c r="P207" i="140"/>
  <c r="K209" i="140"/>
  <c r="L209" i="140"/>
  <c r="M209" i="140"/>
  <c r="K210" i="140"/>
  <c r="L210" i="140"/>
  <c r="M210" i="140"/>
  <c r="K212" i="140"/>
  <c r="L212" i="140"/>
  <c r="M212" i="140"/>
  <c r="S212" i="140" s="1"/>
  <c r="K214" i="140"/>
  <c r="L214" i="140" s="1"/>
  <c r="M214" i="140"/>
  <c r="S214" i="140" s="1"/>
  <c r="K216" i="140"/>
  <c r="L216" i="140" s="1"/>
  <c r="M216" i="140"/>
  <c r="N216" i="140" s="1"/>
  <c r="K219" i="140"/>
  <c r="L219" i="140" s="1"/>
  <c r="M219" i="140"/>
  <c r="S219" i="140" s="1"/>
  <c r="K220" i="140"/>
  <c r="L220" i="140"/>
  <c r="M220" i="140"/>
  <c r="S220" i="140" s="1"/>
  <c r="K222" i="140"/>
  <c r="L222" i="140" s="1"/>
  <c r="M222" i="140"/>
  <c r="K223" i="140"/>
  <c r="L223" i="140" s="1"/>
  <c r="M223" i="140"/>
  <c r="P223" i="140"/>
  <c r="K224" i="140"/>
  <c r="L224" i="140"/>
  <c r="M224" i="140"/>
  <c r="N224" i="140" s="1"/>
  <c r="K225" i="140"/>
  <c r="L225" i="140"/>
  <c r="M225" i="140"/>
  <c r="N225" i="140" s="1"/>
  <c r="Q225" i="140" s="1"/>
  <c r="R225" i="140" s="1"/>
  <c r="K226" i="140"/>
  <c r="L226" i="140" s="1"/>
  <c r="M226" i="140"/>
  <c r="N226" i="140" s="1"/>
  <c r="K227" i="140"/>
  <c r="L227" i="140" s="1"/>
  <c r="M227" i="140"/>
  <c r="K228" i="140"/>
  <c r="L228" i="140" s="1"/>
  <c r="M228" i="140"/>
  <c r="P228" i="140" s="1"/>
  <c r="K229" i="140"/>
  <c r="L229" i="140" s="1"/>
  <c r="M229" i="140"/>
  <c r="S229" i="140" s="1"/>
  <c r="K230" i="140"/>
  <c r="L230" i="140"/>
  <c r="M230" i="140"/>
  <c r="S230" i="140" s="1"/>
  <c r="K231" i="140"/>
  <c r="L231" i="140"/>
  <c r="M231" i="140"/>
  <c r="N231" i="140"/>
  <c r="Q231" i="140" s="1"/>
  <c r="R231" i="140" s="1"/>
  <c r="K233" i="140"/>
  <c r="L233" i="140"/>
  <c r="M233" i="140"/>
  <c r="P233" i="140" s="1"/>
  <c r="K235" i="140"/>
  <c r="L235" i="140" s="1"/>
  <c r="M235" i="140"/>
  <c r="S235" i="140" s="1"/>
  <c r="K236" i="140"/>
  <c r="L236" i="140"/>
  <c r="M236" i="140"/>
  <c r="N236" i="140" s="1"/>
  <c r="K239" i="140"/>
  <c r="L239" i="140" s="1"/>
  <c r="M239" i="140"/>
  <c r="S239" i="140" s="1"/>
  <c r="K240" i="140"/>
  <c r="L240" i="140"/>
  <c r="M240" i="140"/>
  <c r="P240" i="140" s="1"/>
  <c r="K241" i="140"/>
  <c r="L241" i="140"/>
  <c r="M241" i="140"/>
  <c r="S241" i="140" s="1"/>
  <c r="P241" i="140"/>
  <c r="K242" i="140"/>
  <c r="L242" i="140" s="1"/>
  <c r="M242" i="140"/>
  <c r="K246" i="140"/>
  <c r="L246" i="140" s="1"/>
  <c r="M246" i="140"/>
  <c r="S246" i="140" s="1"/>
  <c r="K248" i="140"/>
  <c r="L248" i="140" s="1"/>
  <c r="M248" i="140"/>
  <c r="K250" i="140"/>
  <c r="L250" i="140" s="1"/>
  <c r="M250" i="140"/>
  <c r="N250" i="140" s="1"/>
  <c r="O250" i="140" s="1"/>
  <c r="K251" i="140"/>
  <c r="L251" i="140"/>
  <c r="M251" i="140"/>
  <c r="N251" i="140" s="1"/>
  <c r="K252" i="140"/>
  <c r="L252" i="140" s="1"/>
  <c r="M252" i="140"/>
  <c r="N252" i="140" s="1"/>
  <c r="K253" i="140"/>
  <c r="L253" i="140"/>
  <c r="M253" i="140"/>
  <c r="N253" i="140" s="1"/>
  <c r="Q253" i="140" s="1"/>
  <c r="R253" i="140" s="1"/>
  <c r="K255" i="140"/>
  <c r="L255" i="140" s="1"/>
  <c r="M255" i="140"/>
  <c r="P255" i="140" s="1"/>
  <c r="K257" i="140"/>
  <c r="L257" i="140" s="1"/>
  <c r="M257" i="140"/>
  <c r="K259" i="140"/>
  <c r="L259" i="140" s="1"/>
  <c r="M259" i="140"/>
  <c r="S259" i="140" s="1"/>
  <c r="K260" i="140"/>
  <c r="L260" i="140" s="1"/>
  <c r="M260" i="140"/>
  <c r="N260" i="140" s="1"/>
  <c r="K261" i="140"/>
  <c r="L261" i="140" s="1"/>
  <c r="M261" i="140"/>
  <c r="N261" i="140" s="1"/>
  <c r="K262" i="140"/>
  <c r="L262" i="140" s="1"/>
  <c r="M262" i="140"/>
  <c r="S262" i="140" s="1"/>
  <c r="K264" i="140"/>
  <c r="L264" i="140" s="1"/>
  <c r="M264" i="140"/>
  <c r="S264" i="140" s="1"/>
  <c r="P264" i="140"/>
  <c r="K267" i="140"/>
  <c r="L267" i="140"/>
  <c r="M267" i="140"/>
  <c r="N267" i="140"/>
  <c r="K269" i="140"/>
  <c r="L269" i="140" s="1"/>
  <c r="M269" i="140"/>
  <c r="K270" i="140"/>
  <c r="L270" i="140" s="1"/>
  <c r="M270" i="140"/>
  <c r="S270" i="140" s="1"/>
  <c r="P270" i="140"/>
  <c r="K271" i="140"/>
  <c r="L271" i="140"/>
  <c r="M271" i="140"/>
  <c r="N271" i="140" s="1"/>
  <c r="K272" i="140"/>
  <c r="L272" i="140"/>
  <c r="M272" i="140"/>
  <c r="K273" i="140"/>
  <c r="L273" i="140"/>
  <c r="M273" i="140"/>
  <c r="N273" i="140"/>
  <c r="K274" i="140"/>
  <c r="L274" i="140" s="1"/>
  <c r="M274" i="140"/>
  <c r="K275" i="140"/>
  <c r="L275" i="140"/>
  <c r="M275" i="140"/>
  <c r="N275" i="140" s="1"/>
  <c r="K276" i="140"/>
  <c r="L276" i="140"/>
  <c r="M276" i="140"/>
  <c r="N276" i="140" s="1"/>
  <c r="K277" i="140"/>
  <c r="L277" i="140" s="1"/>
  <c r="M277" i="140"/>
  <c r="K278" i="140"/>
  <c r="L278" i="140" s="1"/>
  <c r="M278" i="140"/>
  <c r="N278" i="140"/>
  <c r="O278" i="140" s="1"/>
  <c r="K279" i="140"/>
  <c r="L279" i="140" s="1"/>
  <c r="M279" i="140"/>
  <c r="S279" i="140" s="1"/>
  <c r="N279" i="140"/>
  <c r="Q279" i="140" s="1"/>
  <c r="R279" i="140" s="1"/>
  <c r="O279" i="140"/>
  <c r="P279" i="140"/>
  <c r="K280" i="140"/>
  <c r="L280" i="140"/>
  <c r="M280" i="140"/>
  <c r="P280" i="140" s="1"/>
  <c r="K281" i="140"/>
  <c r="L281" i="140"/>
  <c r="M281" i="140"/>
  <c r="S281" i="140" s="1"/>
  <c r="K282" i="140"/>
  <c r="L282" i="140" s="1"/>
  <c r="M282" i="140"/>
  <c r="N282" i="140" s="1"/>
  <c r="K283" i="140"/>
  <c r="L283" i="140" s="1"/>
  <c r="M283" i="140"/>
  <c r="K285" i="140"/>
  <c r="L285" i="140" s="1"/>
  <c r="M285" i="140"/>
  <c r="N285" i="140"/>
  <c r="Q285" i="140" s="1"/>
  <c r="R285" i="140" s="1"/>
  <c r="K286" i="140"/>
  <c r="L286" i="140"/>
  <c r="M286" i="140"/>
  <c r="S286" i="140" s="1"/>
  <c r="K287" i="140"/>
  <c r="L287" i="140"/>
  <c r="M287" i="140"/>
  <c r="S287" i="140" s="1"/>
  <c r="K288" i="140"/>
  <c r="L288" i="140" s="1"/>
  <c r="M288" i="140"/>
  <c r="N288" i="140" s="1"/>
  <c r="K290" i="140"/>
  <c r="L290" i="140"/>
  <c r="M290" i="140"/>
  <c r="S290" i="140" s="1"/>
  <c r="K291" i="140"/>
  <c r="L291" i="140" s="1"/>
  <c r="M291" i="140"/>
  <c r="S291" i="140" s="1"/>
  <c r="K292" i="140"/>
  <c r="L292" i="140"/>
  <c r="M292" i="140"/>
  <c r="S292" i="140" s="1"/>
  <c r="K293" i="140"/>
  <c r="L293" i="140" s="1"/>
  <c r="M293" i="140"/>
  <c r="N293" i="140" s="1"/>
  <c r="K294" i="140"/>
  <c r="L294" i="140"/>
  <c r="M294" i="140"/>
  <c r="S294" i="140" s="1"/>
  <c r="K295" i="140"/>
  <c r="L295" i="140" s="1"/>
  <c r="M295" i="140"/>
  <c r="S295" i="140" s="1"/>
  <c r="N295" i="140"/>
  <c r="Q295" i="140" s="1"/>
  <c r="R295" i="140" s="1"/>
  <c r="K296" i="140"/>
  <c r="L296" i="140"/>
  <c r="M296" i="140"/>
  <c r="S296" i="140" s="1"/>
  <c r="K297" i="140"/>
  <c r="L297" i="140"/>
  <c r="M297" i="140"/>
  <c r="N297" i="140" s="1"/>
  <c r="K298" i="140"/>
  <c r="L298" i="140"/>
  <c r="M298" i="140"/>
  <c r="S298" i="140" s="1"/>
  <c r="N298" i="140"/>
  <c r="O298" i="140" s="1"/>
  <c r="P298" i="140"/>
  <c r="Q298" i="140"/>
  <c r="R298" i="140" s="1"/>
  <c r="K300" i="140"/>
  <c r="L300" i="140" s="1"/>
  <c r="M300" i="140"/>
  <c r="S300" i="140" s="1"/>
  <c r="K301" i="140"/>
  <c r="L301" i="140"/>
  <c r="M301" i="140"/>
  <c r="K304" i="140"/>
  <c r="L304" i="140"/>
  <c r="M304" i="140"/>
  <c r="N304" i="140" s="1"/>
  <c r="K305" i="140"/>
  <c r="L305" i="140"/>
  <c r="M305" i="140"/>
  <c r="S305" i="140" s="1"/>
  <c r="K306" i="140"/>
  <c r="L306" i="140" s="1"/>
  <c r="M306" i="140"/>
  <c r="N306" i="140" s="1"/>
  <c r="K308" i="140"/>
  <c r="L308" i="140" s="1"/>
  <c r="M308" i="140"/>
  <c r="N308" i="140"/>
  <c r="O308" i="140" s="1"/>
  <c r="Q308" i="140"/>
  <c r="R308" i="140" s="1"/>
  <c r="K309" i="140"/>
  <c r="L309" i="140" s="1"/>
  <c r="M309" i="140"/>
  <c r="N309" i="140" s="1"/>
  <c r="K310" i="140"/>
  <c r="L310" i="140"/>
  <c r="M310" i="140"/>
  <c r="S310" i="140" s="1"/>
  <c r="K311" i="140"/>
  <c r="L311" i="140"/>
  <c r="M311" i="140"/>
  <c r="S311" i="140" s="1"/>
  <c r="N311" i="140"/>
  <c r="K312" i="140"/>
  <c r="L312" i="140"/>
  <c r="M312" i="140"/>
  <c r="N312" i="140" s="1"/>
  <c r="Q312" i="140" s="1"/>
  <c r="R312" i="140" s="1"/>
  <c r="K313" i="140"/>
  <c r="L313" i="140"/>
  <c r="M313" i="140"/>
  <c r="K314" i="140"/>
  <c r="L314" i="140" s="1"/>
  <c r="M314" i="140"/>
  <c r="N314" i="140"/>
  <c r="K315" i="140"/>
  <c r="L315" i="140" s="1"/>
  <c r="M315" i="140"/>
  <c r="S315" i="140" s="1"/>
  <c r="P315" i="140"/>
  <c r="K316" i="140"/>
  <c r="L316" i="140"/>
  <c r="M316" i="140"/>
  <c r="P316" i="140" s="1"/>
  <c r="K317" i="140"/>
  <c r="L317" i="140"/>
  <c r="M317" i="140"/>
  <c r="K318" i="140"/>
  <c r="L318" i="140"/>
  <c r="M318" i="140"/>
  <c r="N318" i="140" s="1"/>
  <c r="K319" i="140"/>
  <c r="L319" i="140" s="1"/>
  <c r="M319" i="140"/>
  <c r="S319" i="140" s="1"/>
  <c r="K320" i="140"/>
  <c r="L320" i="140" s="1"/>
  <c r="M320" i="140"/>
  <c r="K321" i="140"/>
  <c r="L321" i="140" s="1"/>
  <c r="M321" i="140"/>
  <c r="P321" i="140" s="1"/>
  <c r="K322" i="140"/>
  <c r="L322" i="140" s="1"/>
  <c r="M322" i="140"/>
  <c r="N322" i="140"/>
  <c r="O322" i="140" s="1"/>
  <c r="K323" i="140"/>
  <c r="L323" i="140"/>
  <c r="M323" i="140"/>
  <c r="S323" i="140" s="1"/>
  <c r="K324" i="140"/>
  <c r="L324" i="140"/>
  <c r="M324" i="140"/>
  <c r="S324" i="140" s="1"/>
  <c r="K326" i="140"/>
  <c r="L326" i="140"/>
  <c r="M326" i="140"/>
  <c r="S326" i="140" s="1"/>
  <c r="N326" i="140"/>
  <c r="O326" i="140" s="1"/>
  <c r="P326" i="140"/>
  <c r="K328" i="140"/>
  <c r="L328" i="140" s="1"/>
  <c r="M328" i="140"/>
  <c r="N328" i="140" s="1"/>
  <c r="K329" i="140"/>
  <c r="L329" i="140"/>
  <c r="M329" i="140"/>
  <c r="S329" i="140" s="1"/>
  <c r="K330" i="140"/>
  <c r="L330" i="140" s="1"/>
  <c r="M330" i="140"/>
  <c r="N330" i="140" s="1"/>
  <c r="K331" i="140"/>
  <c r="L331" i="140"/>
  <c r="M331" i="140"/>
  <c r="P331" i="140" s="1"/>
  <c r="K332" i="140"/>
  <c r="L332" i="140"/>
  <c r="M332" i="140"/>
  <c r="S332" i="140" s="1"/>
  <c r="K334" i="140"/>
  <c r="L334" i="140" s="1"/>
  <c r="M334" i="140"/>
  <c r="K335" i="140"/>
  <c r="L335" i="140" s="1"/>
  <c r="M335" i="140"/>
  <c r="S335" i="140" s="1"/>
  <c r="N335" i="140"/>
  <c r="O335" i="140" s="1"/>
  <c r="K337" i="140"/>
  <c r="L337" i="140" s="1"/>
  <c r="M337" i="140"/>
  <c r="S337" i="140" s="1"/>
  <c r="K339" i="140"/>
  <c r="L339" i="140"/>
  <c r="M339" i="140"/>
  <c r="N339" i="140" s="1"/>
  <c r="K342" i="140"/>
  <c r="L342" i="140"/>
  <c r="M342" i="140"/>
  <c r="S342" i="140" s="1"/>
  <c r="K344" i="140"/>
  <c r="L344" i="140" s="1"/>
  <c r="M344" i="140"/>
  <c r="N344" i="140"/>
  <c r="K345" i="140"/>
  <c r="L345" i="140"/>
  <c r="M345" i="140"/>
  <c r="S345" i="140" s="1"/>
  <c r="K348" i="140"/>
  <c r="L348" i="140" s="1"/>
  <c r="M348" i="140"/>
  <c r="N348" i="140" s="1"/>
  <c r="K349" i="140"/>
  <c r="L349" i="140" s="1"/>
  <c r="M349" i="140"/>
  <c r="S349" i="140" s="1"/>
  <c r="K350" i="140"/>
  <c r="L350" i="140" s="1"/>
  <c r="M350" i="140"/>
  <c r="S350" i="140" s="1"/>
  <c r="K351" i="140"/>
  <c r="L351" i="140"/>
  <c r="M351" i="140"/>
  <c r="S351" i="140" s="1"/>
  <c r="K352" i="140"/>
  <c r="L352" i="140" s="1"/>
  <c r="M352" i="140"/>
  <c r="P352" i="140" s="1"/>
  <c r="K353" i="140"/>
  <c r="L353" i="140"/>
  <c r="M353" i="140"/>
  <c r="N353" i="140" s="1"/>
  <c r="K354" i="140"/>
  <c r="L354" i="140"/>
  <c r="M354" i="140"/>
  <c r="N354" i="140"/>
  <c r="O354" i="140" s="1"/>
  <c r="Q354" i="140"/>
  <c r="R354" i="140" s="1"/>
  <c r="K355" i="140"/>
  <c r="L355" i="140"/>
  <c r="M355" i="140"/>
  <c r="N355" i="140" s="1"/>
  <c r="K356" i="140"/>
  <c r="L356" i="140" s="1"/>
  <c r="M356" i="140"/>
  <c r="N356" i="140"/>
  <c r="K357" i="140"/>
  <c r="L357" i="140" s="1"/>
  <c r="M357" i="140"/>
  <c r="N357" i="140" s="1"/>
  <c r="K358" i="140"/>
  <c r="L358" i="140"/>
  <c r="M358" i="140"/>
  <c r="N358" i="140" s="1"/>
  <c r="K360" i="140"/>
  <c r="L360" i="140" s="1"/>
  <c r="M360" i="140"/>
  <c r="K361" i="140"/>
  <c r="L361" i="140" s="1"/>
  <c r="M361" i="140"/>
  <c r="N361" i="140"/>
  <c r="K362" i="140"/>
  <c r="L362" i="140"/>
  <c r="M362" i="140"/>
  <c r="S362" i="140" s="1"/>
  <c r="N362" i="140"/>
  <c r="O362" i="140" s="1"/>
  <c r="P362" i="140"/>
  <c r="K363" i="140"/>
  <c r="L363" i="140"/>
  <c r="M363" i="140"/>
  <c r="P363" i="140" s="1"/>
  <c r="K364" i="140"/>
  <c r="L364" i="140" s="1"/>
  <c r="M364" i="140"/>
  <c r="N364" i="140" s="1"/>
  <c r="K365" i="140"/>
  <c r="L365" i="140" s="1"/>
  <c r="M365" i="140"/>
  <c r="N365" i="140"/>
  <c r="K367" i="140"/>
  <c r="L367" i="140"/>
  <c r="M367" i="140"/>
  <c r="K368" i="140"/>
  <c r="L368" i="140"/>
  <c r="M368" i="140"/>
  <c r="S368" i="140" s="1"/>
  <c r="K369" i="140"/>
  <c r="L369" i="140"/>
  <c r="M369" i="140"/>
  <c r="K370" i="140"/>
  <c r="L370" i="140" s="1"/>
  <c r="M370" i="140"/>
  <c r="S370" i="140" s="1"/>
  <c r="K372" i="140"/>
  <c r="L372" i="140" s="1"/>
  <c r="M372" i="140"/>
  <c r="N372" i="140"/>
  <c r="Q372" i="140" s="1"/>
  <c r="R372" i="140" s="1"/>
  <c r="O372" i="140"/>
  <c r="K373" i="140"/>
  <c r="L373" i="140"/>
  <c r="M373" i="140"/>
  <c r="N373" i="140"/>
  <c r="K374" i="140"/>
  <c r="L374" i="140" s="1"/>
  <c r="M374" i="140"/>
  <c r="S374" i="140" s="1"/>
  <c r="N374" i="140"/>
  <c r="K375" i="140"/>
  <c r="L375" i="140" s="1"/>
  <c r="M375" i="140"/>
  <c r="N375" i="140"/>
  <c r="K377" i="140"/>
  <c r="L377" i="140" s="1"/>
  <c r="M377" i="140"/>
  <c r="P377" i="140"/>
  <c r="K378" i="140"/>
  <c r="L378" i="140" s="1"/>
  <c r="M378" i="140"/>
  <c r="K379" i="140"/>
  <c r="L379" i="140"/>
  <c r="M379" i="140"/>
  <c r="N379" i="140" s="1"/>
  <c r="K380" i="140"/>
  <c r="L380" i="140"/>
  <c r="M380" i="140"/>
  <c r="N380" i="140" s="1"/>
  <c r="K381" i="140"/>
  <c r="L381" i="140" s="1"/>
  <c r="M381" i="140"/>
  <c r="S381" i="140" s="1"/>
  <c r="K382" i="140"/>
  <c r="L382" i="140" s="1"/>
  <c r="M382" i="140"/>
  <c r="N382" i="140"/>
  <c r="K383" i="140"/>
  <c r="L383" i="140" s="1"/>
  <c r="M383" i="140"/>
  <c r="N383" i="140" s="1"/>
  <c r="K384" i="140"/>
  <c r="L384" i="140" s="1"/>
  <c r="M384" i="140"/>
  <c r="N384" i="140" s="1"/>
  <c r="K385" i="140"/>
  <c r="L385" i="140" s="1"/>
  <c r="M385" i="140"/>
  <c r="S385" i="140" s="1"/>
  <c r="P385" i="140"/>
  <c r="K387" i="140"/>
  <c r="L387" i="140" s="1"/>
  <c r="M387" i="140"/>
  <c r="S387" i="140" s="1"/>
  <c r="K388" i="140"/>
  <c r="L388" i="140" s="1"/>
  <c r="M388" i="140"/>
  <c r="S388" i="140" s="1"/>
  <c r="P388" i="140"/>
  <c r="K389" i="140"/>
  <c r="L389" i="140"/>
  <c r="M389" i="140"/>
  <c r="S389" i="140" s="1"/>
  <c r="K390" i="140"/>
  <c r="M390" i="140"/>
  <c r="S390" i="140" s="1"/>
  <c r="K391" i="140"/>
  <c r="L391" i="140" s="1"/>
  <c r="M391" i="140"/>
  <c r="S391" i="140" s="1"/>
  <c r="K392" i="140"/>
  <c r="L392" i="140" s="1"/>
  <c r="M392" i="140"/>
  <c r="K393" i="140"/>
  <c r="L393" i="140" s="1"/>
  <c r="M393" i="140"/>
  <c r="N393" i="140" s="1"/>
  <c r="K394" i="140"/>
  <c r="L394" i="140" s="1"/>
  <c r="M394" i="140"/>
  <c r="P394" i="140" s="1"/>
  <c r="K395" i="140"/>
  <c r="L395" i="140" s="1"/>
  <c r="M395" i="140"/>
  <c r="N395" i="140" s="1"/>
  <c r="K396" i="140"/>
  <c r="L396" i="140" s="1"/>
  <c r="M396" i="140"/>
  <c r="S396" i="140" s="1"/>
  <c r="N396" i="140"/>
  <c r="O396" i="140" s="1"/>
  <c r="K397" i="140"/>
  <c r="L397" i="140" s="1"/>
  <c r="M397" i="140"/>
  <c r="N397" i="140" s="1"/>
  <c r="Q397" i="140" s="1"/>
  <c r="R397" i="140" s="1"/>
  <c r="K398" i="140"/>
  <c r="L398" i="140" s="1"/>
  <c r="M398" i="140"/>
  <c r="N398" i="140"/>
  <c r="O398" i="140" s="1"/>
  <c r="K399" i="140"/>
  <c r="L399" i="140" s="1"/>
  <c r="M399" i="140"/>
  <c r="S399" i="140" s="1"/>
  <c r="K400" i="140"/>
  <c r="L400" i="140" s="1"/>
  <c r="M400" i="140"/>
  <c r="S400" i="140" s="1"/>
  <c r="K402" i="140"/>
  <c r="L402" i="140" s="1"/>
  <c r="M402" i="140"/>
  <c r="N402" i="140" s="1"/>
  <c r="K403" i="140"/>
  <c r="L403" i="140" s="1"/>
  <c r="M403" i="140"/>
  <c r="S403" i="140" s="1"/>
  <c r="K405" i="140"/>
  <c r="L405" i="140"/>
  <c r="M405" i="140"/>
  <c r="K408" i="140"/>
  <c r="L408" i="140"/>
  <c r="M408" i="140"/>
  <c r="S408" i="140" s="1"/>
  <c r="K409" i="140"/>
  <c r="L409" i="140" s="1"/>
  <c r="M409" i="140"/>
  <c r="K410" i="140"/>
  <c r="L410" i="140"/>
  <c r="M410" i="140"/>
  <c r="K411" i="140"/>
  <c r="L411" i="140"/>
  <c r="M411" i="140"/>
  <c r="S411" i="140" s="1"/>
  <c r="N411" i="140"/>
  <c r="Q411" i="140" s="1"/>
  <c r="R411" i="140" s="1"/>
  <c r="O411" i="140"/>
  <c r="P411" i="140"/>
  <c r="K412" i="140"/>
  <c r="L412" i="140" s="1"/>
  <c r="M412" i="140"/>
  <c r="P412" i="140" s="1"/>
  <c r="K413" i="140"/>
  <c r="L413" i="140"/>
  <c r="M413" i="140"/>
  <c r="K414" i="140"/>
  <c r="L414" i="140"/>
  <c r="M414" i="140"/>
  <c r="N414" i="140"/>
  <c r="O414" i="140" s="1"/>
  <c r="K415" i="140"/>
  <c r="L415" i="140" s="1"/>
  <c r="M415" i="140"/>
  <c r="N415" i="140" s="1"/>
  <c r="K416" i="140"/>
  <c r="L416" i="140" s="1"/>
  <c r="M416" i="140"/>
  <c r="N416" i="140" s="1"/>
  <c r="K417" i="140"/>
  <c r="L417" i="140" s="1"/>
  <c r="M417" i="140"/>
  <c r="N417" i="140"/>
  <c r="Q417" i="140" s="1"/>
  <c r="R417" i="140" s="1"/>
  <c r="K420" i="140"/>
  <c r="L420" i="140"/>
  <c r="M420" i="140"/>
  <c r="N420" i="140" s="1"/>
  <c r="O420" i="140" s="1"/>
  <c r="Q420" i="140"/>
  <c r="R420" i="140" s="1"/>
  <c r="K422" i="140"/>
  <c r="L422" i="140" s="1"/>
  <c r="M422" i="140"/>
  <c r="N422" i="140"/>
  <c r="Q422" i="140" s="1"/>
  <c r="R422" i="140" s="1"/>
  <c r="O422" i="140"/>
  <c r="K423" i="140"/>
  <c r="L423" i="140"/>
  <c r="M423" i="140"/>
  <c r="S423" i="140" s="1"/>
  <c r="N423" i="140"/>
  <c r="Q423" i="140" s="1"/>
  <c r="R423" i="140" s="1"/>
  <c r="K425" i="140"/>
  <c r="L425" i="140" s="1"/>
  <c r="M425" i="140"/>
  <c r="S425" i="140" s="1"/>
  <c r="K426" i="140"/>
  <c r="L426" i="140" s="1"/>
  <c r="M426" i="140"/>
  <c r="N426" i="140" s="1"/>
  <c r="K427" i="140"/>
  <c r="L427" i="140" s="1"/>
  <c r="M427" i="140"/>
  <c r="N427" i="140" s="1"/>
  <c r="K428" i="140"/>
  <c r="L428" i="140" s="1"/>
  <c r="M428" i="140"/>
  <c r="K429" i="140"/>
  <c r="L429" i="140" s="1"/>
  <c r="M429" i="140"/>
  <c r="P429" i="140" s="1"/>
  <c r="K430" i="140"/>
  <c r="L430" i="140" s="1"/>
  <c r="M430" i="140"/>
  <c r="P430" i="140" s="1"/>
  <c r="K432" i="140"/>
  <c r="L432" i="140"/>
  <c r="M432" i="140"/>
  <c r="K433" i="140"/>
  <c r="L433" i="140" s="1"/>
  <c r="M433" i="140"/>
  <c r="N433" i="140"/>
  <c r="K434" i="140"/>
  <c r="L434" i="140" s="1"/>
  <c r="M434" i="140"/>
  <c r="N434" i="140" s="1"/>
  <c r="K435" i="140"/>
  <c r="L435" i="140" s="1"/>
  <c r="M435" i="140"/>
  <c r="S435" i="140" s="1"/>
  <c r="K436" i="140"/>
  <c r="L436" i="140" s="1"/>
  <c r="M436" i="140"/>
  <c r="N436" i="140"/>
  <c r="K438" i="140"/>
  <c r="L438" i="140"/>
  <c r="M438" i="140"/>
  <c r="N438" i="140" s="1"/>
  <c r="K440" i="140"/>
  <c r="L440" i="140" s="1"/>
  <c r="M440" i="140"/>
  <c r="N440" i="140" s="1"/>
  <c r="K442" i="140"/>
  <c r="L442" i="140" s="1"/>
  <c r="M442" i="140"/>
  <c r="S442" i="140" s="1"/>
  <c r="K443" i="140"/>
  <c r="L443" i="140"/>
  <c r="M443" i="140"/>
  <c r="S443" i="140" s="1"/>
  <c r="K445" i="140"/>
  <c r="L445" i="140" s="1"/>
  <c r="M445" i="140"/>
  <c r="N445" i="140" s="1"/>
  <c r="K447" i="140"/>
  <c r="L447" i="140" s="1"/>
  <c r="M447" i="140"/>
  <c r="N447" i="140" s="1"/>
  <c r="K448" i="140"/>
  <c r="L448" i="140" s="1"/>
  <c r="M448" i="140"/>
  <c r="P448" i="140" s="1"/>
  <c r="K450" i="140"/>
  <c r="L450" i="140"/>
  <c r="M450" i="140"/>
  <c r="S450" i="140" s="1"/>
  <c r="K451" i="140"/>
  <c r="L451" i="140" s="1"/>
  <c r="M451" i="140"/>
  <c r="N451" i="140"/>
  <c r="Q451" i="140" s="1"/>
  <c r="R451" i="140" s="1"/>
  <c r="O451" i="140"/>
  <c r="K454" i="140"/>
  <c r="L454" i="140" s="1"/>
  <c r="M454" i="140"/>
  <c r="N454" i="140"/>
  <c r="O454" i="140" s="1"/>
  <c r="K455" i="140"/>
  <c r="L455" i="140" s="1"/>
  <c r="M455" i="140"/>
  <c r="K456" i="140"/>
  <c r="L456" i="140" s="1"/>
  <c r="M456" i="140"/>
  <c r="N456" i="140" s="1"/>
  <c r="O456" i="140" s="1"/>
  <c r="Q456" i="140"/>
  <c r="R456" i="140" s="1"/>
  <c r="K457" i="140"/>
  <c r="L457" i="140" s="1"/>
  <c r="M457" i="140"/>
  <c r="N457" i="140"/>
  <c r="Q457" i="140" s="1"/>
  <c r="R457" i="140" s="1"/>
  <c r="K458" i="140"/>
  <c r="L458" i="140" s="1"/>
  <c r="M458" i="140"/>
  <c r="N458" i="140"/>
  <c r="Q458" i="140" s="1"/>
  <c r="R458" i="140" s="1"/>
  <c r="O458" i="140"/>
  <c r="K459" i="140"/>
  <c r="L459" i="140"/>
  <c r="M459" i="140"/>
  <c r="S459" i="140" s="1"/>
  <c r="K460" i="140"/>
  <c r="L460" i="140" s="1"/>
  <c r="M460" i="140"/>
  <c r="N460" i="140" s="1"/>
  <c r="K461" i="140"/>
  <c r="L461" i="140"/>
  <c r="M461" i="140"/>
  <c r="S461" i="140" s="1"/>
  <c r="K462" i="140"/>
  <c r="L462" i="140" s="1"/>
  <c r="M462" i="140"/>
  <c r="K463" i="140"/>
  <c r="L463" i="140" s="1"/>
  <c r="M463" i="140"/>
  <c r="N463" i="140"/>
  <c r="O463" i="140" s="1"/>
  <c r="Q463" i="140"/>
  <c r="R463" i="140" s="1"/>
  <c r="K464" i="140"/>
  <c r="L464" i="140" s="1"/>
  <c r="M464" i="140"/>
  <c r="N464" i="140"/>
  <c r="K465" i="140"/>
  <c r="L465" i="140" s="1"/>
  <c r="M465" i="140"/>
  <c r="S465" i="140" s="1"/>
  <c r="N465" i="140"/>
  <c r="Q465" i="140" s="1"/>
  <c r="R465" i="140" s="1"/>
  <c r="K466" i="140"/>
  <c r="L466" i="140" s="1"/>
  <c r="M466" i="140"/>
  <c r="P466" i="140" s="1"/>
  <c r="K467" i="140"/>
  <c r="L467" i="140"/>
  <c r="M467" i="140"/>
  <c r="S467" i="140" s="1"/>
  <c r="N467" i="140"/>
  <c r="Q467" i="140" s="1"/>
  <c r="R467" i="140" s="1"/>
  <c r="O467" i="140"/>
  <c r="K469" i="140"/>
  <c r="L469" i="140"/>
  <c r="M469" i="140"/>
  <c r="P469" i="140"/>
  <c r="K470" i="140"/>
  <c r="L470" i="140" s="1"/>
  <c r="M470" i="140"/>
  <c r="S470" i="140" s="1"/>
  <c r="K471" i="140"/>
  <c r="L471" i="140" s="1"/>
  <c r="M471" i="140"/>
  <c r="S471" i="140" s="1"/>
  <c r="K472" i="140"/>
  <c r="L472" i="140"/>
  <c r="M472" i="140"/>
  <c r="P472" i="140" s="1"/>
  <c r="K473" i="140"/>
  <c r="L473" i="140"/>
  <c r="M473" i="140"/>
  <c r="K474" i="140"/>
  <c r="L474" i="140" s="1"/>
  <c r="M474" i="140"/>
  <c r="N474" i="140" s="1"/>
  <c r="K475" i="140"/>
  <c r="L475" i="140"/>
  <c r="M475" i="140"/>
  <c r="S475" i="140" s="1"/>
  <c r="K476" i="140"/>
  <c r="L476" i="140"/>
  <c r="M476" i="140"/>
  <c r="P476" i="140" s="1"/>
  <c r="K477" i="140"/>
  <c r="L477" i="140" s="1"/>
  <c r="M477" i="140"/>
  <c r="K478" i="140"/>
  <c r="L478" i="140" s="1"/>
  <c r="M478" i="140"/>
  <c r="K479" i="140"/>
  <c r="L479" i="140" s="1"/>
  <c r="M479" i="140"/>
  <c r="K480" i="140"/>
  <c r="L480" i="140"/>
  <c r="M480" i="140"/>
  <c r="N480" i="140" s="1"/>
  <c r="K481" i="140"/>
  <c r="L481" i="140"/>
  <c r="M481" i="140"/>
  <c r="P481" i="140" s="1"/>
  <c r="K482" i="140"/>
  <c r="L482" i="140" s="1"/>
  <c r="M482" i="140"/>
  <c r="S482" i="140" s="1"/>
  <c r="K483" i="140"/>
  <c r="L483" i="140"/>
  <c r="M483" i="140"/>
  <c r="S483" i="140" s="1"/>
  <c r="N483" i="140"/>
  <c r="O483" i="140" s="1"/>
  <c r="K485" i="140"/>
  <c r="L485" i="140" s="1"/>
  <c r="M485" i="140"/>
  <c r="N485" i="140" s="1"/>
  <c r="K486" i="140"/>
  <c r="L486" i="140" s="1"/>
  <c r="M486" i="140"/>
  <c r="N486" i="140" s="1"/>
  <c r="K487" i="140"/>
  <c r="L487" i="140" s="1"/>
  <c r="M487" i="140"/>
  <c r="S487" i="140" s="1"/>
  <c r="K488" i="140"/>
  <c r="L488" i="140"/>
  <c r="M488" i="140"/>
  <c r="N488" i="140" s="1"/>
  <c r="K489" i="140"/>
  <c r="L489" i="140" s="1"/>
  <c r="M489" i="140"/>
  <c r="N489" i="140" s="1"/>
  <c r="K490" i="140"/>
  <c r="L490" i="140" s="1"/>
  <c r="M490" i="140"/>
  <c r="P490" i="140"/>
  <c r="K492" i="140"/>
  <c r="L492" i="140" s="1"/>
  <c r="M492" i="140"/>
  <c r="N492" i="140"/>
  <c r="K493" i="140"/>
  <c r="L493" i="140" s="1"/>
  <c r="M493" i="140"/>
  <c r="P493" i="140"/>
  <c r="K494" i="140"/>
  <c r="L494" i="140" s="1"/>
  <c r="M494" i="140"/>
  <c r="S494" i="140" s="1"/>
  <c r="K495" i="140"/>
  <c r="L495" i="140"/>
  <c r="M495" i="140"/>
  <c r="S495" i="140" s="1"/>
  <c r="K496" i="140"/>
  <c r="L496" i="140"/>
  <c r="M496" i="140"/>
  <c r="P496" i="140" s="1"/>
  <c r="K498" i="140"/>
  <c r="L498" i="140" s="1"/>
  <c r="M498" i="140"/>
  <c r="S498" i="140" s="1"/>
  <c r="N498" i="140"/>
  <c r="O498" i="140" s="1"/>
  <c r="P498" i="140"/>
  <c r="Q498" i="140"/>
  <c r="R498" i="140" s="1"/>
  <c r="K499" i="140"/>
  <c r="L499" i="140" s="1"/>
  <c r="M499" i="140"/>
  <c r="S499" i="140" s="1"/>
  <c r="K500" i="140"/>
  <c r="L500" i="140"/>
  <c r="M500" i="140"/>
  <c r="N500" i="140"/>
  <c r="Q500" i="140" s="1"/>
  <c r="R500" i="140" s="1"/>
  <c r="K501" i="140"/>
  <c r="L501" i="140" s="1"/>
  <c r="M501" i="140"/>
  <c r="S501" i="140" s="1"/>
  <c r="P501" i="140"/>
  <c r="K502" i="140"/>
  <c r="L502" i="140" s="1"/>
  <c r="M502" i="140"/>
  <c r="P502" i="140" s="1"/>
  <c r="K503" i="140"/>
  <c r="L503" i="140" s="1"/>
  <c r="M503" i="140"/>
  <c r="S503" i="140" s="1"/>
  <c r="K504" i="140"/>
  <c r="L504" i="140"/>
  <c r="M504" i="140"/>
  <c r="N504" i="140" s="1"/>
  <c r="Q504" i="140" s="1"/>
  <c r="R504" i="140" s="1"/>
  <c r="K505" i="140"/>
  <c r="L505" i="140"/>
  <c r="M505" i="140"/>
  <c r="P505" i="140" s="1"/>
  <c r="K506" i="140"/>
  <c r="L506" i="140" s="1"/>
  <c r="M506" i="140"/>
  <c r="S506" i="140" s="1"/>
  <c r="K507" i="140"/>
  <c r="L507" i="140" s="1"/>
  <c r="M507" i="140"/>
  <c r="K510" i="140"/>
  <c r="L510" i="140" s="1"/>
  <c r="M510" i="140"/>
  <c r="K513" i="140"/>
  <c r="L513" i="140" s="1"/>
  <c r="M513" i="140"/>
  <c r="N513" i="140"/>
  <c r="K514" i="140"/>
  <c r="L514" i="140"/>
  <c r="M514" i="140"/>
  <c r="K516" i="140"/>
  <c r="L516" i="140" s="1"/>
  <c r="M516" i="140"/>
  <c r="S516" i="140" s="1"/>
  <c r="K517" i="140"/>
  <c r="L517" i="140"/>
  <c r="M517" i="140"/>
  <c r="K518" i="140"/>
  <c r="L518" i="140"/>
  <c r="M518" i="140"/>
  <c r="N518" i="140" s="1"/>
  <c r="Q518" i="140" s="1"/>
  <c r="R518" i="140" s="1"/>
  <c r="K521" i="140"/>
  <c r="L521" i="140" s="1"/>
  <c r="M521" i="140"/>
  <c r="K524" i="140"/>
  <c r="L524" i="140" s="1"/>
  <c r="M524" i="140"/>
  <c r="N524" i="140" s="1"/>
  <c r="K525" i="140"/>
  <c r="L525" i="140" s="1"/>
  <c r="M525" i="140"/>
  <c r="K527" i="140"/>
  <c r="L527" i="140" s="1"/>
  <c r="M527" i="140"/>
  <c r="K528" i="140"/>
  <c r="L528" i="140"/>
  <c r="M528" i="140"/>
  <c r="N528" i="140" s="1"/>
  <c r="Q528" i="140" s="1"/>
  <c r="R528" i="140" s="1"/>
  <c r="K530" i="140"/>
  <c r="L530" i="140"/>
  <c r="M530" i="140"/>
  <c r="K531" i="140"/>
  <c r="L531" i="140" s="1"/>
  <c r="M531" i="140"/>
  <c r="S531" i="140" s="1"/>
  <c r="K532" i="140"/>
  <c r="L532" i="140"/>
  <c r="M532" i="140"/>
  <c r="P532" i="140" s="1"/>
  <c r="K533" i="140"/>
  <c r="L533" i="140" s="1"/>
  <c r="M533" i="140"/>
  <c r="K535" i="140"/>
  <c r="L535" i="140"/>
  <c r="M535" i="140"/>
  <c r="K537" i="140"/>
  <c r="L537" i="140" s="1"/>
  <c r="M537" i="140"/>
  <c r="N537" i="140" s="1"/>
  <c r="K538" i="140"/>
  <c r="L538" i="140" s="1"/>
  <c r="M538" i="140"/>
  <c r="K539" i="140"/>
  <c r="L539" i="140" s="1"/>
  <c r="M539" i="140"/>
  <c r="S539" i="140" s="1"/>
  <c r="P539" i="140"/>
  <c r="K542" i="140"/>
  <c r="L542" i="140"/>
  <c r="M542" i="140"/>
  <c r="K544" i="140"/>
  <c r="L544" i="140" s="1"/>
  <c r="M544" i="140"/>
  <c r="K545" i="140"/>
  <c r="L545" i="140" s="1"/>
  <c r="M545" i="140"/>
  <c r="S545" i="140" s="1"/>
  <c r="K547" i="140"/>
  <c r="L547" i="140" s="1"/>
  <c r="M547" i="140"/>
  <c r="S547" i="140" s="1"/>
  <c r="K548" i="140"/>
  <c r="L548" i="140" s="1"/>
  <c r="M548" i="140"/>
  <c r="S548" i="140" s="1"/>
  <c r="K549" i="140"/>
  <c r="L549" i="140" s="1"/>
  <c r="M549" i="140"/>
  <c r="P549" i="140"/>
  <c r="K550" i="140"/>
  <c r="L550" i="140"/>
  <c r="M550" i="140"/>
  <c r="P550" i="140" s="1"/>
  <c r="K552" i="140"/>
  <c r="L552" i="140" s="1"/>
  <c r="M552" i="140"/>
  <c r="S552" i="140" s="1"/>
  <c r="K553" i="140"/>
  <c r="L553" i="140"/>
  <c r="M553" i="140"/>
  <c r="P553" i="140"/>
  <c r="K554" i="140"/>
  <c r="L554" i="140" s="1"/>
  <c r="M554" i="140"/>
  <c r="S554" i="140" s="1"/>
  <c r="N554" i="140"/>
  <c r="Q554" i="140" s="1"/>
  <c r="R554" i="140" s="1"/>
  <c r="P554" i="140"/>
  <c r="K555" i="140"/>
  <c r="L555" i="140"/>
  <c r="M555" i="140"/>
  <c r="K556" i="140"/>
  <c r="L556" i="140" s="1"/>
  <c r="M556" i="140"/>
  <c r="P556" i="140" s="1"/>
  <c r="K557" i="140"/>
  <c r="L557" i="140" s="1"/>
  <c r="M557" i="140"/>
  <c r="S557" i="140" s="1"/>
  <c r="P557" i="140"/>
  <c r="K558" i="140"/>
  <c r="L558" i="140" s="1"/>
  <c r="M558" i="140"/>
  <c r="P558" i="140" s="1"/>
  <c r="K559" i="140"/>
  <c r="L559" i="140" s="1"/>
  <c r="M559" i="140"/>
  <c r="P559" i="140"/>
  <c r="K560" i="140"/>
  <c r="L560" i="140" s="1"/>
  <c r="M560" i="140"/>
  <c r="N560" i="140" s="1"/>
  <c r="K561" i="140"/>
  <c r="L561" i="140" s="1"/>
  <c r="M561" i="140"/>
  <c r="N561" i="140"/>
  <c r="K562" i="140"/>
  <c r="L562" i="140" s="1"/>
  <c r="M562" i="140"/>
  <c r="K564" i="140"/>
  <c r="L564" i="140" s="1"/>
  <c r="M564" i="140"/>
  <c r="N564" i="140" s="1"/>
  <c r="K565" i="140"/>
  <c r="L565" i="140"/>
  <c r="M565" i="140"/>
  <c r="S565" i="140" s="1"/>
  <c r="K566" i="140"/>
  <c r="L566" i="140"/>
  <c r="M566" i="140"/>
  <c r="N566" i="140" s="1"/>
  <c r="K567" i="140"/>
  <c r="L567" i="140" s="1"/>
  <c r="M567" i="140"/>
  <c r="S567" i="140" s="1"/>
  <c r="N567" i="140"/>
  <c r="Q567" i="140" s="1"/>
  <c r="R567" i="140" s="1"/>
  <c r="O567" i="140"/>
  <c r="P567" i="140"/>
  <c r="K568" i="140"/>
  <c r="L568" i="140"/>
  <c r="M568" i="140"/>
  <c r="P568" i="140"/>
  <c r="K569" i="140"/>
  <c r="L569" i="140"/>
  <c r="M569" i="140"/>
  <c r="N569" i="140" s="1"/>
  <c r="Q569" i="140" s="1"/>
  <c r="R569" i="140" s="1"/>
  <c r="K570" i="140"/>
  <c r="L570" i="140"/>
  <c r="M570" i="140"/>
  <c r="S570" i="140" s="1"/>
  <c r="K571" i="140"/>
  <c r="L571" i="140" s="1"/>
  <c r="M571" i="140"/>
  <c r="P571" i="140" s="1"/>
  <c r="K572" i="140"/>
  <c r="L572" i="140" s="1"/>
  <c r="M572" i="140"/>
  <c r="S572" i="140" s="1"/>
  <c r="P572" i="140"/>
  <c r="K573" i="140"/>
  <c r="L573" i="140"/>
  <c r="M573" i="140"/>
  <c r="N573" i="140" s="1"/>
  <c r="K574" i="140"/>
  <c r="L574" i="140"/>
  <c r="M574" i="140"/>
  <c r="P574" i="140" s="1"/>
  <c r="K575" i="140"/>
  <c r="L575" i="140"/>
  <c r="M575" i="140"/>
  <c r="S575" i="140" s="1"/>
  <c r="K576" i="140"/>
  <c r="L576" i="140" s="1"/>
  <c r="M576" i="140"/>
  <c r="S576" i="140" s="1"/>
  <c r="N576" i="140"/>
  <c r="O576" i="140" s="1"/>
  <c r="P576" i="140"/>
  <c r="K577" i="140"/>
  <c r="L577" i="140"/>
  <c r="M577" i="140"/>
  <c r="P577" i="140"/>
  <c r="K578" i="140"/>
  <c r="L578" i="140"/>
  <c r="M578" i="140"/>
  <c r="N578" i="140" s="1"/>
  <c r="K579" i="140"/>
  <c r="M579" i="140"/>
  <c r="K580" i="140"/>
  <c r="L580" i="140" s="1"/>
  <c r="M580" i="140"/>
  <c r="P580" i="140" s="1"/>
  <c r="K581" i="140"/>
  <c r="M581" i="140"/>
  <c r="K582" i="140"/>
  <c r="L582" i="140" s="1"/>
  <c r="M582" i="140"/>
  <c r="S582" i="140" s="1"/>
  <c r="N582" i="140"/>
  <c r="O582" i="140" s="1"/>
  <c r="P582" i="140"/>
  <c r="L585" i="140"/>
  <c r="M585" i="140"/>
  <c r="N585" i="140" s="1"/>
  <c r="K587" i="140"/>
  <c r="L587" i="140"/>
  <c r="M587" i="140"/>
  <c r="K25" i="140"/>
  <c r="L25" i="140" s="1"/>
  <c r="M25" i="140"/>
  <c r="N25" i="140"/>
  <c r="Q25" i="140" s="1"/>
  <c r="R25" i="140" s="1"/>
  <c r="K26" i="140"/>
  <c r="L26" i="140"/>
  <c r="M26" i="140"/>
  <c r="N26" i="140"/>
  <c r="Q26" i="140" s="1"/>
  <c r="R26" i="140" s="1"/>
  <c r="K27" i="140"/>
  <c r="L27" i="140" s="1"/>
  <c r="M27" i="140"/>
  <c r="N27" i="140"/>
  <c r="K30" i="140"/>
  <c r="L30" i="140"/>
  <c r="M30" i="140"/>
  <c r="N30" i="140"/>
  <c r="K31" i="140"/>
  <c r="L31" i="140" s="1"/>
  <c r="M31" i="140"/>
  <c r="N31" i="140"/>
  <c r="Q31" i="140" s="1"/>
  <c r="R31" i="140" s="1"/>
  <c r="K32" i="140"/>
  <c r="L32" i="140" s="1"/>
  <c r="M32" i="140"/>
  <c r="N32" i="140"/>
  <c r="Q32" i="140" s="1"/>
  <c r="R32" i="140" s="1"/>
  <c r="K34" i="140"/>
  <c r="L34" i="140" s="1"/>
  <c r="M34" i="140"/>
  <c r="N34" i="140" s="1"/>
  <c r="Q34" i="140" s="1"/>
  <c r="R34" i="140" s="1"/>
  <c r="K35" i="140"/>
  <c r="L35" i="140"/>
  <c r="M35" i="140"/>
  <c r="N35" i="140"/>
  <c r="Q35" i="140" s="1"/>
  <c r="R35" i="140" s="1"/>
  <c r="K36" i="140"/>
  <c r="L36" i="140" s="1"/>
  <c r="M36" i="140"/>
  <c r="N36" i="140" s="1"/>
  <c r="K39" i="140"/>
  <c r="L39" i="140" s="1"/>
  <c r="M39" i="140"/>
  <c r="N39" i="140" s="1"/>
  <c r="K41" i="140"/>
  <c r="L41" i="140"/>
  <c r="M41" i="140"/>
  <c r="N41" i="140" s="1"/>
  <c r="Q41" i="140" s="1"/>
  <c r="R41" i="140" s="1"/>
  <c r="K42" i="140"/>
  <c r="L42" i="140" s="1"/>
  <c r="M42" i="140"/>
  <c r="N42" i="140" s="1"/>
  <c r="K43" i="140"/>
  <c r="L43" i="140"/>
  <c r="M43" i="140"/>
  <c r="K44" i="140"/>
  <c r="L44" i="140"/>
  <c r="M44" i="140"/>
  <c r="S44" i="140" s="1"/>
  <c r="N44" i="140"/>
  <c r="Q44" i="140" s="1"/>
  <c r="R44" i="140" s="1"/>
  <c r="M45" i="140"/>
  <c r="N45" i="140" s="1"/>
  <c r="M46" i="140"/>
  <c r="K48" i="140"/>
  <c r="L48" i="140" s="1"/>
  <c r="M48" i="140"/>
  <c r="K49" i="140"/>
  <c r="L49" i="140" s="1"/>
  <c r="M49" i="140"/>
  <c r="S49" i="140" s="1"/>
  <c r="N49" i="140"/>
  <c r="Q49" i="140" s="1"/>
  <c r="R49" i="140" s="1"/>
  <c r="K51" i="140"/>
  <c r="L51" i="140" s="1"/>
  <c r="M51" i="140"/>
  <c r="N51" i="140" s="1"/>
  <c r="K54" i="140"/>
  <c r="L54" i="140" s="1"/>
  <c r="M54" i="140"/>
  <c r="K55" i="140"/>
  <c r="L55" i="140" s="1"/>
  <c r="M55" i="140"/>
  <c r="N55" i="140" s="1"/>
  <c r="K56" i="140"/>
  <c r="L56" i="140"/>
  <c r="M56" i="140"/>
  <c r="S56" i="140" s="1"/>
  <c r="K57" i="140"/>
  <c r="L57" i="140" s="1"/>
  <c r="M57" i="140"/>
  <c r="K58" i="140"/>
  <c r="L58" i="140"/>
  <c r="M58" i="140"/>
  <c r="N58" i="140" s="1"/>
  <c r="K60" i="140"/>
  <c r="L60" i="140" s="1"/>
  <c r="M60" i="140"/>
  <c r="N60" i="140" s="1"/>
  <c r="K61" i="140"/>
  <c r="L61" i="140"/>
  <c r="M61" i="140"/>
  <c r="K62" i="140"/>
  <c r="L62" i="140" s="1"/>
  <c r="M62" i="140"/>
  <c r="K63" i="140"/>
  <c r="L63" i="140"/>
  <c r="M63" i="140"/>
  <c r="K64" i="140"/>
  <c r="L64" i="140"/>
  <c r="M64" i="140"/>
  <c r="S64" i="140" s="1"/>
  <c r="K67" i="140"/>
  <c r="L67" i="140" s="1"/>
  <c r="M67" i="140"/>
  <c r="N67" i="140"/>
  <c r="Q67" i="140" s="1"/>
  <c r="R67" i="140" s="1"/>
  <c r="K68" i="140"/>
  <c r="L68" i="140"/>
  <c r="M68" i="140"/>
  <c r="K69" i="140"/>
  <c r="L69" i="140" s="1"/>
  <c r="M69" i="140"/>
  <c r="K71" i="140"/>
  <c r="L71" i="140"/>
  <c r="M71" i="140"/>
  <c r="N71" i="140" s="1"/>
  <c r="Q71" i="140" s="1"/>
  <c r="R71" i="140" s="1"/>
  <c r="K72" i="140"/>
  <c r="L72" i="140"/>
  <c r="M72" i="140"/>
  <c r="K73" i="140"/>
  <c r="L73" i="140" s="1"/>
  <c r="M73" i="140"/>
  <c r="S73" i="140" s="1"/>
  <c r="P73" i="140"/>
  <c r="K75" i="140"/>
  <c r="L75" i="140" s="1"/>
  <c r="M75" i="140"/>
  <c r="N75" i="140" s="1"/>
  <c r="O75" i="140" s="1"/>
  <c r="K76" i="140"/>
  <c r="L76" i="140"/>
  <c r="M76" i="140"/>
  <c r="N76" i="140"/>
  <c r="Q76" i="140" s="1"/>
  <c r="R76" i="140" s="1"/>
  <c r="O76" i="140"/>
  <c r="K77" i="140"/>
  <c r="L77" i="140" s="1"/>
  <c r="M77" i="140"/>
  <c r="K79" i="140"/>
  <c r="L79" i="140" s="1"/>
  <c r="M79" i="140"/>
  <c r="K80" i="140"/>
  <c r="L80" i="140"/>
  <c r="M80" i="140"/>
  <c r="K81" i="140"/>
  <c r="L81" i="140" s="1"/>
  <c r="M81" i="140"/>
  <c r="N81" i="140" s="1"/>
  <c r="O81" i="140" s="1"/>
  <c r="K84" i="140"/>
  <c r="L84" i="140"/>
  <c r="M84" i="140"/>
  <c r="N84" i="140" s="1"/>
  <c r="O84" i="140" s="1"/>
  <c r="Q84" i="140"/>
  <c r="R84" i="140"/>
  <c r="K85" i="140"/>
  <c r="L85" i="140" s="1"/>
  <c r="M85" i="140"/>
  <c r="N85" i="140" s="1"/>
  <c r="K86" i="140"/>
  <c r="L86" i="140" s="1"/>
  <c r="M86" i="140"/>
  <c r="N86" i="140"/>
  <c r="Q86" i="140" s="1"/>
  <c r="R86" i="140" s="1"/>
  <c r="K88" i="140"/>
  <c r="L88" i="140"/>
  <c r="M88" i="140"/>
  <c r="N88" i="140" s="1"/>
  <c r="Q88" i="140" s="1"/>
  <c r="R88" i="140" s="1"/>
  <c r="O88" i="140"/>
  <c r="K89" i="140"/>
  <c r="L89" i="140"/>
  <c r="M89" i="140"/>
  <c r="S89" i="140" s="1"/>
  <c r="K90" i="140"/>
  <c r="L90" i="140" s="1"/>
  <c r="M90" i="140"/>
  <c r="K92" i="140"/>
  <c r="L92" i="140"/>
  <c r="M92" i="140"/>
  <c r="K93" i="140"/>
  <c r="L93" i="140"/>
  <c r="M93" i="140"/>
  <c r="K94" i="140"/>
  <c r="L94" i="140"/>
  <c r="M94" i="140"/>
  <c r="S94" i="140" s="1"/>
  <c r="N94" i="140"/>
  <c r="Q94" i="140" s="1"/>
  <c r="R94" i="140" s="1"/>
  <c r="P94" i="140"/>
  <c r="K96" i="140"/>
  <c r="L96" i="140" s="1"/>
  <c r="M96" i="140"/>
  <c r="N96" i="140" s="1"/>
  <c r="O96" i="140" s="1"/>
  <c r="L98" i="140"/>
  <c r="M98" i="140"/>
  <c r="N98" i="140" s="1"/>
  <c r="K100" i="140"/>
  <c r="L100" i="140" s="1"/>
  <c r="M100" i="140"/>
  <c r="K101" i="140"/>
  <c r="L101" i="140" s="1"/>
  <c r="M101" i="140"/>
  <c r="S101" i="140" s="1"/>
  <c r="P101" i="140"/>
  <c r="K104" i="140"/>
  <c r="L104" i="140" s="1"/>
  <c r="M104" i="140"/>
  <c r="S104" i="140" s="1"/>
  <c r="P104" i="140"/>
  <c r="K105" i="140"/>
  <c r="L105" i="140" s="1"/>
  <c r="M105" i="140"/>
  <c r="N105" i="140" s="1"/>
  <c r="K106" i="140"/>
  <c r="L106" i="140"/>
  <c r="M106" i="140"/>
  <c r="N106" i="140"/>
  <c r="K107" i="140"/>
  <c r="L107" i="140"/>
  <c r="M107" i="140"/>
  <c r="N107" i="140" s="1"/>
  <c r="Q107" i="140" s="1"/>
  <c r="R107" i="140" s="1"/>
  <c r="K109" i="140"/>
  <c r="L109" i="140"/>
  <c r="M109" i="140"/>
  <c r="N109" i="140"/>
  <c r="K110" i="140"/>
  <c r="L110" i="140"/>
  <c r="M110" i="140"/>
  <c r="N110" i="140" s="1"/>
  <c r="Q110" i="140" s="1"/>
  <c r="R110" i="140" s="1"/>
  <c r="K111" i="140"/>
  <c r="L111" i="140" s="1"/>
  <c r="M111" i="140"/>
  <c r="N111" i="140" s="1"/>
  <c r="K112" i="140"/>
  <c r="L112" i="140"/>
  <c r="M112" i="140"/>
  <c r="S112" i="140" s="1"/>
  <c r="K113" i="140"/>
  <c r="L113" i="140"/>
  <c r="M113" i="140"/>
  <c r="K115" i="140"/>
  <c r="L115" i="140" s="1"/>
  <c r="M115" i="140"/>
  <c r="S115" i="140" s="1"/>
  <c r="N115" i="140"/>
  <c r="Q115" i="140" s="1"/>
  <c r="R115" i="140" s="1"/>
  <c r="O115" i="140"/>
  <c r="P115" i="140"/>
  <c r="K117" i="140"/>
  <c r="L117" i="140"/>
  <c r="M117" i="140"/>
  <c r="N117" i="140" s="1"/>
  <c r="K118" i="140"/>
  <c r="L118" i="140" s="1"/>
  <c r="M118" i="140"/>
  <c r="K120" i="140"/>
  <c r="L120" i="140" s="1"/>
  <c r="M120" i="140"/>
  <c r="N120" i="140"/>
  <c r="O120" i="140" s="1"/>
  <c r="K121" i="140"/>
  <c r="L121" i="140" s="1"/>
  <c r="M121" i="140"/>
  <c r="N121" i="140" s="1"/>
  <c r="Q121" i="140" s="1"/>
  <c r="R121" i="140" s="1"/>
  <c r="K123" i="140"/>
  <c r="L123" i="140" s="1"/>
  <c r="M123" i="140"/>
  <c r="K125" i="140"/>
  <c r="L125" i="140"/>
  <c r="M125" i="140"/>
  <c r="N125" i="140"/>
  <c r="Q125" i="140" s="1"/>
  <c r="R125" i="140" s="1"/>
  <c r="K126" i="140"/>
  <c r="L126" i="140"/>
  <c r="M126" i="140"/>
  <c r="M22" i="140"/>
  <c r="K22" i="140"/>
  <c r="L22" i="140" s="1"/>
  <c r="M40" i="129"/>
  <c r="P40" i="129" s="1"/>
  <c r="M41" i="129"/>
  <c r="S41" i="129" s="1"/>
  <c r="M43" i="129"/>
  <c r="N43" i="129" s="1"/>
  <c r="S38" i="129"/>
  <c r="M21" i="129"/>
  <c r="P21" i="129" s="1"/>
  <c r="M22" i="129"/>
  <c r="S22" i="129" s="1"/>
  <c r="M23" i="129"/>
  <c r="S23" i="129" s="1"/>
  <c r="M24" i="129"/>
  <c r="N24" i="129" s="1"/>
  <c r="M25" i="129"/>
  <c r="S25" i="129" s="1"/>
  <c r="M26" i="129"/>
  <c r="M27" i="129"/>
  <c r="S27" i="129" s="1"/>
  <c r="M28" i="129"/>
  <c r="P28" i="129" s="1"/>
  <c r="M30" i="129"/>
  <c r="S30" i="129" s="1"/>
  <c r="M31" i="129"/>
  <c r="M33" i="129"/>
  <c r="P33" i="129" s="1"/>
  <c r="M34" i="129"/>
  <c r="S34" i="129" s="1"/>
  <c r="M36" i="129"/>
  <c r="M20" i="129"/>
  <c r="K466" i="70"/>
  <c r="M466" i="70"/>
  <c r="K321" i="70"/>
  <c r="M321" i="70"/>
  <c r="P321" i="70" s="1"/>
  <c r="K324" i="70"/>
  <c r="M324" i="70"/>
  <c r="N324" i="70" s="1"/>
  <c r="Q324" i="70" s="1"/>
  <c r="K325" i="70"/>
  <c r="M325" i="70"/>
  <c r="P325" i="70" s="1"/>
  <c r="K326" i="70"/>
  <c r="M326" i="70"/>
  <c r="K327" i="70"/>
  <c r="M327" i="70"/>
  <c r="N327" i="70"/>
  <c r="Q327" i="70" s="1"/>
  <c r="K328" i="70"/>
  <c r="M328" i="70"/>
  <c r="K331" i="70"/>
  <c r="M331" i="70"/>
  <c r="K332" i="70"/>
  <c r="M332" i="70"/>
  <c r="P332" i="70" s="1"/>
  <c r="K334" i="70"/>
  <c r="M334" i="70"/>
  <c r="P334" i="70" s="1"/>
  <c r="N334" i="70"/>
  <c r="Q334" i="70" s="1"/>
  <c r="K335" i="70"/>
  <c r="M335" i="70"/>
  <c r="P335" i="70" s="1"/>
  <c r="K336" i="70"/>
  <c r="M336" i="70"/>
  <c r="P336" i="70" s="1"/>
  <c r="K337" i="70"/>
  <c r="M337" i="70"/>
  <c r="K338" i="70"/>
  <c r="M338" i="70"/>
  <c r="K339" i="70"/>
  <c r="M339" i="70"/>
  <c r="N339" i="70"/>
  <c r="Q339" i="70" s="1"/>
  <c r="K341" i="70"/>
  <c r="M341" i="70"/>
  <c r="P341" i="70" s="1"/>
  <c r="K342" i="70"/>
  <c r="M342" i="70"/>
  <c r="P342" i="70" s="1"/>
  <c r="K344" i="70"/>
  <c r="M344" i="70"/>
  <c r="K345" i="70"/>
  <c r="M345" i="70"/>
  <c r="P345" i="70" s="1"/>
  <c r="K346" i="70"/>
  <c r="M346" i="70"/>
  <c r="K348" i="70"/>
  <c r="M348" i="70"/>
  <c r="P348" i="70" s="1"/>
  <c r="K350" i="70"/>
  <c r="M350" i="70"/>
  <c r="P350" i="70" s="1"/>
  <c r="K351" i="70"/>
  <c r="M351" i="70"/>
  <c r="K352" i="70"/>
  <c r="M352" i="70"/>
  <c r="P352" i="70" s="1"/>
  <c r="N352" i="70"/>
  <c r="Q352" i="70" s="1"/>
  <c r="K353" i="70"/>
  <c r="M353" i="70"/>
  <c r="P353" i="70" s="1"/>
  <c r="K355" i="70"/>
  <c r="M355" i="70"/>
  <c r="K356" i="70"/>
  <c r="M356" i="70"/>
  <c r="P356" i="70" s="1"/>
  <c r="N356" i="70"/>
  <c r="Q356" i="70" s="1"/>
  <c r="K357" i="70"/>
  <c r="M357" i="70"/>
  <c r="N357" i="70" s="1"/>
  <c r="Q357" i="70" s="1"/>
  <c r="K358" i="70"/>
  <c r="M358" i="70"/>
  <c r="P358" i="70" s="1"/>
  <c r="K359" i="70"/>
  <c r="M359" i="70"/>
  <c r="P359" i="70" s="1"/>
  <c r="K360" i="70"/>
  <c r="M360" i="70"/>
  <c r="K361" i="70"/>
  <c r="M361" i="70"/>
  <c r="P361" i="70" s="1"/>
  <c r="K362" i="70"/>
  <c r="M362" i="70"/>
  <c r="P362" i="70" s="1"/>
  <c r="N362" i="70"/>
  <c r="Q362" i="70" s="1"/>
  <c r="K363" i="70"/>
  <c r="M363" i="70"/>
  <c r="P363" i="70" s="1"/>
  <c r="K365" i="70"/>
  <c r="M365" i="70"/>
  <c r="P365" i="70" s="1"/>
  <c r="K368" i="70"/>
  <c r="M368" i="70"/>
  <c r="P368" i="70" s="1"/>
  <c r="K370" i="70"/>
  <c r="M370" i="70"/>
  <c r="P370" i="70" s="1"/>
  <c r="K371" i="70"/>
  <c r="M371" i="70"/>
  <c r="K372" i="70"/>
  <c r="M372" i="70"/>
  <c r="P372" i="70" s="1"/>
  <c r="K373" i="70"/>
  <c r="M373" i="70"/>
  <c r="K374" i="70"/>
  <c r="M374" i="70"/>
  <c r="P374" i="70" s="1"/>
  <c r="K375" i="70"/>
  <c r="M375" i="70"/>
  <c r="N375" i="70" s="1"/>
  <c r="Q375" i="70" s="1"/>
  <c r="K377" i="70"/>
  <c r="M377" i="70"/>
  <c r="P377" i="70" s="1"/>
  <c r="K378" i="70"/>
  <c r="M378" i="70"/>
  <c r="N378" i="70" s="1"/>
  <c r="Q378" i="70" s="1"/>
  <c r="K380" i="70"/>
  <c r="M380" i="70"/>
  <c r="P380" i="70" s="1"/>
  <c r="K381" i="70"/>
  <c r="M381" i="70"/>
  <c r="K382" i="70"/>
  <c r="M382" i="70"/>
  <c r="K383" i="70"/>
  <c r="M383" i="70"/>
  <c r="P383" i="70" s="1"/>
  <c r="K385" i="70"/>
  <c r="M385" i="70"/>
  <c r="K387" i="70"/>
  <c r="M387" i="70"/>
  <c r="K388" i="70"/>
  <c r="M388" i="70"/>
  <c r="P388" i="70" s="1"/>
  <c r="K389" i="70"/>
  <c r="M389" i="70"/>
  <c r="P389" i="70" s="1"/>
  <c r="K390" i="70"/>
  <c r="M390" i="70"/>
  <c r="P390" i="70" s="1"/>
  <c r="K391" i="70"/>
  <c r="M391" i="70"/>
  <c r="K393" i="70"/>
  <c r="M393" i="70"/>
  <c r="N393" i="70"/>
  <c r="Q393" i="70" s="1"/>
  <c r="K395" i="70"/>
  <c r="M395" i="70"/>
  <c r="P395" i="70" s="1"/>
  <c r="K398" i="70"/>
  <c r="M398" i="70"/>
  <c r="K399" i="70"/>
  <c r="M399" i="70"/>
  <c r="P399" i="70" s="1"/>
  <c r="K401" i="70"/>
  <c r="M401" i="70"/>
  <c r="K402" i="70"/>
  <c r="M402" i="70"/>
  <c r="N402" i="70"/>
  <c r="Q402" i="70" s="1"/>
  <c r="K403" i="70"/>
  <c r="M403" i="70"/>
  <c r="P403" i="70" s="1"/>
  <c r="K404" i="70"/>
  <c r="M404" i="70"/>
  <c r="P404" i="70" s="1"/>
  <c r="K405" i="70"/>
  <c r="M405" i="70"/>
  <c r="N405" i="70" s="1"/>
  <c r="Q405" i="70" s="1"/>
  <c r="K406" i="70"/>
  <c r="M406" i="70"/>
  <c r="P406" i="70" s="1"/>
  <c r="K407" i="70"/>
  <c r="M407" i="70"/>
  <c r="P407" i="70" s="1"/>
  <c r="K408" i="70"/>
  <c r="M408" i="70"/>
  <c r="P408" i="70" s="1"/>
  <c r="K410" i="70"/>
  <c r="M410" i="70"/>
  <c r="P410" i="70" s="1"/>
  <c r="K411" i="70"/>
  <c r="M411" i="70"/>
  <c r="P411" i="70" s="1"/>
  <c r="K412" i="70"/>
  <c r="M412" i="70"/>
  <c r="P412" i="70" s="1"/>
  <c r="N412" i="70"/>
  <c r="Q412" i="70" s="1"/>
  <c r="K414" i="70"/>
  <c r="M414" i="70"/>
  <c r="N414" i="70" s="1"/>
  <c r="Q414" i="70" s="1"/>
  <c r="K415" i="70"/>
  <c r="M415" i="70"/>
  <c r="P415" i="70" s="1"/>
  <c r="K416" i="70"/>
  <c r="M416" i="70"/>
  <c r="P416" i="70" s="1"/>
  <c r="K417" i="70"/>
  <c r="M417" i="70"/>
  <c r="P417" i="70" s="1"/>
  <c r="K418" i="70"/>
  <c r="M418" i="70"/>
  <c r="P418" i="70" s="1"/>
  <c r="K421" i="70"/>
  <c r="M421" i="70"/>
  <c r="P421" i="70" s="1"/>
  <c r="K423" i="70"/>
  <c r="M423" i="70"/>
  <c r="P423" i="70" s="1"/>
  <c r="N423" i="70"/>
  <c r="Q423" i="70" s="1"/>
  <c r="K425" i="70"/>
  <c r="M425" i="70"/>
  <c r="K426" i="70"/>
  <c r="M426" i="70"/>
  <c r="P426" i="70" s="1"/>
  <c r="K427" i="70"/>
  <c r="M427" i="70"/>
  <c r="P427" i="70" s="1"/>
  <c r="N427" i="70"/>
  <c r="Q427" i="70" s="1"/>
  <c r="K428" i="70"/>
  <c r="M428" i="70"/>
  <c r="P428" i="70" s="1"/>
  <c r="K429" i="70"/>
  <c r="M429" i="70"/>
  <c r="N429" i="70" s="1"/>
  <c r="Q429" i="70" s="1"/>
  <c r="K430" i="70"/>
  <c r="M430" i="70"/>
  <c r="K431" i="70"/>
  <c r="M431" i="70"/>
  <c r="K432" i="70"/>
  <c r="M432" i="70"/>
  <c r="P432" i="70" s="1"/>
  <c r="K434" i="70"/>
  <c r="M434" i="70"/>
  <c r="P434" i="70" s="1"/>
  <c r="K436" i="70"/>
  <c r="M436" i="70"/>
  <c r="P436" i="70" s="1"/>
  <c r="K437" i="70"/>
  <c r="M437" i="70"/>
  <c r="K439" i="70"/>
  <c r="M439" i="70"/>
  <c r="K440" i="70"/>
  <c r="M440" i="70"/>
  <c r="P440" i="70" s="1"/>
  <c r="K441" i="70"/>
  <c r="M441" i="70"/>
  <c r="K442" i="70"/>
  <c r="M442" i="70"/>
  <c r="P442" i="70" s="1"/>
  <c r="K443" i="70"/>
  <c r="M443" i="70"/>
  <c r="P443" i="70" s="1"/>
  <c r="K444" i="70"/>
  <c r="M444" i="70"/>
  <c r="N444" i="70" s="1"/>
  <c r="Q444" i="70" s="1"/>
  <c r="K445" i="70"/>
  <c r="M445" i="70"/>
  <c r="P445" i="70" s="1"/>
  <c r="K450" i="70"/>
  <c r="M450" i="70"/>
  <c r="P450" i="70" s="1"/>
  <c r="K451" i="70"/>
  <c r="M451" i="70"/>
  <c r="P451" i="70" s="1"/>
  <c r="K453" i="70"/>
  <c r="M453" i="70"/>
  <c r="P453" i="70" s="1"/>
  <c r="K455" i="70"/>
  <c r="M455" i="70"/>
  <c r="K456" i="70"/>
  <c r="M456" i="70"/>
  <c r="K457" i="70"/>
  <c r="M457" i="70"/>
  <c r="N457" i="70" s="1"/>
  <c r="Q457" i="70" s="1"/>
  <c r="K458" i="70"/>
  <c r="M458" i="70"/>
  <c r="P458" i="70" s="1"/>
  <c r="N458" i="70"/>
  <c r="Q458" i="70" s="1"/>
  <c r="K459" i="70"/>
  <c r="M459" i="70"/>
  <c r="P459" i="70" s="1"/>
  <c r="K460" i="70"/>
  <c r="M460" i="70"/>
  <c r="P460" i="70" s="1"/>
  <c r="K463" i="70"/>
  <c r="M463" i="70"/>
  <c r="K464" i="70"/>
  <c r="M464" i="70"/>
  <c r="P464" i="70" s="1"/>
  <c r="K467" i="70"/>
  <c r="M467" i="70"/>
  <c r="P467" i="70" s="1"/>
  <c r="N467" i="70"/>
  <c r="Q467" i="70" s="1"/>
  <c r="K468" i="70"/>
  <c r="M468" i="70"/>
  <c r="P468" i="70" s="1"/>
  <c r="K469" i="70"/>
  <c r="M469" i="70"/>
  <c r="N469" i="70"/>
  <c r="Q469" i="70" s="1"/>
  <c r="K470" i="70"/>
  <c r="M470" i="70"/>
  <c r="P470" i="70" s="1"/>
  <c r="N470" i="70"/>
  <c r="Q470" i="70" s="1"/>
  <c r="K471" i="70"/>
  <c r="M471" i="70"/>
  <c r="K472" i="70"/>
  <c r="M472" i="70"/>
  <c r="P472" i="70" s="1"/>
  <c r="N472" i="70"/>
  <c r="Q472" i="70" s="1"/>
  <c r="K473" i="70"/>
  <c r="M473" i="70"/>
  <c r="P473" i="70" s="1"/>
  <c r="N473" i="70"/>
  <c r="Q473" i="70" s="1"/>
  <c r="K474" i="70"/>
  <c r="M474" i="70"/>
  <c r="K475" i="70"/>
  <c r="M475" i="70"/>
  <c r="K476" i="70"/>
  <c r="M476" i="70"/>
  <c r="P476" i="70" s="1"/>
  <c r="N476" i="70"/>
  <c r="Q476" i="70" s="1"/>
  <c r="K478" i="70"/>
  <c r="M478" i="70"/>
  <c r="P478" i="70" s="1"/>
  <c r="K479" i="70"/>
  <c r="M479" i="70"/>
  <c r="P479" i="70" s="1"/>
  <c r="K480" i="70"/>
  <c r="M480" i="70"/>
  <c r="P480" i="70" s="1"/>
  <c r="N480" i="70"/>
  <c r="Q480" i="70" s="1"/>
  <c r="K481" i="70"/>
  <c r="M481" i="70"/>
  <c r="N481" i="70" s="1"/>
  <c r="Q481" i="70" s="1"/>
  <c r="K482" i="70"/>
  <c r="M482" i="70"/>
  <c r="P482" i="70" s="1"/>
  <c r="K483" i="70"/>
  <c r="M483" i="70"/>
  <c r="K484" i="70"/>
  <c r="M484" i="70"/>
  <c r="P484" i="70" s="1"/>
  <c r="K485" i="70"/>
  <c r="M485" i="70"/>
  <c r="P485" i="70" s="1"/>
  <c r="K487" i="70"/>
  <c r="M487" i="70"/>
  <c r="K488" i="70"/>
  <c r="M488" i="70"/>
  <c r="K489" i="70"/>
  <c r="M489" i="70"/>
  <c r="P489" i="70" s="1"/>
  <c r="K491" i="70"/>
  <c r="M491" i="70"/>
  <c r="P491" i="70" s="1"/>
  <c r="K492" i="70"/>
  <c r="M492" i="70"/>
  <c r="P492" i="70" s="1"/>
  <c r="K493" i="70"/>
  <c r="M493" i="70"/>
  <c r="K495" i="70"/>
  <c r="M495" i="70"/>
  <c r="P495" i="70" s="1"/>
  <c r="K496" i="70"/>
  <c r="M496" i="70"/>
  <c r="N496" i="70"/>
  <c r="Q496" i="70" s="1"/>
  <c r="K497" i="70"/>
  <c r="M497" i="70"/>
  <c r="P497" i="70" s="1"/>
  <c r="K498" i="70"/>
  <c r="M498" i="70"/>
  <c r="P498" i="70" s="1"/>
  <c r="K500" i="70"/>
  <c r="M500" i="70"/>
  <c r="K501" i="70"/>
  <c r="M501" i="70"/>
  <c r="P501" i="70" s="1"/>
  <c r="K503" i="70"/>
  <c r="M503" i="70"/>
  <c r="P503" i="70" s="1"/>
  <c r="K504" i="70"/>
  <c r="M504" i="70"/>
  <c r="P504" i="70" s="1"/>
  <c r="K505" i="70"/>
  <c r="M505" i="70"/>
  <c r="N505" i="70"/>
  <c r="Q505" i="70" s="1"/>
  <c r="K506" i="70"/>
  <c r="M506" i="70"/>
  <c r="P506" i="70" s="1"/>
  <c r="K507" i="70"/>
  <c r="M507" i="70"/>
  <c r="P507" i="70" s="1"/>
  <c r="K508" i="70"/>
  <c r="M508" i="70"/>
  <c r="P508" i="70" s="1"/>
  <c r="K509" i="70"/>
  <c r="M509" i="70"/>
  <c r="P509" i="70" s="1"/>
  <c r="K510" i="70"/>
  <c r="M510" i="70"/>
  <c r="P510" i="70" s="1"/>
  <c r="K511" i="70"/>
  <c r="M511" i="70"/>
  <c r="N511" i="70"/>
  <c r="Q511" i="70" s="1"/>
  <c r="K512" i="70"/>
  <c r="M512" i="70"/>
  <c r="P512" i="70" s="1"/>
  <c r="K513" i="70"/>
  <c r="M513" i="70"/>
  <c r="P513" i="70" s="1"/>
  <c r="K514" i="70"/>
  <c r="M514" i="70"/>
  <c r="N514" i="70"/>
  <c r="Q514" i="70" s="1"/>
  <c r="K516" i="70"/>
  <c r="M516" i="70"/>
  <c r="P516" i="70" s="1"/>
  <c r="K517" i="70"/>
  <c r="M517" i="70"/>
  <c r="N517" i="70" s="1"/>
  <c r="Q517" i="70" s="1"/>
  <c r="K518" i="70"/>
  <c r="M518" i="70"/>
  <c r="P518" i="70" s="1"/>
  <c r="K519" i="70"/>
  <c r="M519" i="70"/>
  <c r="P519" i="70" s="1"/>
  <c r="K520" i="70"/>
  <c r="M520" i="70"/>
  <c r="P520" i="70" s="1"/>
  <c r="K523" i="70"/>
  <c r="M523" i="70"/>
  <c r="N523" i="70" s="1"/>
  <c r="Q523" i="70" s="1"/>
  <c r="K524" i="70"/>
  <c r="M524" i="70"/>
  <c r="P524" i="70" s="1"/>
  <c r="K525" i="70"/>
  <c r="M525" i="70"/>
  <c r="P525" i="70" s="1"/>
  <c r="K526" i="70"/>
  <c r="M526" i="70"/>
  <c r="N526" i="70" s="1"/>
  <c r="Q526" i="70" s="1"/>
  <c r="K527" i="70"/>
  <c r="M527" i="70"/>
  <c r="P527" i="70" s="1"/>
  <c r="K528" i="70"/>
  <c r="M528" i="70"/>
  <c r="P528" i="70" s="1"/>
  <c r="K529" i="70"/>
  <c r="M529" i="70"/>
  <c r="P529" i="70" s="1"/>
  <c r="K530" i="70"/>
  <c r="M530" i="70"/>
  <c r="P530" i="70" s="1"/>
  <c r="K531" i="70"/>
  <c r="M531" i="70"/>
  <c r="P531" i="70" s="1"/>
  <c r="K532" i="70"/>
  <c r="M532" i="70"/>
  <c r="P532" i="70" s="1"/>
  <c r="K534" i="70"/>
  <c r="M534" i="70"/>
  <c r="P534" i="70" s="1"/>
  <c r="K535" i="70"/>
  <c r="M535" i="70"/>
  <c r="P535" i="70" s="1"/>
  <c r="N535" i="70"/>
  <c r="Q535" i="70" s="1"/>
  <c r="K536" i="70"/>
  <c r="M536" i="70"/>
  <c r="P536" i="70" s="1"/>
  <c r="N536" i="70"/>
  <c r="Q536" i="70" s="1"/>
  <c r="K537" i="70"/>
  <c r="M537" i="70"/>
  <c r="N537" i="70" s="1"/>
  <c r="Q537" i="70" s="1"/>
  <c r="K538" i="70"/>
  <c r="M538" i="70"/>
  <c r="P538" i="70" s="1"/>
  <c r="K539" i="70"/>
  <c r="M539" i="70"/>
  <c r="P539" i="70" s="1"/>
  <c r="K540" i="70"/>
  <c r="M540" i="70"/>
  <c r="N540" i="70"/>
  <c r="Q540" i="70" s="1"/>
  <c r="K541" i="70"/>
  <c r="M541" i="70"/>
  <c r="P541" i="70" s="1"/>
  <c r="K542" i="70"/>
  <c r="M542" i="70"/>
  <c r="P542" i="70" s="1"/>
  <c r="K543" i="70"/>
  <c r="M543" i="70"/>
  <c r="M320" i="70"/>
  <c r="P320" i="70" s="1"/>
  <c r="K320" i="70"/>
  <c r="K305" i="70"/>
  <c r="M305" i="70"/>
  <c r="N305" i="70" s="1"/>
  <c r="Q305" i="70" s="1"/>
  <c r="K306" i="70"/>
  <c r="M306" i="70"/>
  <c r="K307" i="70"/>
  <c r="M307" i="70"/>
  <c r="P307" i="70" s="1"/>
  <c r="K308" i="70"/>
  <c r="M308" i="70"/>
  <c r="P308" i="70" s="1"/>
  <c r="K309" i="70"/>
  <c r="M309" i="70"/>
  <c r="P309" i="70" s="1"/>
  <c r="K310" i="70"/>
  <c r="M310" i="70"/>
  <c r="P310" i="70" s="1"/>
  <c r="K311" i="70"/>
  <c r="M311" i="70"/>
  <c r="P311" i="70" s="1"/>
  <c r="K312" i="70"/>
  <c r="M312" i="70"/>
  <c r="P312" i="70" s="1"/>
  <c r="K314" i="70"/>
  <c r="M314" i="70"/>
  <c r="P314" i="70" s="1"/>
  <c r="K315" i="70"/>
  <c r="M315" i="70"/>
  <c r="P315" i="70" s="1"/>
  <c r="K316" i="70"/>
  <c r="M316" i="70"/>
  <c r="N316" i="70" s="1"/>
  <c r="Q316" i="70" s="1"/>
  <c r="K317" i="70"/>
  <c r="M317" i="70"/>
  <c r="P317" i="70" s="1"/>
  <c r="K318" i="70"/>
  <c r="M318" i="70"/>
  <c r="K175" i="70"/>
  <c r="M175" i="70"/>
  <c r="P175" i="70" s="1"/>
  <c r="K176" i="70"/>
  <c r="M176" i="70"/>
  <c r="P176" i="70" s="1"/>
  <c r="N176" i="70"/>
  <c r="Q176" i="70" s="1"/>
  <c r="K177" i="70"/>
  <c r="M177" i="70"/>
  <c r="P177" i="70" s="1"/>
  <c r="K178" i="70"/>
  <c r="M178" i="70"/>
  <c r="K179" i="70"/>
  <c r="M179" i="70"/>
  <c r="P179" i="70" s="1"/>
  <c r="K182" i="70"/>
  <c r="M182" i="70"/>
  <c r="P182" i="70" s="1"/>
  <c r="K184" i="70"/>
  <c r="M184" i="70"/>
  <c r="K185" i="70"/>
  <c r="M185" i="70"/>
  <c r="P185" i="70" s="1"/>
  <c r="N185" i="70"/>
  <c r="Q185" i="70" s="1"/>
  <c r="K186" i="70"/>
  <c r="M186" i="70"/>
  <c r="P186" i="70" s="1"/>
  <c r="N186" i="70"/>
  <c r="Q186" i="70" s="1"/>
  <c r="K187" i="70"/>
  <c r="M187" i="70"/>
  <c r="K188" i="70"/>
  <c r="M188" i="70"/>
  <c r="K189" i="70"/>
  <c r="M189" i="70"/>
  <c r="P189" i="70" s="1"/>
  <c r="K190" i="70"/>
  <c r="M190" i="70"/>
  <c r="K191" i="70"/>
  <c r="M191" i="70"/>
  <c r="P191" i="70" s="1"/>
  <c r="K192" i="70"/>
  <c r="M192" i="70"/>
  <c r="N192" i="70"/>
  <c r="Q192" i="70" s="1"/>
  <c r="K193" i="70"/>
  <c r="M193" i="70"/>
  <c r="N193" i="70"/>
  <c r="Q193" i="70" s="1"/>
  <c r="K194" i="70"/>
  <c r="M194" i="70"/>
  <c r="P194" i="70" s="1"/>
  <c r="K195" i="70"/>
  <c r="M195" i="70"/>
  <c r="N195" i="70"/>
  <c r="Q195" i="70" s="1"/>
  <c r="K196" i="70"/>
  <c r="M196" i="70"/>
  <c r="K198" i="70"/>
  <c r="M198" i="70"/>
  <c r="N198" i="70" s="1"/>
  <c r="Q198" i="70" s="1"/>
  <c r="K199" i="70"/>
  <c r="M199" i="70"/>
  <c r="N199" i="70"/>
  <c r="Q199" i="70" s="1"/>
  <c r="K200" i="70"/>
  <c r="M200" i="70"/>
  <c r="P200" i="70" s="1"/>
  <c r="K202" i="70"/>
  <c r="M202" i="70"/>
  <c r="P202" i="70" s="1"/>
  <c r="K203" i="70"/>
  <c r="M203" i="70"/>
  <c r="P203" i="70" s="1"/>
  <c r="K204" i="70"/>
  <c r="M204" i="70"/>
  <c r="N204" i="70" s="1"/>
  <c r="Q204" i="70" s="1"/>
  <c r="K207" i="70"/>
  <c r="M207" i="70"/>
  <c r="P207" i="70" s="1"/>
  <c r="K208" i="70"/>
  <c r="M208" i="70"/>
  <c r="N208" i="70" s="1"/>
  <c r="Q208" i="70" s="1"/>
  <c r="K209" i="70"/>
  <c r="M209" i="70"/>
  <c r="P209" i="70" s="1"/>
  <c r="K211" i="70"/>
  <c r="M211" i="70"/>
  <c r="P211" i="70" s="1"/>
  <c r="N211" i="70"/>
  <c r="Q211" i="70" s="1"/>
  <c r="K212" i="70"/>
  <c r="M212" i="70"/>
  <c r="P212" i="70" s="1"/>
  <c r="K213" i="70"/>
  <c r="M213" i="70"/>
  <c r="N213" i="70"/>
  <c r="Q213" i="70" s="1"/>
  <c r="K214" i="70"/>
  <c r="M214" i="70"/>
  <c r="P214" i="70" s="1"/>
  <c r="K215" i="70"/>
  <c r="M215" i="70"/>
  <c r="P215" i="70" s="1"/>
  <c r="K216" i="70"/>
  <c r="M216" i="70"/>
  <c r="N216" i="70"/>
  <c r="Q216" i="70" s="1"/>
  <c r="K217" i="70"/>
  <c r="M217" i="70"/>
  <c r="K218" i="70"/>
  <c r="M218" i="70"/>
  <c r="P218" i="70" s="1"/>
  <c r="K219" i="70"/>
  <c r="M219" i="70"/>
  <c r="N219" i="70" s="1"/>
  <c r="Q219" i="70" s="1"/>
  <c r="K220" i="70"/>
  <c r="M220" i="70"/>
  <c r="N220" i="70"/>
  <c r="Q220" i="70" s="1"/>
  <c r="K221" i="70"/>
  <c r="M221" i="70"/>
  <c r="P221" i="70" s="1"/>
  <c r="K223" i="70"/>
  <c r="M223" i="70"/>
  <c r="N223" i="70" s="1"/>
  <c r="Q223" i="70" s="1"/>
  <c r="K225" i="70"/>
  <c r="M225" i="70"/>
  <c r="N225" i="70"/>
  <c r="Q225" i="70" s="1"/>
  <c r="K227" i="70"/>
  <c r="M227" i="70"/>
  <c r="P227" i="70" s="1"/>
  <c r="K228" i="70"/>
  <c r="M228" i="70"/>
  <c r="P228" i="70" s="1"/>
  <c r="K235" i="70"/>
  <c r="M235" i="70"/>
  <c r="K238" i="70"/>
  <c r="M238" i="70"/>
  <c r="N238" i="70" s="1"/>
  <c r="Q238" i="70" s="1"/>
  <c r="K239" i="70"/>
  <c r="M239" i="70"/>
  <c r="P239" i="70" s="1"/>
  <c r="N239" i="70"/>
  <c r="Q239" i="70" s="1"/>
  <c r="K240" i="70"/>
  <c r="M240" i="70"/>
  <c r="P240" i="70" s="1"/>
  <c r="K241" i="70"/>
  <c r="M241" i="70"/>
  <c r="N241" i="70" s="1"/>
  <c r="Q241" i="70" s="1"/>
  <c r="K242" i="70"/>
  <c r="M242" i="70"/>
  <c r="P242" i="70" s="1"/>
  <c r="N242" i="70"/>
  <c r="Q242" i="70" s="1"/>
  <c r="K244" i="70"/>
  <c r="M244" i="70"/>
  <c r="P244" i="70" s="1"/>
  <c r="K245" i="70"/>
  <c r="M245" i="70"/>
  <c r="K247" i="70"/>
  <c r="M247" i="70"/>
  <c r="N247" i="70"/>
  <c r="Q247" i="70" s="1"/>
  <c r="K248" i="70"/>
  <c r="M248" i="70"/>
  <c r="P248" i="70" s="1"/>
  <c r="K251" i="70"/>
  <c r="M251" i="70"/>
  <c r="P251" i="70" s="1"/>
  <c r="K252" i="70"/>
  <c r="M252" i="70"/>
  <c r="N252" i="70" s="1"/>
  <c r="Q252" i="70" s="1"/>
  <c r="K253" i="70"/>
  <c r="M253" i="70"/>
  <c r="N253" i="70" s="1"/>
  <c r="Q253" i="70" s="1"/>
  <c r="K254" i="70"/>
  <c r="M254" i="70"/>
  <c r="P254" i="70" s="1"/>
  <c r="K255" i="70"/>
  <c r="M255" i="70"/>
  <c r="N255" i="70" s="1"/>
  <c r="Q255" i="70" s="1"/>
  <c r="K256" i="70"/>
  <c r="M256" i="70"/>
  <c r="K257" i="70"/>
  <c r="M257" i="70"/>
  <c r="P257" i="70" s="1"/>
  <c r="K258" i="70"/>
  <c r="M258" i="70"/>
  <c r="P258" i="70" s="1"/>
  <c r="K259" i="70"/>
  <c r="M259" i="70"/>
  <c r="N259" i="70" s="1"/>
  <c r="Q259" i="70" s="1"/>
  <c r="K260" i="70"/>
  <c r="M260" i="70"/>
  <c r="P260" i="70" s="1"/>
  <c r="K261" i="70"/>
  <c r="M261" i="70"/>
  <c r="P261" i="70" s="1"/>
  <c r="K262" i="70"/>
  <c r="M262" i="70"/>
  <c r="N262" i="70" s="1"/>
  <c r="Q262" i="70" s="1"/>
  <c r="K263" i="70"/>
  <c r="M263" i="70"/>
  <c r="P263" i="70" s="1"/>
  <c r="N263" i="70"/>
  <c r="Q263" i="70" s="1"/>
  <c r="K264" i="70"/>
  <c r="M264" i="70"/>
  <c r="N264" i="70" s="1"/>
  <c r="Q264" i="70" s="1"/>
  <c r="K265" i="70"/>
  <c r="M265" i="70"/>
  <c r="P265" i="70" s="1"/>
  <c r="K266" i="70"/>
  <c r="M266" i="70"/>
  <c r="K267" i="70"/>
  <c r="M267" i="70"/>
  <c r="P267" i="70" s="1"/>
  <c r="K268" i="70"/>
  <c r="M268" i="70"/>
  <c r="N268" i="70" s="1"/>
  <c r="Q268" i="70" s="1"/>
  <c r="K269" i="70"/>
  <c r="M269" i="70"/>
  <c r="P269" i="70" s="1"/>
  <c r="K270" i="70"/>
  <c r="M270" i="70"/>
  <c r="P270" i="70" s="1"/>
  <c r="K271" i="70"/>
  <c r="M271" i="70"/>
  <c r="P271" i="70" s="1"/>
  <c r="K272" i="70"/>
  <c r="M272" i="70"/>
  <c r="P272" i="70" s="1"/>
  <c r="K273" i="70"/>
  <c r="M273" i="70"/>
  <c r="N273" i="70" s="1"/>
  <c r="Q273" i="70" s="1"/>
  <c r="K274" i="70"/>
  <c r="M274" i="70"/>
  <c r="N274" i="70" s="1"/>
  <c r="Q274" i="70" s="1"/>
  <c r="K275" i="70"/>
  <c r="M275" i="70"/>
  <c r="P275" i="70" s="1"/>
  <c r="K277" i="70"/>
  <c r="M277" i="70"/>
  <c r="N277" i="70" s="1"/>
  <c r="Q277" i="70" s="1"/>
  <c r="K278" i="70"/>
  <c r="M278" i="70"/>
  <c r="P278" i="70" s="1"/>
  <c r="K279" i="70"/>
  <c r="M279" i="70"/>
  <c r="K280" i="70"/>
  <c r="M280" i="70"/>
  <c r="P280" i="70" s="1"/>
  <c r="N280" i="70"/>
  <c r="Q280" i="70" s="1"/>
  <c r="K281" i="70"/>
  <c r="M281" i="70"/>
  <c r="K282" i="70"/>
  <c r="M282" i="70"/>
  <c r="K283" i="70"/>
  <c r="M283" i="70"/>
  <c r="N283" i="70"/>
  <c r="Q283" i="70" s="1"/>
  <c r="K284" i="70"/>
  <c r="M284" i="70"/>
  <c r="P284" i="70" s="1"/>
  <c r="K285" i="70"/>
  <c r="M285" i="70"/>
  <c r="P285" i="70" s="1"/>
  <c r="K287" i="70"/>
  <c r="M287" i="70"/>
  <c r="P287" i="70" s="1"/>
  <c r="N287" i="70"/>
  <c r="Q287" i="70" s="1"/>
  <c r="K288" i="70"/>
  <c r="M288" i="70"/>
  <c r="P288" i="70" s="1"/>
  <c r="K289" i="70"/>
  <c r="M289" i="70"/>
  <c r="P289" i="70" s="1"/>
  <c r="K290" i="70"/>
  <c r="M290" i="70"/>
  <c r="K292" i="70"/>
  <c r="M292" i="70"/>
  <c r="P292" i="70" s="1"/>
  <c r="K293" i="70"/>
  <c r="M293" i="70"/>
  <c r="P293" i="70" s="1"/>
  <c r="K294" i="70"/>
  <c r="M294" i="70"/>
  <c r="P294" i="70" s="1"/>
  <c r="K295" i="70"/>
  <c r="M295" i="70"/>
  <c r="N295" i="70"/>
  <c r="Q295" i="70" s="1"/>
  <c r="K296" i="70"/>
  <c r="M296" i="70"/>
  <c r="P296" i="70" s="1"/>
  <c r="K299" i="70"/>
  <c r="M299" i="70"/>
  <c r="P299" i="70" s="1"/>
  <c r="K301" i="70"/>
  <c r="M301" i="70"/>
  <c r="P301" i="70" s="1"/>
  <c r="K302" i="70"/>
  <c r="M302" i="70"/>
  <c r="K304" i="70"/>
  <c r="M304" i="70"/>
  <c r="P304" i="70" s="1"/>
  <c r="M174" i="70"/>
  <c r="P174" i="70" s="1"/>
  <c r="K174" i="70"/>
  <c r="K172" i="70"/>
  <c r="M172" i="70"/>
  <c r="P172" i="70" s="1"/>
  <c r="K78" i="70"/>
  <c r="M78" i="70"/>
  <c r="P78" i="70" s="1"/>
  <c r="K54" i="70"/>
  <c r="M54" i="70"/>
  <c r="N54" i="70"/>
  <c r="Q54" i="70" s="1"/>
  <c r="K55" i="70"/>
  <c r="M55" i="70"/>
  <c r="P55" i="70" s="1"/>
  <c r="K57" i="70"/>
  <c r="M57" i="70"/>
  <c r="N57" i="70" s="1"/>
  <c r="K58" i="70"/>
  <c r="M58" i="70"/>
  <c r="P58" i="70" s="1"/>
  <c r="K59" i="70"/>
  <c r="M59" i="70"/>
  <c r="P59" i="70" s="1"/>
  <c r="N59" i="70"/>
  <c r="Q59" i="70" s="1"/>
  <c r="K61" i="70"/>
  <c r="M61" i="70"/>
  <c r="P61" i="70" s="1"/>
  <c r="K62" i="70"/>
  <c r="M62" i="70"/>
  <c r="P62" i="70" s="1"/>
  <c r="K63" i="70"/>
  <c r="M63" i="70"/>
  <c r="P63" i="70" s="1"/>
  <c r="K65" i="70"/>
  <c r="M65" i="70"/>
  <c r="P65" i="70" s="1"/>
  <c r="N65" i="70"/>
  <c r="Q65" i="70" s="1"/>
  <c r="K66" i="70"/>
  <c r="M66" i="70"/>
  <c r="N66" i="70" s="1"/>
  <c r="Q66" i="70" s="1"/>
  <c r="K67" i="70"/>
  <c r="M67" i="70"/>
  <c r="K69" i="70"/>
  <c r="M69" i="70"/>
  <c r="K70" i="70"/>
  <c r="M70" i="70"/>
  <c r="P70" i="70" s="1"/>
  <c r="K71" i="70"/>
  <c r="M71" i="70"/>
  <c r="P71" i="70" s="1"/>
  <c r="K73" i="70"/>
  <c r="M73" i="70"/>
  <c r="P73" i="70" s="1"/>
  <c r="K74" i="70"/>
  <c r="M74" i="70"/>
  <c r="P74" i="70" s="1"/>
  <c r="K75" i="70"/>
  <c r="M75" i="70"/>
  <c r="N75" i="70"/>
  <c r="Q75" i="70" s="1"/>
  <c r="K76" i="70"/>
  <c r="M76" i="70"/>
  <c r="P76" i="70" s="1"/>
  <c r="N76" i="70"/>
  <c r="Q76" i="70" s="1"/>
  <c r="K79" i="70"/>
  <c r="M79" i="70"/>
  <c r="K80" i="70"/>
  <c r="M80" i="70"/>
  <c r="P80" i="70" s="1"/>
  <c r="N80" i="70"/>
  <c r="Q80" i="70" s="1"/>
  <c r="K82" i="70"/>
  <c r="M82" i="70"/>
  <c r="K83" i="70"/>
  <c r="M83" i="70"/>
  <c r="N83" i="70"/>
  <c r="Q83" i="70" s="1"/>
  <c r="K86" i="70"/>
  <c r="M86" i="70"/>
  <c r="P86" i="70" s="1"/>
  <c r="K87" i="70"/>
  <c r="M87" i="70"/>
  <c r="K89" i="70"/>
  <c r="M89" i="70"/>
  <c r="N89" i="70"/>
  <c r="Q89" i="70" s="1"/>
  <c r="K90" i="70"/>
  <c r="M90" i="70"/>
  <c r="P90" i="70" s="1"/>
  <c r="K91" i="70"/>
  <c r="M91" i="70"/>
  <c r="P91" i="70" s="1"/>
  <c r="K93" i="70"/>
  <c r="M93" i="70"/>
  <c r="K94" i="70"/>
  <c r="M94" i="70"/>
  <c r="P94" i="70" s="1"/>
  <c r="K95" i="70"/>
  <c r="M95" i="70"/>
  <c r="K96" i="70"/>
  <c r="M96" i="70"/>
  <c r="P96" i="70" s="1"/>
  <c r="K97" i="70"/>
  <c r="M97" i="70"/>
  <c r="P97" i="70" s="1"/>
  <c r="K98" i="70"/>
  <c r="M98" i="70"/>
  <c r="K99" i="70"/>
  <c r="M99" i="70"/>
  <c r="P99" i="70" s="1"/>
  <c r="K100" i="70"/>
  <c r="M100" i="70"/>
  <c r="P100" i="70" s="1"/>
  <c r="K101" i="70"/>
  <c r="M101" i="70"/>
  <c r="P101" i="70" s="1"/>
  <c r="K102" i="70"/>
  <c r="M102" i="70"/>
  <c r="P102" i="70" s="1"/>
  <c r="N102" i="70"/>
  <c r="Q102" i="70" s="1"/>
  <c r="K103" i="70"/>
  <c r="M103" i="70"/>
  <c r="P103" i="70" s="1"/>
  <c r="K105" i="70"/>
  <c r="M105" i="70"/>
  <c r="K107" i="70"/>
  <c r="M107" i="70"/>
  <c r="K108" i="70"/>
  <c r="M108" i="70"/>
  <c r="K109" i="70"/>
  <c r="M109" i="70"/>
  <c r="P109" i="70" s="1"/>
  <c r="N109" i="70"/>
  <c r="Q109" i="70" s="1"/>
  <c r="K111" i="70"/>
  <c r="M111" i="70"/>
  <c r="N111" i="70" s="1"/>
  <c r="Q111" i="70" s="1"/>
  <c r="K112" i="70"/>
  <c r="M112" i="70"/>
  <c r="P112" i="70" s="1"/>
  <c r="K113" i="70"/>
  <c r="M113" i="70"/>
  <c r="P113" i="70" s="1"/>
  <c r="K114" i="70"/>
  <c r="M114" i="70"/>
  <c r="P114" i="70" s="1"/>
  <c r="K115" i="70"/>
  <c r="M115" i="70"/>
  <c r="P115" i="70" s="1"/>
  <c r="K116" i="70"/>
  <c r="M116" i="70"/>
  <c r="N116" i="70"/>
  <c r="Q116" i="70" s="1"/>
  <c r="K117" i="70"/>
  <c r="M117" i="70"/>
  <c r="N117" i="70" s="1"/>
  <c r="Q117" i="70" s="1"/>
  <c r="K118" i="70"/>
  <c r="M118" i="70"/>
  <c r="K119" i="70"/>
  <c r="M119" i="70"/>
  <c r="N119" i="70"/>
  <c r="Q119" i="70" s="1"/>
  <c r="K121" i="70"/>
  <c r="M121" i="70"/>
  <c r="P121" i="70" s="1"/>
  <c r="K122" i="70"/>
  <c r="M122" i="70"/>
  <c r="P122" i="70" s="1"/>
  <c r="K124" i="70"/>
  <c r="M124" i="70"/>
  <c r="P124" i="70" s="1"/>
  <c r="N124" i="70"/>
  <c r="Q124" i="70" s="1"/>
  <c r="K126" i="70"/>
  <c r="M126" i="70"/>
  <c r="N126" i="70" s="1"/>
  <c r="Q126" i="70" s="1"/>
  <c r="K128" i="70"/>
  <c r="M128" i="70"/>
  <c r="K129" i="70"/>
  <c r="M129" i="70"/>
  <c r="P129" i="70" s="1"/>
  <c r="K130" i="70"/>
  <c r="M130" i="70"/>
  <c r="P130" i="70" s="1"/>
  <c r="N130" i="70"/>
  <c r="Q130" i="70" s="1"/>
  <c r="K131" i="70"/>
  <c r="M131" i="70"/>
  <c r="N131" i="70" s="1"/>
  <c r="Q131" i="70" s="1"/>
  <c r="K132" i="70"/>
  <c r="M132" i="70"/>
  <c r="N132" i="70"/>
  <c r="Q132" i="70" s="1"/>
  <c r="K136" i="70"/>
  <c r="M136" i="70"/>
  <c r="P136" i="70" s="1"/>
  <c r="N136" i="70"/>
  <c r="Q136" i="70" s="1"/>
  <c r="K137" i="70"/>
  <c r="M137" i="70"/>
  <c r="P137" i="70" s="1"/>
  <c r="K138" i="70"/>
  <c r="M138" i="70"/>
  <c r="P138" i="70" s="1"/>
  <c r="N138" i="70"/>
  <c r="Q138" i="70" s="1"/>
  <c r="K139" i="70"/>
  <c r="M139" i="70"/>
  <c r="P139" i="70" s="1"/>
  <c r="K140" i="70"/>
  <c r="M140" i="70"/>
  <c r="P140" i="70" s="1"/>
  <c r="K143" i="70"/>
  <c r="M143" i="70"/>
  <c r="P143" i="70" s="1"/>
  <c r="N143" i="70"/>
  <c r="Q143" i="70" s="1"/>
  <c r="K144" i="70"/>
  <c r="M144" i="70"/>
  <c r="P144" i="70" s="1"/>
  <c r="K145" i="70"/>
  <c r="M145" i="70"/>
  <c r="P145" i="70" s="1"/>
  <c r="K147" i="70"/>
  <c r="M147" i="70"/>
  <c r="N147" i="70" s="1"/>
  <c r="Q147" i="70" s="1"/>
  <c r="K148" i="70"/>
  <c r="M148" i="70"/>
  <c r="K149" i="70"/>
  <c r="M149" i="70"/>
  <c r="P149" i="70" s="1"/>
  <c r="K151" i="70"/>
  <c r="M151" i="70"/>
  <c r="P151" i="70" s="1"/>
  <c r="K153" i="70"/>
  <c r="M153" i="70"/>
  <c r="P153" i="70" s="1"/>
  <c r="K154" i="70"/>
  <c r="M154" i="70"/>
  <c r="P154" i="70" s="1"/>
  <c r="K155" i="70"/>
  <c r="M155" i="70"/>
  <c r="N155" i="70" s="1"/>
  <c r="Q155" i="70" s="1"/>
  <c r="K156" i="70"/>
  <c r="M156" i="70"/>
  <c r="P156" i="70" s="1"/>
  <c r="K157" i="70"/>
  <c r="M157" i="70"/>
  <c r="P157" i="70" s="1"/>
  <c r="K158" i="70"/>
  <c r="M158" i="70"/>
  <c r="P158" i="70" s="1"/>
  <c r="K159" i="70"/>
  <c r="M159" i="70"/>
  <c r="N159" i="70"/>
  <c r="Q159" i="70" s="1"/>
  <c r="K160" i="70"/>
  <c r="M160" i="70"/>
  <c r="P160" i="70" s="1"/>
  <c r="K161" i="70"/>
  <c r="M161" i="70"/>
  <c r="P161" i="70" s="1"/>
  <c r="K163" i="70"/>
  <c r="M163" i="70"/>
  <c r="P163" i="70" s="1"/>
  <c r="K165" i="70"/>
  <c r="M165" i="70"/>
  <c r="S165" i="70" s="1"/>
  <c r="K166" i="70"/>
  <c r="M166" i="70"/>
  <c r="S166" i="70" s="1"/>
  <c r="K169" i="70"/>
  <c r="M169" i="70"/>
  <c r="P169" i="70" s="1"/>
  <c r="K170" i="70"/>
  <c r="M170" i="70"/>
  <c r="P170" i="70" s="1"/>
  <c r="N170" i="70"/>
  <c r="Q170" i="70" s="1"/>
  <c r="K171" i="70"/>
  <c r="M171" i="70"/>
  <c r="P171" i="70" s="1"/>
  <c r="K50" i="70"/>
  <c r="M50" i="70"/>
  <c r="P50" i="70" s="1"/>
  <c r="K51" i="70"/>
  <c r="M51" i="70"/>
  <c r="M53" i="70"/>
  <c r="P53" i="70" s="1"/>
  <c r="K53" i="70"/>
  <c r="M49" i="70"/>
  <c r="P49" i="70" s="1"/>
  <c r="K49" i="70"/>
  <c r="K46" i="70"/>
  <c r="M46" i="70"/>
  <c r="K33" i="70"/>
  <c r="M33" i="70"/>
  <c r="P33" i="70" s="1"/>
  <c r="K36" i="70"/>
  <c r="M36" i="70"/>
  <c r="P36" i="70" s="1"/>
  <c r="K37" i="70"/>
  <c r="M37" i="70"/>
  <c r="P37" i="70" s="1"/>
  <c r="K38" i="70"/>
  <c r="M38" i="70"/>
  <c r="N38" i="70" s="1"/>
  <c r="Q38" i="70" s="1"/>
  <c r="K39" i="70"/>
  <c r="M39" i="70"/>
  <c r="P39" i="70" s="1"/>
  <c r="K40" i="70"/>
  <c r="M40" i="70"/>
  <c r="P40" i="70" s="1"/>
  <c r="M44" i="70"/>
  <c r="P44" i="70" s="1"/>
  <c r="K44" i="70"/>
  <c r="M35" i="70"/>
  <c r="P35" i="70" s="1"/>
  <c r="K35" i="70"/>
  <c r="M32" i="70"/>
  <c r="P32" i="70" s="1"/>
  <c r="K32" i="70"/>
  <c r="M30" i="70"/>
  <c r="P30" i="70" s="1"/>
  <c r="K30" i="70"/>
  <c r="M28" i="70"/>
  <c r="P28" i="70" s="1"/>
  <c r="K28" i="70"/>
  <c r="K26" i="70"/>
  <c r="M26" i="70"/>
  <c r="P26" i="70" s="1"/>
  <c r="M25" i="70"/>
  <c r="P25" i="70" s="1"/>
  <c r="K25" i="70"/>
  <c r="K22" i="70"/>
  <c r="M22" i="70"/>
  <c r="P22" i="70" s="1"/>
  <c r="K23" i="70"/>
  <c r="M23" i="70"/>
  <c r="M21" i="70"/>
  <c r="P21" i="70" s="1"/>
  <c r="K21" i="70"/>
  <c r="M20" i="70"/>
  <c r="N20" i="70" s="1"/>
  <c r="Q20" i="70" s="1"/>
  <c r="K20" i="70"/>
  <c r="I545" i="70"/>
  <c r="I546" i="70"/>
  <c r="I547" i="70"/>
  <c r="I548" i="70"/>
  <c r="I549" i="70"/>
  <c r="I550" i="70"/>
  <c r="K744" i="140" l="1"/>
  <c r="O585" i="140"/>
  <c r="Q585" i="140"/>
  <c r="R585" i="140" s="1"/>
  <c r="P135" i="140"/>
  <c r="K588" i="140"/>
  <c r="P23" i="70"/>
  <c r="S23" i="70"/>
  <c r="N27" i="129"/>
  <c r="P23" i="129"/>
  <c r="N23" i="129"/>
  <c r="N25" i="129"/>
  <c r="P34" i="129"/>
  <c r="N41" i="129"/>
  <c r="P25" i="129"/>
  <c r="N703" i="140"/>
  <c r="Q703" i="140" s="1"/>
  <c r="R703" i="140" s="1"/>
  <c r="N696" i="140"/>
  <c r="N677" i="140"/>
  <c r="Q677" i="140" s="1"/>
  <c r="R677" i="140" s="1"/>
  <c r="N651" i="140"/>
  <c r="N729" i="140"/>
  <c r="O727" i="140"/>
  <c r="O725" i="140"/>
  <c r="N709" i="140"/>
  <c r="O707" i="140"/>
  <c r="N705" i="140"/>
  <c r="O701" i="140"/>
  <c r="N689" i="140"/>
  <c r="O689" i="140" s="1"/>
  <c r="O674" i="140"/>
  <c r="N670" i="140"/>
  <c r="O670" i="140" s="1"/>
  <c r="N668" i="140"/>
  <c r="Q668" i="140" s="1"/>
  <c r="R668" i="140" s="1"/>
  <c r="N662" i="140"/>
  <c r="O662" i="140" s="1"/>
  <c r="N655" i="140"/>
  <c r="N653" i="140"/>
  <c r="N648" i="140"/>
  <c r="N646" i="140"/>
  <c r="O646" i="140" s="1"/>
  <c r="N641" i="140"/>
  <c r="O728" i="140"/>
  <c r="N706" i="140"/>
  <c r="O706" i="140" s="1"/>
  <c r="N704" i="140"/>
  <c r="Q704" i="140" s="1"/>
  <c r="R704" i="140" s="1"/>
  <c r="N699" i="140"/>
  <c r="O671" i="140"/>
  <c r="N669" i="140"/>
  <c r="N654" i="140"/>
  <c r="O650" i="140"/>
  <c r="O647" i="140"/>
  <c r="N645" i="140"/>
  <c r="Q645" i="140" s="1"/>
  <c r="R645" i="140" s="1"/>
  <c r="P619" i="140"/>
  <c r="N737" i="140"/>
  <c r="N734" i="140"/>
  <c r="O734" i="140" s="1"/>
  <c r="Q719" i="140"/>
  <c r="R719" i="140" s="1"/>
  <c r="O719" i="140"/>
  <c r="P719" i="140"/>
  <c r="Q689" i="140"/>
  <c r="R689" i="140" s="1"/>
  <c r="O742" i="140"/>
  <c r="O677" i="140"/>
  <c r="O665" i="140"/>
  <c r="N660" i="140"/>
  <c r="Q716" i="140"/>
  <c r="R716" i="140" s="1"/>
  <c r="O716" i="140"/>
  <c r="P716" i="140"/>
  <c r="N720" i="140"/>
  <c r="Q720" i="140" s="1"/>
  <c r="R720" i="140" s="1"/>
  <c r="O703" i="140"/>
  <c r="N679" i="140"/>
  <c r="O679" i="140" s="1"/>
  <c r="N663" i="140"/>
  <c r="Q692" i="140"/>
  <c r="R692" i="140" s="1"/>
  <c r="O692" i="140"/>
  <c r="Q658" i="140"/>
  <c r="R658" i="140" s="1"/>
  <c r="O658" i="140"/>
  <c r="Q741" i="140"/>
  <c r="R741" i="140" s="1"/>
  <c r="Q739" i="140"/>
  <c r="R739" i="140" s="1"/>
  <c r="Q734" i="140"/>
  <c r="R734" i="140" s="1"/>
  <c r="P692" i="140"/>
  <c r="P658" i="140"/>
  <c r="Q646" i="140"/>
  <c r="R646" i="140" s="1"/>
  <c r="N714" i="140"/>
  <c r="O714" i="140" s="1"/>
  <c r="N708" i="140"/>
  <c r="N693" i="140"/>
  <c r="O693" i="140" s="1"/>
  <c r="N681" i="140"/>
  <c r="O681" i="140" s="1"/>
  <c r="O659" i="140"/>
  <c r="Q165" i="140"/>
  <c r="R165" i="140" s="1"/>
  <c r="O165" i="140"/>
  <c r="O111" i="140"/>
  <c r="Q111" i="140"/>
  <c r="R111" i="140" s="1"/>
  <c r="Q489" i="140"/>
  <c r="R489" i="140" s="1"/>
  <c r="O489" i="140"/>
  <c r="Q485" i="140"/>
  <c r="R485" i="140" s="1"/>
  <c r="O485" i="140"/>
  <c r="O438" i="140"/>
  <c r="Q438" i="140"/>
  <c r="R438" i="140" s="1"/>
  <c r="O168" i="140"/>
  <c r="Q168" i="140"/>
  <c r="R168" i="140" s="1"/>
  <c r="Q98" i="140"/>
  <c r="R98" i="140" s="1"/>
  <c r="O98" i="140"/>
  <c r="O58" i="140"/>
  <c r="Q58" i="140"/>
  <c r="R58" i="140" s="1"/>
  <c r="O488" i="140"/>
  <c r="Q488" i="140"/>
  <c r="R488" i="140" s="1"/>
  <c r="P329" i="140"/>
  <c r="Q326" i="140"/>
  <c r="R326" i="140" s="1"/>
  <c r="N101" i="140"/>
  <c r="O94" i="140"/>
  <c r="O44" i="140"/>
  <c r="O26" i="140"/>
  <c r="N329" i="140"/>
  <c r="N264" i="140"/>
  <c r="O231" i="140"/>
  <c r="N229" i="140"/>
  <c r="Q229" i="140" s="1"/>
  <c r="R229" i="140" s="1"/>
  <c r="O171" i="140"/>
  <c r="Q120" i="140"/>
  <c r="R120" i="140" s="1"/>
  <c r="N104" i="140"/>
  <c r="P64" i="140"/>
  <c r="O49" i="140"/>
  <c r="O31" i="140"/>
  <c r="O554" i="140"/>
  <c r="N545" i="140"/>
  <c r="Q545" i="140" s="1"/>
  <c r="R545" i="140" s="1"/>
  <c r="Q163" i="140"/>
  <c r="R163" i="140" s="1"/>
  <c r="N144" i="140"/>
  <c r="N139" i="140"/>
  <c r="N135" i="140"/>
  <c r="O132" i="140"/>
  <c r="P56" i="140"/>
  <c r="N501" i="140"/>
  <c r="Q501" i="140" s="1"/>
  <c r="R501" i="140" s="1"/>
  <c r="P442" i="140"/>
  <c r="N337" i="140"/>
  <c r="Q337" i="140" s="1"/>
  <c r="R337" i="140" s="1"/>
  <c r="N270" i="140"/>
  <c r="P220" i="140"/>
  <c r="N64" i="140"/>
  <c r="O41" i="140"/>
  <c r="Q322" i="140"/>
  <c r="R322" i="140" s="1"/>
  <c r="P295" i="140"/>
  <c r="N241" i="140"/>
  <c r="Q152" i="140"/>
  <c r="R152" i="140" s="1"/>
  <c r="P112" i="140"/>
  <c r="O86" i="140"/>
  <c r="O67" i="140"/>
  <c r="N56" i="140"/>
  <c r="O25" i="140"/>
  <c r="O465" i="140"/>
  <c r="Q454" i="140"/>
  <c r="R454" i="140" s="1"/>
  <c r="N442" i="140"/>
  <c r="P374" i="140"/>
  <c r="P345" i="140"/>
  <c r="N324" i="140"/>
  <c r="Q324" i="140" s="1"/>
  <c r="R324" i="140" s="1"/>
  <c r="O295" i="140"/>
  <c r="N220" i="140"/>
  <c r="O189" i="140"/>
  <c r="N169" i="140"/>
  <c r="P152" i="140"/>
  <c r="Q252" i="140"/>
  <c r="R252" i="140" s="1"/>
  <c r="O252" i="140"/>
  <c r="Q226" i="140"/>
  <c r="R226" i="140" s="1"/>
  <c r="O226" i="140"/>
  <c r="O117" i="140"/>
  <c r="Q117" i="140"/>
  <c r="R117" i="140" s="1"/>
  <c r="O364" i="140"/>
  <c r="Q364" i="140"/>
  <c r="R364" i="140" s="1"/>
  <c r="Q282" i="140"/>
  <c r="R282" i="140" s="1"/>
  <c r="O282" i="140"/>
  <c r="Q573" i="140"/>
  <c r="R573" i="140" s="1"/>
  <c r="O573" i="140"/>
  <c r="Q304" i="140"/>
  <c r="R304" i="140" s="1"/>
  <c r="O304" i="140"/>
  <c r="P154" i="140"/>
  <c r="P145" i="140"/>
  <c r="N112" i="140"/>
  <c r="N572" i="140"/>
  <c r="P545" i="140"/>
  <c r="O518" i="140"/>
  <c r="P337" i="140"/>
  <c r="P294" i="140"/>
  <c r="P230" i="140"/>
  <c r="P575" i="140"/>
  <c r="P342" i="140"/>
  <c r="O107" i="140"/>
  <c r="Q75" i="140"/>
  <c r="R75" i="140" s="1"/>
  <c r="P44" i="140"/>
  <c r="O35" i="140"/>
  <c r="O32" i="140"/>
  <c r="N575" i="140"/>
  <c r="N548" i="140"/>
  <c r="O548" i="140" s="1"/>
  <c r="O545" i="140"/>
  <c r="N531" i="140"/>
  <c r="P471" i="140"/>
  <c r="O457" i="140"/>
  <c r="Q362" i="140"/>
  <c r="R362" i="140" s="1"/>
  <c r="N342" i="140"/>
  <c r="P311" i="140"/>
  <c r="N294" i="140"/>
  <c r="Q294" i="140" s="1"/>
  <c r="R294" i="140" s="1"/>
  <c r="N262" i="140"/>
  <c r="N230" i="140"/>
  <c r="N204" i="140"/>
  <c r="O204" i="140" s="1"/>
  <c r="N154" i="140"/>
  <c r="N145" i="140"/>
  <c r="Q426" i="140"/>
  <c r="R426" i="140" s="1"/>
  <c r="O426" i="140"/>
  <c r="O276" i="140"/>
  <c r="Q276" i="140"/>
  <c r="R276" i="140" s="1"/>
  <c r="S68" i="140"/>
  <c r="P68" i="140"/>
  <c r="S587" i="140"/>
  <c r="P587" i="140"/>
  <c r="S533" i="140"/>
  <c r="N533" i="140"/>
  <c r="S462" i="140"/>
  <c r="N462" i="140"/>
  <c r="O434" i="140"/>
  <c r="Q434" i="140"/>
  <c r="R434" i="140" s="1"/>
  <c r="Q361" i="140"/>
  <c r="R361" i="140" s="1"/>
  <c r="O361" i="140"/>
  <c r="S476" i="140"/>
  <c r="N476" i="140"/>
  <c r="O294" i="140"/>
  <c r="Q436" i="140"/>
  <c r="R436" i="140" s="1"/>
  <c r="O436" i="140"/>
  <c r="S373" i="140"/>
  <c r="P373" i="140"/>
  <c r="Q273" i="140"/>
  <c r="R273" i="140" s="1"/>
  <c r="O273" i="140"/>
  <c r="S227" i="140"/>
  <c r="N227" i="140"/>
  <c r="P227" i="140"/>
  <c r="S207" i="140"/>
  <c r="N207" i="140"/>
  <c r="Q159" i="140"/>
  <c r="R159" i="140" s="1"/>
  <c r="O159" i="140"/>
  <c r="Q564" i="140"/>
  <c r="R564" i="140" s="1"/>
  <c r="O564" i="140"/>
  <c r="S549" i="140"/>
  <c r="N549" i="140"/>
  <c r="S436" i="140"/>
  <c r="P436" i="140"/>
  <c r="Q464" i="140"/>
  <c r="R464" i="140" s="1"/>
  <c r="O464" i="140"/>
  <c r="Q427" i="140"/>
  <c r="R427" i="140" s="1"/>
  <c r="O427" i="140"/>
  <c r="S275" i="140"/>
  <c r="P275" i="140"/>
  <c r="S209" i="140"/>
  <c r="N209" i="140"/>
  <c r="P209" i="140"/>
  <c r="Q85" i="140"/>
  <c r="R85" i="140" s="1"/>
  <c r="O85" i="140"/>
  <c r="P381" i="140"/>
  <c r="O356" i="140"/>
  <c r="Q356" i="140"/>
  <c r="R356" i="140" s="1"/>
  <c r="S58" i="140"/>
  <c r="P58" i="140"/>
  <c r="S585" i="140"/>
  <c r="P585" i="140"/>
  <c r="P483" i="140"/>
  <c r="S454" i="140"/>
  <c r="P454" i="140"/>
  <c r="S429" i="140"/>
  <c r="N429" i="140"/>
  <c r="P423" i="140"/>
  <c r="S356" i="140"/>
  <c r="P356" i="140"/>
  <c r="P324" i="140"/>
  <c r="S304" i="140"/>
  <c r="P304" i="140"/>
  <c r="O293" i="140"/>
  <c r="Q293" i="140"/>
  <c r="R293" i="140" s="1"/>
  <c r="P287" i="140"/>
  <c r="S282" i="140"/>
  <c r="P282" i="140"/>
  <c r="P229" i="140"/>
  <c r="Q216" i="140"/>
  <c r="R216" i="140" s="1"/>
  <c r="O216" i="140"/>
  <c r="Q169" i="140"/>
  <c r="R169" i="140" s="1"/>
  <c r="O169" i="140"/>
  <c r="P167" i="140"/>
  <c r="S165" i="140"/>
  <c r="P165" i="140"/>
  <c r="O105" i="140"/>
  <c r="Q105" i="140"/>
  <c r="R105" i="140" s="1"/>
  <c r="S521" i="140"/>
  <c r="P521" i="140"/>
  <c r="S222" i="140"/>
  <c r="N222" i="140"/>
  <c r="P222" i="140"/>
  <c r="Q55" i="140"/>
  <c r="R55" i="140" s="1"/>
  <c r="O55" i="140"/>
  <c r="S569" i="140"/>
  <c r="P569" i="140"/>
  <c r="Q561" i="140"/>
  <c r="R561" i="140" s="1"/>
  <c r="O561" i="140"/>
  <c r="S414" i="140"/>
  <c r="P414" i="140"/>
  <c r="Q373" i="140"/>
  <c r="R373" i="140" s="1"/>
  <c r="O373" i="140"/>
  <c r="Q318" i="140"/>
  <c r="R318" i="140" s="1"/>
  <c r="O318" i="140"/>
  <c r="Q109" i="140"/>
  <c r="R109" i="140" s="1"/>
  <c r="O109" i="140"/>
  <c r="S561" i="140"/>
  <c r="P561" i="140"/>
  <c r="S489" i="140"/>
  <c r="P489" i="140"/>
  <c r="Q297" i="140"/>
  <c r="R297" i="140" s="1"/>
  <c r="O297" i="140"/>
  <c r="S25" i="140"/>
  <c r="P25" i="140"/>
  <c r="S579" i="140"/>
  <c r="N579" i="140"/>
  <c r="Q579" i="140" s="1"/>
  <c r="P579" i="140"/>
  <c r="Q480" i="140"/>
  <c r="R480" i="140" s="1"/>
  <c r="O480" i="140"/>
  <c r="S463" i="140"/>
  <c r="P463" i="140"/>
  <c r="O380" i="140"/>
  <c r="Q380" i="140"/>
  <c r="R380" i="140" s="1"/>
  <c r="S320" i="140"/>
  <c r="N320" i="140"/>
  <c r="P320" i="140"/>
  <c r="S159" i="140"/>
  <c r="P159" i="140"/>
  <c r="S564" i="140"/>
  <c r="P564" i="140"/>
  <c r="S26" i="140"/>
  <c r="P26" i="140"/>
  <c r="Q576" i="140"/>
  <c r="R576" i="140" s="1"/>
  <c r="Q566" i="140"/>
  <c r="R566" i="140" s="1"/>
  <c r="O566" i="140"/>
  <c r="P503" i="140"/>
  <c r="Q483" i="140"/>
  <c r="R483" i="140" s="1"/>
  <c r="O383" i="140"/>
  <c r="Q383" i="140"/>
  <c r="R383" i="140" s="1"/>
  <c r="O306" i="140"/>
  <c r="Q306" i="140"/>
  <c r="R306" i="140" s="1"/>
  <c r="P300" i="140"/>
  <c r="Q81" i="140"/>
  <c r="R81" i="140" s="1"/>
  <c r="O71" i="140"/>
  <c r="N68" i="140"/>
  <c r="N587" i="140"/>
  <c r="O569" i="140"/>
  <c r="S558" i="140"/>
  <c r="N558" i="140"/>
  <c r="P533" i="140"/>
  <c r="P531" i="140"/>
  <c r="O528" i="140"/>
  <c r="N521" i="140"/>
  <c r="O504" i="140"/>
  <c r="N503" i="140"/>
  <c r="O501" i="140"/>
  <c r="S488" i="140"/>
  <c r="P488" i="140"/>
  <c r="Q474" i="140"/>
  <c r="R474" i="140" s="1"/>
  <c r="O474" i="140"/>
  <c r="P467" i="140"/>
  <c r="P462" i="140"/>
  <c r="O423" i="140"/>
  <c r="Q414" i="140"/>
  <c r="R414" i="140" s="1"/>
  <c r="N381" i="140"/>
  <c r="Q339" i="140"/>
  <c r="R339" i="140" s="1"/>
  <c r="O339" i="140"/>
  <c r="O324" i="140"/>
  <c r="O312" i="140"/>
  <c r="N300" i="140"/>
  <c r="S293" i="140"/>
  <c r="P293" i="140"/>
  <c r="N287" i="140"/>
  <c r="P262" i="140"/>
  <c r="O229" i="140"/>
  <c r="S216" i="140"/>
  <c r="P216" i="140"/>
  <c r="N167" i="140"/>
  <c r="O167" i="140" s="1"/>
  <c r="N73" i="140"/>
  <c r="N557" i="140"/>
  <c r="N539" i="140"/>
  <c r="N471" i="140"/>
  <c r="N345" i="140"/>
  <c r="N315" i="140"/>
  <c r="S86" i="140"/>
  <c r="P86" i="140"/>
  <c r="P480" i="140"/>
  <c r="S480" i="140"/>
  <c r="S445" i="140"/>
  <c r="P445" i="140"/>
  <c r="N581" i="140"/>
  <c r="Q581" i="140" s="1"/>
  <c r="R581" i="140" s="1"/>
  <c r="S581" i="140"/>
  <c r="O460" i="140"/>
  <c r="Q460" i="140"/>
  <c r="R460" i="140" s="1"/>
  <c r="O416" i="140"/>
  <c r="Q416" i="140"/>
  <c r="R416" i="140" s="1"/>
  <c r="P123" i="140"/>
  <c r="S123" i="140"/>
  <c r="N123" i="140"/>
  <c r="S62" i="140"/>
  <c r="N62" i="140"/>
  <c r="P62" i="140"/>
  <c r="S507" i="140"/>
  <c r="N507" i="140"/>
  <c r="P507" i="140"/>
  <c r="N466" i="140"/>
  <c r="S466" i="140"/>
  <c r="S460" i="140"/>
  <c r="P460" i="140"/>
  <c r="O447" i="140"/>
  <c r="Q447" i="140"/>
  <c r="R447" i="140" s="1"/>
  <c r="O440" i="140"/>
  <c r="Q440" i="140"/>
  <c r="R440" i="140" s="1"/>
  <c r="P435" i="140"/>
  <c r="S427" i="140"/>
  <c r="P427" i="140"/>
  <c r="S409" i="140"/>
  <c r="N409" i="140"/>
  <c r="P409" i="140"/>
  <c r="P310" i="140"/>
  <c r="S273" i="140"/>
  <c r="P273" i="140"/>
  <c r="P235" i="140"/>
  <c r="S224" i="140"/>
  <c r="P224" i="140"/>
  <c r="Q160" i="140"/>
  <c r="R160" i="140" s="1"/>
  <c r="P143" i="140"/>
  <c r="S143" i="140"/>
  <c r="N143" i="140"/>
  <c r="Q143" i="140" s="1"/>
  <c r="R143" i="140" s="1"/>
  <c r="P128" i="140"/>
  <c r="S128" i="140"/>
  <c r="P57" i="140"/>
  <c r="S57" i="140"/>
  <c r="N57" i="140"/>
  <c r="O57" i="140" s="1"/>
  <c r="S530" i="140"/>
  <c r="P530" i="140"/>
  <c r="S527" i="140"/>
  <c r="N527" i="140"/>
  <c r="P527" i="140"/>
  <c r="N517" i="140"/>
  <c r="S517" i="140"/>
  <c r="P517" i="140"/>
  <c r="O486" i="140"/>
  <c r="Q486" i="140"/>
  <c r="R486" i="140" s="1"/>
  <c r="S477" i="140"/>
  <c r="N477" i="140"/>
  <c r="P477" i="140"/>
  <c r="P410" i="140"/>
  <c r="S410" i="140"/>
  <c r="N410" i="140"/>
  <c r="S360" i="140"/>
  <c r="P360" i="140"/>
  <c r="S313" i="140"/>
  <c r="P313" i="140"/>
  <c r="S274" i="140"/>
  <c r="P274" i="140"/>
  <c r="S151" i="140"/>
  <c r="P151" i="140"/>
  <c r="N147" i="140"/>
  <c r="S147" i="140"/>
  <c r="S125" i="140"/>
  <c r="P125" i="140"/>
  <c r="N118" i="140"/>
  <c r="O118" i="140" s="1"/>
  <c r="S118" i="140"/>
  <c r="S34" i="140"/>
  <c r="P34" i="140"/>
  <c r="N562" i="140"/>
  <c r="S562" i="140"/>
  <c r="N535" i="140"/>
  <c r="S535" i="140"/>
  <c r="P535" i="140"/>
  <c r="S500" i="140"/>
  <c r="P500" i="140"/>
  <c r="Q433" i="140"/>
  <c r="R433" i="140" s="1"/>
  <c r="O433" i="140"/>
  <c r="N321" i="140"/>
  <c r="O321" i="140" s="1"/>
  <c r="S321" i="140"/>
  <c r="S285" i="140"/>
  <c r="P285" i="140"/>
  <c r="S260" i="140"/>
  <c r="P260" i="140"/>
  <c r="S248" i="140"/>
  <c r="N248" i="140"/>
  <c r="P248" i="140"/>
  <c r="P138" i="140"/>
  <c r="S138" i="140"/>
  <c r="S127" i="140"/>
  <c r="P127" i="140"/>
  <c r="P22" i="140"/>
  <c r="S22" i="140"/>
  <c r="P90" i="140"/>
  <c r="S90" i="140"/>
  <c r="P69" i="140"/>
  <c r="S69" i="140"/>
  <c r="N69" i="140"/>
  <c r="S61" i="140"/>
  <c r="N61" i="140"/>
  <c r="P61" i="140"/>
  <c r="S473" i="140"/>
  <c r="N473" i="140"/>
  <c r="P473" i="140"/>
  <c r="N448" i="140"/>
  <c r="O448" i="140" s="1"/>
  <c r="S448" i="140"/>
  <c r="O445" i="140"/>
  <c r="Q445" i="140"/>
  <c r="R445" i="140" s="1"/>
  <c r="P433" i="140"/>
  <c r="S433" i="140"/>
  <c r="N331" i="140"/>
  <c r="S331" i="140"/>
  <c r="S317" i="140"/>
  <c r="N317" i="140"/>
  <c r="P317" i="140"/>
  <c r="P210" i="140"/>
  <c r="S210" i="140"/>
  <c r="N210" i="140"/>
  <c r="Q210" i="140" s="1"/>
  <c r="R210" i="140" s="1"/>
  <c r="P126" i="140"/>
  <c r="S126" i="140"/>
  <c r="S107" i="140"/>
  <c r="P107" i="140"/>
  <c r="S79" i="140"/>
  <c r="N79" i="140"/>
  <c r="P79" i="140"/>
  <c r="P51" i="140"/>
  <c r="S51" i="140"/>
  <c r="O513" i="140"/>
  <c r="Q513" i="140"/>
  <c r="R513" i="140" s="1"/>
  <c r="P383" i="140"/>
  <c r="S383" i="140"/>
  <c r="P380" i="140"/>
  <c r="S380" i="140"/>
  <c r="S372" i="140"/>
  <c r="P372" i="140"/>
  <c r="S361" i="140"/>
  <c r="P361" i="140"/>
  <c r="O358" i="140"/>
  <c r="Q358" i="140"/>
  <c r="R358" i="140" s="1"/>
  <c r="P301" i="140"/>
  <c r="S301" i="140"/>
  <c r="S288" i="140"/>
  <c r="P288" i="140"/>
  <c r="O150" i="140"/>
  <c r="Q150" i="140"/>
  <c r="R150" i="140" s="1"/>
  <c r="P55" i="140"/>
  <c r="S55" i="140"/>
  <c r="S35" i="140"/>
  <c r="P35" i="140"/>
  <c r="N556" i="140"/>
  <c r="S556" i="140"/>
  <c r="S518" i="140"/>
  <c r="P518" i="140"/>
  <c r="N505" i="140"/>
  <c r="S505" i="140"/>
  <c r="P458" i="140"/>
  <c r="S458" i="140"/>
  <c r="P375" i="140"/>
  <c r="S375" i="140"/>
  <c r="S365" i="140"/>
  <c r="P365" i="140"/>
  <c r="P314" i="140"/>
  <c r="S314" i="140"/>
  <c r="P271" i="140"/>
  <c r="S271" i="140"/>
  <c r="O224" i="140"/>
  <c r="Q224" i="140"/>
  <c r="R224" i="140" s="1"/>
  <c r="S185" i="140"/>
  <c r="N185" i="140"/>
  <c r="P185" i="140"/>
  <c r="S88" i="140"/>
  <c r="P88" i="140"/>
  <c r="S528" i="140"/>
  <c r="P528" i="140"/>
  <c r="P495" i="140"/>
  <c r="P456" i="140"/>
  <c r="S456" i="140"/>
  <c r="P120" i="140"/>
  <c r="S120" i="140"/>
  <c r="O106" i="140"/>
  <c r="Q106" i="140"/>
  <c r="R106" i="140" s="1"/>
  <c r="N100" i="140"/>
  <c r="O100" i="140" s="1"/>
  <c r="S100" i="140"/>
  <c r="P548" i="140"/>
  <c r="N502" i="140"/>
  <c r="S502" i="140"/>
  <c r="S447" i="140"/>
  <c r="P447" i="140"/>
  <c r="P440" i="140"/>
  <c r="S440" i="140"/>
  <c r="P434" i="140"/>
  <c r="S434" i="140"/>
  <c r="S432" i="140"/>
  <c r="N432" i="140"/>
  <c r="P432" i="140"/>
  <c r="O379" i="140"/>
  <c r="Q379" i="140"/>
  <c r="R379" i="140" s="1"/>
  <c r="P354" i="140"/>
  <c r="S354" i="140"/>
  <c r="Q335" i="140"/>
  <c r="R335" i="140" s="1"/>
  <c r="P261" i="140"/>
  <c r="S261" i="140"/>
  <c r="S252" i="140"/>
  <c r="P252" i="140"/>
  <c r="S242" i="140"/>
  <c r="N242" i="140"/>
  <c r="P242" i="140"/>
  <c r="S180" i="140"/>
  <c r="N180" i="140"/>
  <c r="P180" i="140"/>
  <c r="P160" i="140"/>
  <c r="P157" i="140"/>
  <c r="S157" i="140"/>
  <c r="P147" i="140"/>
  <c r="P133" i="140"/>
  <c r="P63" i="140"/>
  <c r="S63" i="140"/>
  <c r="N63" i="140"/>
  <c r="O63" i="140" s="1"/>
  <c r="S510" i="140"/>
  <c r="N510" i="140"/>
  <c r="P510" i="140"/>
  <c r="S479" i="140"/>
  <c r="P479" i="140"/>
  <c r="P455" i="140"/>
  <c r="S455" i="140"/>
  <c r="N455" i="140"/>
  <c r="P428" i="140"/>
  <c r="S428" i="140"/>
  <c r="P369" i="140"/>
  <c r="S369" i="140"/>
  <c r="N369" i="140"/>
  <c r="O369" i="140" s="1"/>
  <c r="S367" i="140"/>
  <c r="P367" i="140"/>
  <c r="S277" i="140"/>
  <c r="P277" i="140"/>
  <c r="P272" i="140"/>
  <c r="S272" i="140"/>
  <c r="N272" i="140"/>
  <c r="N269" i="140"/>
  <c r="S269" i="140"/>
  <c r="O260" i="140"/>
  <c r="Q260" i="140"/>
  <c r="R260" i="140" s="1"/>
  <c r="S187" i="140"/>
  <c r="P187" i="140"/>
  <c r="S149" i="140"/>
  <c r="N149" i="140"/>
  <c r="P149" i="140"/>
  <c r="P121" i="140"/>
  <c r="S121" i="140"/>
  <c r="S110" i="140"/>
  <c r="P110" i="140"/>
  <c r="P96" i="140"/>
  <c r="S96" i="140"/>
  <c r="N544" i="140"/>
  <c r="S544" i="140"/>
  <c r="N538" i="140"/>
  <c r="S538" i="140"/>
  <c r="P524" i="140"/>
  <c r="S524" i="140"/>
  <c r="N493" i="140"/>
  <c r="S493" i="140"/>
  <c r="S486" i="140"/>
  <c r="P486" i="140"/>
  <c r="S417" i="140"/>
  <c r="P417" i="140"/>
  <c r="S253" i="140"/>
  <c r="P253" i="140"/>
  <c r="P225" i="140"/>
  <c r="S225" i="140"/>
  <c r="S182" i="140"/>
  <c r="N182" i="140"/>
  <c r="Q182" i="140" s="1"/>
  <c r="P182" i="140"/>
  <c r="S131" i="140"/>
  <c r="N131" i="140"/>
  <c r="O131" i="140" s="1"/>
  <c r="P131" i="140"/>
  <c r="P93" i="140"/>
  <c r="S93" i="140"/>
  <c r="N93" i="140"/>
  <c r="S76" i="140"/>
  <c r="P76" i="140"/>
  <c r="P72" i="140"/>
  <c r="S72" i="140"/>
  <c r="S46" i="140"/>
  <c r="N46" i="140"/>
  <c r="P46" i="140"/>
  <c r="P42" i="140"/>
  <c r="S42" i="140"/>
  <c r="N574" i="140"/>
  <c r="S574" i="140"/>
  <c r="N496" i="140"/>
  <c r="S496" i="140"/>
  <c r="S405" i="140"/>
  <c r="N405" i="140"/>
  <c r="P405" i="140"/>
  <c r="P236" i="140"/>
  <c r="S236" i="140"/>
  <c r="S158" i="140"/>
  <c r="N158" i="140"/>
  <c r="O158" i="140" s="1"/>
  <c r="P158" i="140"/>
  <c r="P81" i="140"/>
  <c r="S81" i="140"/>
  <c r="N478" i="140"/>
  <c r="S478" i="140"/>
  <c r="P478" i="140"/>
  <c r="S378" i="140"/>
  <c r="N378" i="140"/>
  <c r="P378" i="140"/>
  <c r="O365" i="140"/>
  <c r="Q365" i="140"/>
  <c r="R365" i="140" s="1"/>
  <c r="P334" i="140"/>
  <c r="S334" i="140"/>
  <c r="N334" i="140"/>
  <c r="Q309" i="140"/>
  <c r="R309" i="140" s="1"/>
  <c r="O309" i="140"/>
  <c r="S278" i="140"/>
  <c r="P278" i="140"/>
  <c r="O267" i="140"/>
  <c r="Q267" i="140"/>
  <c r="R267" i="140" s="1"/>
  <c r="P111" i="140"/>
  <c r="S111" i="140"/>
  <c r="N568" i="140"/>
  <c r="S568" i="140"/>
  <c r="Q537" i="140"/>
  <c r="R537" i="140" s="1"/>
  <c r="O537" i="140"/>
  <c r="S513" i="140"/>
  <c r="P513" i="140"/>
  <c r="Q492" i="140"/>
  <c r="R492" i="140" s="1"/>
  <c r="O492" i="140"/>
  <c r="P451" i="140"/>
  <c r="S451" i="140"/>
  <c r="P420" i="140"/>
  <c r="S420" i="140"/>
  <c r="P358" i="140"/>
  <c r="S358" i="140"/>
  <c r="P339" i="140"/>
  <c r="S339" i="140"/>
  <c r="S309" i="140"/>
  <c r="P309" i="140"/>
  <c r="S283" i="140"/>
  <c r="N283" i="140"/>
  <c r="P283" i="140"/>
  <c r="S267" i="140"/>
  <c r="P267" i="140"/>
  <c r="N255" i="140"/>
  <c r="S255" i="140"/>
  <c r="N233" i="140"/>
  <c r="S233" i="140"/>
  <c r="P226" i="140"/>
  <c r="S226" i="140"/>
  <c r="S150" i="140"/>
  <c r="P150" i="140"/>
  <c r="P89" i="140"/>
  <c r="N77" i="140"/>
  <c r="O77" i="140" s="1"/>
  <c r="S77" i="140"/>
  <c r="P48" i="140"/>
  <c r="S48" i="140"/>
  <c r="N48" i="140"/>
  <c r="O48" i="140" s="1"/>
  <c r="Q582" i="140"/>
  <c r="R582" i="140" s="1"/>
  <c r="P537" i="140"/>
  <c r="S537" i="140"/>
  <c r="N532" i="140"/>
  <c r="S532" i="140"/>
  <c r="S525" i="140"/>
  <c r="N525" i="140"/>
  <c r="P525" i="140"/>
  <c r="P492" i="140"/>
  <c r="S492" i="140"/>
  <c r="P416" i="140"/>
  <c r="S416" i="140"/>
  <c r="S109" i="140"/>
  <c r="P109" i="140"/>
  <c r="P80" i="140"/>
  <c r="S80" i="140"/>
  <c r="N80" i="140"/>
  <c r="P67" i="140"/>
  <c r="S67" i="140"/>
  <c r="P60" i="140"/>
  <c r="S60" i="140"/>
  <c r="P45" i="140"/>
  <c r="S45" i="140"/>
  <c r="P43" i="140"/>
  <c r="S43" i="140"/>
  <c r="N43" i="140"/>
  <c r="S32" i="140"/>
  <c r="P32" i="140"/>
  <c r="O125" i="140"/>
  <c r="O121" i="140"/>
  <c r="P117" i="140"/>
  <c r="S117" i="140"/>
  <c r="N113" i="140"/>
  <c r="O113" i="140" s="1"/>
  <c r="S113" i="140"/>
  <c r="O110" i="140"/>
  <c r="S106" i="140"/>
  <c r="P106" i="140"/>
  <c r="Q96" i="140"/>
  <c r="R96" i="140" s="1"/>
  <c r="S92" i="140"/>
  <c r="N92" i="140"/>
  <c r="P92" i="140"/>
  <c r="N89" i="140"/>
  <c r="S71" i="140"/>
  <c r="P71" i="140"/>
  <c r="P54" i="140"/>
  <c r="S54" i="140"/>
  <c r="N54" i="140"/>
  <c r="O54" i="140" s="1"/>
  <c r="P49" i="140"/>
  <c r="S41" i="140"/>
  <c r="P41" i="140"/>
  <c r="P36" i="140"/>
  <c r="S36" i="140"/>
  <c r="O34" i="140"/>
  <c r="P30" i="140"/>
  <c r="S30" i="140"/>
  <c r="S566" i="140"/>
  <c r="P566" i="140"/>
  <c r="P562" i="140"/>
  <c r="P555" i="140"/>
  <c r="S555" i="140"/>
  <c r="N555" i="140"/>
  <c r="P544" i="140"/>
  <c r="P538" i="140"/>
  <c r="N530" i="140"/>
  <c r="N514" i="140"/>
  <c r="S514" i="140"/>
  <c r="P514" i="140"/>
  <c r="O500" i="140"/>
  <c r="N495" i="140"/>
  <c r="N479" i="140"/>
  <c r="S474" i="140"/>
  <c r="P474" i="140"/>
  <c r="P465" i="140"/>
  <c r="N435" i="140"/>
  <c r="N428" i="140"/>
  <c r="O417" i="140"/>
  <c r="P379" i="140"/>
  <c r="S379" i="140"/>
  <c r="N367" i="140"/>
  <c r="N360" i="140"/>
  <c r="P335" i="140"/>
  <c r="S318" i="140"/>
  <c r="P318" i="140"/>
  <c r="N313" i="140"/>
  <c r="N310" i="140"/>
  <c r="P306" i="140"/>
  <c r="S306" i="140"/>
  <c r="P297" i="140"/>
  <c r="S297" i="140"/>
  <c r="O285" i="140"/>
  <c r="N277" i="140"/>
  <c r="N274" i="140"/>
  <c r="P269" i="140"/>
  <c r="O253" i="140"/>
  <c r="N235" i="140"/>
  <c r="O225" i="140"/>
  <c r="N187" i="140"/>
  <c r="P177" i="140"/>
  <c r="S177" i="140"/>
  <c r="P169" i="140"/>
  <c r="P168" i="140"/>
  <c r="S168" i="140"/>
  <c r="N151" i="140"/>
  <c r="P144" i="140"/>
  <c r="Q138" i="140"/>
  <c r="R138" i="140" s="1"/>
  <c r="N133" i="140"/>
  <c r="P84" i="140"/>
  <c r="S84" i="140"/>
  <c r="P422" i="140"/>
  <c r="S422" i="140"/>
  <c r="N412" i="140"/>
  <c r="S412" i="140"/>
  <c r="N363" i="140"/>
  <c r="S363" i="140"/>
  <c r="P357" i="140"/>
  <c r="S357" i="140"/>
  <c r="P330" i="140"/>
  <c r="S330" i="140"/>
  <c r="P322" i="140"/>
  <c r="S322" i="140"/>
  <c r="N240" i="140"/>
  <c r="S240" i="140"/>
  <c r="P171" i="140"/>
  <c r="S171" i="140"/>
  <c r="N161" i="140"/>
  <c r="S161" i="140"/>
  <c r="N136" i="140"/>
  <c r="S136" i="140"/>
  <c r="P39" i="140"/>
  <c r="S39" i="140"/>
  <c r="N580" i="140"/>
  <c r="S580" i="140"/>
  <c r="P578" i="140"/>
  <c r="S578" i="140"/>
  <c r="N559" i="140"/>
  <c r="S559" i="140"/>
  <c r="N553" i="140"/>
  <c r="S553" i="140"/>
  <c r="N550" i="140"/>
  <c r="S550" i="140"/>
  <c r="P542" i="140"/>
  <c r="S542" i="140"/>
  <c r="P504" i="140"/>
  <c r="S504" i="140"/>
  <c r="P485" i="140"/>
  <c r="S485" i="140"/>
  <c r="N481" i="140"/>
  <c r="S481" i="140"/>
  <c r="N472" i="140"/>
  <c r="S472" i="140"/>
  <c r="P457" i="140"/>
  <c r="S457" i="140"/>
  <c r="P438" i="140"/>
  <c r="S438" i="140"/>
  <c r="N430" i="140"/>
  <c r="S430" i="140"/>
  <c r="P426" i="140"/>
  <c r="S426" i="140"/>
  <c r="N377" i="140"/>
  <c r="S377" i="140"/>
  <c r="P364" i="140"/>
  <c r="S364" i="140"/>
  <c r="P355" i="140"/>
  <c r="S355" i="140"/>
  <c r="P328" i="140"/>
  <c r="S328" i="140"/>
  <c r="P308" i="140"/>
  <c r="S308" i="140"/>
  <c r="N280" i="140"/>
  <c r="S280" i="140"/>
  <c r="P251" i="140"/>
  <c r="S251" i="140"/>
  <c r="P231" i="140"/>
  <c r="S231" i="140"/>
  <c r="P189" i="140"/>
  <c r="S189" i="140"/>
  <c r="P146" i="140"/>
  <c r="S146" i="140"/>
  <c r="P98" i="140"/>
  <c r="S98" i="140"/>
  <c r="N577" i="140"/>
  <c r="S577" i="140"/>
  <c r="N571" i="140"/>
  <c r="S571" i="140"/>
  <c r="P415" i="140"/>
  <c r="S415" i="140"/>
  <c r="P105" i="140"/>
  <c r="S105" i="140"/>
  <c r="P85" i="140"/>
  <c r="S85" i="140"/>
  <c r="P75" i="140"/>
  <c r="S75" i="140"/>
  <c r="P31" i="140"/>
  <c r="S31" i="140"/>
  <c r="P27" i="140"/>
  <c r="S27" i="140"/>
  <c r="P573" i="140"/>
  <c r="S573" i="140"/>
  <c r="P560" i="140"/>
  <c r="S560" i="140"/>
  <c r="N490" i="140"/>
  <c r="S490" i="140"/>
  <c r="N469" i="140"/>
  <c r="S469" i="140"/>
  <c r="P464" i="140"/>
  <c r="S464" i="140"/>
  <c r="P413" i="140"/>
  <c r="S413" i="140"/>
  <c r="P382" i="140"/>
  <c r="S382" i="140"/>
  <c r="P344" i="140"/>
  <c r="S344" i="140"/>
  <c r="N316" i="140"/>
  <c r="S316" i="140"/>
  <c r="P312" i="140"/>
  <c r="S312" i="140"/>
  <c r="P276" i="140"/>
  <c r="S276" i="140"/>
  <c r="N257" i="140"/>
  <c r="O257" i="140" s="1"/>
  <c r="S257" i="140"/>
  <c r="N228" i="140"/>
  <c r="Q228" i="140" s="1"/>
  <c r="R228" i="140" s="1"/>
  <c r="S228" i="140"/>
  <c r="N223" i="140"/>
  <c r="S223" i="140"/>
  <c r="P163" i="140"/>
  <c r="S163" i="140"/>
  <c r="P142" i="140"/>
  <c r="S142" i="140"/>
  <c r="N301" i="70"/>
  <c r="Q301" i="70" s="1"/>
  <c r="K544" i="70"/>
  <c r="N103" i="70"/>
  <c r="Q103" i="70" s="1"/>
  <c r="N96" i="70"/>
  <c r="Q96" i="70" s="1"/>
  <c r="N58" i="70"/>
  <c r="Q58" i="70" s="1"/>
  <c r="N288" i="70"/>
  <c r="Q288" i="70" s="1"/>
  <c r="N284" i="70"/>
  <c r="Q284" i="70" s="1"/>
  <c r="N248" i="70"/>
  <c r="Q248" i="70" s="1"/>
  <c r="N244" i="70"/>
  <c r="Q244" i="70" s="1"/>
  <c r="N203" i="70"/>
  <c r="Q203" i="70" s="1"/>
  <c r="N506" i="70"/>
  <c r="Q506" i="70" s="1"/>
  <c r="N503" i="70"/>
  <c r="Q503" i="70" s="1"/>
  <c r="N156" i="70"/>
  <c r="Q156" i="70" s="1"/>
  <c r="N91" i="70"/>
  <c r="Q91" i="70" s="1"/>
  <c r="N261" i="70"/>
  <c r="Q261" i="70" s="1"/>
  <c r="N228" i="70"/>
  <c r="Q228" i="70" s="1"/>
  <c r="N215" i="70"/>
  <c r="Q215" i="70" s="1"/>
  <c r="N212" i="70"/>
  <c r="Q212" i="70" s="1"/>
  <c r="N534" i="70"/>
  <c r="Q534" i="70" s="1"/>
  <c r="N516" i="70"/>
  <c r="Q516" i="70" s="1"/>
  <c r="N512" i="70"/>
  <c r="Q512" i="70" s="1"/>
  <c r="N509" i="70"/>
  <c r="Q509" i="70" s="1"/>
  <c r="N158" i="70"/>
  <c r="Q158" i="70" s="1"/>
  <c r="N137" i="70"/>
  <c r="Q137" i="70" s="1"/>
  <c r="N453" i="70"/>
  <c r="Q453" i="70" s="1"/>
  <c r="N436" i="70"/>
  <c r="Q436" i="70" s="1"/>
  <c r="N361" i="70"/>
  <c r="Q361" i="70" s="1"/>
  <c r="N335" i="70"/>
  <c r="Q335" i="70" s="1"/>
  <c r="N149" i="70"/>
  <c r="Q149" i="70" s="1"/>
  <c r="N145" i="70"/>
  <c r="Q145" i="70" s="1"/>
  <c r="N70" i="70"/>
  <c r="Q70" i="70" s="1"/>
  <c r="N304" i="70"/>
  <c r="Q304" i="70" s="1"/>
  <c r="N299" i="70"/>
  <c r="Q299" i="70" s="1"/>
  <c r="N289" i="70"/>
  <c r="Q289" i="70" s="1"/>
  <c r="N194" i="70"/>
  <c r="Q194" i="70" s="1"/>
  <c r="N485" i="70"/>
  <c r="Q485" i="70" s="1"/>
  <c r="N406" i="70"/>
  <c r="Q406" i="70" s="1"/>
  <c r="N403" i="70"/>
  <c r="Q403" i="70" s="1"/>
  <c r="N353" i="70"/>
  <c r="Q353" i="70" s="1"/>
  <c r="N160" i="70"/>
  <c r="Q160" i="70" s="1"/>
  <c r="N121" i="70"/>
  <c r="Q121" i="70" s="1"/>
  <c r="N114" i="70"/>
  <c r="Q114" i="70" s="1"/>
  <c r="N94" i="70"/>
  <c r="Q94" i="70" s="1"/>
  <c r="N78" i="70"/>
  <c r="Q78" i="70" s="1"/>
  <c r="N227" i="70"/>
  <c r="Q227" i="70" s="1"/>
  <c r="N530" i="70"/>
  <c r="Q530" i="70" s="1"/>
  <c r="N489" i="70"/>
  <c r="Q489" i="70" s="1"/>
  <c r="P95" i="70"/>
  <c r="P117" i="70"/>
  <c r="P107" i="70"/>
  <c r="P75" i="70"/>
  <c r="P111" i="70"/>
  <c r="N235" i="70"/>
  <c r="Q235" i="70" s="1"/>
  <c r="P235" i="70"/>
  <c r="P387" i="70"/>
  <c r="P381" i="70"/>
  <c r="P355" i="70"/>
  <c r="N326" i="70"/>
  <c r="Q326" i="70" s="1"/>
  <c r="P326" i="70"/>
  <c r="P466" i="70"/>
  <c r="P87" i="70"/>
  <c r="P282" i="70"/>
  <c r="P425" i="70"/>
  <c r="N190" i="70"/>
  <c r="Q190" i="70" s="1"/>
  <c r="P190" i="70"/>
  <c r="P159" i="70"/>
  <c r="P441" i="70"/>
  <c r="P147" i="70"/>
  <c r="P165" i="70"/>
  <c r="P108" i="70"/>
  <c r="P196" i="70"/>
  <c r="P187" i="70"/>
  <c r="N184" i="70"/>
  <c r="Q184" i="70" s="1"/>
  <c r="P184" i="70"/>
  <c r="P401" i="70"/>
  <c r="P126" i="70"/>
  <c r="P241" i="70"/>
  <c r="P393" i="70"/>
  <c r="P337" i="70"/>
  <c r="P199" i="70"/>
  <c r="P457" i="70"/>
  <c r="P378" i="70"/>
  <c r="P346" i="70"/>
  <c r="P327" i="70"/>
  <c r="P195" i="70"/>
  <c r="P543" i="70"/>
  <c r="P537" i="70"/>
  <c r="P391" i="70"/>
  <c r="P373" i="70"/>
  <c r="P132" i="70"/>
  <c r="P105" i="70"/>
  <c r="N79" i="70"/>
  <c r="Q79" i="70" s="1"/>
  <c r="P79" i="70"/>
  <c r="P220" i="70"/>
  <c r="N488" i="70"/>
  <c r="Q488" i="70" s="1"/>
  <c r="P488" i="70"/>
  <c r="N456" i="70"/>
  <c r="Q456" i="70" s="1"/>
  <c r="P456" i="70"/>
  <c r="P430" i="70"/>
  <c r="P398" i="70"/>
  <c r="P351" i="70"/>
  <c r="P38" i="70"/>
  <c r="P119" i="70"/>
  <c r="N69" i="70"/>
  <c r="Q69" i="70" s="1"/>
  <c r="P69" i="70"/>
  <c r="P57" i="70"/>
  <c r="P198" i="70"/>
  <c r="P523" i="70"/>
  <c r="P511" i="70"/>
  <c r="N483" i="70"/>
  <c r="Q483" i="70" s="1"/>
  <c r="P483" i="70"/>
  <c r="P405" i="70"/>
  <c r="N166" i="70"/>
  <c r="Q166" i="70" s="1"/>
  <c r="P166" i="70"/>
  <c r="P155" i="70"/>
  <c r="P128" i="70"/>
  <c r="N122" i="70"/>
  <c r="Q122" i="70" s="1"/>
  <c r="N93" i="70"/>
  <c r="Q93" i="70" s="1"/>
  <c r="P93" i="70"/>
  <c r="P89" i="70"/>
  <c r="P247" i="70"/>
  <c r="P216" i="70"/>
  <c r="P213" i="70"/>
  <c r="N209" i="70"/>
  <c r="Q209" i="70" s="1"/>
  <c r="N200" i="70"/>
  <c r="Q200" i="70" s="1"/>
  <c r="N191" i="70"/>
  <c r="Q191" i="70" s="1"/>
  <c r="N178" i="70"/>
  <c r="Q178" i="70" s="1"/>
  <c r="P178" i="70"/>
  <c r="P505" i="70"/>
  <c r="P496" i="70"/>
  <c r="N491" i="70"/>
  <c r="Q491" i="70" s="1"/>
  <c r="P487" i="70"/>
  <c r="P475" i="70"/>
  <c r="P469" i="70"/>
  <c r="N455" i="70"/>
  <c r="Q455" i="70" s="1"/>
  <c r="P455" i="70"/>
  <c r="P439" i="70"/>
  <c r="N415" i="70"/>
  <c r="Q415" i="70" s="1"/>
  <c r="N407" i="70"/>
  <c r="Q407" i="70" s="1"/>
  <c r="P385" i="70"/>
  <c r="N380" i="70"/>
  <c r="Q380" i="70" s="1"/>
  <c r="P344" i="70"/>
  <c r="P302" i="70"/>
  <c r="N245" i="70"/>
  <c r="Q245" i="70" s="1"/>
  <c r="P245" i="70"/>
  <c r="N474" i="70"/>
  <c r="Q474" i="70" s="1"/>
  <c r="P474" i="70"/>
  <c r="P471" i="70"/>
  <c r="P463" i="70"/>
  <c r="N437" i="70"/>
  <c r="Q437" i="70" s="1"/>
  <c r="P437" i="70"/>
  <c r="P360" i="70"/>
  <c r="N148" i="70"/>
  <c r="Q148" i="70" s="1"/>
  <c r="P148" i="70"/>
  <c r="P238" i="70"/>
  <c r="P193" i="70"/>
  <c r="P98" i="70"/>
  <c r="P66" i="70"/>
  <c r="N281" i="70"/>
  <c r="Q281" i="70" s="1"/>
  <c r="P281" i="70"/>
  <c r="P208" i="70"/>
  <c r="P493" i="70"/>
  <c r="P481" i="70"/>
  <c r="P431" i="70"/>
  <c r="P414" i="70"/>
  <c r="P382" i="70"/>
  <c r="N51" i="70"/>
  <c r="Q51" i="70" s="1"/>
  <c r="P51" i="70"/>
  <c r="P54" i="70"/>
  <c r="P295" i="70"/>
  <c r="N217" i="70"/>
  <c r="Q217" i="70" s="1"/>
  <c r="P217" i="70"/>
  <c r="P540" i="70"/>
  <c r="P444" i="70"/>
  <c r="N290" i="70"/>
  <c r="Q290" i="70" s="1"/>
  <c r="P290" i="70"/>
  <c r="P225" i="70"/>
  <c r="P192" i="70"/>
  <c r="P116" i="70"/>
  <c r="P83" i="70"/>
  <c r="P283" i="70"/>
  <c r="N188" i="70"/>
  <c r="Q188" i="70" s="1"/>
  <c r="P188" i="70"/>
  <c r="P526" i="70"/>
  <c r="P514" i="70"/>
  <c r="P402" i="70"/>
  <c r="P339" i="70"/>
  <c r="P331" i="70"/>
  <c r="N40" i="70"/>
  <c r="Q40" i="70" s="1"/>
  <c r="N157" i="70"/>
  <c r="Q157" i="70" s="1"/>
  <c r="P131" i="70"/>
  <c r="N118" i="70"/>
  <c r="Q118" i="70" s="1"/>
  <c r="P118" i="70"/>
  <c r="N115" i="70"/>
  <c r="Q115" i="70" s="1"/>
  <c r="N112" i="70"/>
  <c r="Q112" i="70" s="1"/>
  <c r="N82" i="70"/>
  <c r="Q82" i="70" s="1"/>
  <c r="P82" i="70"/>
  <c r="N67" i="70"/>
  <c r="Q67" i="70" s="1"/>
  <c r="P67" i="70"/>
  <c r="N63" i="70"/>
  <c r="Q63" i="70" s="1"/>
  <c r="N55" i="70"/>
  <c r="Q55" i="70" s="1"/>
  <c r="N302" i="70"/>
  <c r="Q302" i="70" s="1"/>
  <c r="N293" i="70"/>
  <c r="Q293" i="70" s="1"/>
  <c r="N282" i="70"/>
  <c r="Q282" i="70" s="1"/>
  <c r="P223" i="70"/>
  <c r="P219" i="70"/>
  <c r="P204" i="70"/>
  <c r="N196" i="70"/>
  <c r="Q196" i="70" s="1"/>
  <c r="N187" i="70"/>
  <c r="Q187" i="70" s="1"/>
  <c r="N541" i="70"/>
  <c r="Q541" i="70" s="1"/>
  <c r="N538" i="70"/>
  <c r="Q538" i="70" s="1"/>
  <c r="N528" i="70"/>
  <c r="Q528" i="70" s="1"/>
  <c r="N525" i="70"/>
  <c r="Q525" i="70" s="1"/>
  <c r="N520" i="70"/>
  <c r="Q520" i="70" s="1"/>
  <c r="P517" i="70"/>
  <c r="N510" i="70"/>
  <c r="Q510" i="70" s="1"/>
  <c r="N507" i="70"/>
  <c r="Q507" i="70" s="1"/>
  <c r="N500" i="70"/>
  <c r="Q500" i="70" s="1"/>
  <c r="P500" i="70"/>
  <c r="N463" i="70"/>
  <c r="Q463" i="70" s="1"/>
  <c r="N445" i="70"/>
  <c r="Q445" i="70" s="1"/>
  <c r="N442" i="70"/>
  <c r="Q442" i="70" s="1"/>
  <c r="N432" i="70"/>
  <c r="Q432" i="70" s="1"/>
  <c r="P429" i="70"/>
  <c r="N418" i="70"/>
  <c r="Q418" i="70" s="1"/>
  <c r="N411" i="70"/>
  <c r="Q411" i="70" s="1"/>
  <c r="N401" i="70"/>
  <c r="Q401" i="70" s="1"/>
  <c r="N389" i="70"/>
  <c r="Q389" i="70" s="1"/>
  <c r="P375" i="70"/>
  <c r="P371" i="70"/>
  <c r="N360" i="70"/>
  <c r="Q360" i="70" s="1"/>
  <c r="P357" i="70"/>
  <c r="P338" i="70"/>
  <c r="P328" i="70"/>
  <c r="N30" i="129"/>
  <c r="N22" i="129"/>
  <c r="P36" i="129"/>
  <c r="S36" i="129"/>
  <c r="N36" i="129"/>
  <c r="P27" i="129"/>
  <c r="P22" i="129"/>
  <c r="N34" i="129"/>
  <c r="N28" i="129"/>
  <c r="S28" i="129"/>
  <c r="N26" i="129"/>
  <c r="S26" i="129"/>
  <c r="P43" i="129"/>
  <c r="S43" i="129"/>
  <c r="N40" i="129"/>
  <c r="S40" i="129"/>
  <c r="N21" i="129"/>
  <c r="S21" i="129"/>
  <c r="N33" i="129"/>
  <c r="S33" i="129"/>
  <c r="N31" i="129"/>
  <c r="S31" i="129"/>
  <c r="P39" i="129"/>
  <c r="S39" i="129"/>
  <c r="N20" i="129"/>
  <c r="S20" i="129"/>
  <c r="P30" i="129"/>
  <c r="P24" i="129"/>
  <c r="S24" i="129"/>
  <c r="P41" i="129"/>
  <c r="L390" i="140"/>
  <c r="P736" i="140"/>
  <c r="Q736" i="140"/>
  <c r="R736" i="140" s="1"/>
  <c r="N688" i="140"/>
  <c r="O688" i="140" s="1"/>
  <c r="O628" i="140"/>
  <c r="Q628" i="140"/>
  <c r="R628" i="140" s="1"/>
  <c r="N616" i="140"/>
  <c r="O616" i="140" s="1"/>
  <c r="Q611" i="140"/>
  <c r="R611" i="140" s="1"/>
  <c r="N745" i="140"/>
  <c r="N635" i="140"/>
  <c r="P614" i="140"/>
  <c r="N617" i="140"/>
  <c r="O617" i="140" s="1"/>
  <c r="N631" i="140"/>
  <c r="Q632" i="140"/>
  <c r="R632" i="140" s="1"/>
  <c r="O632" i="140"/>
  <c r="O613" i="140"/>
  <c r="Q613" i="140"/>
  <c r="R613" i="140" s="1"/>
  <c r="N624" i="140"/>
  <c r="O624" i="140" s="1"/>
  <c r="O619" i="140"/>
  <c r="P632" i="140"/>
  <c r="P613" i="140"/>
  <c r="N636" i="140"/>
  <c r="Q636" i="140" s="1"/>
  <c r="R636" i="140" s="1"/>
  <c r="N634" i="140"/>
  <c r="O634" i="140" s="1"/>
  <c r="N627" i="140"/>
  <c r="O627" i="140" s="1"/>
  <c r="P396" i="140"/>
  <c r="N388" i="140"/>
  <c r="O388" i="140" s="1"/>
  <c r="P403" i="140"/>
  <c r="P387" i="140"/>
  <c r="P399" i="140"/>
  <c r="O397" i="140"/>
  <c r="Q393" i="140"/>
  <c r="R393" i="140" s="1"/>
  <c r="O393" i="140"/>
  <c r="O384" i="140"/>
  <c r="Q384" i="140"/>
  <c r="R384" i="140" s="1"/>
  <c r="P402" i="140"/>
  <c r="S402" i="140"/>
  <c r="Q398" i="140"/>
  <c r="R398" i="140" s="1"/>
  <c r="P397" i="140"/>
  <c r="S397" i="140"/>
  <c r="N394" i="140"/>
  <c r="S394" i="140"/>
  <c r="P384" i="140"/>
  <c r="S384" i="140"/>
  <c r="P400" i="140"/>
  <c r="P398" i="140"/>
  <c r="S398" i="140"/>
  <c r="P390" i="140"/>
  <c r="N403" i="140"/>
  <c r="N399" i="140"/>
  <c r="Q396" i="140"/>
  <c r="R396" i="140" s="1"/>
  <c r="P395" i="140"/>
  <c r="S395" i="140"/>
  <c r="P391" i="140"/>
  <c r="N387" i="140"/>
  <c r="N385" i="140"/>
  <c r="N400" i="140"/>
  <c r="N390" i="140"/>
  <c r="P393" i="140"/>
  <c r="S393" i="140"/>
  <c r="N391" i="140"/>
  <c r="N351" i="140"/>
  <c r="Q351" i="140" s="1"/>
  <c r="R351" i="140" s="1"/>
  <c r="N352" i="140"/>
  <c r="S352" i="140"/>
  <c r="P353" i="140"/>
  <c r="S353" i="140"/>
  <c r="P349" i="140"/>
  <c r="P250" i="140"/>
  <c r="S250" i="140"/>
  <c r="Q250" i="140"/>
  <c r="R250" i="140" s="1"/>
  <c r="P202" i="140"/>
  <c r="N202" i="140"/>
  <c r="O202" i="140" s="1"/>
  <c r="P195" i="140"/>
  <c r="O193" i="140"/>
  <c r="Q193" i="140"/>
  <c r="R193" i="140" s="1"/>
  <c r="O200" i="140"/>
  <c r="Q200" i="140"/>
  <c r="R200" i="140" s="1"/>
  <c r="P201" i="140"/>
  <c r="Q204" i="140"/>
  <c r="R204" i="140" s="1"/>
  <c r="P200" i="140"/>
  <c r="S200" i="140"/>
  <c r="P204" i="140"/>
  <c r="N201" i="140"/>
  <c r="P194" i="140"/>
  <c r="N194" i="140"/>
  <c r="N195" i="140"/>
  <c r="Q127" i="140"/>
  <c r="N309" i="70"/>
  <c r="Q309" i="70" s="1"/>
  <c r="N306" i="70"/>
  <c r="Q306" i="70" s="1"/>
  <c r="P306" i="70"/>
  <c r="N325" i="70"/>
  <c r="Q325" i="70" s="1"/>
  <c r="P305" i="70"/>
  <c r="P316" i="70"/>
  <c r="N307" i="70"/>
  <c r="Q307" i="70" s="1"/>
  <c r="P324" i="70"/>
  <c r="N318" i="70"/>
  <c r="Q318" i="70" s="1"/>
  <c r="P318" i="70"/>
  <c r="P279" i="70"/>
  <c r="N271" i="70"/>
  <c r="Q271" i="70" s="1"/>
  <c r="P262" i="70"/>
  <c r="P256" i="70"/>
  <c r="P274" i="70"/>
  <c r="P268" i="70"/>
  <c r="P259" i="70"/>
  <c r="P253" i="70"/>
  <c r="P264" i="70"/>
  <c r="P255" i="70"/>
  <c r="P277" i="70"/>
  <c r="P273" i="70"/>
  <c r="P252" i="70"/>
  <c r="N269" i="70"/>
  <c r="Q269" i="70" s="1"/>
  <c r="N266" i="70"/>
  <c r="Q266" i="70" s="1"/>
  <c r="P266" i="70"/>
  <c r="N260" i="70"/>
  <c r="Q260" i="70" s="1"/>
  <c r="N257" i="70"/>
  <c r="Q257" i="70" s="1"/>
  <c r="N254" i="70"/>
  <c r="Q254" i="70" s="1"/>
  <c r="N279" i="70"/>
  <c r="Q279" i="70" s="1"/>
  <c r="N251" i="70"/>
  <c r="Q251" i="70" s="1"/>
  <c r="N46" i="70"/>
  <c r="Q46" i="70" s="1"/>
  <c r="P46" i="70"/>
  <c r="N275" i="70"/>
  <c r="Q275" i="70" s="1"/>
  <c r="N310" i="70"/>
  <c r="Q310" i="70" s="1"/>
  <c r="N460" i="70"/>
  <c r="Q460" i="70" s="1"/>
  <c r="N383" i="70"/>
  <c r="Q383" i="70" s="1"/>
  <c r="N278" i="70"/>
  <c r="Q278" i="70" s="1"/>
  <c r="N74" i="70"/>
  <c r="Q74" i="70" s="1"/>
  <c r="N292" i="70"/>
  <c r="Q292" i="70" s="1"/>
  <c r="N390" i="70"/>
  <c r="Q390" i="70" s="1"/>
  <c r="N348" i="70"/>
  <c r="Q348" i="70" s="1"/>
  <c r="P20" i="70"/>
  <c r="N171" i="70"/>
  <c r="Q171" i="70" s="1"/>
  <c r="N144" i="70"/>
  <c r="Q144" i="70" s="1"/>
  <c r="N90" i="70"/>
  <c r="Q90" i="70" s="1"/>
  <c r="N312" i="70"/>
  <c r="Q312" i="70" s="1"/>
  <c r="N451" i="70"/>
  <c r="Q451" i="70" s="1"/>
  <c r="N101" i="70"/>
  <c r="Q101" i="70" s="1"/>
  <c r="N87" i="70"/>
  <c r="Q87" i="70" s="1"/>
  <c r="N202" i="70"/>
  <c r="Q202" i="70" s="1"/>
  <c r="N498" i="70"/>
  <c r="Q498" i="70" s="1"/>
  <c r="N399" i="70"/>
  <c r="Q399" i="70" s="1"/>
  <c r="N529" i="70"/>
  <c r="Q529" i="70" s="1"/>
  <c r="N50" i="70"/>
  <c r="Q50" i="70" s="1"/>
  <c r="N113" i="70"/>
  <c r="Q113" i="70" s="1"/>
  <c r="N513" i="70"/>
  <c r="Q513" i="70" s="1"/>
  <c r="N296" i="70"/>
  <c r="Q296" i="70" s="1"/>
  <c r="N189" i="70"/>
  <c r="Q189" i="70" s="1"/>
  <c r="N177" i="70"/>
  <c r="Q177" i="70" s="1"/>
  <c r="N484" i="70"/>
  <c r="Q484" i="70" s="1"/>
  <c r="N428" i="70"/>
  <c r="Q428" i="70" s="1"/>
  <c r="N169" i="70"/>
  <c r="Q169" i="70" s="1"/>
  <c r="N179" i="70"/>
  <c r="Q179" i="70" s="1"/>
  <c r="N154" i="70"/>
  <c r="Q154" i="70" s="1"/>
  <c r="N175" i="70"/>
  <c r="Q175" i="70" s="1"/>
  <c r="N342" i="70"/>
  <c r="Q342" i="70" s="1"/>
  <c r="N140" i="70"/>
  <c r="Q140" i="70" s="1"/>
  <c r="N129" i="70"/>
  <c r="Q129" i="70" s="1"/>
  <c r="N73" i="70"/>
  <c r="Q73" i="70" s="1"/>
  <c r="N33" i="70"/>
  <c r="Q33" i="70" s="1"/>
  <c r="N161" i="70"/>
  <c r="Q161" i="70" s="1"/>
  <c r="N37" i="70"/>
  <c r="Q37" i="70" s="1"/>
  <c r="N100" i="70"/>
  <c r="Q100" i="70" s="1"/>
  <c r="N272" i="70"/>
  <c r="Q272" i="70" s="1"/>
  <c r="N270" i="70"/>
  <c r="Q270" i="70" s="1"/>
  <c r="N265" i="70"/>
  <c r="Q265" i="70" s="1"/>
  <c r="N410" i="70"/>
  <c r="Q410" i="70" s="1"/>
  <c r="N321" i="70"/>
  <c r="Q321" i="70" s="1"/>
  <c r="N285" i="70"/>
  <c r="Q285" i="70" s="1"/>
  <c r="N315" i="70"/>
  <c r="Q315" i="70" s="1"/>
  <c r="N501" i="70"/>
  <c r="Q501" i="70" s="1"/>
  <c r="N495" i="70"/>
  <c r="Q495" i="70" s="1"/>
  <c r="N417" i="70"/>
  <c r="Q417" i="70" s="1"/>
  <c r="N36" i="70"/>
  <c r="Q36" i="70" s="1"/>
  <c r="N153" i="70"/>
  <c r="Q153" i="70" s="1"/>
  <c r="N62" i="70"/>
  <c r="Q62" i="70" s="1"/>
  <c r="N256" i="70"/>
  <c r="Q256" i="70" s="1"/>
  <c r="N311" i="70"/>
  <c r="Q311" i="70" s="1"/>
  <c r="N527" i="70"/>
  <c r="Q527" i="70" s="1"/>
  <c r="N508" i="70"/>
  <c r="Q508" i="70" s="1"/>
  <c r="N475" i="70"/>
  <c r="Q475" i="70" s="1"/>
  <c r="N443" i="70"/>
  <c r="Q443" i="70" s="1"/>
  <c r="N426" i="70"/>
  <c r="Q426" i="70" s="1"/>
  <c r="N174" i="70"/>
  <c r="Q174" i="70" s="1"/>
  <c r="N258" i="70"/>
  <c r="Q258" i="70" s="1"/>
  <c r="N317" i="70"/>
  <c r="Q317" i="70" s="1"/>
  <c r="N26" i="70"/>
  <c r="Q26" i="70" s="1"/>
  <c r="N221" i="70"/>
  <c r="Q221" i="70" s="1"/>
  <c r="N214" i="70"/>
  <c r="Q214" i="70" s="1"/>
  <c r="N482" i="70"/>
  <c r="Q482" i="70" s="1"/>
  <c r="N99" i="70"/>
  <c r="Q99" i="70" s="1"/>
  <c r="N71" i="70"/>
  <c r="Q71" i="70" s="1"/>
  <c r="N308" i="70"/>
  <c r="Q308" i="70" s="1"/>
  <c r="N532" i="70"/>
  <c r="Q532" i="70" s="1"/>
  <c r="N478" i="70"/>
  <c r="Q478" i="70" s="1"/>
  <c r="N440" i="70"/>
  <c r="Q440" i="70" s="1"/>
  <c r="N388" i="70"/>
  <c r="Q388" i="70" s="1"/>
  <c r="N370" i="70"/>
  <c r="Q370" i="70" s="1"/>
  <c r="N365" i="70"/>
  <c r="Q365" i="70" s="1"/>
  <c r="N86" i="70"/>
  <c r="Q86" i="70" s="1"/>
  <c r="N294" i="70"/>
  <c r="Q294" i="70" s="1"/>
  <c r="N518" i="70"/>
  <c r="Q518" i="70" s="1"/>
  <c r="N464" i="70"/>
  <c r="Q464" i="70" s="1"/>
  <c r="N404" i="70"/>
  <c r="Q404" i="70" s="1"/>
  <c r="N395" i="70"/>
  <c r="Q395" i="70" s="1"/>
  <c r="N363" i="70"/>
  <c r="Q363" i="70" s="1"/>
  <c r="N350" i="70"/>
  <c r="Q350" i="70" s="1"/>
  <c r="N450" i="70"/>
  <c r="Q450" i="70" s="1"/>
  <c r="N372" i="70"/>
  <c r="Q372" i="70" s="1"/>
  <c r="N28" i="70"/>
  <c r="Q28" i="70" s="1"/>
  <c r="N165" i="70"/>
  <c r="Q165" i="70" s="1"/>
  <c r="N128" i="70"/>
  <c r="Q128" i="70" s="1"/>
  <c r="N108" i="70"/>
  <c r="Q108" i="70" s="1"/>
  <c r="N107" i="70"/>
  <c r="Q107" i="70" s="1"/>
  <c r="N105" i="70"/>
  <c r="Q105" i="70" s="1"/>
  <c r="N98" i="70"/>
  <c r="Q98" i="70" s="1"/>
  <c r="N95" i="70"/>
  <c r="Q95" i="70" s="1"/>
  <c r="N479" i="70"/>
  <c r="Q479" i="70" s="1"/>
  <c r="N468" i="70"/>
  <c r="Q468" i="70" s="1"/>
  <c r="N434" i="70"/>
  <c r="Q434" i="70" s="1"/>
  <c r="N408" i="70"/>
  <c r="Q408" i="70" s="1"/>
  <c r="N377" i="70"/>
  <c r="Q377" i="70" s="1"/>
  <c r="N374" i="70"/>
  <c r="Q374" i="70" s="1"/>
  <c r="N359" i="70"/>
  <c r="Q359" i="70" s="1"/>
  <c r="N345" i="70"/>
  <c r="Q345" i="70" s="1"/>
  <c r="N336" i="70"/>
  <c r="Q336" i="70" s="1"/>
  <c r="N39" i="70"/>
  <c r="Q39" i="70" s="1"/>
  <c r="N172" i="70"/>
  <c r="N240" i="70"/>
  <c r="Q240" i="70" s="1"/>
  <c r="N207" i="70"/>
  <c r="Q207" i="70" s="1"/>
  <c r="N542" i="70"/>
  <c r="Q542" i="70" s="1"/>
  <c r="N531" i="70"/>
  <c r="Q531" i="70" s="1"/>
  <c r="N493" i="70"/>
  <c r="Q493" i="70" s="1"/>
  <c r="N416" i="70"/>
  <c r="Q416" i="70" s="1"/>
  <c r="N387" i="70"/>
  <c r="Q387" i="70" s="1"/>
  <c r="N381" i="70"/>
  <c r="Q381" i="70" s="1"/>
  <c r="N368" i="70"/>
  <c r="Q368" i="70" s="1"/>
  <c r="N351" i="70"/>
  <c r="Q351" i="70" s="1"/>
  <c r="N341" i="70"/>
  <c r="Q341" i="70" s="1"/>
  <c r="N314" i="70"/>
  <c r="Q314" i="70" s="1"/>
  <c r="N543" i="70"/>
  <c r="Q543" i="70" s="1"/>
  <c r="N487" i="70"/>
  <c r="Q487" i="70" s="1"/>
  <c r="N471" i="70"/>
  <c r="Q471" i="70" s="1"/>
  <c r="N459" i="70"/>
  <c r="Q459" i="70" s="1"/>
  <c r="N466" i="70"/>
  <c r="Q466" i="70" s="1"/>
  <c r="N539" i="70"/>
  <c r="Q539" i="70" s="1"/>
  <c r="N504" i="70"/>
  <c r="Q504" i="70" s="1"/>
  <c r="N332" i="70"/>
  <c r="Q332" i="70" s="1"/>
  <c r="N267" i="70"/>
  <c r="Q267" i="70" s="1"/>
  <c r="P348" i="140"/>
  <c r="S348" i="140"/>
  <c r="Q620" i="140"/>
  <c r="R620" i="140" s="1"/>
  <c r="O620" i="140"/>
  <c r="N618" i="140"/>
  <c r="O618" i="140" s="1"/>
  <c r="Q614" i="140"/>
  <c r="R614" i="140" s="1"/>
  <c r="O614" i="140"/>
  <c r="L610" i="140"/>
  <c r="P193" i="140"/>
  <c r="S193" i="140"/>
  <c r="P192" i="140"/>
  <c r="S192" i="140"/>
  <c r="O198" i="140"/>
  <c r="Q198" i="140"/>
  <c r="R198" i="140" s="1"/>
  <c r="P198" i="140"/>
  <c r="S198" i="140"/>
  <c r="N197" i="140"/>
  <c r="S197" i="140"/>
  <c r="N349" i="140"/>
  <c r="P350" i="140"/>
  <c r="P351" i="140"/>
  <c r="N350" i="140"/>
  <c r="P392" i="140"/>
  <c r="S392" i="140"/>
  <c r="N392" i="140"/>
  <c r="O724" i="140"/>
  <c r="Q724" i="140"/>
  <c r="R724" i="140" s="1"/>
  <c r="O675" i="140"/>
  <c r="Q675" i="140"/>
  <c r="R675" i="140" s="1"/>
  <c r="O639" i="140"/>
  <c r="Q639" i="140"/>
  <c r="R639" i="140" s="1"/>
  <c r="O705" i="140"/>
  <c r="Q705" i="140"/>
  <c r="R705" i="140" s="1"/>
  <c r="O696" i="140"/>
  <c r="Q696" i="140"/>
  <c r="R696" i="140" s="1"/>
  <c r="O678" i="140"/>
  <c r="Q678" i="140"/>
  <c r="R678" i="140" s="1"/>
  <c r="O660" i="140"/>
  <c r="Q660" i="140"/>
  <c r="R660" i="140" s="1"/>
  <c r="O735" i="140"/>
  <c r="Q735" i="140"/>
  <c r="R735" i="140" s="1"/>
  <c r="Q731" i="140"/>
  <c r="R731" i="140" s="1"/>
  <c r="P724" i="140"/>
  <c r="O708" i="140"/>
  <c r="Q708" i="140"/>
  <c r="R708" i="140" s="1"/>
  <c r="O699" i="140"/>
  <c r="Q699" i="140"/>
  <c r="R699" i="140" s="1"/>
  <c r="Q670" i="140"/>
  <c r="R670" i="140" s="1"/>
  <c r="O663" i="140"/>
  <c r="Q663" i="140"/>
  <c r="R663" i="140" s="1"/>
  <c r="Q661" i="140"/>
  <c r="R661" i="140" s="1"/>
  <c r="O654" i="140"/>
  <c r="Q654" i="140"/>
  <c r="R654" i="140" s="1"/>
  <c r="Q652" i="140"/>
  <c r="R652" i="140" s="1"/>
  <c r="O636" i="140"/>
  <c r="O729" i="140"/>
  <c r="Q729" i="140"/>
  <c r="R729" i="140" s="1"/>
  <c r="O669" i="140"/>
  <c r="Q669" i="140"/>
  <c r="R669" i="140" s="1"/>
  <c r="O651" i="140"/>
  <c r="Q651" i="140"/>
  <c r="R651" i="140" s="1"/>
  <c r="O726" i="140"/>
  <c r="Q726" i="140"/>
  <c r="R726" i="140" s="1"/>
  <c r="O717" i="140"/>
  <c r="Q717" i="140"/>
  <c r="R717" i="140" s="1"/>
  <c r="O738" i="140"/>
  <c r="Q738" i="140"/>
  <c r="R738" i="140" s="1"/>
  <c r="O711" i="140"/>
  <c r="Q711" i="140"/>
  <c r="R711" i="140" s="1"/>
  <c r="O702" i="140"/>
  <c r="Q702" i="140"/>
  <c r="R702" i="140" s="1"/>
  <c r="O684" i="140"/>
  <c r="Q684" i="140"/>
  <c r="R684" i="140" s="1"/>
  <c r="O648" i="140"/>
  <c r="Q648" i="140"/>
  <c r="R648" i="140" s="1"/>
  <c r="O732" i="140"/>
  <c r="Q732" i="140"/>
  <c r="R732" i="140" s="1"/>
  <c r="Q610" i="140"/>
  <c r="O610" i="140"/>
  <c r="P610" i="140"/>
  <c r="Q257" i="140"/>
  <c r="R257" i="140" s="1"/>
  <c r="N408" i="140"/>
  <c r="P408" i="140"/>
  <c r="N487" i="140"/>
  <c r="P487" i="140"/>
  <c r="O395" i="140"/>
  <c r="Q395" i="140"/>
  <c r="R395" i="140" s="1"/>
  <c r="O353" i="140"/>
  <c r="Q353" i="140"/>
  <c r="R353" i="140" s="1"/>
  <c r="O157" i="140"/>
  <c r="Q157" i="140"/>
  <c r="R157" i="140" s="1"/>
  <c r="N565" i="140"/>
  <c r="P565" i="140"/>
  <c r="N475" i="140"/>
  <c r="P475" i="140"/>
  <c r="O355" i="140"/>
  <c r="Q355" i="140"/>
  <c r="R355" i="140" s="1"/>
  <c r="N137" i="140"/>
  <c r="P137" i="140"/>
  <c r="O524" i="140"/>
  <c r="Q524" i="140"/>
  <c r="R524" i="140" s="1"/>
  <c r="O382" i="140"/>
  <c r="Q382" i="140"/>
  <c r="R382" i="140" s="1"/>
  <c r="N173" i="140"/>
  <c r="P173" i="140"/>
  <c r="N547" i="140"/>
  <c r="P547" i="140"/>
  <c r="O402" i="140"/>
  <c r="Q402" i="140"/>
  <c r="R402" i="140" s="1"/>
  <c r="O348" i="140"/>
  <c r="Q348" i="140"/>
  <c r="R348" i="140" s="1"/>
  <c r="N494" i="140"/>
  <c r="P494" i="140"/>
  <c r="N219" i="140"/>
  <c r="P219" i="140"/>
  <c r="N482" i="140"/>
  <c r="P482" i="140"/>
  <c r="P319" i="140"/>
  <c r="N319" i="140"/>
  <c r="N212" i="140"/>
  <c r="P212" i="140"/>
  <c r="O177" i="140"/>
  <c r="Q177" i="140"/>
  <c r="R177" i="140" s="1"/>
  <c r="O146" i="140"/>
  <c r="Q146" i="140"/>
  <c r="R146" i="140" s="1"/>
  <c r="N570" i="140"/>
  <c r="P570" i="140"/>
  <c r="O560" i="140"/>
  <c r="Q560" i="140"/>
  <c r="R560" i="140" s="1"/>
  <c r="N470" i="140"/>
  <c r="P470" i="140"/>
  <c r="N368" i="140"/>
  <c r="P368" i="140"/>
  <c r="O288" i="140"/>
  <c r="Q288" i="140"/>
  <c r="R288" i="140" s="1"/>
  <c r="O271" i="140"/>
  <c r="Q271" i="140"/>
  <c r="R271" i="140" s="1"/>
  <c r="N239" i="140"/>
  <c r="P239" i="140"/>
  <c r="P164" i="140"/>
  <c r="N164" i="140"/>
  <c r="P581" i="140"/>
  <c r="P389" i="140"/>
  <c r="N389" i="140"/>
  <c r="O375" i="140"/>
  <c r="Q375" i="140"/>
  <c r="R375" i="140" s="1"/>
  <c r="O230" i="140"/>
  <c r="Q230" i="140"/>
  <c r="R230" i="140" s="1"/>
  <c r="P148" i="140"/>
  <c r="N148" i="140"/>
  <c r="Q415" i="140"/>
  <c r="R415" i="140" s="1"/>
  <c r="O415" i="140"/>
  <c r="N332" i="140"/>
  <c r="P332" i="140"/>
  <c r="P257" i="140"/>
  <c r="O251" i="140"/>
  <c r="Q251" i="140"/>
  <c r="R251" i="140" s="1"/>
  <c r="Q192" i="140"/>
  <c r="R192" i="140" s="1"/>
  <c r="O192" i="140"/>
  <c r="N188" i="140"/>
  <c r="P188" i="140"/>
  <c r="N450" i="140"/>
  <c r="P450" i="140"/>
  <c r="N370" i="140"/>
  <c r="P370" i="140"/>
  <c r="N259" i="140"/>
  <c r="P259" i="140"/>
  <c r="N179" i="140"/>
  <c r="P179" i="140"/>
  <c r="N305" i="140"/>
  <c r="P305" i="140"/>
  <c r="O357" i="140"/>
  <c r="Q357" i="140"/>
  <c r="R357" i="140" s="1"/>
  <c r="O328" i="140"/>
  <c r="Q328" i="140"/>
  <c r="R328" i="140" s="1"/>
  <c r="N292" i="140"/>
  <c r="P292" i="140"/>
  <c r="P246" i="140"/>
  <c r="N246" i="140"/>
  <c r="O578" i="140"/>
  <c r="Q578" i="140"/>
  <c r="R578" i="140" s="1"/>
  <c r="N516" i="140"/>
  <c r="P516" i="140"/>
  <c r="N506" i="140"/>
  <c r="P506" i="140"/>
  <c r="O344" i="140"/>
  <c r="Q344" i="140"/>
  <c r="R344" i="140" s="1"/>
  <c r="P286" i="140"/>
  <c r="N286" i="140"/>
  <c r="O330" i="140"/>
  <c r="Q330" i="140"/>
  <c r="R330" i="140" s="1"/>
  <c r="N552" i="140"/>
  <c r="P552" i="140"/>
  <c r="N542" i="140"/>
  <c r="N499" i="140"/>
  <c r="P499" i="140"/>
  <c r="N459" i="140"/>
  <c r="P459" i="140"/>
  <c r="N413" i="140"/>
  <c r="N323" i="140"/>
  <c r="P323" i="140"/>
  <c r="N301" i="140"/>
  <c r="N290" i="140"/>
  <c r="P290" i="140"/>
  <c r="Q278" i="140"/>
  <c r="R278" i="140" s="1"/>
  <c r="P214" i="140"/>
  <c r="N214" i="140"/>
  <c r="O128" i="140"/>
  <c r="Q128" i="140"/>
  <c r="R128" i="140" s="1"/>
  <c r="O329" i="140"/>
  <c r="Q329" i="140"/>
  <c r="R329" i="140" s="1"/>
  <c r="N291" i="140"/>
  <c r="P291" i="140"/>
  <c r="P178" i="140"/>
  <c r="N178" i="140"/>
  <c r="N281" i="140"/>
  <c r="P281" i="140"/>
  <c r="O314" i="140"/>
  <c r="Q314" i="140"/>
  <c r="R314" i="140" s="1"/>
  <c r="N296" i="140"/>
  <c r="P296" i="140"/>
  <c r="O261" i="140"/>
  <c r="Q261" i="140"/>
  <c r="R261" i="140" s="1"/>
  <c r="O275" i="140"/>
  <c r="Q275" i="140"/>
  <c r="R275" i="140" s="1"/>
  <c r="N183" i="140"/>
  <c r="Q183" i="140" s="1"/>
  <c r="P183" i="140"/>
  <c r="O176" i="140"/>
  <c r="Q176" i="140"/>
  <c r="R176" i="140" s="1"/>
  <c r="O374" i="140"/>
  <c r="Q374" i="140"/>
  <c r="R374" i="140" s="1"/>
  <c r="P425" i="140"/>
  <c r="N425" i="140"/>
  <c r="O236" i="140"/>
  <c r="Q236" i="140"/>
  <c r="R236" i="140" s="1"/>
  <c r="P443" i="140"/>
  <c r="N443" i="140"/>
  <c r="P461" i="140"/>
  <c r="N461" i="140"/>
  <c r="O311" i="140"/>
  <c r="Q311" i="140"/>
  <c r="R311" i="140" s="1"/>
  <c r="O60" i="140"/>
  <c r="Q60" i="140"/>
  <c r="R60" i="140" s="1"/>
  <c r="O36" i="140"/>
  <c r="Q36" i="140"/>
  <c r="R36" i="140" s="1"/>
  <c r="O51" i="140"/>
  <c r="Q51" i="140"/>
  <c r="R51" i="140" s="1"/>
  <c r="O39" i="140"/>
  <c r="Q39" i="140"/>
  <c r="R39" i="140" s="1"/>
  <c r="O27" i="140"/>
  <c r="Q27" i="140"/>
  <c r="R27" i="140" s="1"/>
  <c r="O42" i="140"/>
  <c r="Q42" i="140"/>
  <c r="R42" i="140" s="1"/>
  <c r="O30" i="140"/>
  <c r="Q30" i="140"/>
  <c r="R30" i="140" s="1"/>
  <c r="P118" i="140"/>
  <c r="P113" i="140"/>
  <c r="P100" i="140"/>
  <c r="P77" i="140"/>
  <c r="Q57" i="140"/>
  <c r="R57" i="140" s="1"/>
  <c r="O45" i="140"/>
  <c r="Q45" i="140"/>
  <c r="R45" i="140" s="1"/>
  <c r="N126" i="140"/>
  <c r="N90" i="140"/>
  <c r="N72" i="140"/>
  <c r="N22" i="140"/>
  <c r="N39" i="129"/>
  <c r="P26" i="129"/>
  <c r="P31" i="129"/>
  <c r="P20" i="129"/>
  <c r="N425" i="70"/>
  <c r="Q425" i="70" s="1"/>
  <c r="N331" i="70"/>
  <c r="Q331" i="70" s="1"/>
  <c r="N524" i="70"/>
  <c r="Q524" i="70" s="1"/>
  <c r="N492" i="70"/>
  <c r="Q492" i="70" s="1"/>
  <c r="N346" i="70"/>
  <c r="Q346" i="70" s="1"/>
  <c r="N391" i="70"/>
  <c r="Q391" i="70" s="1"/>
  <c r="N338" i="70"/>
  <c r="Q338" i="70" s="1"/>
  <c r="N385" i="70"/>
  <c r="Q385" i="70" s="1"/>
  <c r="N344" i="70"/>
  <c r="Q344" i="70" s="1"/>
  <c r="N439" i="70"/>
  <c r="Q439" i="70" s="1"/>
  <c r="N441" i="70"/>
  <c r="Q441" i="70" s="1"/>
  <c r="N431" i="70"/>
  <c r="Q431" i="70" s="1"/>
  <c r="N371" i="70"/>
  <c r="Q371" i="70" s="1"/>
  <c r="N430" i="70"/>
  <c r="Q430" i="70" s="1"/>
  <c r="N519" i="70"/>
  <c r="Q519" i="70" s="1"/>
  <c r="N497" i="70"/>
  <c r="Q497" i="70" s="1"/>
  <c r="N398" i="70"/>
  <c r="Q398" i="70" s="1"/>
  <c r="N337" i="70"/>
  <c r="Q337" i="70" s="1"/>
  <c r="N382" i="70"/>
  <c r="Q382" i="70" s="1"/>
  <c r="N358" i="70"/>
  <c r="Q358" i="70" s="1"/>
  <c r="N328" i="70"/>
  <c r="Q328" i="70" s="1"/>
  <c r="N373" i="70"/>
  <c r="Q373" i="70" s="1"/>
  <c r="N355" i="70"/>
  <c r="Q355" i="70" s="1"/>
  <c r="N421" i="70"/>
  <c r="Q421" i="70" s="1"/>
  <c r="N320" i="70"/>
  <c r="Q320" i="70" s="1"/>
  <c r="N218" i="70"/>
  <c r="Q218" i="70" s="1"/>
  <c r="N182" i="70"/>
  <c r="Q182" i="70" s="1"/>
  <c r="N139" i="70"/>
  <c r="Q139" i="70" s="1"/>
  <c r="N163" i="70"/>
  <c r="Q163" i="70" s="1"/>
  <c r="N151" i="70"/>
  <c r="Q151" i="70" s="1"/>
  <c r="N97" i="70"/>
  <c r="Q97" i="70" s="1"/>
  <c r="N61" i="70"/>
  <c r="Q61" i="70" s="1"/>
  <c r="N53" i="70"/>
  <c r="Q53" i="70" s="1"/>
  <c r="N49" i="70"/>
  <c r="Q49" i="70" s="1"/>
  <c r="N44" i="70"/>
  <c r="Q44" i="70" s="1"/>
  <c r="N35" i="70"/>
  <c r="Q35" i="70" s="1"/>
  <c r="N32" i="70"/>
  <c r="Q32" i="70" s="1"/>
  <c r="N30" i="70"/>
  <c r="Q30" i="70" s="1"/>
  <c r="N25" i="70"/>
  <c r="Q25" i="70" s="1"/>
  <c r="N22" i="70"/>
  <c r="Q22" i="70" s="1"/>
  <c r="N23" i="70"/>
  <c r="Q23" i="70" s="1"/>
  <c r="N21" i="70"/>
  <c r="Q21" i="70" s="1"/>
  <c r="H15" i="70"/>
  <c r="N744" i="140" l="1"/>
  <c r="Q709" i="140"/>
  <c r="R709" i="140" s="1"/>
  <c r="O709" i="140"/>
  <c r="Q662" i="140"/>
  <c r="R662" i="140" s="1"/>
  <c r="Q634" i="140"/>
  <c r="R634" i="140" s="1"/>
  <c r="O720" i="140"/>
  <c r="O645" i="140"/>
  <c r="O668" i="140"/>
  <c r="Q653" i="140"/>
  <c r="R653" i="140" s="1"/>
  <c r="O653" i="140"/>
  <c r="Q641" i="140"/>
  <c r="R641" i="140" s="1"/>
  <c r="O641" i="140"/>
  <c r="Q706" i="140"/>
  <c r="R706" i="140" s="1"/>
  <c r="O704" i="140"/>
  <c r="Q737" i="140"/>
  <c r="R737" i="140" s="1"/>
  <c r="O737" i="140"/>
  <c r="Q655" i="140"/>
  <c r="R655" i="140" s="1"/>
  <c r="O655" i="140"/>
  <c r="Q679" i="140"/>
  <c r="R679" i="140" s="1"/>
  <c r="Q681" i="140"/>
  <c r="R681" i="140" s="1"/>
  <c r="Q616" i="140"/>
  <c r="R616" i="140" s="1"/>
  <c r="Q618" i="140"/>
  <c r="R618" i="140" s="1"/>
  <c r="Q714" i="140"/>
  <c r="R714" i="140" s="1"/>
  <c r="Q627" i="140"/>
  <c r="R627" i="140" s="1"/>
  <c r="Q688" i="140"/>
  <c r="R688" i="140" s="1"/>
  <c r="Q693" i="140"/>
  <c r="R693" i="140" s="1"/>
  <c r="Q270" i="140"/>
  <c r="R270" i="140" s="1"/>
  <c r="O270" i="140"/>
  <c r="Q64" i="140"/>
  <c r="R64" i="140" s="1"/>
  <c r="O64" i="140"/>
  <c r="Q135" i="140"/>
  <c r="R135" i="140" s="1"/>
  <c r="O135" i="140"/>
  <c r="O139" i="140"/>
  <c r="Q139" i="140"/>
  <c r="R139" i="140" s="1"/>
  <c r="O104" i="140"/>
  <c r="Q104" i="140"/>
  <c r="R104" i="140" s="1"/>
  <c r="O337" i="140"/>
  <c r="O241" i="140"/>
  <c r="Q241" i="140"/>
  <c r="R241" i="140" s="1"/>
  <c r="Q101" i="140"/>
  <c r="R101" i="140" s="1"/>
  <c r="O101" i="140"/>
  <c r="Q144" i="140"/>
  <c r="R144" i="140" s="1"/>
  <c r="O144" i="140"/>
  <c r="O220" i="140"/>
  <c r="Q220" i="140"/>
  <c r="R220" i="140" s="1"/>
  <c r="Q264" i="140"/>
  <c r="R264" i="140" s="1"/>
  <c r="O264" i="140"/>
  <c r="Q442" i="140"/>
  <c r="R442" i="140" s="1"/>
  <c r="O442" i="140"/>
  <c r="Q56" i="140"/>
  <c r="R56" i="140" s="1"/>
  <c r="O56" i="140"/>
  <c r="Q575" i="140"/>
  <c r="R575" i="140" s="1"/>
  <c r="O575" i="140"/>
  <c r="Q342" i="140"/>
  <c r="R342" i="140" s="1"/>
  <c r="O342" i="140"/>
  <c r="Q548" i="140"/>
  <c r="R548" i="140" s="1"/>
  <c r="O143" i="140"/>
  <c r="Q145" i="140"/>
  <c r="R145" i="140" s="1"/>
  <c r="O145" i="140"/>
  <c r="O154" i="140"/>
  <c r="Q154" i="140"/>
  <c r="R154" i="140" s="1"/>
  <c r="O210" i="140"/>
  <c r="Q262" i="140"/>
  <c r="R262" i="140" s="1"/>
  <c r="O262" i="140"/>
  <c r="Q531" i="140"/>
  <c r="R531" i="140" s="1"/>
  <c r="O531" i="140"/>
  <c r="O572" i="140"/>
  <c r="Q572" i="140"/>
  <c r="R572" i="140" s="1"/>
  <c r="O112" i="140"/>
  <c r="Q112" i="140"/>
  <c r="R112" i="140" s="1"/>
  <c r="Q503" i="140"/>
  <c r="R503" i="140" s="1"/>
  <c r="O503" i="140"/>
  <c r="O207" i="140"/>
  <c r="Q207" i="140"/>
  <c r="R207" i="140" s="1"/>
  <c r="Q321" i="140"/>
  <c r="R321" i="140" s="1"/>
  <c r="Q300" i="140"/>
  <c r="R300" i="140" s="1"/>
  <c r="O300" i="140"/>
  <c r="O587" i="140"/>
  <c r="Q587" i="140"/>
  <c r="R587" i="140" s="1"/>
  <c r="Q429" i="140"/>
  <c r="R429" i="140" s="1"/>
  <c r="O429" i="140"/>
  <c r="O68" i="140"/>
  <c r="Q68" i="140"/>
  <c r="R68" i="140" s="1"/>
  <c r="O549" i="140"/>
  <c r="Q549" i="140"/>
  <c r="R549" i="140" s="1"/>
  <c r="Q54" i="140"/>
  <c r="R54" i="140" s="1"/>
  <c r="Q100" i="140"/>
  <c r="R100" i="140" s="1"/>
  <c r="Q167" i="140"/>
  <c r="R167" i="140" s="1"/>
  <c r="O315" i="140"/>
  <c r="Q315" i="140"/>
  <c r="R315" i="140" s="1"/>
  <c r="O227" i="140"/>
  <c r="Q227" i="140"/>
  <c r="R227" i="140" s="1"/>
  <c r="O462" i="140"/>
  <c r="Q462" i="140"/>
  <c r="R462" i="140" s="1"/>
  <c r="Q557" i="140"/>
  <c r="R557" i="140" s="1"/>
  <c r="O557" i="140"/>
  <c r="O73" i="140"/>
  <c r="Q73" i="140"/>
  <c r="R73" i="140" s="1"/>
  <c r="O209" i="140"/>
  <c r="Q209" i="140"/>
  <c r="R209" i="140" s="1"/>
  <c r="Q113" i="140"/>
  <c r="R113" i="140" s="1"/>
  <c r="Q521" i="140"/>
  <c r="R521" i="140" s="1"/>
  <c r="O521" i="140"/>
  <c r="Q345" i="140"/>
  <c r="R345" i="140" s="1"/>
  <c r="O345" i="140"/>
  <c r="Q48" i="140"/>
  <c r="R48" i="140" s="1"/>
  <c r="O471" i="140"/>
  <c r="Q471" i="140"/>
  <c r="R471" i="140" s="1"/>
  <c r="O476" i="140"/>
  <c r="Q476" i="140"/>
  <c r="R476" i="140" s="1"/>
  <c r="O533" i="140"/>
  <c r="Q533" i="140"/>
  <c r="R533" i="140" s="1"/>
  <c r="O222" i="140"/>
  <c r="Q222" i="140"/>
  <c r="R222" i="140" s="1"/>
  <c r="Q539" i="140"/>
  <c r="R539" i="140" s="1"/>
  <c r="O539" i="140"/>
  <c r="O287" i="140"/>
  <c r="Q287" i="140"/>
  <c r="R287" i="140" s="1"/>
  <c r="Q381" i="140"/>
  <c r="R381" i="140" s="1"/>
  <c r="O381" i="140"/>
  <c r="O558" i="140"/>
  <c r="Q558" i="140"/>
  <c r="R558" i="140" s="1"/>
  <c r="O320" i="140"/>
  <c r="Q320" i="140"/>
  <c r="R320" i="140" s="1"/>
  <c r="O577" i="140"/>
  <c r="Q577" i="140"/>
  <c r="R577" i="140" s="1"/>
  <c r="Q495" i="140"/>
  <c r="R495" i="140" s="1"/>
  <c r="O495" i="140"/>
  <c r="O432" i="140"/>
  <c r="Q432" i="140"/>
  <c r="R432" i="140" s="1"/>
  <c r="Q313" i="140"/>
  <c r="R313" i="140" s="1"/>
  <c r="O313" i="140"/>
  <c r="Q532" i="140"/>
  <c r="R532" i="140" s="1"/>
  <c r="O532" i="140"/>
  <c r="Q568" i="140"/>
  <c r="R568" i="140" s="1"/>
  <c r="O568" i="140"/>
  <c r="O180" i="140"/>
  <c r="Q180" i="140"/>
  <c r="R180" i="140" s="1"/>
  <c r="O505" i="140"/>
  <c r="Q505" i="140"/>
  <c r="R505" i="140" s="1"/>
  <c r="Q118" i="140"/>
  <c r="R118" i="140" s="1"/>
  <c r="Q131" i="140"/>
  <c r="R131" i="140" s="1"/>
  <c r="O469" i="140"/>
  <c r="Q469" i="140"/>
  <c r="R469" i="140" s="1"/>
  <c r="O580" i="140"/>
  <c r="Q580" i="140"/>
  <c r="R580" i="140" s="1"/>
  <c r="Q428" i="140"/>
  <c r="R428" i="140" s="1"/>
  <c r="O428" i="140"/>
  <c r="Q255" i="140"/>
  <c r="R255" i="140" s="1"/>
  <c r="O255" i="140"/>
  <c r="Q538" i="140"/>
  <c r="R538" i="140" s="1"/>
  <c r="O538" i="140"/>
  <c r="O185" i="140"/>
  <c r="Q185" i="140"/>
  <c r="R185" i="140" s="1"/>
  <c r="O477" i="140"/>
  <c r="Q477" i="140"/>
  <c r="R477" i="140" s="1"/>
  <c r="Q527" i="140"/>
  <c r="R527" i="140" s="1"/>
  <c r="O527" i="140"/>
  <c r="O133" i="140"/>
  <c r="Q133" i="140"/>
  <c r="R133" i="140" s="1"/>
  <c r="Q435" i="140"/>
  <c r="R435" i="140" s="1"/>
  <c r="O435" i="140"/>
  <c r="Q89" i="140"/>
  <c r="R89" i="140" s="1"/>
  <c r="O89" i="140"/>
  <c r="Q43" i="140"/>
  <c r="R43" i="140" s="1"/>
  <c r="O43" i="140"/>
  <c r="O182" i="140"/>
  <c r="R182" i="140"/>
  <c r="O269" i="140"/>
  <c r="Q269" i="140"/>
  <c r="R269" i="140" s="1"/>
  <c r="O535" i="140"/>
  <c r="Q535" i="140"/>
  <c r="R535" i="140" s="1"/>
  <c r="Q158" i="140"/>
  <c r="R158" i="140" s="1"/>
  <c r="O228" i="140"/>
  <c r="O490" i="140"/>
  <c r="Q490" i="140"/>
  <c r="R490" i="140" s="1"/>
  <c r="Q280" i="140"/>
  <c r="R280" i="140" s="1"/>
  <c r="O280" i="140"/>
  <c r="O553" i="140"/>
  <c r="Q553" i="140"/>
  <c r="R553" i="140" s="1"/>
  <c r="O240" i="140"/>
  <c r="Q240" i="140"/>
  <c r="R240" i="140" s="1"/>
  <c r="O363" i="140"/>
  <c r="Q363" i="140"/>
  <c r="R363" i="140" s="1"/>
  <c r="O187" i="140"/>
  <c r="Q187" i="140"/>
  <c r="R187" i="140" s="1"/>
  <c r="Q514" i="140"/>
  <c r="R514" i="140" s="1"/>
  <c r="O514" i="140"/>
  <c r="Q80" i="140"/>
  <c r="R80" i="140" s="1"/>
  <c r="O80" i="140"/>
  <c r="O478" i="140"/>
  <c r="Q478" i="140"/>
  <c r="R478" i="140" s="1"/>
  <c r="O93" i="140"/>
  <c r="Q93" i="140"/>
  <c r="R93" i="140" s="1"/>
  <c r="O544" i="140"/>
  <c r="Q544" i="140"/>
  <c r="R544" i="140" s="1"/>
  <c r="O149" i="140"/>
  <c r="Q149" i="140"/>
  <c r="R149" i="140" s="1"/>
  <c r="O272" i="140"/>
  <c r="Q272" i="140"/>
  <c r="R272" i="140" s="1"/>
  <c r="O242" i="140"/>
  <c r="Q242" i="140"/>
  <c r="R242" i="140" s="1"/>
  <c r="O331" i="140"/>
  <c r="Q331" i="140"/>
  <c r="R331" i="140" s="1"/>
  <c r="Q473" i="140"/>
  <c r="R473" i="140" s="1"/>
  <c r="O473" i="140"/>
  <c r="O507" i="140"/>
  <c r="Q507" i="140"/>
  <c r="R507" i="140" s="1"/>
  <c r="O472" i="140"/>
  <c r="Q472" i="140"/>
  <c r="R472" i="140" s="1"/>
  <c r="Q555" i="140"/>
  <c r="R555" i="140" s="1"/>
  <c r="O555" i="140"/>
  <c r="O233" i="140"/>
  <c r="Q233" i="140"/>
  <c r="R233" i="140" s="1"/>
  <c r="Q517" i="140"/>
  <c r="R517" i="140" s="1"/>
  <c r="O517" i="140"/>
  <c r="O502" i="140"/>
  <c r="Q502" i="140"/>
  <c r="R502" i="140" s="1"/>
  <c r="O69" i="140"/>
  <c r="Q69" i="140"/>
  <c r="R69" i="140" s="1"/>
  <c r="O481" i="140"/>
  <c r="Q481" i="140"/>
  <c r="R481" i="140" s="1"/>
  <c r="O316" i="140"/>
  <c r="Q316" i="140"/>
  <c r="R316" i="140" s="1"/>
  <c r="O161" i="140"/>
  <c r="Q161" i="140"/>
  <c r="R161" i="140" s="1"/>
  <c r="Q310" i="140"/>
  <c r="R310" i="140" s="1"/>
  <c r="O310" i="140"/>
  <c r="O378" i="140"/>
  <c r="Q378" i="140"/>
  <c r="R378" i="140" s="1"/>
  <c r="Q455" i="140"/>
  <c r="R455" i="140" s="1"/>
  <c r="O455" i="140"/>
  <c r="Q550" i="140"/>
  <c r="R550" i="140" s="1"/>
  <c r="O550" i="140"/>
  <c r="Q574" i="140"/>
  <c r="R574" i="140" s="1"/>
  <c r="O574" i="140"/>
  <c r="Q448" i="140"/>
  <c r="R448" i="140" s="1"/>
  <c r="Q360" i="140"/>
  <c r="R360" i="140" s="1"/>
  <c r="O360" i="140"/>
  <c r="Q530" i="140"/>
  <c r="R530" i="140" s="1"/>
  <c r="O530" i="140"/>
  <c r="O92" i="140"/>
  <c r="Q92" i="140"/>
  <c r="R92" i="140" s="1"/>
  <c r="Q405" i="140"/>
  <c r="R405" i="140" s="1"/>
  <c r="O405" i="140"/>
  <c r="Q556" i="140"/>
  <c r="R556" i="140" s="1"/>
  <c r="O556" i="140"/>
  <c r="O248" i="140"/>
  <c r="Q248" i="140"/>
  <c r="R248" i="140" s="1"/>
  <c r="Q562" i="140"/>
  <c r="R562" i="140" s="1"/>
  <c r="O562" i="140"/>
  <c r="Q147" i="140"/>
  <c r="R147" i="140" s="1"/>
  <c r="O147" i="140"/>
  <c r="Q63" i="140"/>
  <c r="R63" i="140" s="1"/>
  <c r="Q77" i="140"/>
  <c r="R77" i="140" s="1"/>
  <c r="Q369" i="140"/>
  <c r="R369" i="140" s="1"/>
  <c r="N588" i="140"/>
  <c r="O223" i="140"/>
  <c r="Q223" i="140"/>
  <c r="R223" i="140" s="1"/>
  <c r="Q571" i="140"/>
  <c r="R571" i="140" s="1"/>
  <c r="O571" i="140"/>
  <c r="O377" i="140"/>
  <c r="Q377" i="140"/>
  <c r="R377" i="140" s="1"/>
  <c r="O559" i="140"/>
  <c r="Q559" i="140"/>
  <c r="R559" i="140" s="1"/>
  <c r="Q136" i="140"/>
  <c r="R136" i="140" s="1"/>
  <c r="O136" i="140"/>
  <c r="O412" i="140"/>
  <c r="Q412" i="140"/>
  <c r="R412" i="140" s="1"/>
  <c r="Q151" i="140"/>
  <c r="R151" i="140" s="1"/>
  <c r="O151" i="140"/>
  <c r="Q235" i="140"/>
  <c r="R235" i="140" s="1"/>
  <c r="O235" i="140"/>
  <c r="Q367" i="140"/>
  <c r="R367" i="140" s="1"/>
  <c r="O367" i="140"/>
  <c r="O525" i="140"/>
  <c r="Q525" i="140"/>
  <c r="R525" i="140" s="1"/>
  <c r="O283" i="140"/>
  <c r="Q283" i="140"/>
  <c r="R283" i="140" s="1"/>
  <c r="O46" i="140"/>
  <c r="Q46" i="140"/>
  <c r="R46" i="140" s="1"/>
  <c r="O493" i="140"/>
  <c r="Q493" i="140"/>
  <c r="R493" i="140" s="1"/>
  <c r="O510" i="140"/>
  <c r="Q510" i="140"/>
  <c r="R510" i="140" s="1"/>
  <c r="Q410" i="140"/>
  <c r="R410" i="140" s="1"/>
  <c r="O410" i="140"/>
  <c r="O409" i="140"/>
  <c r="Q409" i="140"/>
  <c r="R409" i="140" s="1"/>
  <c r="O496" i="140"/>
  <c r="Q496" i="140"/>
  <c r="R496" i="140" s="1"/>
  <c r="Q274" i="140"/>
  <c r="R274" i="140" s="1"/>
  <c r="O274" i="140"/>
  <c r="O317" i="140"/>
  <c r="Q317" i="140"/>
  <c r="R317" i="140" s="1"/>
  <c r="O123" i="140"/>
  <c r="Q123" i="140"/>
  <c r="R123" i="140" s="1"/>
  <c r="O430" i="140"/>
  <c r="Q430" i="140"/>
  <c r="R430" i="140" s="1"/>
  <c r="O277" i="140"/>
  <c r="Q277" i="140"/>
  <c r="R277" i="140" s="1"/>
  <c r="Q334" i="140"/>
  <c r="R334" i="140" s="1"/>
  <c r="O334" i="140"/>
  <c r="O466" i="140"/>
  <c r="Q466" i="140"/>
  <c r="R466" i="140" s="1"/>
  <c r="Q479" i="140"/>
  <c r="R479" i="140" s="1"/>
  <c r="O479" i="140"/>
  <c r="O79" i="140"/>
  <c r="Q79" i="140"/>
  <c r="R79" i="140" s="1"/>
  <c r="O61" i="140"/>
  <c r="Q61" i="140"/>
  <c r="R61" i="140" s="1"/>
  <c r="O62" i="140"/>
  <c r="Q62" i="140"/>
  <c r="R62" i="140" s="1"/>
  <c r="N44" i="129"/>
  <c r="Q172" i="70"/>
  <c r="N544" i="70"/>
  <c r="Q544" i="70" s="1"/>
  <c r="Q617" i="140"/>
  <c r="R617" i="140" s="1"/>
  <c r="O631" i="140"/>
  <c r="Q631" i="140"/>
  <c r="R631" i="140" s="1"/>
  <c r="Q624" i="140"/>
  <c r="R624" i="140" s="1"/>
  <c r="O635" i="140"/>
  <c r="Q635" i="140"/>
  <c r="R635" i="140" s="1"/>
  <c r="R610" i="140"/>
  <c r="Q388" i="140"/>
  <c r="R388" i="140" s="1"/>
  <c r="Q387" i="140"/>
  <c r="R387" i="140" s="1"/>
  <c r="O387" i="140"/>
  <c r="Q391" i="140"/>
  <c r="R391" i="140" s="1"/>
  <c r="O391" i="140"/>
  <c r="O390" i="140"/>
  <c r="Q390" i="140"/>
  <c r="Q400" i="140"/>
  <c r="R400" i="140" s="1"/>
  <c r="O400" i="140"/>
  <c r="O399" i="140"/>
  <c r="Q399" i="140"/>
  <c r="R399" i="140" s="1"/>
  <c r="O385" i="140"/>
  <c r="Q385" i="140"/>
  <c r="R385" i="140" s="1"/>
  <c r="O403" i="140"/>
  <c r="Q403" i="140"/>
  <c r="R403" i="140" s="1"/>
  <c r="O394" i="140"/>
  <c r="Q394" i="140"/>
  <c r="R394" i="140" s="1"/>
  <c r="O351" i="140"/>
  <c r="Q352" i="140"/>
  <c r="R352" i="140" s="1"/>
  <c r="O352" i="140"/>
  <c r="Q202" i="140"/>
  <c r="R202" i="140" s="1"/>
  <c r="O195" i="140"/>
  <c r="Q195" i="140"/>
  <c r="R195" i="140" s="1"/>
  <c r="O194" i="140"/>
  <c r="Q194" i="140"/>
  <c r="R194" i="140" s="1"/>
  <c r="Q201" i="140"/>
  <c r="R201" i="140" s="1"/>
  <c r="O201" i="140"/>
  <c r="R127" i="140"/>
  <c r="S544" i="70"/>
  <c r="O197" i="140"/>
  <c r="Q197" i="140"/>
  <c r="R197" i="140" s="1"/>
  <c r="O350" i="140"/>
  <c r="Q350" i="140"/>
  <c r="R350" i="140" s="1"/>
  <c r="O349" i="140"/>
  <c r="Q349" i="140"/>
  <c r="R349" i="140" s="1"/>
  <c r="Q392" i="140"/>
  <c r="R392" i="140" s="1"/>
  <c r="O392" i="140"/>
  <c r="O370" i="140"/>
  <c r="Q370" i="140"/>
  <c r="R370" i="140" s="1"/>
  <c r="O487" i="140"/>
  <c r="Q487" i="140"/>
  <c r="R487" i="140" s="1"/>
  <c r="O296" i="140"/>
  <c r="Q296" i="140"/>
  <c r="R296" i="140" s="1"/>
  <c r="O291" i="140"/>
  <c r="Q291" i="140"/>
  <c r="R291" i="140" s="1"/>
  <c r="Q459" i="140"/>
  <c r="R459" i="140" s="1"/>
  <c r="O459" i="140"/>
  <c r="O148" i="140"/>
  <c r="Q148" i="140"/>
  <c r="R148" i="140" s="1"/>
  <c r="Q470" i="140"/>
  <c r="R470" i="140" s="1"/>
  <c r="O470" i="140"/>
  <c r="O475" i="140"/>
  <c r="Q475" i="140"/>
  <c r="R475" i="140" s="1"/>
  <c r="O246" i="140"/>
  <c r="Q246" i="140"/>
  <c r="R246" i="140" s="1"/>
  <c r="O305" i="140"/>
  <c r="Q305" i="140"/>
  <c r="R305" i="140" s="1"/>
  <c r="O332" i="140"/>
  <c r="Q332" i="140"/>
  <c r="R332" i="140" s="1"/>
  <c r="O239" i="140"/>
  <c r="Q239" i="140"/>
  <c r="R239" i="140" s="1"/>
  <c r="Q482" i="140"/>
  <c r="R482" i="140" s="1"/>
  <c r="O482" i="140"/>
  <c r="O565" i="140"/>
  <c r="Q565" i="140"/>
  <c r="R565" i="140" s="1"/>
  <c r="O443" i="140"/>
  <c r="Q443" i="140"/>
  <c r="R443" i="140" s="1"/>
  <c r="O290" i="140"/>
  <c r="Q290" i="140"/>
  <c r="R290" i="140" s="1"/>
  <c r="O301" i="140"/>
  <c r="Q301" i="140"/>
  <c r="R301" i="140" s="1"/>
  <c r="O179" i="140"/>
  <c r="Q179" i="140"/>
  <c r="R179" i="140" s="1"/>
  <c r="O188" i="140"/>
  <c r="Q188" i="140"/>
  <c r="R188" i="140" s="1"/>
  <c r="O570" i="140"/>
  <c r="Q570" i="140"/>
  <c r="R570" i="140" s="1"/>
  <c r="O173" i="140"/>
  <c r="Q173" i="140"/>
  <c r="R173" i="140" s="1"/>
  <c r="O281" i="140"/>
  <c r="Q281" i="140"/>
  <c r="R281" i="140" s="1"/>
  <c r="O389" i="140"/>
  <c r="Q389" i="140"/>
  <c r="R389" i="140" s="1"/>
  <c r="O323" i="140"/>
  <c r="Q323" i="140"/>
  <c r="R323" i="140" s="1"/>
  <c r="Q506" i="140"/>
  <c r="R506" i="140" s="1"/>
  <c r="O506" i="140"/>
  <c r="Q219" i="140"/>
  <c r="R219" i="140" s="1"/>
  <c r="O219" i="140"/>
  <c r="O425" i="140"/>
  <c r="Q425" i="140"/>
  <c r="R425" i="140" s="1"/>
  <c r="O413" i="140"/>
  <c r="Q413" i="140"/>
  <c r="R413" i="140" s="1"/>
  <c r="O212" i="140"/>
  <c r="Q212" i="140"/>
  <c r="R212" i="140" s="1"/>
  <c r="O183" i="140"/>
  <c r="R183" i="140"/>
  <c r="O286" i="140"/>
  <c r="Q286" i="140"/>
  <c r="R286" i="140" s="1"/>
  <c r="O164" i="140"/>
  <c r="Q164" i="140"/>
  <c r="R164" i="140" s="1"/>
  <c r="O319" i="140"/>
  <c r="Q319" i="140"/>
  <c r="R319" i="140" s="1"/>
  <c r="Q408" i="140"/>
  <c r="R408" i="140" s="1"/>
  <c r="O408" i="140"/>
  <c r="O461" i="140"/>
  <c r="Q461" i="140"/>
  <c r="R461" i="140" s="1"/>
  <c r="O499" i="140"/>
  <c r="Q499" i="140"/>
  <c r="R499" i="140" s="1"/>
  <c r="O450" i="140"/>
  <c r="Q450" i="140"/>
  <c r="R450" i="140" s="1"/>
  <c r="O547" i="140"/>
  <c r="Q547" i="140"/>
  <c r="R547" i="140" s="1"/>
  <c r="O542" i="140"/>
  <c r="Q542" i="140"/>
  <c r="R542" i="140" s="1"/>
  <c r="O137" i="140"/>
  <c r="Q137" i="140"/>
  <c r="R137" i="140" s="1"/>
  <c r="Q552" i="140"/>
  <c r="R552" i="140" s="1"/>
  <c r="O552" i="140"/>
  <c r="O292" i="140"/>
  <c r="Q292" i="140"/>
  <c r="R292" i="140" s="1"/>
  <c r="O178" i="140"/>
  <c r="Q178" i="140"/>
  <c r="R178" i="140" s="1"/>
  <c r="Q214" i="140"/>
  <c r="R214" i="140" s="1"/>
  <c r="O214" i="140"/>
  <c r="Q516" i="140"/>
  <c r="R516" i="140" s="1"/>
  <c r="O516" i="140"/>
  <c r="O259" i="140"/>
  <c r="Q259" i="140"/>
  <c r="R259" i="140" s="1"/>
  <c r="O368" i="140"/>
  <c r="Q368" i="140"/>
  <c r="R368" i="140" s="1"/>
  <c r="Q494" i="140"/>
  <c r="R494" i="140" s="1"/>
  <c r="O494" i="140"/>
  <c r="O72" i="140"/>
  <c r="Q72" i="140"/>
  <c r="R72" i="140" s="1"/>
  <c r="O90" i="140"/>
  <c r="Q90" i="140"/>
  <c r="R90" i="140" s="1"/>
  <c r="O126" i="140"/>
  <c r="Q126" i="140"/>
  <c r="R126" i="140" s="1"/>
  <c r="Q22" i="140"/>
  <c r="R22" i="140" s="1"/>
  <c r="O22" i="140"/>
  <c r="I544" i="70"/>
  <c r="H551" i="70"/>
  <c r="R544" i="70" l="1"/>
  <c r="Q15" i="70"/>
  <c r="R390" i="140"/>
  <c r="Q588" i="140"/>
  <c r="Q744" i="140"/>
  <c r="S744" i="140"/>
  <c r="O744" i="140"/>
  <c r="H237" i="142"/>
  <c r="R238" i="142" l="1"/>
  <c r="R237" i="142"/>
  <c r="AC243" i="142"/>
  <c r="AH243" i="142" s="1"/>
  <c r="Z243" i="142"/>
  <c r="R243" i="142"/>
  <c r="AC237" i="142"/>
  <c r="AH237" i="142" s="1"/>
  <c r="Z237" i="142"/>
  <c r="S227" i="142"/>
  <c r="P227" i="142"/>
  <c r="AK226" i="142"/>
  <c r="AI226" i="142"/>
  <c r="AF226" i="142"/>
  <c r="AK225" i="142"/>
  <c r="AI225" i="142"/>
  <c r="AF225" i="142"/>
  <c r="AK224" i="142"/>
  <c r="AI224" i="142"/>
  <c r="AF224" i="142"/>
  <c r="AK223" i="142"/>
  <c r="AI223" i="142"/>
  <c r="AF223" i="142"/>
  <c r="G223" i="142"/>
  <c r="J223" i="142" s="1"/>
  <c r="AK222" i="142"/>
  <c r="AF222" i="142"/>
  <c r="H203" i="142"/>
  <c r="R203" i="142" s="1"/>
  <c r="H202" i="142"/>
  <c r="R202" i="142" s="1"/>
  <c r="H201" i="142"/>
  <c r="R201" i="142" s="1"/>
  <c r="H199" i="142"/>
  <c r="R199" i="142" s="1"/>
  <c r="H198" i="142"/>
  <c r="R198" i="142" s="1"/>
  <c r="H197" i="142"/>
  <c r="R197" i="142" s="1"/>
  <c r="H195" i="142"/>
  <c r="R195" i="142" s="1"/>
  <c r="T199" i="142"/>
  <c r="T198" i="142"/>
  <c r="T195" i="142"/>
  <c r="W60" i="142"/>
  <c r="K58" i="142"/>
  <c r="C58" i="142"/>
  <c r="H52" i="142"/>
  <c r="G52" i="142"/>
  <c r="H51" i="142"/>
  <c r="G51" i="142"/>
  <c r="W50" i="142"/>
  <c r="H50" i="142"/>
  <c r="G50" i="142"/>
  <c r="W49" i="142"/>
  <c r="H49" i="142"/>
  <c r="G49" i="142"/>
  <c r="W39" i="142"/>
  <c r="W38" i="142"/>
  <c r="N35" i="142"/>
  <c r="N30" i="142"/>
  <c r="N29" i="142"/>
  <c r="P27" i="142"/>
  <c r="N27" i="142"/>
  <c r="P26" i="142"/>
  <c r="N26" i="142"/>
  <c r="P25" i="142"/>
  <c r="N25" i="142"/>
  <c r="M22" i="142"/>
  <c r="M20" i="142"/>
  <c r="AE18" i="142"/>
  <c r="M18" i="142"/>
  <c r="N9" i="142"/>
  <c r="N8" i="142"/>
  <c r="N7" i="142"/>
  <c r="Z195" i="142" l="1"/>
  <c r="Z199" i="142"/>
  <c r="Z198" i="142"/>
  <c r="G224" i="142"/>
  <c r="J224" i="142" s="1"/>
  <c r="G225" i="142" s="1"/>
  <c r="H205" i="142"/>
  <c r="R205" i="142" s="1"/>
  <c r="AK227" i="142"/>
  <c r="AI227" i="142"/>
  <c r="W43" i="142"/>
  <c r="H213" i="142" s="1"/>
  <c r="AJ237" i="142"/>
  <c r="AL237" i="142" s="1"/>
  <c r="AF227" i="142"/>
  <c r="AJ243" i="142"/>
  <c r="AL243" i="142" s="1"/>
  <c r="AC195" i="142"/>
  <c r="AC198" i="142"/>
  <c r="AC199" i="142"/>
  <c r="H206" i="142"/>
  <c r="R206" i="142" s="1"/>
  <c r="H207" i="142"/>
  <c r="R207" i="142" s="1"/>
  <c r="K226" i="131"/>
  <c r="M226" i="131"/>
  <c r="N226" i="131" s="1"/>
  <c r="Q226" i="131" s="1"/>
  <c r="M193" i="131"/>
  <c r="N193" i="131" s="1"/>
  <c r="M7" i="136"/>
  <c r="B10" i="140"/>
  <c r="B8" i="131"/>
  <c r="B179" i="131"/>
  <c r="B8" i="129"/>
  <c r="B57" i="129" s="1"/>
  <c r="C14" i="125"/>
  <c r="B6" i="125"/>
  <c r="J225" i="142" l="1"/>
  <c r="G226" i="142" s="1"/>
  <c r="J226" i="142" s="1"/>
  <c r="AJ213" i="142"/>
  <c r="AL213" i="142" s="1"/>
  <c r="R213" i="142"/>
  <c r="Z238" i="142"/>
  <c r="R214" i="142"/>
  <c r="AF228" i="142"/>
  <c r="Z213" i="142"/>
  <c r="AH213" i="142"/>
  <c r="AH195" i="142"/>
  <c r="AJ195" i="142"/>
  <c r="AL195" i="142" s="1"/>
  <c r="AH199" i="142"/>
  <c r="AJ199" i="142"/>
  <c r="AL199" i="142" s="1"/>
  <c r="AJ198" i="142"/>
  <c r="AL198" i="142" s="1"/>
  <c r="AH198" i="142"/>
  <c r="F220" i="131"/>
  <c r="N220" i="131" s="1"/>
  <c r="M220" i="131"/>
  <c r="AC238" i="142" l="1"/>
  <c r="AJ238" i="142" s="1"/>
  <c r="AH238" i="142" l="1"/>
  <c r="AL238" i="142"/>
  <c r="C89" i="125"/>
  <c r="D89" i="125"/>
  <c r="E89" i="125" s="1"/>
  <c r="AR183" i="136" l="1"/>
  <c r="D90" i="125" l="1"/>
  <c r="D88" i="125"/>
  <c r="C90" i="125" l="1"/>
  <c r="E90" i="125" s="1"/>
  <c r="C88" i="125"/>
  <c r="E88" i="125" s="1"/>
  <c r="E52" i="125"/>
  <c r="F50" i="125"/>
  <c r="H50" i="125" s="1"/>
  <c r="J50" i="125" s="1"/>
  <c r="M919" i="140"/>
  <c r="N919" i="140" s="1"/>
  <c r="K919" i="140"/>
  <c r="H919" i="140"/>
  <c r="M918" i="140"/>
  <c r="P918" i="140" s="1"/>
  <c r="K918" i="140"/>
  <c r="H918" i="140"/>
  <c r="M916" i="140"/>
  <c r="K916" i="140"/>
  <c r="H916" i="140"/>
  <c r="M913" i="140"/>
  <c r="P913" i="140" s="1"/>
  <c r="K913" i="140"/>
  <c r="H913" i="140"/>
  <c r="M912" i="140"/>
  <c r="P912" i="140" s="1"/>
  <c r="K912" i="140"/>
  <c r="H912" i="140"/>
  <c r="M911" i="140"/>
  <c r="P911" i="140" s="1"/>
  <c r="K911" i="140"/>
  <c r="H911" i="140"/>
  <c r="M909" i="140"/>
  <c r="K909" i="140"/>
  <c r="H909" i="140"/>
  <c r="M908" i="140"/>
  <c r="P908" i="140" s="1"/>
  <c r="K908" i="140"/>
  <c r="H908" i="140"/>
  <c r="M907" i="140"/>
  <c r="P907" i="140" s="1"/>
  <c r="K907" i="140"/>
  <c r="H907" i="140"/>
  <c r="M905" i="140"/>
  <c r="P905" i="140" s="1"/>
  <c r="K905" i="140"/>
  <c r="H905" i="140"/>
  <c r="M904" i="140"/>
  <c r="N904" i="140" s="1"/>
  <c r="K904" i="140"/>
  <c r="H904" i="140"/>
  <c r="M902" i="140"/>
  <c r="P902" i="140" s="1"/>
  <c r="K902" i="140"/>
  <c r="H902" i="140"/>
  <c r="M901" i="140"/>
  <c r="N901" i="140" s="1"/>
  <c r="K901" i="140"/>
  <c r="H901" i="140"/>
  <c r="M898" i="140"/>
  <c r="P898" i="140" s="1"/>
  <c r="K898" i="140"/>
  <c r="H898" i="140"/>
  <c r="M895" i="140"/>
  <c r="P895" i="140" s="1"/>
  <c r="K895" i="140"/>
  <c r="H895" i="140"/>
  <c r="M894" i="140"/>
  <c r="P894" i="140" s="1"/>
  <c r="K894" i="140"/>
  <c r="H894" i="140"/>
  <c r="M890" i="140"/>
  <c r="P890" i="140" s="1"/>
  <c r="K890" i="140"/>
  <c r="H890" i="140"/>
  <c r="M888" i="140"/>
  <c r="P888" i="140" s="1"/>
  <c r="K888" i="140"/>
  <c r="H888" i="140"/>
  <c r="M887" i="140"/>
  <c r="K887" i="140"/>
  <c r="H887" i="140"/>
  <c r="M885" i="140"/>
  <c r="P885" i="140" s="1"/>
  <c r="K885" i="140"/>
  <c r="H885" i="140"/>
  <c r="M884" i="140"/>
  <c r="P884" i="140" s="1"/>
  <c r="K884" i="140"/>
  <c r="H884" i="140"/>
  <c r="M883" i="140"/>
  <c r="P883" i="140" s="1"/>
  <c r="K883" i="140"/>
  <c r="H883" i="140"/>
  <c r="M882" i="140"/>
  <c r="P882" i="140" s="1"/>
  <c r="K882" i="140"/>
  <c r="H882" i="140"/>
  <c r="M881" i="140"/>
  <c r="P881" i="140" s="1"/>
  <c r="K881" i="140"/>
  <c r="H881" i="140"/>
  <c r="M880" i="140"/>
  <c r="N880" i="140" s="1"/>
  <c r="K880" i="140"/>
  <c r="H880" i="140"/>
  <c r="M879" i="140"/>
  <c r="N879" i="140" s="1"/>
  <c r="K879" i="140"/>
  <c r="H879" i="140"/>
  <c r="M878" i="140"/>
  <c r="P878" i="140" s="1"/>
  <c r="K878" i="140"/>
  <c r="H878" i="140"/>
  <c r="M877" i="140"/>
  <c r="P877" i="140" s="1"/>
  <c r="K877" i="140"/>
  <c r="H877" i="140"/>
  <c r="M876" i="140"/>
  <c r="P876" i="140" s="1"/>
  <c r="K876" i="140"/>
  <c r="H876" i="140"/>
  <c r="M875" i="140"/>
  <c r="P875" i="140" s="1"/>
  <c r="K875" i="140"/>
  <c r="H875" i="140"/>
  <c r="M874" i="140"/>
  <c r="P874" i="140" s="1"/>
  <c r="K874" i="140"/>
  <c r="H874" i="140"/>
  <c r="M873" i="140"/>
  <c r="P873" i="140" s="1"/>
  <c r="K873" i="140"/>
  <c r="H873" i="140"/>
  <c r="M871" i="140"/>
  <c r="P871" i="140" s="1"/>
  <c r="K871" i="140"/>
  <c r="H871" i="140"/>
  <c r="M870" i="140"/>
  <c r="P870" i="140" s="1"/>
  <c r="K870" i="140"/>
  <c r="H870" i="140"/>
  <c r="M869" i="140"/>
  <c r="P869" i="140" s="1"/>
  <c r="K869" i="140"/>
  <c r="H869" i="140"/>
  <c r="M868" i="140"/>
  <c r="P868" i="140" s="1"/>
  <c r="K868" i="140"/>
  <c r="H868" i="140"/>
  <c r="M866" i="140"/>
  <c r="K866" i="140"/>
  <c r="H866" i="140"/>
  <c r="M865" i="140"/>
  <c r="P865" i="140" s="1"/>
  <c r="K865" i="140"/>
  <c r="H865" i="140"/>
  <c r="M864" i="140"/>
  <c r="P864" i="140" s="1"/>
  <c r="K864" i="140"/>
  <c r="H864" i="140"/>
  <c r="M863" i="140"/>
  <c r="P863" i="140" s="1"/>
  <c r="K863" i="140"/>
  <c r="H863" i="140"/>
  <c r="M862" i="140"/>
  <c r="N862" i="140" s="1"/>
  <c r="K862" i="140"/>
  <c r="H862" i="140"/>
  <c r="M860" i="140"/>
  <c r="P860" i="140" s="1"/>
  <c r="K860" i="140"/>
  <c r="H860" i="140"/>
  <c r="M859" i="140"/>
  <c r="P859" i="140" s="1"/>
  <c r="K859" i="140"/>
  <c r="H859" i="140"/>
  <c r="M858" i="140"/>
  <c r="K858" i="140"/>
  <c r="H858" i="140"/>
  <c r="M857" i="140"/>
  <c r="N857" i="140" s="1"/>
  <c r="K857" i="140"/>
  <c r="H857" i="140"/>
  <c r="M856" i="140"/>
  <c r="P856" i="140" s="1"/>
  <c r="K856" i="140"/>
  <c r="H856" i="140"/>
  <c r="M855" i="140"/>
  <c r="P855" i="140" s="1"/>
  <c r="K855" i="140"/>
  <c r="H855" i="140"/>
  <c r="M854" i="140"/>
  <c r="P854" i="140" s="1"/>
  <c r="K854" i="140"/>
  <c r="H854" i="140"/>
  <c r="M853" i="140"/>
  <c r="N853" i="140" s="1"/>
  <c r="K853" i="140"/>
  <c r="H853" i="140"/>
  <c r="M852" i="140"/>
  <c r="P852" i="140" s="1"/>
  <c r="K852" i="140"/>
  <c r="H852" i="140"/>
  <c r="M851" i="140"/>
  <c r="P851" i="140" s="1"/>
  <c r="K851" i="140"/>
  <c r="H851" i="140"/>
  <c r="M850" i="140"/>
  <c r="P850" i="140" s="1"/>
  <c r="K850" i="140"/>
  <c r="H850" i="140"/>
  <c r="M848" i="140"/>
  <c r="P848" i="140" s="1"/>
  <c r="K848" i="140"/>
  <c r="H848" i="140"/>
  <c r="M847" i="140"/>
  <c r="P847" i="140" s="1"/>
  <c r="K847" i="140"/>
  <c r="H847" i="140"/>
  <c r="M846" i="140"/>
  <c r="P846" i="140" s="1"/>
  <c r="K846" i="140"/>
  <c r="H846" i="140"/>
  <c r="M845" i="140"/>
  <c r="P845" i="140" s="1"/>
  <c r="K845" i="140"/>
  <c r="H845" i="140"/>
  <c r="M844" i="140"/>
  <c r="P844" i="140" s="1"/>
  <c r="K844" i="140"/>
  <c r="H844" i="140"/>
  <c r="M841" i="140"/>
  <c r="P841" i="140" s="1"/>
  <c r="K841" i="140"/>
  <c r="H841" i="140"/>
  <c r="M840" i="140"/>
  <c r="P840" i="140" s="1"/>
  <c r="K840" i="140"/>
  <c r="H840" i="140"/>
  <c r="M838" i="140"/>
  <c r="P838" i="140" s="1"/>
  <c r="K838" i="140"/>
  <c r="H838" i="140"/>
  <c r="M837" i="140"/>
  <c r="P837" i="140" s="1"/>
  <c r="K837" i="140"/>
  <c r="H837" i="140"/>
  <c r="M835" i="140"/>
  <c r="P835" i="140" s="1"/>
  <c r="K835" i="140"/>
  <c r="H835" i="140"/>
  <c r="M834" i="140"/>
  <c r="P834" i="140" s="1"/>
  <c r="K834" i="140"/>
  <c r="H834" i="140"/>
  <c r="M831" i="140"/>
  <c r="P831" i="140" s="1"/>
  <c r="K831" i="140"/>
  <c r="H831" i="140"/>
  <c r="M830" i="140"/>
  <c r="P830" i="140" s="1"/>
  <c r="K830" i="140"/>
  <c r="H830" i="140"/>
  <c r="M828" i="140"/>
  <c r="N828" i="140" s="1"/>
  <c r="K828" i="140"/>
  <c r="H828" i="140"/>
  <c r="M827" i="140"/>
  <c r="P827" i="140" s="1"/>
  <c r="K827" i="140"/>
  <c r="H827" i="140"/>
  <c r="M825" i="140"/>
  <c r="P825" i="140" s="1"/>
  <c r="K825" i="140"/>
  <c r="H825" i="140"/>
  <c r="M824" i="140"/>
  <c r="P824" i="140" s="1"/>
  <c r="K824" i="140"/>
  <c r="H824" i="140"/>
  <c r="M823" i="140"/>
  <c r="P823" i="140" s="1"/>
  <c r="K823" i="140"/>
  <c r="H823" i="140"/>
  <c r="M822" i="140"/>
  <c r="P822" i="140" s="1"/>
  <c r="K822" i="140"/>
  <c r="H822" i="140"/>
  <c r="M820" i="140"/>
  <c r="P820" i="140" s="1"/>
  <c r="K820" i="140"/>
  <c r="H820" i="140"/>
  <c r="M819" i="140"/>
  <c r="P819" i="140" s="1"/>
  <c r="K819" i="140"/>
  <c r="H819" i="140"/>
  <c r="M817" i="140"/>
  <c r="P817" i="140" s="1"/>
  <c r="K817" i="140"/>
  <c r="H817" i="140"/>
  <c r="M816" i="140"/>
  <c r="P816" i="140" s="1"/>
  <c r="K816" i="140"/>
  <c r="H816" i="140"/>
  <c r="M814" i="140"/>
  <c r="P814" i="140" s="1"/>
  <c r="K814" i="140"/>
  <c r="H814" i="140"/>
  <c r="M813" i="140"/>
  <c r="P813" i="140" s="1"/>
  <c r="K813" i="140"/>
  <c r="H813" i="140"/>
  <c r="M810" i="140"/>
  <c r="P810" i="140" s="1"/>
  <c r="K810" i="140"/>
  <c r="H810" i="140"/>
  <c r="M808" i="140"/>
  <c r="P808" i="140" s="1"/>
  <c r="K808" i="140"/>
  <c r="H808" i="140"/>
  <c r="M807" i="140"/>
  <c r="P807" i="140" s="1"/>
  <c r="K807" i="140"/>
  <c r="H807" i="140"/>
  <c r="M806" i="140"/>
  <c r="P806" i="140" s="1"/>
  <c r="K806" i="140"/>
  <c r="H806" i="140"/>
  <c r="M804" i="140"/>
  <c r="P804" i="140" s="1"/>
  <c r="K804" i="140"/>
  <c r="H804" i="140"/>
  <c r="M802" i="140"/>
  <c r="P802" i="140" s="1"/>
  <c r="K802" i="140"/>
  <c r="H802" i="140"/>
  <c r="M800" i="140"/>
  <c r="P800" i="140" s="1"/>
  <c r="K800" i="140"/>
  <c r="H800" i="140"/>
  <c r="M797" i="140"/>
  <c r="P797" i="140" s="1"/>
  <c r="K797" i="140"/>
  <c r="H797" i="140"/>
  <c r="M794" i="140"/>
  <c r="N794" i="140" s="1"/>
  <c r="K794" i="140"/>
  <c r="H794" i="140"/>
  <c r="M793" i="140"/>
  <c r="P793" i="140" s="1"/>
  <c r="K793" i="140"/>
  <c r="H793" i="140"/>
  <c r="M791" i="140"/>
  <c r="P791" i="140" s="1"/>
  <c r="K791" i="140"/>
  <c r="H791" i="140"/>
  <c r="M789" i="140"/>
  <c r="P789" i="140" s="1"/>
  <c r="K789" i="140"/>
  <c r="H789" i="140"/>
  <c r="M787" i="140"/>
  <c r="P787" i="140" s="1"/>
  <c r="K787" i="140"/>
  <c r="H787" i="140"/>
  <c r="M786" i="140"/>
  <c r="P786" i="140" s="1"/>
  <c r="K786" i="140"/>
  <c r="H786" i="140"/>
  <c r="M784" i="140"/>
  <c r="P784" i="140" s="1"/>
  <c r="K784" i="140"/>
  <c r="H784" i="140"/>
  <c r="M783" i="140"/>
  <c r="P783" i="140" s="1"/>
  <c r="K783" i="140"/>
  <c r="H783" i="140"/>
  <c r="M782" i="140"/>
  <c r="P782" i="140" s="1"/>
  <c r="K782" i="140"/>
  <c r="H782" i="140"/>
  <c r="M781" i="140"/>
  <c r="P781" i="140" s="1"/>
  <c r="K781" i="140"/>
  <c r="H781" i="140"/>
  <c r="M780" i="140"/>
  <c r="P780" i="140" s="1"/>
  <c r="K780" i="140"/>
  <c r="H780" i="140"/>
  <c r="M779" i="140"/>
  <c r="P779" i="140" s="1"/>
  <c r="K779" i="140"/>
  <c r="H779" i="140"/>
  <c r="M778" i="140"/>
  <c r="P778" i="140" s="1"/>
  <c r="K778" i="140"/>
  <c r="H778" i="140"/>
  <c r="M777" i="140"/>
  <c r="P777" i="140" s="1"/>
  <c r="K777" i="140"/>
  <c r="H777" i="140"/>
  <c r="M775" i="140"/>
  <c r="N775" i="140" s="1"/>
  <c r="K775" i="140"/>
  <c r="H775" i="140"/>
  <c r="M774" i="140"/>
  <c r="P774" i="140" s="1"/>
  <c r="K774" i="140"/>
  <c r="H774" i="140"/>
  <c r="M771" i="140"/>
  <c r="P771" i="140" s="1"/>
  <c r="K771" i="140"/>
  <c r="H771" i="140"/>
  <c r="M769" i="140"/>
  <c r="P769" i="140" s="1"/>
  <c r="K769" i="140"/>
  <c r="H769" i="140"/>
  <c r="M767" i="140"/>
  <c r="P767" i="140" s="1"/>
  <c r="K767" i="140"/>
  <c r="H767" i="140"/>
  <c r="M765" i="140"/>
  <c r="N765" i="140" s="1"/>
  <c r="K765" i="140"/>
  <c r="H765" i="140"/>
  <c r="F919" i="140"/>
  <c r="F918" i="140"/>
  <c r="F916" i="140"/>
  <c r="F913" i="140"/>
  <c r="F912" i="140"/>
  <c r="F911" i="140"/>
  <c r="F909" i="140"/>
  <c r="F908" i="140"/>
  <c r="F907" i="140"/>
  <c r="F905" i="140"/>
  <c r="F904" i="140"/>
  <c r="F902" i="140"/>
  <c r="I902" i="140" s="1"/>
  <c r="F901" i="140"/>
  <c r="F898" i="140"/>
  <c r="F895" i="140"/>
  <c r="F894" i="140"/>
  <c r="F890" i="140"/>
  <c r="F888" i="140"/>
  <c r="F887" i="140"/>
  <c r="F885" i="140"/>
  <c r="F884" i="140"/>
  <c r="F883" i="140"/>
  <c r="F882" i="140"/>
  <c r="F881" i="140"/>
  <c r="F880" i="140"/>
  <c r="F879" i="140"/>
  <c r="F878" i="140"/>
  <c r="F877" i="140"/>
  <c r="F876" i="140"/>
  <c r="F875" i="140"/>
  <c r="F874" i="140"/>
  <c r="F873" i="140"/>
  <c r="F871" i="140"/>
  <c r="F870" i="140"/>
  <c r="F869" i="140"/>
  <c r="F868" i="140"/>
  <c r="F866" i="140"/>
  <c r="F865" i="140"/>
  <c r="I865" i="140" s="1"/>
  <c r="F864" i="140"/>
  <c r="F863" i="140"/>
  <c r="F862" i="140"/>
  <c r="F860" i="140"/>
  <c r="F859" i="140"/>
  <c r="F858" i="140"/>
  <c r="F857" i="140"/>
  <c r="F856" i="140"/>
  <c r="F855" i="140"/>
  <c r="L855" i="140" s="1"/>
  <c r="F854" i="140"/>
  <c r="F853" i="140"/>
  <c r="F852" i="140"/>
  <c r="F851" i="140"/>
  <c r="F850" i="140"/>
  <c r="F848" i="140"/>
  <c r="F847" i="140"/>
  <c r="F846" i="140"/>
  <c r="I846" i="140" s="1"/>
  <c r="F845" i="140"/>
  <c r="F844" i="140"/>
  <c r="F841" i="140"/>
  <c r="F840" i="140"/>
  <c r="F838" i="140"/>
  <c r="I838" i="140" s="1"/>
  <c r="F837" i="140"/>
  <c r="F835" i="140"/>
  <c r="F834" i="140"/>
  <c r="F831" i="140"/>
  <c r="F830" i="140"/>
  <c r="I830" i="140" s="1"/>
  <c r="F828" i="140"/>
  <c r="F827" i="140"/>
  <c r="F825" i="140"/>
  <c r="F824" i="140"/>
  <c r="F823" i="140"/>
  <c r="F822" i="140"/>
  <c r="F820" i="140"/>
  <c r="F819" i="140"/>
  <c r="F817" i="140"/>
  <c r="F816" i="140"/>
  <c r="F814" i="140"/>
  <c r="F813" i="140"/>
  <c r="F810" i="140"/>
  <c r="F808" i="140"/>
  <c r="F807" i="140"/>
  <c r="F806" i="140"/>
  <c r="F804" i="140"/>
  <c r="F802" i="140"/>
  <c r="F800" i="140"/>
  <c r="F797" i="140"/>
  <c r="F795" i="140"/>
  <c r="F794" i="140"/>
  <c r="F793" i="140"/>
  <c r="F791" i="140"/>
  <c r="F789" i="140"/>
  <c r="F787" i="140"/>
  <c r="F786" i="140"/>
  <c r="F784" i="140"/>
  <c r="F783" i="140"/>
  <c r="F782" i="140"/>
  <c r="F781" i="140"/>
  <c r="F780" i="140"/>
  <c r="F779" i="140"/>
  <c r="L779" i="140" s="1"/>
  <c r="F778" i="140"/>
  <c r="F777" i="140"/>
  <c r="F775" i="140"/>
  <c r="F774" i="140"/>
  <c r="F771" i="140"/>
  <c r="F769" i="140"/>
  <c r="F767" i="140"/>
  <c r="F765" i="140"/>
  <c r="F743" i="140"/>
  <c r="F742" i="140"/>
  <c r="F741" i="140"/>
  <c r="F739" i="140"/>
  <c r="F738" i="140"/>
  <c r="F737" i="140"/>
  <c r="F736" i="140"/>
  <c r="F735" i="140"/>
  <c r="F734" i="140"/>
  <c r="F733" i="140"/>
  <c r="F732" i="140"/>
  <c r="F731" i="140"/>
  <c r="F729" i="140"/>
  <c r="F728" i="140"/>
  <c r="F727" i="140"/>
  <c r="F726" i="140"/>
  <c r="F725" i="140"/>
  <c r="F724" i="140"/>
  <c r="F722" i="140"/>
  <c r="F721" i="140"/>
  <c r="F720" i="140"/>
  <c r="F719" i="140"/>
  <c r="F717" i="140"/>
  <c r="F716" i="140"/>
  <c r="F714" i="140"/>
  <c r="F712" i="140"/>
  <c r="F711" i="140"/>
  <c r="F709" i="140"/>
  <c r="F708" i="140"/>
  <c r="F707" i="140"/>
  <c r="F706" i="140"/>
  <c r="F705" i="140"/>
  <c r="F704" i="140"/>
  <c r="F703" i="140"/>
  <c r="F702" i="140"/>
  <c r="F701" i="140"/>
  <c r="F699" i="140"/>
  <c r="F696" i="140"/>
  <c r="F693" i="140"/>
  <c r="F692" i="140"/>
  <c r="F690" i="140"/>
  <c r="F689" i="140"/>
  <c r="F688" i="140"/>
  <c r="F685" i="140"/>
  <c r="F684" i="140"/>
  <c r="F683" i="140"/>
  <c r="F682" i="140"/>
  <c r="F681" i="140"/>
  <c r="F680" i="140"/>
  <c r="F679" i="140"/>
  <c r="F678" i="140"/>
  <c r="F677" i="140"/>
  <c r="F676" i="140"/>
  <c r="F675" i="140"/>
  <c r="F674" i="140"/>
  <c r="F671" i="140"/>
  <c r="F670" i="140"/>
  <c r="F669" i="140"/>
  <c r="D668" i="140"/>
  <c r="F668" i="140" s="1"/>
  <c r="F666" i="140"/>
  <c r="F665" i="140"/>
  <c r="F663" i="140"/>
  <c r="F662" i="140"/>
  <c r="F661" i="140"/>
  <c r="F660" i="140"/>
  <c r="F659" i="140"/>
  <c r="F658" i="140"/>
  <c r="D655" i="140"/>
  <c r="F655" i="140" s="1"/>
  <c r="F654" i="140"/>
  <c r="F653" i="140"/>
  <c r="D652" i="140"/>
  <c r="F652" i="140" s="1"/>
  <c r="D651" i="140"/>
  <c r="F651" i="140" s="1"/>
  <c r="F650" i="140"/>
  <c r="F649" i="140"/>
  <c r="F648" i="140"/>
  <c r="F647" i="140"/>
  <c r="F646" i="140"/>
  <c r="F645" i="140"/>
  <c r="F644" i="140"/>
  <c r="F643" i="140"/>
  <c r="F642" i="140"/>
  <c r="F641" i="140"/>
  <c r="F640" i="140"/>
  <c r="F639" i="140"/>
  <c r="F638" i="140"/>
  <c r="F637" i="140"/>
  <c r="F636" i="140"/>
  <c r="F635" i="140"/>
  <c r="F634" i="140"/>
  <c r="F632" i="140"/>
  <c r="F631" i="140"/>
  <c r="F629" i="140"/>
  <c r="F628" i="140"/>
  <c r="F627" i="140"/>
  <c r="F624" i="140"/>
  <c r="F620" i="140"/>
  <c r="F619" i="140"/>
  <c r="F618" i="140"/>
  <c r="F617" i="140"/>
  <c r="F616" i="140"/>
  <c r="F615" i="140"/>
  <c r="F614" i="140"/>
  <c r="F613" i="140"/>
  <c r="F612" i="140"/>
  <c r="F611" i="140"/>
  <c r="F610" i="140"/>
  <c r="F609" i="140"/>
  <c r="F608" i="140"/>
  <c r="F587" i="140"/>
  <c r="F585" i="140"/>
  <c r="F582" i="140"/>
  <c r="F580" i="140"/>
  <c r="F578" i="140"/>
  <c r="F577" i="140"/>
  <c r="F576" i="140"/>
  <c r="F575" i="140"/>
  <c r="F574" i="140"/>
  <c r="F573" i="140"/>
  <c r="F572" i="140"/>
  <c r="F571" i="140"/>
  <c r="F570" i="140"/>
  <c r="F569" i="140"/>
  <c r="F568" i="140"/>
  <c r="F567" i="140"/>
  <c r="F566" i="140"/>
  <c r="F565" i="140"/>
  <c r="F564" i="140"/>
  <c r="F562" i="140"/>
  <c r="F561" i="140"/>
  <c r="F560" i="140"/>
  <c r="F559" i="140"/>
  <c r="F558" i="140"/>
  <c r="F557" i="140"/>
  <c r="F556" i="140"/>
  <c r="F555" i="140"/>
  <c r="F554" i="140"/>
  <c r="F553" i="140"/>
  <c r="F552" i="140"/>
  <c r="F550" i="140"/>
  <c r="F549" i="140"/>
  <c r="F548" i="140"/>
  <c r="F547" i="140"/>
  <c r="F545" i="140"/>
  <c r="F544" i="140"/>
  <c r="F542" i="140"/>
  <c r="F539" i="140"/>
  <c r="F538" i="140"/>
  <c r="F537" i="140"/>
  <c r="F535" i="140"/>
  <c r="F533" i="140"/>
  <c r="F532" i="140"/>
  <c r="F531" i="140"/>
  <c r="F530" i="140"/>
  <c r="F528" i="140"/>
  <c r="F527" i="140"/>
  <c r="F525" i="140"/>
  <c r="F524" i="140"/>
  <c r="F521" i="140"/>
  <c r="F518" i="140"/>
  <c r="F517" i="140"/>
  <c r="F516" i="140"/>
  <c r="F514" i="140"/>
  <c r="F513" i="140"/>
  <c r="F510" i="140"/>
  <c r="F507" i="140"/>
  <c r="F506" i="140"/>
  <c r="F505" i="140"/>
  <c r="F504" i="140"/>
  <c r="F503" i="140"/>
  <c r="F502" i="140"/>
  <c r="F501" i="140"/>
  <c r="F500" i="140"/>
  <c r="F499" i="140"/>
  <c r="F498" i="140"/>
  <c r="F496" i="140"/>
  <c r="F495" i="140"/>
  <c r="F494" i="140"/>
  <c r="F493" i="140"/>
  <c r="F492" i="140"/>
  <c r="F490" i="140"/>
  <c r="F489" i="140"/>
  <c r="F488" i="140"/>
  <c r="F487" i="140"/>
  <c r="F486" i="140"/>
  <c r="F485" i="140"/>
  <c r="F483" i="140"/>
  <c r="F482" i="140"/>
  <c r="F481" i="140"/>
  <c r="F480" i="140"/>
  <c r="F479" i="140"/>
  <c r="F478" i="140"/>
  <c r="F477" i="140"/>
  <c r="F476" i="140"/>
  <c r="F475" i="140"/>
  <c r="F474" i="140"/>
  <c r="F473" i="140"/>
  <c r="F472" i="140"/>
  <c r="F471" i="140"/>
  <c r="F470" i="140"/>
  <c r="F469" i="140"/>
  <c r="F467" i="140"/>
  <c r="F466" i="140"/>
  <c r="F465" i="140"/>
  <c r="F464" i="140"/>
  <c r="F463" i="140"/>
  <c r="F462" i="140"/>
  <c r="F461" i="140"/>
  <c r="F460" i="140"/>
  <c r="F459" i="140"/>
  <c r="F458" i="140"/>
  <c r="F457" i="140"/>
  <c r="F456" i="140"/>
  <c r="F455" i="140"/>
  <c r="F454" i="140"/>
  <c r="F451" i="140"/>
  <c r="F450" i="140"/>
  <c r="F448" i="140"/>
  <c r="F447" i="140"/>
  <c r="F445" i="140"/>
  <c r="F443" i="140"/>
  <c r="F442" i="140"/>
  <c r="F440" i="140"/>
  <c r="F438" i="140"/>
  <c r="F436" i="140"/>
  <c r="F435" i="140"/>
  <c r="F434" i="140"/>
  <c r="F433" i="140"/>
  <c r="F432" i="140"/>
  <c r="F430" i="140"/>
  <c r="F429" i="140"/>
  <c r="F428" i="140"/>
  <c r="F427" i="140"/>
  <c r="F426" i="140"/>
  <c r="F425" i="140"/>
  <c r="F423" i="140"/>
  <c r="F422" i="140"/>
  <c r="F420" i="140"/>
  <c r="F417" i="140"/>
  <c r="F416" i="140"/>
  <c r="F415" i="140"/>
  <c r="F414" i="140"/>
  <c r="F413" i="140"/>
  <c r="F412" i="140"/>
  <c r="F411" i="140"/>
  <c r="F410" i="140"/>
  <c r="F409" i="140"/>
  <c r="F408" i="140"/>
  <c r="F405" i="140"/>
  <c r="F403" i="140"/>
  <c r="F402" i="140"/>
  <c r="F400" i="140"/>
  <c r="F399" i="140"/>
  <c r="F398" i="140"/>
  <c r="F397" i="140"/>
  <c r="F396" i="140"/>
  <c r="F395" i="140"/>
  <c r="F394" i="140"/>
  <c r="F393" i="140"/>
  <c r="F392" i="140"/>
  <c r="F391" i="140"/>
  <c r="F390" i="140"/>
  <c r="F389" i="140"/>
  <c r="F388" i="140"/>
  <c r="F387" i="140"/>
  <c r="F385" i="140"/>
  <c r="F384" i="140"/>
  <c r="F383" i="140"/>
  <c r="F382" i="140"/>
  <c r="F381" i="140"/>
  <c r="F380" i="140"/>
  <c r="F379" i="140"/>
  <c r="F378" i="140"/>
  <c r="F377" i="140"/>
  <c r="F375" i="140"/>
  <c r="F374" i="140"/>
  <c r="F373" i="140"/>
  <c r="F372" i="140"/>
  <c r="F370" i="140"/>
  <c r="F369" i="140"/>
  <c r="F368" i="140"/>
  <c r="F367" i="140"/>
  <c r="F365" i="140"/>
  <c r="F364" i="140"/>
  <c r="F363" i="140"/>
  <c r="F362" i="140"/>
  <c r="F361" i="140"/>
  <c r="F360" i="140"/>
  <c r="F358" i="140"/>
  <c r="F357" i="140"/>
  <c r="F356" i="140"/>
  <c r="F355" i="140"/>
  <c r="F354" i="140"/>
  <c r="F353" i="140"/>
  <c r="F352" i="140"/>
  <c r="F351" i="140"/>
  <c r="F350" i="140"/>
  <c r="F349" i="140"/>
  <c r="F348" i="140"/>
  <c r="F345" i="140"/>
  <c r="F344" i="140"/>
  <c r="F342" i="140"/>
  <c r="F339" i="140"/>
  <c r="F337" i="140"/>
  <c r="F335" i="140"/>
  <c r="F334" i="140"/>
  <c r="F332" i="140"/>
  <c r="F331" i="140"/>
  <c r="F330" i="140"/>
  <c r="F329" i="140"/>
  <c r="F328" i="140"/>
  <c r="F326" i="140"/>
  <c r="F324" i="140"/>
  <c r="F323" i="140"/>
  <c r="F322" i="140"/>
  <c r="F321" i="140"/>
  <c r="F320" i="140"/>
  <c r="F319" i="140"/>
  <c r="F318" i="140"/>
  <c r="F317" i="140"/>
  <c r="F316" i="140"/>
  <c r="F315" i="140"/>
  <c r="F314" i="140"/>
  <c r="F313" i="140"/>
  <c r="F312" i="140"/>
  <c r="F311" i="140"/>
  <c r="F310" i="140"/>
  <c r="F309" i="140"/>
  <c r="F308" i="140"/>
  <c r="F306" i="140"/>
  <c r="F305" i="140"/>
  <c r="F304" i="140"/>
  <c r="F301" i="140"/>
  <c r="F300" i="140"/>
  <c r="F298" i="140"/>
  <c r="F297" i="140"/>
  <c r="F296" i="140"/>
  <c r="F295" i="140"/>
  <c r="F294" i="140"/>
  <c r="F293" i="140"/>
  <c r="F292" i="140"/>
  <c r="F291" i="140"/>
  <c r="F290" i="140"/>
  <c r="F288" i="140"/>
  <c r="F287" i="140"/>
  <c r="F286" i="140"/>
  <c r="F285" i="140"/>
  <c r="F283" i="140"/>
  <c r="F282" i="140"/>
  <c r="F281" i="140"/>
  <c r="F280" i="140"/>
  <c r="F279" i="140"/>
  <c r="F278" i="140"/>
  <c r="F277" i="140"/>
  <c r="F276" i="140"/>
  <c r="F275" i="140"/>
  <c r="F274" i="140"/>
  <c r="F273" i="140"/>
  <c r="F272" i="140"/>
  <c r="F271" i="140"/>
  <c r="F270" i="140"/>
  <c r="F269" i="140"/>
  <c r="F267" i="140"/>
  <c r="F264" i="140"/>
  <c r="F262" i="140"/>
  <c r="F261" i="140"/>
  <c r="F260" i="140"/>
  <c r="F259" i="140"/>
  <c r="F257" i="140"/>
  <c r="F255" i="140"/>
  <c r="F253" i="140"/>
  <c r="F252" i="140"/>
  <c r="F251" i="140"/>
  <c r="F250" i="140"/>
  <c r="F248" i="140"/>
  <c r="F246" i="140"/>
  <c r="F242" i="140"/>
  <c r="F241" i="140"/>
  <c r="F240" i="140"/>
  <c r="F239" i="140"/>
  <c r="F236" i="140"/>
  <c r="F235" i="140"/>
  <c r="F233" i="140"/>
  <c r="F231" i="140"/>
  <c r="F230" i="140"/>
  <c r="F229" i="140"/>
  <c r="F228" i="140"/>
  <c r="F227" i="140"/>
  <c r="F226" i="140"/>
  <c r="F225" i="140"/>
  <c r="F224" i="140"/>
  <c r="F223" i="140"/>
  <c r="F222" i="140"/>
  <c r="F220" i="140"/>
  <c r="F219" i="140"/>
  <c r="F216" i="140"/>
  <c r="F214" i="140"/>
  <c r="F212" i="140"/>
  <c r="F210" i="140"/>
  <c r="F209" i="140"/>
  <c r="F207" i="140"/>
  <c r="F204" i="140"/>
  <c r="F202" i="140"/>
  <c r="F201" i="140"/>
  <c r="F200" i="140"/>
  <c r="F198" i="140"/>
  <c r="F197" i="140"/>
  <c r="F195" i="140"/>
  <c r="F194" i="140"/>
  <c r="F193" i="140"/>
  <c r="F192" i="140"/>
  <c r="F189" i="140"/>
  <c r="F188" i="140"/>
  <c r="F187" i="140"/>
  <c r="F185" i="140"/>
  <c r="F183" i="140"/>
  <c r="F182" i="140"/>
  <c r="F180" i="140"/>
  <c r="F179" i="140"/>
  <c r="F178" i="140"/>
  <c r="F177" i="140"/>
  <c r="F176" i="140"/>
  <c r="F173" i="140"/>
  <c r="F171" i="140"/>
  <c r="F169" i="140"/>
  <c r="F168" i="140"/>
  <c r="F167" i="140"/>
  <c r="F165" i="140"/>
  <c r="F164" i="140"/>
  <c r="F163" i="140"/>
  <c r="F161" i="140"/>
  <c r="F160" i="140"/>
  <c r="F159" i="140"/>
  <c r="F158" i="140"/>
  <c r="F157" i="140"/>
  <c r="F154" i="140"/>
  <c r="F152" i="140"/>
  <c r="F151" i="140"/>
  <c r="F150" i="140"/>
  <c r="F149" i="140"/>
  <c r="F148" i="140"/>
  <c r="F147" i="140"/>
  <c r="F146" i="140"/>
  <c r="F145" i="140"/>
  <c r="F144" i="140"/>
  <c r="F143" i="140"/>
  <c r="F142" i="140"/>
  <c r="F139" i="140"/>
  <c r="F138" i="140"/>
  <c r="F137" i="140"/>
  <c r="F136" i="140"/>
  <c r="F135" i="140"/>
  <c r="F133" i="140"/>
  <c r="F132" i="140"/>
  <c r="F131" i="140"/>
  <c r="F128" i="140"/>
  <c r="F127" i="140"/>
  <c r="F126" i="140"/>
  <c r="F125" i="140"/>
  <c r="F123" i="140"/>
  <c r="F121" i="140"/>
  <c r="F120" i="140"/>
  <c r="F118" i="140"/>
  <c r="F117" i="140"/>
  <c r="F115" i="140"/>
  <c r="F113" i="140"/>
  <c r="F112" i="140"/>
  <c r="F111" i="140"/>
  <c r="F110" i="140"/>
  <c r="F109" i="140"/>
  <c r="F107" i="140"/>
  <c r="F106" i="140"/>
  <c r="F105" i="140"/>
  <c r="F104" i="140"/>
  <c r="F101" i="140"/>
  <c r="F100" i="140"/>
  <c r="F98" i="140"/>
  <c r="F96" i="140"/>
  <c r="F94" i="140"/>
  <c r="F93" i="140"/>
  <c r="F92" i="140"/>
  <c r="F90" i="140"/>
  <c r="F89" i="140"/>
  <c r="F88" i="140"/>
  <c r="F86" i="140"/>
  <c r="F85" i="140"/>
  <c r="F84" i="140"/>
  <c r="F81" i="140"/>
  <c r="F80" i="140"/>
  <c r="F79" i="140"/>
  <c r="F77" i="140"/>
  <c r="F76" i="140"/>
  <c r="F75" i="140"/>
  <c r="F73" i="140"/>
  <c r="F72" i="140"/>
  <c r="F71" i="140"/>
  <c r="F69" i="140"/>
  <c r="F68" i="140"/>
  <c r="F67" i="140"/>
  <c r="F64" i="140"/>
  <c r="F63" i="140"/>
  <c r="F62" i="140"/>
  <c r="F61" i="140"/>
  <c r="F60" i="140"/>
  <c r="F58" i="140"/>
  <c r="F57" i="140"/>
  <c r="F56" i="140"/>
  <c r="F55" i="140"/>
  <c r="F54" i="140"/>
  <c r="F51" i="140"/>
  <c r="F49" i="140"/>
  <c r="F48" i="140"/>
  <c r="F46" i="140"/>
  <c r="F45" i="140"/>
  <c r="F44" i="140"/>
  <c r="F43" i="140"/>
  <c r="F42" i="140"/>
  <c r="F41" i="140"/>
  <c r="F39" i="140"/>
  <c r="F36" i="140"/>
  <c r="F35" i="140"/>
  <c r="F34" i="140"/>
  <c r="F32" i="140"/>
  <c r="F31" i="140"/>
  <c r="F30" i="140"/>
  <c r="F27" i="140"/>
  <c r="F26" i="140"/>
  <c r="F25" i="140"/>
  <c r="F22" i="140"/>
  <c r="B11" i="140"/>
  <c r="B599" i="140" s="1"/>
  <c r="B754" i="140" s="1"/>
  <c r="B598" i="140"/>
  <c r="B753" i="140" s="1"/>
  <c r="B6" i="140"/>
  <c r="B595" i="140" s="1"/>
  <c r="B750" i="140" s="1"/>
  <c r="L874" i="140" l="1"/>
  <c r="I856" i="140"/>
  <c r="I879" i="140"/>
  <c r="L767" i="140"/>
  <c r="N844" i="140"/>
  <c r="Q844" i="140" s="1"/>
  <c r="R844" i="140" s="1"/>
  <c r="L851" i="140"/>
  <c r="N837" i="140"/>
  <c r="Q837" i="140" s="1"/>
  <c r="R837" i="140" s="1"/>
  <c r="L863" i="140"/>
  <c r="N814" i="140"/>
  <c r="Q814" i="140" s="1"/>
  <c r="R814" i="140" s="1"/>
  <c r="N877" i="140"/>
  <c r="Q877" i="140" s="1"/>
  <c r="R877" i="140" s="1"/>
  <c r="N840" i="140"/>
  <c r="Q840" i="140" s="1"/>
  <c r="R840" i="140" s="1"/>
  <c r="P765" i="140"/>
  <c r="P775" i="140"/>
  <c r="P904" i="140"/>
  <c r="N769" i="140"/>
  <c r="O769" i="140" s="1"/>
  <c r="N778" i="140"/>
  <c r="Q778" i="140" s="1"/>
  <c r="R778" i="140" s="1"/>
  <c r="N782" i="140"/>
  <c r="O782" i="140" s="1"/>
  <c r="P880" i="140"/>
  <c r="L835" i="140"/>
  <c r="L783" i="140"/>
  <c r="I780" i="140"/>
  <c r="N804" i="140"/>
  <c r="Q804" i="140" s="1"/>
  <c r="R804" i="140" s="1"/>
  <c r="N835" i="140"/>
  <c r="Q835" i="140" s="1"/>
  <c r="R835" i="140" s="1"/>
  <c r="S20" i="140"/>
  <c r="N848" i="140"/>
  <c r="O848" i="140" s="1"/>
  <c r="N854" i="140"/>
  <c r="O854" i="140" s="1"/>
  <c r="L806" i="140"/>
  <c r="P828" i="140"/>
  <c r="I767" i="140"/>
  <c r="N781" i="140"/>
  <c r="O781" i="140" s="1"/>
  <c r="L845" i="140"/>
  <c r="P879" i="140"/>
  <c r="P862" i="140"/>
  <c r="I827" i="140"/>
  <c r="I783" i="140"/>
  <c r="L847" i="140"/>
  <c r="L864" i="140"/>
  <c r="P887" i="140"/>
  <c r="N887" i="140"/>
  <c r="O887" i="140" s="1"/>
  <c r="I784" i="140"/>
  <c r="P858" i="140"/>
  <c r="N858" i="140"/>
  <c r="O858" i="140" s="1"/>
  <c r="N916" i="140"/>
  <c r="Q916" i="140" s="1"/>
  <c r="R916" i="140" s="1"/>
  <c r="P916" i="140"/>
  <c r="L775" i="140"/>
  <c r="L859" i="140"/>
  <c r="L882" i="140"/>
  <c r="I878" i="140"/>
  <c r="I860" i="140"/>
  <c r="L873" i="140"/>
  <c r="P909" i="140"/>
  <c r="N909" i="140"/>
  <c r="O909" i="140" s="1"/>
  <c r="I807" i="140"/>
  <c r="I823" i="140"/>
  <c r="P866" i="140"/>
  <c r="N866" i="140"/>
  <c r="Q866" i="140" s="1"/>
  <c r="R866" i="140" s="1"/>
  <c r="I851" i="140"/>
  <c r="L778" i="140"/>
  <c r="I844" i="140"/>
  <c r="L907" i="140"/>
  <c r="I907" i="140"/>
  <c r="I852" i="140"/>
  <c r="L895" i="140"/>
  <c r="I802" i="140"/>
  <c r="I789" i="140"/>
  <c r="I800" i="140"/>
  <c r="L807" i="140"/>
  <c r="I816" i="140"/>
  <c r="L823" i="140"/>
  <c r="L846" i="140"/>
  <c r="L878" i="140"/>
  <c r="I905" i="140"/>
  <c r="L789" i="140"/>
  <c r="L800" i="140"/>
  <c r="L816" i="140"/>
  <c r="I841" i="140"/>
  <c r="I855" i="140"/>
  <c r="I874" i="140"/>
  <c r="I898" i="140"/>
  <c r="L905" i="140"/>
  <c r="I918" i="140"/>
  <c r="I777" i="140"/>
  <c r="I808" i="140"/>
  <c r="I824" i="140"/>
  <c r="L830" i="140"/>
  <c r="L841" i="140"/>
  <c r="I847" i="140"/>
  <c r="I859" i="140"/>
  <c r="N863" i="140"/>
  <c r="O863" i="140" s="1"/>
  <c r="I868" i="140"/>
  <c r="I883" i="140"/>
  <c r="L898" i="140"/>
  <c r="L918" i="140"/>
  <c r="I769" i="140"/>
  <c r="L777" i="140"/>
  <c r="I791" i="140"/>
  <c r="L808" i="140"/>
  <c r="I817" i="140"/>
  <c r="L824" i="140"/>
  <c r="I837" i="140"/>
  <c r="L868" i="140"/>
  <c r="L883" i="140"/>
  <c r="I888" i="140"/>
  <c r="N905" i="140"/>
  <c r="Q905" i="140" s="1"/>
  <c r="R905" i="140" s="1"/>
  <c r="L769" i="140"/>
  <c r="L791" i="140"/>
  <c r="L817" i="140"/>
  <c r="I831" i="140"/>
  <c r="L837" i="140"/>
  <c r="L879" i="140"/>
  <c r="L888" i="140"/>
  <c r="I901" i="140"/>
  <c r="I911" i="140"/>
  <c r="I919" i="140"/>
  <c r="I778" i="140"/>
  <c r="I781" i="140"/>
  <c r="L802" i="140"/>
  <c r="I810" i="140"/>
  <c r="I825" i="140"/>
  <c r="L831" i="140"/>
  <c r="L852" i="140"/>
  <c r="I864" i="140"/>
  <c r="I869" i="140"/>
  <c r="I875" i="140"/>
  <c r="I884" i="140"/>
  <c r="L901" i="140"/>
  <c r="L911" i="140"/>
  <c r="L919" i="140"/>
  <c r="L781" i="140"/>
  <c r="I793" i="140"/>
  <c r="L810" i="140"/>
  <c r="I819" i="140"/>
  <c r="L825" i="140"/>
  <c r="L844" i="140"/>
  <c r="I848" i="140"/>
  <c r="L869" i="140"/>
  <c r="L875" i="140"/>
  <c r="L884" i="140"/>
  <c r="I890" i="140"/>
  <c r="L793" i="140"/>
  <c r="I804" i="140"/>
  <c r="L819" i="140"/>
  <c r="I834" i="140"/>
  <c r="L848" i="140"/>
  <c r="I853" i="140"/>
  <c r="L856" i="140"/>
  <c r="I880" i="140"/>
  <c r="L890" i="140"/>
  <c r="P901" i="140"/>
  <c r="I912" i="140"/>
  <c r="P919" i="140"/>
  <c r="I771" i="140"/>
  <c r="L784" i="140"/>
  <c r="L804" i="140"/>
  <c r="I813" i="140"/>
  <c r="L834" i="140"/>
  <c r="L853" i="140"/>
  <c r="L860" i="140"/>
  <c r="I870" i="140"/>
  <c r="I876" i="140"/>
  <c r="L880" i="140"/>
  <c r="I885" i="140"/>
  <c r="L912" i="140"/>
  <c r="L771" i="140"/>
  <c r="I794" i="140"/>
  <c r="L813" i="140"/>
  <c r="I820" i="140"/>
  <c r="I857" i="140"/>
  <c r="L870" i="140"/>
  <c r="L876" i="140"/>
  <c r="L885" i="140"/>
  <c r="I894" i="140"/>
  <c r="I786" i="140"/>
  <c r="L794" i="140"/>
  <c r="L820" i="140"/>
  <c r="L827" i="140"/>
  <c r="N834" i="140"/>
  <c r="O834" i="140" s="1"/>
  <c r="L838" i="140"/>
  <c r="I845" i="140"/>
  <c r="I850" i="140"/>
  <c r="P853" i="140"/>
  <c r="L857" i="140"/>
  <c r="I862" i="140"/>
  <c r="L894" i="140"/>
  <c r="L902" i="140"/>
  <c r="I908" i="140"/>
  <c r="I913" i="140"/>
  <c r="I765" i="140"/>
  <c r="I774" i="140"/>
  <c r="I782" i="140"/>
  <c r="L786" i="140"/>
  <c r="I806" i="140"/>
  <c r="I814" i="140"/>
  <c r="L850" i="140"/>
  <c r="I854" i="140"/>
  <c r="L862" i="140"/>
  <c r="L865" i="140"/>
  <c r="I871" i="140"/>
  <c r="I877" i="140"/>
  <c r="I881" i="140"/>
  <c r="N885" i="140"/>
  <c r="Q885" i="140" s="1"/>
  <c r="R885" i="140" s="1"/>
  <c r="L908" i="140"/>
  <c r="L913" i="140"/>
  <c r="L765" i="140"/>
  <c r="L774" i="140"/>
  <c r="L782" i="140"/>
  <c r="P794" i="140"/>
  <c r="L814" i="140"/>
  <c r="I822" i="140"/>
  <c r="I828" i="140"/>
  <c r="I840" i="140"/>
  <c r="L854" i="140"/>
  <c r="P857" i="140"/>
  <c r="L871" i="140"/>
  <c r="L877" i="140"/>
  <c r="L881" i="140"/>
  <c r="N894" i="140"/>
  <c r="Q894" i="140" s="1"/>
  <c r="R894" i="140" s="1"/>
  <c r="I904" i="140"/>
  <c r="I779" i="140"/>
  <c r="I787" i="140"/>
  <c r="I797" i="140"/>
  <c r="L822" i="140"/>
  <c r="L828" i="140"/>
  <c r="L840" i="140"/>
  <c r="N850" i="140"/>
  <c r="O850" i="140" s="1"/>
  <c r="I858" i="140"/>
  <c r="I866" i="140"/>
  <c r="I887" i="140"/>
  <c r="L904" i="140"/>
  <c r="I909" i="140"/>
  <c r="I916" i="140"/>
  <c r="I775" i="140"/>
  <c r="L787" i="140"/>
  <c r="L797" i="140"/>
  <c r="I835" i="140"/>
  <c r="L858" i="140"/>
  <c r="I863" i="140"/>
  <c r="L866" i="140"/>
  <c r="I873" i="140"/>
  <c r="I882" i="140"/>
  <c r="L887" i="140"/>
  <c r="I895" i="140"/>
  <c r="L909" i="140"/>
  <c r="L916" i="140"/>
  <c r="E53" i="125"/>
  <c r="Q919" i="140"/>
  <c r="R919" i="140" s="1"/>
  <c r="O919" i="140"/>
  <c r="N918" i="140"/>
  <c r="N912" i="140"/>
  <c r="N911" i="140"/>
  <c r="N913" i="140"/>
  <c r="N908" i="140"/>
  <c r="N907" i="140"/>
  <c r="Q904" i="140"/>
  <c r="R904" i="140" s="1"/>
  <c r="O904" i="140"/>
  <c r="O905" i="140"/>
  <c r="Q901" i="140"/>
  <c r="R901" i="140" s="1"/>
  <c r="O901" i="140"/>
  <c r="N902" i="140"/>
  <c r="N898" i="140"/>
  <c r="N895" i="140"/>
  <c r="N890" i="140"/>
  <c r="N888" i="140"/>
  <c r="O879" i="140"/>
  <c r="Q879" i="140"/>
  <c r="R879" i="140" s="1"/>
  <c r="Q880" i="140"/>
  <c r="R880" i="140" s="1"/>
  <c r="O880" i="140"/>
  <c r="N876" i="140"/>
  <c r="N884" i="140"/>
  <c r="N873" i="140"/>
  <c r="N881" i="140"/>
  <c r="N878" i="140"/>
  <c r="N875" i="140"/>
  <c r="N883" i="140"/>
  <c r="N874" i="140"/>
  <c r="N882" i="140"/>
  <c r="N870" i="140"/>
  <c r="N869" i="140"/>
  <c r="N871" i="140"/>
  <c r="N868" i="140"/>
  <c r="Q862" i="140"/>
  <c r="R862" i="140" s="1"/>
  <c r="O862" i="140"/>
  <c r="N865" i="140"/>
  <c r="N864" i="140"/>
  <c r="O857" i="140"/>
  <c r="Q857" i="140"/>
  <c r="R857" i="140" s="1"/>
  <c r="Q853" i="140"/>
  <c r="R853" i="140" s="1"/>
  <c r="O853" i="140"/>
  <c r="N851" i="140"/>
  <c r="N859" i="140"/>
  <c r="N856" i="140"/>
  <c r="N855" i="140"/>
  <c r="N852" i="140"/>
  <c r="N860" i="140"/>
  <c r="N847" i="140"/>
  <c r="N846" i="140"/>
  <c r="N845" i="140"/>
  <c r="N841" i="140"/>
  <c r="N838" i="140"/>
  <c r="N830" i="140"/>
  <c r="N831" i="140"/>
  <c r="Q828" i="140"/>
  <c r="R828" i="140" s="1"/>
  <c r="O828" i="140"/>
  <c r="N827" i="140"/>
  <c r="N824" i="140"/>
  <c r="N823" i="140"/>
  <c r="N825" i="140"/>
  <c r="N822" i="140"/>
  <c r="N819" i="140"/>
  <c r="N820" i="140"/>
  <c r="N816" i="140"/>
  <c r="N817" i="140"/>
  <c r="N813" i="140"/>
  <c r="N810" i="140"/>
  <c r="N807" i="140"/>
  <c r="N806" i="140"/>
  <c r="N808" i="140"/>
  <c r="N802" i="140"/>
  <c r="O804" i="140"/>
  <c r="N800" i="140"/>
  <c r="N797" i="140"/>
  <c r="Q794" i="140"/>
  <c r="R794" i="140" s="1"/>
  <c r="O794" i="140"/>
  <c r="N793" i="140"/>
  <c r="N791" i="140"/>
  <c r="N789" i="140"/>
  <c r="N786" i="140"/>
  <c r="K921" i="140"/>
  <c r="N787" i="140"/>
  <c r="L780" i="140"/>
  <c r="N783" i="140"/>
  <c r="N780" i="140"/>
  <c r="N777" i="140"/>
  <c r="N779" i="140"/>
  <c r="N784" i="140"/>
  <c r="Q775" i="140"/>
  <c r="R775" i="140" s="1"/>
  <c r="O775" i="140"/>
  <c r="N774" i="140"/>
  <c r="N771" i="140"/>
  <c r="N767" i="140"/>
  <c r="Q765" i="140"/>
  <c r="O765" i="140"/>
  <c r="S17" i="140"/>
  <c r="F588" i="140"/>
  <c r="F744" i="140"/>
  <c r="H921" i="140"/>
  <c r="F921" i="140"/>
  <c r="T588" i="140" l="1"/>
  <c r="O814" i="140"/>
  <c r="O844" i="140"/>
  <c r="O835" i="140"/>
  <c r="O837" i="140"/>
  <c r="O877" i="140"/>
  <c r="Q854" i="140"/>
  <c r="R854" i="140" s="1"/>
  <c r="Q848" i="140"/>
  <c r="R848" i="140" s="1"/>
  <c r="Q781" i="140"/>
  <c r="R781" i="140" s="1"/>
  <c r="Q769" i="140"/>
  <c r="R769" i="140" s="1"/>
  <c r="O885" i="140"/>
  <c r="O894" i="140"/>
  <c r="O778" i="140"/>
  <c r="O840" i="140"/>
  <c r="O916" i="140"/>
  <c r="Q834" i="140"/>
  <c r="R834" i="140" s="1"/>
  <c r="Q782" i="140"/>
  <c r="R782" i="140" s="1"/>
  <c r="Q858" i="140"/>
  <c r="R858" i="140" s="1"/>
  <c r="O866" i="140"/>
  <c r="R765" i="140"/>
  <c r="Q909" i="140"/>
  <c r="R909" i="140" s="1"/>
  <c r="Q850" i="140"/>
  <c r="R850" i="140" s="1"/>
  <c r="Q863" i="140"/>
  <c r="R863" i="140" s="1"/>
  <c r="Q887" i="140"/>
  <c r="R887" i="140" s="1"/>
  <c r="K760" i="140"/>
  <c r="F54" i="125"/>
  <c r="K605" i="140"/>
  <c r="F53" i="125"/>
  <c r="H89" i="125" s="1"/>
  <c r="J89" i="125" s="1"/>
  <c r="K17" i="140"/>
  <c r="F52" i="125"/>
  <c r="Q918" i="140"/>
  <c r="R918" i="140" s="1"/>
  <c r="O918" i="140"/>
  <c r="Q912" i="140"/>
  <c r="R912" i="140" s="1"/>
  <c r="O912" i="140"/>
  <c r="Q911" i="140"/>
  <c r="R911" i="140" s="1"/>
  <c r="O911" i="140"/>
  <c r="Q913" i="140"/>
  <c r="R913" i="140" s="1"/>
  <c r="O913" i="140"/>
  <c r="Q907" i="140"/>
  <c r="R907" i="140" s="1"/>
  <c r="O907" i="140"/>
  <c r="Q908" i="140"/>
  <c r="R908" i="140" s="1"/>
  <c r="O908" i="140"/>
  <c r="Q902" i="140"/>
  <c r="R902" i="140" s="1"/>
  <c r="O902" i="140"/>
  <c r="Q898" i="140"/>
  <c r="R898" i="140" s="1"/>
  <c r="O898" i="140"/>
  <c r="Q895" i="140"/>
  <c r="R895" i="140" s="1"/>
  <c r="O895" i="140"/>
  <c r="Q890" i="140"/>
  <c r="R890" i="140" s="1"/>
  <c r="O890" i="140"/>
  <c r="Q888" i="140"/>
  <c r="R888" i="140" s="1"/>
  <c r="O888" i="140"/>
  <c r="O882" i="140"/>
  <c r="Q882" i="140"/>
  <c r="R882" i="140" s="1"/>
  <c r="O874" i="140"/>
  <c r="Q874" i="140"/>
  <c r="R874" i="140" s="1"/>
  <c r="Q883" i="140"/>
  <c r="R883" i="140" s="1"/>
  <c r="O883" i="140"/>
  <c r="Q875" i="140"/>
  <c r="R875" i="140" s="1"/>
  <c r="O875" i="140"/>
  <c r="Q878" i="140"/>
  <c r="R878" i="140" s="1"/>
  <c r="O878" i="140"/>
  <c r="Q881" i="140"/>
  <c r="R881" i="140" s="1"/>
  <c r="O881" i="140"/>
  <c r="Q873" i="140"/>
  <c r="R873" i="140" s="1"/>
  <c r="O873" i="140"/>
  <c r="Q884" i="140"/>
  <c r="R884" i="140" s="1"/>
  <c r="O884" i="140"/>
  <c r="Q876" i="140"/>
  <c r="R876" i="140" s="1"/>
  <c r="O876" i="140"/>
  <c r="O868" i="140"/>
  <c r="Q868" i="140"/>
  <c r="R868" i="140" s="1"/>
  <c r="Q871" i="140"/>
  <c r="R871" i="140" s="1"/>
  <c r="O871" i="140"/>
  <c r="Q869" i="140"/>
  <c r="R869" i="140" s="1"/>
  <c r="O869" i="140"/>
  <c r="Q870" i="140"/>
  <c r="R870" i="140" s="1"/>
  <c r="O870" i="140"/>
  <c r="Q864" i="140"/>
  <c r="R864" i="140" s="1"/>
  <c r="O864" i="140"/>
  <c r="Q865" i="140"/>
  <c r="R865" i="140" s="1"/>
  <c r="O865" i="140"/>
  <c r="Q852" i="140"/>
  <c r="R852" i="140" s="1"/>
  <c r="O852" i="140"/>
  <c r="Q860" i="140"/>
  <c r="R860" i="140" s="1"/>
  <c r="O860" i="140"/>
  <c r="Q855" i="140"/>
  <c r="R855" i="140" s="1"/>
  <c r="O855" i="140"/>
  <c r="Q856" i="140"/>
  <c r="R856" i="140" s="1"/>
  <c r="O856" i="140"/>
  <c r="Q851" i="140"/>
  <c r="R851" i="140" s="1"/>
  <c r="O851" i="140"/>
  <c r="Q859" i="140"/>
  <c r="R859" i="140" s="1"/>
  <c r="O859" i="140"/>
  <c r="O845" i="140"/>
  <c r="Q845" i="140"/>
  <c r="R845" i="140" s="1"/>
  <c r="Q846" i="140"/>
  <c r="R846" i="140" s="1"/>
  <c r="O846" i="140"/>
  <c r="Q847" i="140"/>
  <c r="R847" i="140" s="1"/>
  <c r="O847" i="140"/>
  <c r="Q841" i="140"/>
  <c r="R841" i="140" s="1"/>
  <c r="O841" i="140"/>
  <c r="Q838" i="140"/>
  <c r="R838" i="140" s="1"/>
  <c r="O838" i="140"/>
  <c r="Q831" i="140"/>
  <c r="R831" i="140" s="1"/>
  <c r="O831" i="140"/>
  <c r="Q830" i="140"/>
  <c r="R830" i="140" s="1"/>
  <c r="O830" i="140"/>
  <c r="Q827" i="140"/>
  <c r="R827" i="140" s="1"/>
  <c r="O827" i="140"/>
  <c r="O822" i="140"/>
  <c r="Q822" i="140"/>
  <c r="R822" i="140" s="1"/>
  <c r="Q825" i="140"/>
  <c r="R825" i="140" s="1"/>
  <c r="O825" i="140"/>
  <c r="Q823" i="140"/>
  <c r="R823" i="140" s="1"/>
  <c r="O823" i="140"/>
  <c r="Q824" i="140"/>
  <c r="R824" i="140" s="1"/>
  <c r="O824" i="140"/>
  <c r="Q820" i="140"/>
  <c r="R820" i="140" s="1"/>
  <c r="O820" i="140"/>
  <c r="Q819" i="140"/>
  <c r="R819" i="140" s="1"/>
  <c r="O819" i="140"/>
  <c r="Q817" i="140"/>
  <c r="R817" i="140" s="1"/>
  <c r="O817" i="140"/>
  <c r="Q816" i="140"/>
  <c r="R816" i="140" s="1"/>
  <c r="O816" i="140"/>
  <c r="Q813" i="140"/>
  <c r="R813" i="140" s="1"/>
  <c r="O813" i="140"/>
  <c r="Q810" i="140"/>
  <c r="R810" i="140" s="1"/>
  <c r="O810" i="140"/>
  <c r="Q808" i="140"/>
  <c r="R808" i="140" s="1"/>
  <c r="O808" i="140"/>
  <c r="Q806" i="140"/>
  <c r="R806" i="140" s="1"/>
  <c r="O806" i="140"/>
  <c r="Q807" i="140"/>
  <c r="R807" i="140" s="1"/>
  <c r="O807" i="140"/>
  <c r="L921" i="140"/>
  <c r="Q802" i="140"/>
  <c r="R802" i="140" s="1"/>
  <c r="O802" i="140"/>
  <c r="Q800" i="140"/>
  <c r="R800" i="140" s="1"/>
  <c r="O800" i="140"/>
  <c r="Q797" i="140"/>
  <c r="R797" i="140" s="1"/>
  <c r="O797" i="140"/>
  <c r="Q793" i="140"/>
  <c r="R793" i="140" s="1"/>
  <c r="O793" i="140"/>
  <c r="Q791" i="140"/>
  <c r="R791" i="140" s="1"/>
  <c r="O791" i="140"/>
  <c r="Q789" i="140"/>
  <c r="R789" i="140" s="1"/>
  <c r="O789" i="140"/>
  <c r="Q787" i="140"/>
  <c r="R787" i="140" s="1"/>
  <c r="O787" i="140"/>
  <c r="Q786" i="140"/>
  <c r="R786" i="140" s="1"/>
  <c r="O786" i="140"/>
  <c r="Q777" i="140"/>
  <c r="R777" i="140" s="1"/>
  <c r="O777" i="140"/>
  <c r="Q784" i="140"/>
  <c r="R784" i="140" s="1"/>
  <c r="O784" i="140"/>
  <c r="Q779" i="140"/>
  <c r="R779" i="140" s="1"/>
  <c r="O779" i="140"/>
  <c r="Q780" i="140"/>
  <c r="R780" i="140" s="1"/>
  <c r="O780" i="140"/>
  <c r="Q783" i="140"/>
  <c r="R783" i="140" s="1"/>
  <c r="O783" i="140"/>
  <c r="Q774" i="140"/>
  <c r="R774" i="140" s="1"/>
  <c r="O774" i="140"/>
  <c r="Q771" i="140"/>
  <c r="R771" i="140" s="1"/>
  <c r="O771" i="140"/>
  <c r="Q767" i="140"/>
  <c r="R767" i="140" s="1"/>
  <c r="O767" i="140"/>
  <c r="C925" i="140"/>
  <c r="T921" i="140"/>
  <c r="F605" i="140"/>
  <c r="C924" i="140"/>
  <c r="L588" i="140"/>
  <c r="F17" i="140"/>
  <c r="I744" i="140"/>
  <c r="H605" i="140"/>
  <c r="H760" i="140"/>
  <c r="I921" i="140"/>
  <c r="N921" i="140"/>
  <c r="I588" i="140"/>
  <c r="H17" i="140"/>
  <c r="C926" i="140"/>
  <c r="F760" i="140"/>
  <c r="L744" i="140"/>
  <c r="T207" i="142" l="1"/>
  <c r="H88" i="125"/>
  <c r="J88" i="125" s="1"/>
  <c r="G89" i="125"/>
  <c r="H54" i="125"/>
  <c r="F90" i="125"/>
  <c r="G54" i="125"/>
  <c r="Q921" i="140"/>
  <c r="R921" i="140" s="1"/>
  <c r="R744" i="140"/>
  <c r="H53" i="125"/>
  <c r="G53" i="125"/>
  <c r="H52" i="125"/>
  <c r="J52" i="125" s="1"/>
  <c r="G52" i="125"/>
  <c r="N605" i="140"/>
  <c r="O921" i="140"/>
  <c r="N760" i="140"/>
  <c r="C927" i="140"/>
  <c r="O588" i="140"/>
  <c r="N17" i="140"/>
  <c r="T205" i="142" l="1"/>
  <c r="Z205" i="142" s="1"/>
  <c r="Z207" i="142"/>
  <c r="AC207" i="142"/>
  <c r="K89" i="125"/>
  <c r="T206" i="142"/>
  <c r="Z206" i="142" s="1"/>
  <c r="H90" i="125"/>
  <c r="J90" i="125" s="1"/>
  <c r="G90" i="125"/>
  <c r="J54" i="125"/>
  <c r="K54" i="125" s="1"/>
  <c r="I54" i="125"/>
  <c r="I53" i="125"/>
  <c r="J53" i="125"/>
  <c r="K53" i="125" s="1"/>
  <c r="G88" i="125"/>
  <c r="K52" i="125"/>
  <c r="I52" i="125"/>
  <c r="Q760" i="140"/>
  <c r="Q605" i="140"/>
  <c r="R588" i="140"/>
  <c r="Q17" i="140"/>
  <c r="AC205" i="142" l="1"/>
  <c r="AH205" i="142" s="1"/>
  <c r="AH207" i="142"/>
  <c r="AJ207" i="142"/>
  <c r="AL207" i="142" s="1"/>
  <c r="I89" i="125"/>
  <c r="AC206" i="142"/>
  <c r="AJ205" i="142"/>
  <c r="AL205" i="142" s="1"/>
  <c r="K90" i="125"/>
  <c r="I90" i="125"/>
  <c r="K88" i="125"/>
  <c r="I88" i="125"/>
  <c r="AH206" i="142" l="1"/>
  <c r="AJ206" i="142"/>
  <c r="AL206" i="142" s="1"/>
  <c r="Q181" i="136" l="1"/>
  <c r="AA179" i="136"/>
  <c r="H47" i="136"/>
  <c r="G47" i="136"/>
  <c r="W46" i="136"/>
  <c r="H46" i="136"/>
  <c r="G46" i="136"/>
  <c r="W45" i="136"/>
  <c r="H45" i="136"/>
  <c r="G45" i="136"/>
  <c r="W44" i="136"/>
  <c r="H44" i="136"/>
  <c r="G44" i="136"/>
  <c r="W36" i="136"/>
  <c r="W35" i="136"/>
  <c r="W34" i="136"/>
  <c r="W33" i="136"/>
  <c r="J26" i="136"/>
  <c r="M8" i="136"/>
  <c r="M5" i="136"/>
  <c r="W48" i="136" l="1"/>
  <c r="W38" i="136"/>
  <c r="G179" i="136" l="1"/>
  <c r="S181" i="136"/>
  <c r="Q179" i="136" l="1"/>
  <c r="Y179" i="136"/>
  <c r="AH179" i="136"/>
  <c r="AM179" i="136" s="1"/>
  <c r="Q180" i="136"/>
  <c r="AF179" i="136"/>
  <c r="Y180" i="136"/>
  <c r="AA180" i="136"/>
  <c r="G180" i="136" s="1"/>
  <c r="AA181" i="136"/>
  <c r="Y181" i="136"/>
  <c r="AH180" i="136" l="1"/>
  <c r="AM180" i="136" s="1"/>
  <c r="AF180" i="136"/>
  <c r="AF181" i="136"/>
  <c r="AH181" i="136"/>
  <c r="AM181" i="136" s="1"/>
  <c r="AK22" i="124" l="1"/>
  <c r="AK23" i="124"/>
  <c r="AK21" i="124"/>
  <c r="AK19" i="124"/>
  <c r="AK18" i="124"/>
  <c r="AK16" i="124"/>
  <c r="AK15" i="124"/>
  <c r="F42" i="125" l="1"/>
  <c r="H42" i="125" s="1"/>
  <c r="J42" i="125" s="1"/>
  <c r="H86" i="125"/>
  <c r="D85" i="125" l="1"/>
  <c r="C85" i="125"/>
  <c r="F84" i="125" l="1"/>
  <c r="T203" i="142"/>
  <c r="Z203" i="142" s="1"/>
  <c r="T201" i="142"/>
  <c r="Z201" i="142" s="1"/>
  <c r="E85" i="125"/>
  <c r="E45" i="125"/>
  <c r="D84" i="125"/>
  <c r="G46" i="125"/>
  <c r="H46" i="125"/>
  <c r="AC203" i="142" l="1"/>
  <c r="H84" i="125"/>
  <c r="T202" i="142"/>
  <c r="Z202" i="142" s="1"/>
  <c r="AC201" i="142"/>
  <c r="H44" i="125"/>
  <c r="I44" i="125" s="1"/>
  <c r="I46" i="125"/>
  <c r="C84" i="125"/>
  <c r="E44" i="125"/>
  <c r="G44" i="125"/>
  <c r="C86" i="125"/>
  <c r="J86" i="125" s="1"/>
  <c r="J46" i="125"/>
  <c r="K46" i="125" s="1"/>
  <c r="F85" i="125"/>
  <c r="H85" i="125" s="1"/>
  <c r="J85" i="125" s="1"/>
  <c r="H45" i="125"/>
  <c r="G45" i="125"/>
  <c r="J84" i="125" l="1"/>
  <c r="K84" i="125" s="1"/>
  <c r="G84" i="125"/>
  <c r="AC202" i="142"/>
  <c r="AH203" i="142"/>
  <c r="AJ203" i="142"/>
  <c r="AL203" i="142" s="1"/>
  <c r="AH201" i="142"/>
  <c r="AJ201" i="142"/>
  <c r="AL201" i="142" s="1"/>
  <c r="J44" i="125"/>
  <c r="K44" i="125" s="1"/>
  <c r="E84" i="125"/>
  <c r="I86" i="125"/>
  <c r="G86" i="125"/>
  <c r="K86" i="125"/>
  <c r="E86" i="125"/>
  <c r="I84" i="125"/>
  <c r="I45" i="125"/>
  <c r="J45" i="125"/>
  <c r="K45" i="125" s="1"/>
  <c r="G85" i="125"/>
  <c r="AH202" i="142" l="1"/>
  <c r="AJ202" i="142"/>
  <c r="AL202" i="142" s="1"/>
  <c r="I85" i="125"/>
  <c r="K85" i="125"/>
  <c r="K162" i="131" l="1"/>
  <c r="K155" i="131"/>
  <c r="K129" i="131"/>
  <c r="K128" i="131"/>
  <c r="K127" i="131"/>
  <c r="K125" i="131"/>
  <c r="K124" i="131"/>
  <c r="K97" i="131"/>
  <c r="K95" i="131"/>
  <c r="K90" i="131"/>
  <c r="K87" i="131"/>
  <c r="K83" i="131"/>
  <c r="K82" i="131"/>
  <c r="K81" i="131"/>
  <c r="K79" i="131"/>
  <c r="K78" i="131"/>
  <c r="K77" i="131"/>
  <c r="K35" i="131"/>
  <c r="K32" i="131"/>
  <c r="K30" i="131"/>
  <c r="K26" i="131"/>
  <c r="K25" i="131"/>
  <c r="K22" i="131"/>
  <c r="K20" i="131"/>
  <c r="K220" i="131" l="1"/>
  <c r="M32" i="75" l="1"/>
  <c r="D37" i="125" l="1"/>
  <c r="D81" i="125" s="1"/>
  <c r="M27" i="75"/>
  <c r="F20" i="70" l="1"/>
  <c r="L20" i="70" l="1"/>
  <c r="R20" i="70"/>
  <c r="O20" i="70"/>
  <c r="S545" i="70" l="1"/>
  <c r="C62" i="112"/>
  <c r="M194" i="131" l="1"/>
  <c r="M196" i="131"/>
  <c r="M197" i="131"/>
  <c r="M198" i="131"/>
  <c r="M202" i="131"/>
  <c r="M205" i="131"/>
  <c r="M207" i="131"/>
  <c r="M209" i="131"/>
  <c r="M210" i="131"/>
  <c r="M211" i="131"/>
  <c r="M213" i="131"/>
  <c r="M214" i="131"/>
  <c r="M216" i="131"/>
  <c r="M217" i="131"/>
  <c r="M221" i="131"/>
  <c r="N221" i="131" s="1"/>
  <c r="M225" i="131"/>
  <c r="K227" i="131" l="1"/>
  <c r="N227" i="131" s="1"/>
  <c r="O227" i="131" s="1"/>
  <c r="P226" i="131"/>
  <c r="F226" i="131" l="1"/>
  <c r="F189" i="131"/>
  <c r="F190" i="131"/>
  <c r="Q190" i="131" l="1"/>
  <c r="R190" i="131" s="1"/>
  <c r="L226" i="131"/>
  <c r="R226" i="131"/>
  <c r="O226" i="131"/>
  <c r="K214" i="131"/>
  <c r="P214" i="131"/>
  <c r="F214" i="131"/>
  <c r="K199" i="131"/>
  <c r="K202" i="131"/>
  <c r="K205" i="131"/>
  <c r="K193" i="131"/>
  <c r="K194" i="131"/>
  <c r="K196" i="131"/>
  <c r="K197" i="131"/>
  <c r="K198" i="131"/>
  <c r="K207" i="131"/>
  <c r="K209" i="131"/>
  <c r="K210" i="131"/>
  <c r="K211" i="131"/>
  <c r="K213" i="131"/>
  <c r="K216" i="131"/>
  <c r="K217" i="131"/>
  <c r="K221" i="131"/>
  <c r="K225" i="131"/>
  <c r="L214" i="131" l="1"/>
  <c r="N214" i="131"/>
  <c r="F37" i="125" l="1"/>
  <c r="O214" i="131"/>
  <c r="Q214" i="131"/>
  <c r="R214" i="131" s="1"/>
  <c r="H37" i="125" l="1"/>
  <c r="F81" i="125"/>
  <c r="K21" i="131"/>
  <c r="K23" i="131"/>
  <c r="K24" i="131"/>
  <c r="K27" i="131"/>
  <c r="K28" i="131"/>
  <c r="K29" i="131"/>
  <c r="K31" i="131"/>
  <c r="K33" i="131"/>
  <c r="K34" i="131"/>
  <c r="K36" i="131"/>
  <c r="K37" i="131"/>
  <c r="K38" i="131"/>
  <c r="K39" i="131"/>
  <c r="K40" i="131"/>
  <c r="K41" i="131"/>
  <c r="K42" i="131"/>
  <c r="K43" i="131"/>
  <c r="K44" i="131"/>
  <c r="K45" i="131"/>
  <c r="K46" i="131"/>
  <c r="K47" i="131"/>
  <c r="K48" i="131"/>
  <c r="K49" i="131"/>
  <c r="K50" i="131"/>
  <c r="K51" i="131"/>
  <c r="K52" i="131"/>
  <c r="K53" i="131"/>
  <c r="K54" i="131"/>
  <c r="K55" i="131"/>
  <c r="K56" i="131"/>
  <c r="K57" i="131"/>
  <c r="K58" i="131"/>
  <c r="K59" i="131"/>
  <c r="K60" i="131"/>
  <c r="K61" i="131"/>
  <c r="K62" i="131"/>
  <c r="K63" i="131"/>
  <c r="K64" i="131"/>
  <c r="K65" i="131"/>
  <c r="K66" i="131"/>
  <c r="K67" i="131"/>
  <c r="K68" i="131"/>
  <c r="K69" i="131"/>
  <c r="K70" i="131"/>
  <c r="K71" i="131"/>
  <c r="K72" i="131"/>
  <c r="K73" i="131"/>
  <c r="K74" i="131"/>
  <c r="K75" i="131"/>
  <c r="K80" i="131"/>
  <c r="K84" i="131"/>
  <c r="K86" i="131"/>
  <c r="K91" i="131"/>
  <c r="K92" i="131"/>
  <c r="K93" i="131"/>
  <c r="K96" i="131"/>
  <c r="K101" i="131"/>
  <c r="K102" i="131"/>
  <c r="K103" i="131"/>
  <c r="K104" i="131"/>
  <c r="K105" i="131"/>
  <c r="K106" i="131"/>
  <c r="K107" i="131"/>
  <c r="K108" i="131"/>
  <c r="K109" i="131"/>
  <c r="K113" i="131"/>
  <c r="K114" i="131"/>
  <c r="K115" i="131"/>
  <c r="K116" i="131"/>
  <c r="K117" i="131"/>
  <c r="K120" i="131"/>
  <c r="K121" i="131"/>
  <c r="K122" i="131"/>
  <c r="K126" i="131"/>
  <c r="K130" i="131"/>
  <c r="K131" i="131"/>
  <c r="K132" i="131"/>
  <c r="K133" i="131"/>
  <c r="K134" i="131"/>
  <c r="K135" i="131"/>
  <c r="K136" i="131"/>
  <c r="K137" i="131"/>
  <c r="K138" i="131"/>
  <c r="K139" i="131"/>
  <c r="K140" i="131"/>
  <c r="K141" i="131"/>
  <c r="K142" i="131"/>
  <c r="K143" i="131"/>
  <c r="K144" i="131"/>
  <c r="K145" i="131"/>
  <c r="K146" i="131"/>
  <c r="K147" i="131"/>
  <c r="K148" i="131"/>
  <c r="K149" i="131"/>
  <c r="K150" i="131"/>
  <c r="K151" i="131"/>
  <c r="K152" i="131"/>
  <c r="K153" i="131"/>
  <c r="K154" i="131"/>
  <c r="K156" i="131"/>
  <c r="K157" i="131"/>
  <c r="K158" i="131"/>
  <c r="K159" i="131"/>
  <c r="K160" i="131"/>
  <c r="K161" i="131"/>
  <c r="K163" i="131"/>
  <c r="K164" i="131"/>
  <c r="K165" i="131"/>
  <c r="K166" i="131"/>
  <c r="K167" i="131"/>
  <c r="K168" i="131"/>
  <c r="K169" i="131"/>
  <c r="K170" i="131" l="1"/>
  <c r="D49" i="131"/>
  <c r="F36" i="125" l="1"/>
  <c r="F34" i="125"/>
  <c r="H34" i="125" s="1"/>
  <c r="J34" i="125" s="1"/>
  <c r="F294" i="131"/>
  <c r="L294" i="131" s="1"/>
  <c r="F293" i="131"/>
  <c r="L293" i="131" s="1"/>
  <c r="F292" i="131"/>
  <c r="F291" i="131"/>
  <c r="L291" i="131" s="1"/>
  <c r="F290" i="131"/>
  <c r="L290" i="131" s="1"/>
  <c r="F289" i="131"/>
  <c r="L289" i="131" s="1"/>
  <c r="F288" i="131"/>
  <c r="F287" i="131"/>
  <c r="F286" i="131"/>
  <c r="F285" i="131"/>
  <c r="L285" i="131" s="1"/>
  <c r="F284" i="131"/>
  <c r="L284" i="131" s="1"/>
  <c r="F283" i="131"/>
  <c r="F282" i="131"/>
  <c r="L282" i="131" s="1"/>
  <c r="F281" i="131"/>
  <c r="F280" i="131"/>
  <c r="F279" i="131"/>
  <c r="L279" i="131" s="1"/>
  <c r="F278" i="131"/>
  <c r="L278" i="131" s="1"/>
  <c r="F277" i="131"/>
  <c r="F276" i="131"/>
  <c r="L276" i="131" s="1"/>
  <c r="F275" i="131"/>
  <c r="L275" i="131" s="1"/>
  <c r="F274" i="131"/>
  <c r="F273" i="131"/>
  <c r="F272" i="131"/>
  <c r="F271" i="131"/>
  <c r="L271" i="131" s="1"/>
  <c r="F270" i="131"/>
  <c r="F269" i="131"/>
  <c r="L269" i="131" s="1"/>
  <c r="F268" i="131"/>
  <c r="F267" i="131"/>
  <c r="F266" i="131"/>
  <c r="L266" i="131" s="1"/>
  <c r="F265" i="131"/>
  <c r="F264" i="131"/>
  <c r="F263" i="131"/>
  <c r="L263" i="131" s="1"/>
  <c r="F262" i="131"/>
  <c r="L262" i="131" s="1"/>
  <c r="F261" i="131"/>
  <c r="L261" i="131" s="1"/>
  <c r="F260" i="131"/>
  <c r="F259" i="131"/>
  <c r="L259" i="131" s="1"/>
  <c r="F258" i="131"/>
  <c r="F257" i="131"/>
  <c r="F256" i="131"/>
  <c r="L256" i="131" s="1"/>
  <c r="F255" i="131"/>
  <c r="F254" i="131"/>
  <c r="L254" i="131" s="1"/>
  <c r="F253" i="131"/>
  <c r="L253" i="131" s="1"/>
  <c r="F252" i="131"/>
  <c r="L252" i="131" s="1"/>
  <c r="F251" i="131"/>
  <c r="F250" i="131"/>
  <c r="F249" i="131"/>
  <c r="F248" i="131"/>
  <c r="L248" i="131" s="1"/>
  <c r="H246" i="131"/>
  <c r="N246" i="131"/>
  <c r="H247" i="131"/>
  <c r="H248" i="131"/>
  <c r="M248" i="131"/>
  <c r="N248" i="131" s="1"/>
  <c r="N249" i="131"/>
  <c r="H250" i="131"/>
  <c r="N250" i="131"/>
  <c r="H251" i="131"/>
  <c r="N251" i="131"/>
  <c r="H252" i="131"/>
  <c r="M252" i="131"/>
  <c r="N252" i="131" s="1"/>
  <c r="H253" i="131"/>
  <c r="M253" i="131"/>
  <c r="N253" i="131" s="1"/>
  <c r="H254" i="131"/>
  <c r="M254" i="131"/>
  <c r="N254" i="131" s="1"/>
  <c r="H256" i="131"/>
  <c r="M256" i="131"/>
  <c r="N256" i="131" s="1"/>
  <c r="H257" i="131"/>
  <c r="M257" i="131"/>
  <c r="N257" i="131" s="1"/>
  <c r="H259" i="131"/>
  <c r="M259" i="131"/>
  <c r="N259" i="131" s="1"/>
  <c r="H261" i="131"/>
  <c r="M261" i="131"/>
  <c r="N261" i="131" s="1"/>
  <c r="H262" i="131"/>
  <c r="M262" i="131"/>
  <c r="N262" i="131" s="1"/>
  <c r="H263" i="131"/>
  <c r="M263" i="131"/>
  <c r="P263" i="131" s="1"/>
  <c r="H265" i="131"/>
  <c r="M265" i="131"/>
  <c r="N265" i="131" s="1"/>
  <c r="H266" i="131"/>
  <c r="M266" i="131"/>
  <c r="P266" i="131" s="1"/>
  <c r="H267" i="131"/>
  <c r="H268" i="131"/>
  <c r="N268" i="131"/>
  <c r="H269" i="131"/>
  <c r="M269" i="131"/>
  <c r="N269" i="131" s="1"/>
  <c r="H271" i="131"/>
  <c r="M271" i="131"/>
  <c r="N271" i="131" s="1"/>
  <c r="H272" i="131"/>
  <c r="N272" i="131"/>
  <c r="H273" i="131"/>
  <c r="H274" i="131"/>
  <c r="N274" i="131"/>
  <c r="H275" i="131"/>
  <c r="M275" i="131"/>
  <c r="N275" i="131" s="1"/>
  <c r="H276" i="131"/>
  <c r="M276" i="131"/>
  <c r="N276" i="131" s="1"/>
  <c r="H278" i="131"/>
  <c r="M278" i="131"/>
  <c r="P278" i="131" s="1"/>
  <c r="H279" i="131"/>
  <c r="M279" i="131"/>
  <c r="N279" i="131" s="1"/>
  <c r="H280" i="131"/>
  <c r="M280" i="131"/>
  <c r="N280" i="131" s="1"/>
  <c r="H281" i="131"/>
  <c r="N281" i="131"/>
  <c r="H282" i="131"/>
  <c r="M282" i="131"/>
  <c r="N282" i="131" s="1"/>
  <c r="H283" i="131"/>
  <c r="M283" i="131"/>
  <c r="N283" i="131" s="1"/>
  <c r="H284" i="131"/>
  <c r="M284" i="131"/>
  <c r="N284" i="131" s="1"/>
  <c r="H285" i="131"/>
  <c r="M285" i="131"/>
  <c r="N285" i="131" s="1"/>
  <c r="H286" i="131"/>
  <c r="H287" i="131"/>
  <c r="N287" i="131"/>
  <c r="H288" i="131"/>
  <c r="H289" i="131"/>
  <c r="M289" i="131"/>
  <c r="P289" i="131" s="1"/>
  <c r="H290" i="131"/>
  <c r="M290" i="131"/>
  <c r="N290" i="131" s="1"/>
  <c r="H291" i="131"/>
  <c r="M291" i="131"/>
  <c r="N291" i="131" s="1"/>
  <c r="N292" i="131"/>
  <c r="H293" i="131"/>
  <c r="M293" i="131"/>
  <c r="N293" i="131" s="1"/>
  <c r="H294" i="131"/>
  <c r="M294" i="131"/>
  <c r="P294" i="131" s="1"/>
  <c r="F225" i="131"/>
  <c r="F224" i="131"/>
  <c r="F223" i="131"/>
  <c r="F222" i="131"/>
  <c r="F221" i="131"/>
  <c r="F219" i="131"/>
  <c r="F218" i="131"/>
  <c r="F217" i="131"/>
  <c r="F216" i="131"/>
  <c r="F215" i="131"/>
  <c r="F213" i="131"/>
  <c r="F212" i="131"/>
  <c r="F211" i="131"/>
  <c r="F210" i="131"/>
  <c r="F209" i="131"/>
  <c r="F208" i="131"/>
  <c r="F207" i="131"/>
  <c r="F206" i="131"/>
  <c r="F205" i="131"/>
  <c r="F203" i="131"/>
  <c r="F202" i="131"/>
  <c r="L202" i="131" s="1"/>
  <c r="F199" i="131"/>
  <c r="F198" i="131"/>
  <c r="L198" i="131" s="1"/>
  <c r="F197" i="131"/>
  <c r="L197" i="131" s="1"/>
  <c r="F196" i="131"/>
  <c r="L196" i="131" s="1"/>
  <c r="F194" i="131"/>
  <c r="F193" i="131"/>
  <c r="N194" i="131"/>
  <c r="N196" i="131"/>
  <c r="N197" i="131"/>
  <c r="P198" i="131"/>
  <c r="N202" i="131"/>
  <c r="M20" i="131"/>
  <c r="N20" i="131" s="1"/>
  <c r="M21" i="131"/>
  <c r="M22" i="131"/>
  <c r="N22" i="131" s="1"/>
  <c r="M23" i="131"/>
  <c r="N24" i="131"/>
  <c r="M25" i="131"/>
  <c r="N25" i="131" s="1"/>
  <c r="M26" i="131"/>
  <c r="N26" i="131" s="1"/>
  <c r="M27" i="131"/>
  <c r="M28" i="131"/>
  <c r="N28" i="131" s="1"/>
  <c r="M30" i="131"/>
  <c r="N30" i="131" s="1"/>
  <c r="M32" i="131"/>
  <c r="M34" i="131"/>
  <c r="N34" i="131" s="1"/>
  <c r="M35" i="131"/>
  <c r="M36" i="131"/>
  <c r="N36" i="131" s="1"/>
  <c r="N37" i="131"/>
  <c r="N38" i="131"/>
  <c r="N39" i="131"/>
  <c r="M40" i="131"/>
  <c r="N40" i="131" s="1"/>
  <c r="M41" i="131"/>
  <c r="N41" i="131" s="1"/>
  <c r="M43" i="131"/>
  <c r="N43" i="131" s="1"/>
  <c r="M45" i="131"/>
  <c r="M46" i="131"/>
  <c r="N46" i="131" s="1"/>
  <c r="M47" i="131"/>
  <c r="N47" i="131" s="1"/>
  <c r="M49" i="131"/>
  <c r="N49" i="131" s="1"/>
  <c r="M50" i="131"/>
  <c r="N50" i="131" s="1"/>
  <c r="M53" i="131"/>
  <c r="N53" i="131" s="1"/>
  <c r="M54" i="131"/>
  <c r="N54" i="131" s="1"/>
  <c r="N55" i="131"/>
  <c r="M56" i="131"/>
  <c r="N56" i="131" s="1"/>
  <c r="N57" i="131"/>
  <c r="M58" i="131"/>
  <c r="N58" i="131" s="1"/>
  <c r="M59" i="131"/>
  <c r="N59" i="131" s="1"/>
  <c r="N60" i="131"/>
  <c r="M61" i="131"/>
  <c r="M62" i="131"/>
  <c r="N62" i="131" s="1"/>
  <c r="M63" i="131"/>
  <c r="N63" i="131" s="1"/>
  <c r="M65" i="131"/>
  <c r="N65" i="131" s="1"/>
  <c r="M66" i="131"/>
  <c r="N66" i="131" s="1"/>
  <c r="N68" i="131"/>
  <c r="M69" i="131"/>
  <c r="M70" i="131"/>
  <c r="N70" i="131" s="1"/>
  <c r="M71" i="131"/>
  <c r="N71" i="131" s="1"/>
  <c r="N72" i="131"/>
  <c r="M73" i="131"/>
  <c r="N73" i="131" s="1"/>
  <c r="M74" i="131"/>
  <c r="N74" i="131" s="1"/>
  <c r="M75" i="131"/>
  <c r="M77" i="131"/>
  <c r="N77" i="131" s="1"/>
  <c r="M78" i="131"/>
  <c r="N78" i="131" s="1"/>
  <c r="M79" i="131"/>
  <c r="N79" i="131" s="1"/>
  <c r="M81" i="131"/>
  <c r="N81" i="131" s="1"/>
  <c r="M82" i="131"/>
  <c r="M83" i="131"/>
  <c r="N83" i="131" s="1"/>
  <c r="M84" i="131"/>
  <c r="N84" i="131" s="1"/>
  <c r="M86" i="131"/>
  <c r="M87" i="131"/>
  <c r="N87" i="131" s="1"/>
  <c r="M90" i="131"/>
  <c r="N90" i="131" s="1"/>
  <c r="M91" i="131"/>
  <c r="M92" i="131"/>
  <c r="N92" i="131" s="1"/>
  <c r="M93" i="131"/>
  <c r="N93" i="131" s="1"/>
  <c r="M95" i="131"/>
  <c r="N95" i="131" s="1"/>
  <c r="M97" i="131"/>
  <c r="N97" i="131" s="1"/>
  <c r="M101" i="131"/>
  <c r="P101" i="131" s="1"/>
  <c r="M102" i="131"/>
  <c r="N102" i="131" s="1"/>
  <c r="M103" i="131"/>
  <c r="P103" i="131" s="1"/>
  <c r="M104" i="131"/>
  <c r="P104" i="131" s="1"/>
  <c r="M105" i="131"/>
  <c r="N105" i="131" s="1"/>
  <c r="M106" i="131"/>
  <c r="N106" i="131" s="1"/>
  <c r="M107" i="131"/>
  <c r="P107" i="131" s="1"/>
  <c r="M108" i="131"/>
  <c r="N108" i="131" s="1"/>
  <c r="M109" i="131"/>
  <c r="N109" i="131" s="1"/>
  <c r="M113" i="131"/>
  <c r="N113" i="131" s="1"/>
  <c r="M114" i="131"/>
  <c r="P114" i="131" s="1"/>
  <c r="M115" i="131"/>
  <c r="N115" i="131" s="1"/>
  <c r="M116" i="131"/>
  <c r="N116" i="131" s="1"/>
  <c r="M117" i="131"/>
  <c r="P117" i="131" s="1"/>
  <c r="M120" i="131"/>
  <c r="M121" i="131"/>
  <c r="N121" i="131" s="1"/>
  <c r="M122" i="131"/>
  <c r="N122" i="131" s="1"/>
  <c r="M124" i="131"/>
  <c r="M125" i="131"/>
  <c r="N125" i="131" s="1"/>
  <c r="N126" i="131"/>
  <c r="M127" i="131"/>
  <c r="N127" i="131" s="1"/>
  <c r="M128" i="131"/>
  <c r="M129" i="131"/>
  <c r="N129" i="131" s="1"/>
  <c r="M130" i="131"/>
  <c r="N130" i="131" s="1"/>
  <c r="M131" i="131"/>
  <c r="N131" i="131" s="1"/>
  <c r="M132" i="131"/>
  <c r="N132" i="131" s="1"/>
  <c r="M133" i="131"/>
  <c r="P133" i="131" s="1"/>
  <c r="M134" i="131"/>
  <c r="N134" i="131" s="1"/>
  <c r="M135" i="131"/>
  <c r="N135" i="131" s="1"/>
  <c r="M136" i="131"/>
  <c r="P136" i="131" s="1"/>
  <c r="M137" i="131"/>
  <c r="N137" i="131" s="1"/>
  <c r="M138" i="131"/>
  <c r="N138" i="131" s="1"/>
  <c r="M139" i="131"/>
  <c r="P139" i="131" s="1"/>
  <c r="M140" i="131"/>
  <c r="N140" i="131" s="1"/>
  <c r="M141" i="131"/>
  <c r="N141" i="131" s="1"/>
  <c r="M142" i="131"/>
  <c r="N142" i="131" s="1"/>
  <c r="M143" i="131"/>
  <c r="P143" i="131" s="1"/>
  <c r="M144" i="131"/>
  <c r="N144" i="131" s="1"/>
  <c r="M145" i="131"/>
  <c r="N145" i="131" s="1"/>
  <c r="M146" i="131"/>
  <c r="N146" i="131" s="1"/>
  <c r="M147" i="131"/>
  <c r="N147" i="131" s="1"/>
  <c r="M148" i="131"/>
  <c r="N148" i="131" s="1"/>
  <c r="M149" i="131"/>
  <c r="M150" i="131"/>
  <c r="N150" i="131" s="1"/>
  <c r="M151" i="131"/>
  <c r="M152" i="131"/>
  <c r="P152" i="131" s="1"/>
  <c r="M153" i="131"/>
  <c r="N153" i="131" s="1"/>
  <c r="M154" i="131"/>
  <c r="N154" i="131" s="1"/>
  <c r="M155" i="131"/>
  <c r="M156" i="131"/>
  <c r="N156" i="131" s="1"/>
  <c r="M157" i="131"/>
  <c r="N157" i="131" s="1"/>
  <c r="M158" i="131"/>
  <c r="N158" i="131" s="1"/>
  <c r="M159" i="131"/>
  <c r="N159" i="131" s="1"/>
  <c r="M160" i="131"/>
  <c r="N160" i="131" s="1"/>
  <c r="F21" i="131"/>
  <c r="F22" i="131"/>
  <c r="L22" i="131" s="1"/>
  <c r="F23" i="131"/>
  <c r="L23" i="131" s="1"/>
  <c r="F24" i="131"/>
  <c r="F25" i="131"/>
  <c r="L25" i="131" s="1"/>
  <c r="F26" i="131"/>
  <c r="L26" i="131" s="1"/>
  <c r="F27" i="131"/>
  <c r="F28" i="131"/>
  <c r="F29" i="131"/>
  <c r="F30" i="131"/>
  <c r="L30" i="131" s="1"/>
  <c r="F31" i="131"/>
  <c r="F32" i="131"/>
  <c r="F33" i="131"/>
  <c r="F34" i="131"/>
  <c r="F35" i="131"/>
  <c r="L35" i="131" s="1"/>
  <c r="F36" i="131"/>
  <c r="L36" i="131" s="1"/>
  <c r="F37" i="131"/>
  <c r="F38" i="131"/>
  <c r="F39" i="131"/>
  <c r="F40" i="131"/>
  <c r="L40" i="131" s="1"/>
  <c r="F41" i="131"/>
  <c r="L41" i="131" s="1"/>
  <c r="F42" i="131"/>
  <c r="F43" i="131"/>
  <c r="F44" i="131"/>
  <c r="F45" i="131"/>
  <c r="L45" i="131" s="1"/>
  <c r="F46" i="131"/>
  <c r="L46" i="131" s="1"/>
  <c r="F47" i="131"/>
  <c r="L47" i="131" s="1"/>
  <c r="F48" i="131"/>
  <c r="F49" i="131"/>
  <c r="L49" i="131" s="1"/>
  <c r="F50" i="131"/>
  <c r="L50" i="131" s="1"/>
  <c r="F51" i="131"/>
  <c r="F52" i="131"/>
  <c r="F53" i="131"/>
  <c r="L53" i="131" s="1"/>
  <c r="F54" i="131"/>
  <c r="L54" i="131" s="1"/>
  <c r="F55" i="131"/>
  <c r="F56" i="131"/>
  <c r="F57" i="131"/>
  <c r="F58" i="131"/>
  <c r="L58" i="131" s="1"/>
  <c r="F59" i="131"/>
  <c r="L59" i="131" s="1"/>
  <c r="F60" i="131"/>
  <c r="F61" i="131"/>
  <c r="L61" i="131" s="1"/>
  <c r="F62" i="131"/>
  <c r="L62" i="131" s="1"/>
  <c r="F63" i="131"/>
  <c r="L63" i="131" s="1"/>
  <c r="F64" i="131"/>
  <c r="F65" i="131"/>
  <c r="L65" i="131" s="1"/>
  <c r="F66" i="131"/>
  <c r="F67" i="131"/>
  <c r="F68" i="131"/>
  <c r="F69" i="131"/>
  <c r="L69" i="131" s="1"/>
  <c r="F70" i="131"/>
  <c r="L70" i="131" s="1"/>
  <c r="F71" i="131"/>
  <c r="F72" i="131"/>
  <c r="F73" i="131"/>
  <c r="L73" i="131" s="1"/>
  <c r="F74" i="131"/>
  <c r="L74" i="131" s="1"/>
  <c r="F75" i="131"/>
  <c r="L75" i="131" s="1"/>
  <c r="F76" i="131"/>
  <c r="F77" i="131"/>
  <c r="F78" i="131"/>
  <c r="L78" i="131" s="1"/>
  <c r="F79" i="131"/>
  <c r="L79" i="131" s="1"/>
  <c r="F80" i="131"/>
  <c r="F81" i="131"/>
  <c r="F82" i="131"/>
  <c r="L82" i="131" s="1"/>
  <c r="F83" i="131"/>
  <c r="L83" i="131" s="1"/>
  <c r="F84" i="131"/>
  <c r="L84" i="131" s="1"/>
  <c r="F85" i="131"/>
  <c r="F86" i="131"/>
  <c r="L86" i="131" s="1"/>
  <c r="F87" i="131"/>
  <c r="L87" i="131" s="1"/>
  <c r="F90" i="131"/>
  <c r="L90" i="131" s="1"/>
  <c r="F91" i="131"/>
  <c r="F92" i="131"/>
  <c r="L92" i="131" s="1"/>
  <c r="F93" i="131"/>
  <c r="L93" i="131" s="1"/>
  <c r="F94" i="131"/>
  <c r="F95" i="131"/>
  <c r="L95" i="131" s="1"/>
  <c r="F96" i="131"/>
  <c r="F97" i="131"/>
  <c r="L97" i="131" s="1"/>
  <c r="F98" i="131"/>
  <c r="F99" i="131"/>
  <c r="F100" i="131"/>
  <c r="F101" i="131"/>
  <c r="L101" i="131" s="1"/>
  <c r="F102" i="131"/>
  <c r="F103" i="131"/>
  <c r="L103" i="131" s="1"/>
  <c r="F104" i="131"/>
  <c r="L104" i="131" s="1"/>
  <c r="F105" i="131"/>
  <c r="L105" i="131" s="1"/>
  <c r="F106" i="131"/>
  <c r="F107" i="131"/>
  <c r="L107" i="131" s="1"/>
  <c r="F108" i="131"/>
  <c r="L108" i="131" s="1"/>
  <c r="F109" i="131"/>
  <c r="L109" i="131" s="1"/>
  <c r="F110" i="131"/>
  <c r="F111" i="131"/>
  <c r="F112" i="131"/>
  <c r="F113" i="131"/>
  <c r="L113" i="131" s="1"/>
  <c r="F114" i="131"/>
  <c r="L114" i="131" s="1"/>
  <c r="F115" i="131"/>
  <c r="L115" i="131" s="1"/>
  <c r="F116" i="131"/>
  <c r="L116" i="131" s="1"/>
  <c r="F117" i="131"/>
  <c r="L117" i="131" s="1"/>
  <c r="F118" i="131"/>
  <c r="F119" i="131"/>
  <c r="F120" i="131"/>
  <c r="L120" i="131" s="1"/>
  <c r="F121" i="131"/>
  <c r="L121" i="131" s="1"/>
  <c r="F122" i="131"/>
  <c r="F123" i="131"/>
  <c r="F124" i="131"/>
  <c r="L124" i="131" s="1"/>
  <c r="F125" i="131"/>
  <c r="F126" i="131"/>
  <c r="F127" i="131"/>
  <c r="L127" i="131" s="1"/>
  <c r="F128" i="131"/>
  <c r="L128" i="131" s="1"/>
  <c r="F129" i="131"/>
  <c r="F131" i="131"/>
  <c r="L131" i="131" s="1"/>
  <c r="F132" i="131"/>
  <c r="L132" i="131" s="1"/>
  <c r="F133" i="131"/>
  <c r="L133" i="131" s="1"/>
  <c r="F134" i="131"/>
  <c r="L134" i="131" s="1"/>
  <c r="F135" i="131"/>
  <c r="L135" i="131" s="1"/>
  <c r="F136" i="131"/>
  <c r="L136" i="131" s="1"/>
  <c r="F137" i="131"/>
  <c r="L137" i="131" s="1"/>
  <c r="F138" i="131"/>
  <c r="L138" i="131" s="1"/>
  <c r="F139" i="131"/>
  <c r="F140" i="131"/>
  <c r="L140" i="131" s="1"/>
  <c r="F141" i="131"/>
  <c r="L141" i="131" s="1"/>
  <c r="F142" i="131"/>
  <c r="L142" i="131" s="1"/>
  <c r="F143" i="131"/>
  <c r="L143" i="131" s="1"/>
  <c r="F144" i="131"/>
  <c r="F145" i="131"/>
  <c r="L145" i="131" s="1"/>
  <c r="F146" i="131"/>
  <c r="F147" i="131"/>
  <c r="F148" i="131"/>
  <c r="L148" i="131" s="1"/>
  <c r="F149" i="131"/>
  <c r="F150" i="131"/>
  <c r="F151" i="131"/>
  <c r="F152" i="131"/>
  <c r="F153" i="131"/>
  <c r="F154" i="131"/>
  <c r="F155" i="131"/>
  <c r="L155" i="131" s="1"/>
  <c r="F156" i="131"/>
  <c r="L156" i="131" s="1"/>
  <c r="F157" i="131"/>
  <c r="F158" i="131"/>
  <c r="L158" i="131" s="1"/>
  <c r="F159" i="131"/>
  <c r="L159" i="131" s="1"/>
  <c r="F160" i="131"/>
  <c r="F161" i="131"/>
  <c r="F162" i="131"/>
  <c r="F163" i="131"/>
  <c r="F164" i="131"/>
  <c r="F165" i="131"/>
  <c r="F166" i="131"/>
  <c r="F167" i="131"/>
  <c r="F168" i="131"/>
  <c r="F169" i="131"/>
  <c r="F20" i="131"/>
  <c r="T197" i="142" l="1"/>
  <c r="Z197" i="142" s="1"/>
  <c r="F170" i="131"/>
  <c r="P86" i="131"/>
  <c r="N86" i="131"/>
  <c r="O86" i="131" s="1"/>
  <c r="P69" i="131"/>
  <c r="N69" i="131"/>
  <c r="O69" i="131" s="1"/>
  <c r="P82" i="131"/>
  <c r="N82" i="131"/>
  <c r="Q82" i="131" s="1"/>
  <c r="R82" i="131" s="1"/>
  <c r="P151" i="131"/>
  <c r="N151" i="131"/>
  <c r="O151" i="131" s="1"/>
  <c r="P124" i="131"/>
  <c r="N124" i="131"/>
  <c r="P155" i="131"/>
  <c r="N155" i="131"/>
  <c r="O155" i="131" s="1"/>
  <c r="P75" i="131"/>
  <c r="N75" i="131"/>
  <c r="O75" i="131" s="1"/>
  <c r="P23" i="131"/>
  <c r="N23" i="131"/>
  <c r="Q23" i="131" s="1"/>
  <c r="R23" i="131" s="1"/>
  <c r="P149" i="131"/>
  <c r="N149" i="131"/>
  <c r="Q149" i="131" s="1"/>
  <c r="R149" i="131" s="1"/>
  <c r="P120" i="131"/>
  <c r="N120" i="131"/>
  <c r="Q120" i="131" s="1"/>
  <c r="R120" i="131" s="1"/>
  <c r="P61" i="131"/>
  <c r="N61" i="131"/>
  <c r="O61" i="131" s="1"/>
  <c r="P21" i="131"/>
  <c r="N21" i="131"/>
  <c r="O21" i="131" s="1"/>
  <c r="P35" i="131"/>
  <c r="N35" i="131"/>
  <c r="O35" i="131" s="1"/>
  <c r="P128" i="131"/>
  <c r="N128" i="131"/>
  <c r="Q128" i="131" s="1"/>
  <c r="R128" i="131" s="1"/>
  <c r="P91" i="131"/>
  <c r="N91" i="131"/>
  <c r="O91" i="131" s="1"/>
  <c r="P45" i="131"/>
  <c r="N45" i="131"/>
  <c r="O45" i="131" s="1"/>
  <c r="P32" i="131"/>
  <c r="N32" i="131"/>
  <c r="O32" i="131" s="1"/>
  <c r="F38" i="125"/>
  <c r="F227" i="131"/>
  <c r="Q227" i="131" s="1"/>
  <c r="L193" i="131"/>
  <c r="L194" i="131"/>
  <c r="O252" i="131"/>
  <c r="O293" i="131"/>
  <c r="I284" i="131"/>
  <c r="I252" i="131"/>
  <c r="O290" i="131"/>
  <c r="P262" i="131"/>
  <c r="I290" i="131"/>
  <c r="H295" i="131"/>
  <c r="I289" i="131"/>
  <c r="O279" i="131"/>
  <c r="I279" i="131"/>
  <c r="O257" i="131"/>
  <c r="I269" i="131"/>
  <c r="I259" i="131"/>
  <c r="I248" i="131"/>
  <c r="P254" i="131"/>
  <c r="I283" i="131"/>
  <c r="F295" i="131"/>
  <c r="I253" i="131"/>
  <c r="N267" i="131"/>
  <c r="I291" i="131"/>
  <c r="O282" i="131"/>
  <c r="I262" i="131"/>
  <c r="I282" i="131"/>
  <c r="O248" i="131"/>
  <c r="O259" i="131"/>
  <c r="I294" i="131"/>
  <c r="I293" i="131"/>
  <c r="I275" i="131"/>
  <c r="O254" i="131"/>
  <c r="N117" i="131"/>
  <c r="O117" i="131" s="1"/>
  <c r="P197" i="131"/>
  <c r="O283" i="131"/>
  <c r="I263" i="131"/>
  <c r="P252" i="131"/>
  <c r="O271" i="131"/>
  <c r="O262" i="131"/>
  <c r="I276" i="131"/>
  <c r="N266" i="131"/>
  <c r="O266" i="131" s="1"/>
  <c r="I256" i="131"/>
  <c r="I261" i="131"/>
  <c r="O285" i="131"/>
  <c r="O280" i="131"/>
  <c r="I271" i="131"/>
  <c r="I254" i="131"/>
  <c r="I285" i="131"/>
  <c r="I278" i="131"/>
  <c r="I266" i="131"/>
  <c r="O265" i="131"/>
  <c r="O256" i="131"/>
  <c r="P293" i="131"/>
  <c r="P290" i="131"/>
  <c r="P248" i="131"/>
  <c r="Q285" i="131"/>
  <c r="R285" i="131" s="1"/>
  <c r="P271" i="131"/>
  <c r="P283" i="131"/>
  <c r="I257" i="131"/>
  <c r="Q254" i="131"/>
  <c r="R254" i="131" s="1"/>
  <c r="Q293" i="131"/>
  <c r="R293" i="131" s="1"/>
  <c r="P259" i="131"/>
  <c r="P256" i="131"/>
  <c r="N289" i="131"/>
  <c r="Q283" i="131"/>
  <c r="R283" i="131" s="1"/>
  <c r="I280" i="131"/>
  <c r="P285" i="131"/>
  <c r="P282" i="131"/>
  <c r="P279" i="131"/>
  <c r="P291" i="131"/>
  <c r="I265" i="131"/>
  <c r="Q262" i="131"/>
  <c r="R262" i="131" s="1"/>
  <c r="P275" i="131"/>
  <c r="O291" i="131"/>
  <c r="Q291" i="131"/>
  <c r="R291" i="131" s="1"/>
  <c r="Q284" i="131"/>
  <c r="R284" i="131" s="1"/>
  <c r="O284" i="131"/>
  <c r="Q252" i="131"/>
  <c r="R252" i="131" s="1"/>
  <c r="Q269" i="131"/>
  <c r="R269" i="131" s="1"/>
  <c r="O269" i="131"/>
  <c r="O253" i="131"/>
  <c r="Q253" i="131"/>
  <c r="R253" i="131" s="1"/>
  <c r="Q276" i="131"/>
  <c r="R276" i="131" s="1"/>
  <c r="O276" i="131"/>
  <c r="O261" i="131"/>
  <c r="Q261" i="131"/>
  <c r="R261" i="131" s="1"/>
  <c r="O275" i="131"/>
  <c r="Q275" i="131"/>
  <c r="R275" i="131" s="1"/>
  <c r="N294" i="131"/>
  <c r="L283" i="131"/>
  <c r="N278" i="131"/>
  <c r="N263" i="131"/>
  <c r="N247" i="131"/>
  <c r="P284" i="131"/>
  <c r="P276" i="131"/>
  <c r="P269" i="131"/>
  <c r="P261" i="131"/>
  <c r="P253" i="131"/>
  <c r="Q279" i="131"/>
  <c r="R279" i="131" s="1"/>
  <c r="Q271" i="131"/>
  <c r="R271" i="131" s="1"/>
  <c r="Q256" i="131"/>
  <c r="R256" i="131" s="1"/>
  <c r="Q248" i="131"/>
  <c r="R248" i="131" s="1"/>
  <c r="Q290" i="131"/>
  <c r="R290" i="131" s="1"/>
  <c r="Q282" i="131"/>
  <c r="R282" i="131" s="1"/>
  <c r="Q259" i="131"/>
  <c r="R259" i="131" s="1"/>
  <c r="Q246" i="131"/>
  <c r="Q280" i="131"/>
  <c r="R280" i="131" s="1"/>
  <c r="Q265" i="131"/>
  <c r="R265" i="131" s="1"/>
  <c r="Q257" i="131"/>
  <c r="R257" i="131" s="1"/>
  <c r="P280" i="131"/>
  <c r="P265" i="131"/>
  <c r="P257" i="131"/>
  <c r="L280" i="131"/>
  <c r="L265" i="131"/>
  <c r="L257" i="131"/>
  <c r="N152" i="131"/>
  <c r="P95" i="131"/>
  <c r="N101" i="131"/>
  <c r="O101" i="131" s="1"/>
  <c r="N133" i="131"/>
  <c r="O133" i="131" s="1"/>
  <c r="N198" i="131"/>
  <c r="O198" i="131" s="1"/>
  <c r="O134" i="131"/>
  <c r="P202" i="131"/>
  <c r="O194" i="131"/>
  <c r="P131" i="131"/>
  <c r="P66" i="131"/>
  <c r="P43" i="131"/>
  <c r="O43" i="131"/>
  <c r="P159" i="131"/>
  <c r="O144" i="131"/>
  <c r="N136" i="131"/>
  <c r="O136" i="131" s="1"/>
  <c r="P115" i="131"/>
  <c r="L91" i="131"/>
  <c r="P83" i="131"/>
  <c r="P150" i="131"/>
  <c r="P62" i="131"/>
  <c r="O95" i="131"/>
  <c r="P147" i="131"/>
  <c r="P102" i="131"/>
  <c r="P79" i="131"/>
  <c r="O79" i="131"/>
  <c r="P50" i="131"/>
  <c r="P196" i="131"/>
  <c r="P194" i="131"/>
  <c r="P157" i="131"/>
  <c r="O70" i="131"/>
  <c r="Q43" i="131"/>
  <c r="R43" i="131" s="1"/>
  <c r="N143" i="131"/>
  <c r="O143" i="131" s="1"/>
  <c r="O102" i="131"/>
  <c r="O160" i="131"/>
  <c r="O197" i="131"/>
  <c r="Q202" i="131"/>
  <c r="R202" i="131" s="1"/>
  <c r="L122" i="131"/>
  <c r="P134" i="131"/>
  <c r="P121" i="131"/>
  <c r="N107" i="131"/>
  <c r="O107" i="131" s="1"/>
  <c r="P93" i="131"/>
  <c r="O66" i="131"/>
  <c r="P46" i="131"/>
  <c r="P158" i="131"/>
  <c r="P65" i="131"/>
  <c r="P53" i="131"/>
  <c r="O193" i="131"/>
  <c r="Q194" i="131"/>
  <c r="R194" i="131" s="1"/>
  <c r="O202" i="131"/>
  <c r="Q196" i="131"/>
  <c r="R196" i="131" s="1"/>
  <c r="O196" i="131"/>
  <c r="Q197" i="131"/>
  <c r="R197" i="131" s="1"/>
  <c r="Q193" i="131"/>
  <c r="R193" i="131" s="1"/>
  <c r="P193" i="131"/>
  <c r="Q159" i="131"/>
  <c r="R159" i="131" s="1"/>
  <c r="O159" i="131"/>
  <c r="Q127" i="131"/>
  <c r="R127" i="131" s="1"/>
  <c r="O127" i="131"/>
  <c r="Q65" i="131"/>
  <c r="R65" i="131" s="1"/>
  <c r="O65" i="131"/>
  <c r="O53" i="131"/>
  <c r="Q53" i="131"/>
  <c r="R53" i="131" s="1"/>
  <c r="Q20" i="131"/>
  <c r="O20" i="131"/>
  <c r="O150" i="131"/>
  <c r="Q150" i="131"/>
  <c r="R150" i="131" s="1"/>
  <c r="Q102" i="131"/>
  <c r="R102" i="131" s="1"/>
  <c r="O59" i="131"/>
  <c r="Q59" i="131"/>
  <c r="R59" i="131" s="1"/>
  <c r="Q36" i="131"/>
  <c r="R36" i="131" s="1"/>
  <c r="O36" i="131"/>
  <c r="Q134" i="131"/>
  <c r="R134" i="131" s="1"/>
  <c r="P105" i="131"/>
  <c r="L71" i="131"/>
  <c r="P127" i="131"/>
  <c r="P59" i="131"/>
  <c r="P30" i="131"/>
  <c r="L21" i="131"/>
  <c r="L149" i="131"/>
  <c r="Q79" i="131"/>
  <c r="R79" i="131" s="1"/>
  <c r="Q70" i="131"/>
  <c r="R70" i="131" s="1"/>
  <c r="Q144" i="131"/>
  <c r="R144" i="131" s="1"/>
  <c r="P141" i="131"/>
  <c r="N114" i="131"/>
  <c r="N104" i="131"/>
  <c r="O104" i="131" s="1"/>
  <c r="L102" i="131"/>
  <c r="P70" i="131"/>
  <c r="P49" i="131"/>
  <c r="P20" i="131"/>
  <c r="L151" i="131"/>
  <c r="P144" i="131"/>
  <c r="P137" i="131"/>
  <c r="P34" i="131"/>
  <c r="L144" i="131"/>
  <c r="L129" i="131"/>
  <c r="Q95" i="131"/>
  <c r="R95" i="131" s="1"/>
  <c r="L34" i="131"/>
  <c r="L28" i="131"/>
  <c r="L20" i="131"/>
  <c r="P73" i="131"/>
  <c r="Q66" i="131"/>
  <c r="R66" i="131" s="1"/>
  <c r="Q160" i="131"/>
  <c r="R160" i="131" s="1"/>
  <c r="P153" i="131"/>
  <c r="L147" i="131"/>
  <c r="P125" i="131"/>
  <c r="P77" i="131"/>
  <c r="P160" i="131"/>
  <c r="N103" i="131"/>
  <c r="O103" i="131" s="1"/>
  <c r="P109" i="131"/>
  <c r="L150" i="131"/>
  <c r="N139" i="131"/>
  <c r="O139" i="131" s="1"/>
  <c r="L125" i="131"/>
  <c r="L77" i="131"/>
  <c r="L43" i="131"/>
  <c r="P36" i="131"/>
  <c r="L157" i="131"/>
  <c r="L106" i="131"/>
  <c r="L81" i="131"/>
  <c r="L66" i="131"/>
  <c r="L160" i="131"/>
  <c r="L139" i="131"/>
  <c r="L56" i="131"/>
  <c r="L32" i="131"/>
  <c r="O122" i="131"/>
  <c r="Q122" i="131"/>
  <c r="R122" i="131" s="1"/>
  <c r="O125" i="131"/>
  <c r="Q125" i="131"/>
  <c r="R125" i="131" s="1"/>
  <c r="Q73" i="131"/>
  <c r="R73" i="131" s="1"/>
  <c r="O73" i="131"/>
  <c r="O26" i="131"/>
  <c r="Q26" i="131"/>
  <c r="R26" i="131" s="1"/>
  <c r="O131" i="131"/>
  <c r="Q131" i="131"/>
  <c r="R131" i="131" s="1"/>
  <c r="O109" i="131"/>
  <c r="Q109" i="131"/>
  <c r="R109" i="131" s="1"/>
  <c r="O93" i="131"/>
  <c r="Q93" i="131"/>
  <c r="R93" i="131" s="1"/>
  <c r="O47" i="131"/>
  <c r="Q47" i="131"/>
  <c r="R47" i="131" s="1"/>
  <c r="Q132" i="131"/>
  <c r="R132" i="131" s="1"/>
  <c r="O132" i="131"/>
  <c r="O90" i="131"/>
  <c r="Q90" i="131"/>
  <c r="R90" i="131" s="1"/>
  <c r="O116" i="131"/>
  <c r="Q116" i="131"/>
  <c r="R116" i="131" s="1"/>
  <c r="Q30" i="131"/>
  <c r="R30" i="131" s="1"/>
  <c r="O30" i="131"/>
  <c r="O22" i="131"/>
  <c r="Q22" i="131"/>
  <c r="R22" i="131" s="1"/>
  <c r="O138" i="131"/>
  <c r="Q138" i="131"/>
  <c r="R138" i="131" s="1"/>
  <c r="Q121" i="131"/>
  <c r="R121" i="131" s="1"/>
  <c r="O121" i="131"/>
  <c r="O115" i="131"/>
  <c r="Q115" i="131"/>
  <c r="R115" i="131" s="1"/>
  <c r="Q105" i="131"/>
  <c r="R105" i="131" s="1"/>
  <c r="O105" i="131"/>
  <c r="O54" i="131"/>
  <c r="Q54" i="131"/>
  <c r="R54" i="131" s="1"/>
  <c r="O145" i="131"/>
  <c r="Q145" i="131"/>
  <c r="R145" i="131" s="1"/>
  <c r="O142" i="131"/>
  <c r="Q142" i="131"/>
  <c r="R142" i="131" s="1"/>
  <c r="O158" i="131"/>
  <c r="Q158" i="131"/>
  <c r="R158" i="131" s="1"/>
  <c r="O25" i="131"/>
  <c r="Q25" i="131"/>
  <c r="R25" i="131" s="1"/>
  <c r="Q148" i="131"/>
  <c r="R148" i="131" s="1"/>
  <c r="O148" i="131"/>
  <c r="O92" i="131"/>
  <c r="Q92" i="131"/>
  <c r="R92" i="131" s="1"/>
  <c r="O56" i="131"/>
  <c r="Q56" i="131"/>
  <c r="R56" i="131" s="1"/>
  <c r="O50" i="131"/>
  <c r="Q50" i="131"/>
  <c r="R50" i="131" s="1"/>
  <c r="O108" i="131"/>
  <c r="Q108" i="131"/>
  <c r="R108" i="131" s="1"/>
  <c r="O141" i="131"/>
  <c r="Q141" i="131"/>
  <c r="R141" i="131" s="1"/>
  <c r="O81" i="131"/>
  <c r="Q81" i="131"/>
  <c r="R81" i="131" s="1"/>
  <c r="O71" i="131"/>
  <c r="Q71" i="131"/>
  <c r="R71" i="131" s="1"/>
  <c r="Q46" i="131"/>
  <c r="R46" i="131" s="1"/>
  <c r="O46" i="131"/>
  <c r="O40" i="131"/>
  <c r="Q40" i="131"/>
  <c r="R40" i="131" s="1"/>
  <c r="Q157" i="131"/>
  <c r="R157" i="131" s="1"/>
  <c r="O157" i="131"/>
  <c r="Q137" i="131"/>
  <c r="R137" i="131" s="1"/>
  <c r="O137" i="131"/>
  <c r="O78" i="131"/>
  <c r="Q78" i="131"/>
  <c r="R78" i="131" s="1"/>
  <c r="O63" i="131"/>
  <c r="Q63" i="131"/>
  <c r="R63" i="131" s="1"/>
  <c r="O28" i="131"/>
  <c r="Q28" i="131"/>
  <c r="R28" i="131" s="1"/>
  <c r="O147" i="131"/>
  <c r="Q147" i="131"/>
  <c r="R147" i="131" s="1"/>
  <c r="Q84" i="131"/>
  <c r="R84" i="131" s="1"/>
  <c r="O84" i="131"/>
  <c r="O49" i="131"/>
  <c r="Q49" i="131"/>
  <c r="R49" i="131" s="1"/>
  <c r="O135" i="131"/>
  <c r="Q135" i="131"/>
  <c r="R135" i="131" s="1"/>
  <c r="O87" i="131"/>
  <c r="Q87" i="131"/>
  <c r="R87" i="131" s="1"/>
  <c r="O74" i="131"/>
  <c r="Q74" i="131"/>
  <c r="R74" i="131" s="1"/>
  <c r="O156" i="131"/>
  <c r="Q156" i="131"/>
  <c r="R156" i="131" s="1"/>
  <c r="O77" i="131"/>
  <c r="Q77" i="131"/>
  <c r="R77" i="131" s="1"/>
  <c r="O106" i="131"/>
  <c r="Q106" i="131"/>
  <c r="R106" i="131" s="1"/>
  <c r="O58" i="131"/>
  <c r="Q58" i="131"/>
  <c r="R58" i="131" s="1"/>
  <c r="O140" i="131"/>
  <c r="Q140" i="131"/>
  <c r="R140" i="131" s="1"/>
  <c r="O129" i="131"/>
  <c r="Q129" i="131"/>
  <c r="R129" i="131" s="1"/>
  <c r="O113" i="131"/>
  <c r="Q113" i="131"/>
  <c r="R113" i="131" s="1"/>
  <c r="O97" i="131"/>
  <c r="Q97" i="131"/>
  <c r="R97" i="131" s="1"/>
  <c r="O83" i="131"/>
  <c r="Q83" i="131"/>
  <c r="R83" i="131" s="1"/>
  <c r="Q62" i="131"/>
  <c r="R62" i="131" s="1"/>
  <c r="O62" i="131"/>
  <c r="O41" i="131"/>
  <c r="Q41" i="131"/>
  <c r="R41" i="131" s="1"/>
  <c r="O34" i="131"/>
  <c r="Q34" i="131"/>
  <c r="R34" i="131" s="1"/>
  <c r="P135" i="131"/>
  <c r="P87" i="131"/>
  <c r="P71" i="131"/>
  <c r="P28" i="131"/>
  <c r="P142" i="131"/>
  <c r="P78" i="131"/>
  <c r="P58" i="131"/>
  <c r="P26" i="131"/>
  <c r="P156" i="131"/>
  <c r="P140" i="131"/>
  <c r="P108" i="131"/>
  <c r="P92" i="131"/>
  <c r="P56" i="131"/>
  <c r="P40" i="131"/>
  <c r="P154" i="131"/>
  <c r="P138" i="131"/>
  <c r="P122" i="131"/>
  <c r="P106" i="131"/>
  <c r="P90" i="131"/>
  <c r="P74" i="131"/>
  <c r="P63" i="131"/>
  <c r="P47" i="131"/>
  <c r="P145" i="131"/>
  <c r="P129" i="131"/>
  <c r="P113" i="131"/>
  <c r="P97" i="131"/>
  <c r="P81" i="131"/>
  <c r="P54" i="131"/>
  <c r="P22" i="131"/>
  <c r="P148" i="131"/>
  <c r="P132" i="131"/>
  <c r="P116" i="131"/>
  <c r="P84" i="131"/>
  <c r="P41" i="131"/>
  <c r="P25" i="131"/>
  <c r="AC197" i="142" l="1"/>
  <c r="H38" i="125"/>
  <c r="C38" i="125"/>
  <c r="G38" i="125" s="1"/>
  <c r="F80" i="125"/>
  <c r="H82" i="125"/>
  <c r="Q266" i="131"/>
  <c r="R266" i="131" s="1"/>
  <c r="O120" i="131"/>
  <c r="Q35" i="131"/>
  <c r="R35" i="131" s="1"/>
  <c r="Q133" i="131"/>
  <c r="R133" i="131" s="1"/>
  <c r="N295" i="131"/>
  <c r="F15" i="131"/>
  <c r="C36" i="125"/>
  <c r="Q136" i="131"/>
  <c r="R136" i="131" s="1"/>
  <c r="O128" i="131"/>
  <c r="O23" i="131"/>
  <c r="Q117" i="131"/>
  <c r="R117" i="131" s="1"/>
  <c r="Q107" i="131"/>
  <c r="R107" i="131" s="1"/>
  <c r="O82" i="131"/>
  <c r="O289" i="131"/>
  <c r="Q289" i="131"/>
  <c r="R289" i="131" s="1"/>
  <c r="O294" i="131"/>
  <c r="Q294" i="131"/>
  <c r="R294" i="131" s="1"/>
  <c r="Q247" i="131"/>
  <c r="O263" i="131"/>
  <c r="Q263" i="131"/>
  <c r="R263" i="131" s="1"/>
  <c r="O278" i="131"/>
  <c r="Q278" i="131"/>
  <c r="R278" i="131" s="1"/>
  <c r="Q86" i="131"/>
  <c r="R86" i="131" s="1"/>
  <c r="Q101" i="131"/>
  <c r="R101" i="131" s="1"/>
  <c r="Q75" i="131"/>
  <c r="R75" i="131" s="1"/>
  <c r="Q61" i="131"/>
  <c r="R61" i="131" s="1"/>
  <c r="Q198" i="131"/>
  <c r="R198" i="131" s="1"/>
  <c r="O149" i="131"/>
  <c r="Q151" i="131"/>
  <c r="R151" i="131" s="1"/>
  <c r="Q155" i="131"/>
  <c r="R155" i="131" s="1"/>
  <c r="Q21" i="131"/>
  <c r="R21" i="131" s="1"/>
  <c r="Q143" i="131"/>
  <c r="R143" i="131" s="1"/>
  <c r="Q69" i="131"/>
  <c r="R69" i="131" s="1"/>
  <c r="Q139" i="131"/>
  <c r="R139" i="131" s="1"/>
  <c r="R20" i="131"/>
  <c r="Q45" i="131"/>
  <c r="R45" i="131" s="1"/>
  <c r="Q124" i="131"/>
  <c r="R124" i="131" s="1"/>
  <c r="O124" i="131"/>
  <c r="Q32" i="131"/>
  <c r="R32" i="131" s="1"/>
  <c r="Q103" i="131"/>
  <c r="R103" i="131" s="1"/>
  <c r="Q114" i="131"/>
  <c r="R114" i="131" s="1"/>
  <c r="O114" i="131"/>
  <c r="Q91" i="131"/>
  <c r="R91" i="131" s="1"/>
  <c r="Q104" i="131"/>
  <c r="R104" i="131" s="1"/>
  <c r="AH197" i="142" l="1"/>
  <c r="AJ197" i="142"/>
  <c r="AL197" i="142" s="1"/>
  <c r="J38" i="125"/>
  <c r="K38" i="125" s="1"/>
  <c r="C82" i="125"/>
  <c r="E82" i="125" s="1"/>
  <c r="G36" i="125"/>
  <c r="C80" i="125"/>
  <c r="I38" i="125"/>
  <c r="Q295" i="131"/>
  <c r="G82" i="125" l="1"/>
  <c r="I82" i="125"/>
  <c r="K82" i="125"/>
  <c r="G80" i="125"/>
  <c r="L205" i="131"/>
  <c r="N205" i="131"/>
  <c r="N207" i="131"/>
  <c r="L209" i="131"/>
  <c r="N209" i="131"/>
  <c r="L210" i="131"/>
  <c r="N210" i="131"/>
  <c r="P211" i="131"/>
  <c r="L213" i="131"/>
  <c r="N213" i="131"/>
  <c r="N216" i="131"/>
  <c r="L217" i="131"/>
  <c r="P217" i="131"/>
  <c r="L220" i="131"/>
  <c r="P220" i="131"/>
  <c r="L221" i="131"/>
  <c r="L225" i="131"/>
  <c r="P225" i="131"/>
  <c r="H17" i="131"/>
  <c r="N17" i="131"/>
  <c r="M161" i="131"/>
  <c r="L162" i="131"/>
  <c r="M162" i="131"/>
  <c r="N162" i="131" s="1"/>
  <c r="L163" i="131"/>
  <c r="M163" i="131"/>
  <c r="N163" i="131" s="1"/>
  <c r="M164" i="131"/>
  <c r="N164" i="131" s="1"/>
  <c r="L167" i="131"/>
  <c r="M167" i="131"/>
  <c r="M168" i="131"/>
  <c r="N168" i="131" s="1"/>
  <c r="L169" i="131"/>
  <c r="M169" i="131"/>
  <c r="B9" i="131"/>
  <c r="B180" i="131" s="1"/>
  <c r="B237" i="131" s="1"/>
  <c r="B236" i="131"/>
  <c r="N77" i="129"/>
  <c r="O77" i="129" s="1"/>
  <c r="L77" i="129"/>
  <c r="I77" i="129"/>
  <c r="N76" i="129"/>
  <c r="Q76" i="129" s="1"/>
  <c r="R76" i="129" s="1"/>
  <c r="L76" i="129"/>
  <c r="I76" i="129"/>
  <c r="N75" i="129"/>
  <c r="O75" i="129" s="1"/>
  <c r="L75" i="129"/>
  <c r="I75" i="129"/>
  <c r="M73" i="129"/>
  <c r="P73" i="129" s="1"/>
  <c r="K73" i="129"/>
  <c r="K74" i="129" s="1"/>
  <c r="K65" i="129" s="1"/>
  <c r="H73" i="129"/>
  <c r="F73" i="129"/>
  <c r="N72" i="129"/>
  <c r="Q72" i="129" s="1"/>
  <c r="H72" i="129"/>
  <c r="M71" i="129"/>
  <c r="N71" i="129" s="1"/>
  <c r="H71" i="129"/>
  <c r="F71" i="129"/>
  <c r="L71" i="129" s="1"/>
  <c r="M70" i="129"/>
  <c r="N70" i="129" s="1"/>
  <c r="H70" i="129"/>
  <c r="F70" i="129"/>
  <c r="L70" i="129" s="1"/>
  <c r="M69" i="129"/>
  <c r="P69" i="129" s="1"/>
  <c r="H69" i="129"/>
  <c r="F69" i="129"/>
  <c r="N68" i="129"/>
  <c r="Q68" i="129" s="1"/>
  <c r="H68" i="129"/>
  <c r="N67" i="129"/>
  <c r="H67" i="129"/>
  <c r="D36" i="125" l="1"/>
  <c r="D80" i="125" s="1"/>
  <c r="H80" i="125" s="1"/>
  <c r="J80" i="125" s="1"/>
  <c r="P167" i="131"/>
  <c r="N167" i="131"/>
  <c r="O167" i="131" s="1"/>
  <c r="P169" i="131"/>
  <c r="N169" i="131"/>
  <c r="O169" i="131" s="1"/>
  <c r="O70" i="129"/>
  <c r="I69" i="129"/>
  <c r="P71" i="129"/>
  <c r="O205" i="131"/>
  <c r="O210" i="131"/>
  <c r="P164" i="131"/>
  <c r="P216" i="131"/>
  <c r="O207" i="131"/>
  <c r="Q207" i="131"/>
  <c r="R207" i="131" s="1"/>
  <c r="F243" i="131"/>
  <c r="N211" i="131"/>
  <c r="O211" i="131" s="1"/>
  <c r="P207" i="131"/>
  <c r="H243" i="131"/>
  <c r="N217" i="131"/>
  <c r="O217" i="131" s="1"/>
  <c r="O213" i="131"/>
  <c r="K243" i="131"/>
  <c r="Q216" i="131"/>
  <c r="R216" i="131" s="1"/>
  <c r="O216" i="131"/>
  <c r="O221" i="131"/>
  <c r="N225" i="131"/>
  <c r="O220" i="131"/>
  <c r="Q209" i="131"/>
  <c r="R209" i="131" s="1"/>
  <c r="O209" i="131"/>
  <c r="L211" i="131"/>
  <c r="P209" i="131"/>
  <c r="Q210" i="131"/>
  <c r="R210" i="131" s="1"/>
  <c r="Q221" i="131"/>
  <c r="R221" i="131" s="1"/>
  <c r="Q213" i="131"/>
  <c r="R213" i="131" s="1"/>
  <c r="Q205" i="131"/>
  <c r="R205" i="131" s="1"/>
  <c r="P210" i="131"/>
  <c r="P221" i="131"/>
  <c r="L216" i="131"/>
  <c r="P213" i="131"/>
  <c r="L207" i="131"/>
  <c r="P205" i="131"/>
  <c r="O163" i="131"/>
  <c r="O162" i="131"/>
  <c r="N161" i="131"/>
  <c r="O168" i="131"/>
  <c r="Q164" i="131"/>
  <c r="R164" i="131" s="1"/>
  <c r="O164" i="131"/>
  <c r="Q162" i="131"/>
  <c r="L164" i="131"/>
  <c r="P162" i="131"/>
  <c r="Q163" i="131"/>
  <c r="R163" i="131" s="1"/>
  <c r="Q17" i="131"/>
  <c r="P168" i="131"/>
  <c r="P163" i="131"/>
  <c r="L168" i="131"/>
  <c r="Q168" i="131"/>
  <c r="R168" i="131" s="1"/>
  <c r="K186" i="131"/>
  <c r="N73" i="129"/>
  <c r="I70" i="129"/>
  <c r="P70" i="129"/>
  <c r="I71" i="129"/>
  <c r="Q75" i="129"/>
  <c r="R75" i="129" s="1"/>
  <c r="Q77" i="129"/>
  <c r="R77" i="129" s="1"/>
  <c r="H74" i="129"/>
  <c r="I73" i="129"/>
  <c r="F74" i="129"/>
  <c r="F78" i="129" s="1"/>
  <c r="K78" i="129"/>
  <c r="Q71" i="129"/>
  <c r="R71" i="129" s="1"/>
  <c r="O71" i="129"/>
  <c r="F65" i="129"/>
  <c r="O76" i="129"/>
  <c r="Q70" i="129"/>
  <c r="R70" i="129" s="1"/>
  <c r="L73" i="129"/>
  <c r="Q67" i="129"/>
  <c r="L69" i="129"/>
  <c r="N69" i="129"/>
  <c r="O69" i="129" s="1"/>
  <c r="H36" i="125" l="1"/>
  <c r="I36" i="125" s="1"/>
  <c r="E80" i="125"/>
  <c r="E36" i="125" s="1"/>
  <c r="H15" i="131"/>
  <c r="I74" i="129"/>
  <c r="H78" i="129"/>
  <c r="I78" i="129" s="1"/>
  <c r="L78" i="129"/>
  <c r="H65" i="129"/>
  <c r="L74" i="129"/>
  <c r="C21" i="125"/>
  <c r="E21" i="125" s="1"/>
  <c r="C78" i="125"/>
  <c r="L227" i="131"/>
  <c r="C37" i="125"/>
  <c r="E37" i="125" s="1"/>
  <c r="R162" i="131"/>
  <c r="L295" i="131"/>
  <c r="Q167" i="131"/>
  <c r="R167" i="131" s="1"/>
  <c r="Q169" i="131"/>
  <c r="R169" i="131" s="1"/>
  <c r="Q211" i="131"/>
  <c r="R211" i="131" s="1"/>
  <c r="I295" i="131"/>
  <c r="Q220" i="131"/>
  <c r="Q217" i="131"/>
  <c r="R217" i="131" s="1"/>
  <c r="O225" i="131"/>
  <c r="Q225" i="131"/>
  <c r="R225" i="131" s="1"/>
  <c r="H186" i="131"/>
  <c r="K15" i="131"/>
  <c r="L170" i="131"/>
  <c r="F186" i="131"/>
  <c r="V176" i="131" s="1"/>
  <c r="I170" i="131"/>
  <c r="O73" i="129"/>
  <c r="Q73" i="129"/>
  <c r="R73" i="129" s="1"/>
  <c r="Q69" i="129"/>
  <c r="R69" i="129" s="1"/>
  <c r="N74" i="129"/>
  <c r="Q74" i="129" l="1"/>
  <c r="Q65" i="129" s="1"/>
  <c r="J36" i="125"/>
  <c r="K36" i="125" s="1"/>
  <c r="K80" i="125"/>
  <c r="I80" i="125"/>
  <c r="J37" i="125"/>
  <c r="K37" i="125" s="1"/>
  <c r="G37" i="125"/>
  <c r="I37" i="125"/>
  <c r="R220" i="131"/>
  <c r="C81" i="125"/>
  <c r="N243" i="131"/>
  <c r="O295" i="131"/>
  <c r="N186" i="131"/>
  <c r="N15" i="131"/>
  <c r="O170" i="131"/>
  <c r="N65" i="129"/>
  <c r="O74" i="129"/>
  <c r="N78" i="129"/>
  <c r="R74" i="129" l="1"/>
  <c r="E81" i="125"/>
  <c r="K81" i="125"/>
  <c r="G81" i="125"/>
  <c r="I81" i="125"/>
  <c r="R295" i="131"/>
  <c r="Q243" i="131"/>
  <c r="R170" i="131"/>
  <c r="Q15" i="131"/>
  <c r="Q186" i="131"/>
  <c r="R227" i="131"/>
  <c r="O78" i="129"/>
  <c r="Q78" i="129"/>
  <c r="R78" i="129" s="1"/>
  <c r="H78" i="125"/>
  <c r="B62" i="125" l="1"/>
  <c r="B61" i="125"/>
  <c r="F73" i="125" l="1"/>
  <c r="H73" i="125" s="1"/>
  <c r="J73" i="125" s="1"/>
  <c r="F18" i="125"/>
  <c r="H18" i="125" s="1"/>
  <c r="J18" i="125" s="1"/>
  <c r="N45" i="129"/>
  <c r="N47" i="129"/>
  <c r="Q47" i="129" s="1"/>
  <c r="R47" i="129" s="1"/>
  <c r="L47" i="129"/>
  <c r="I47" i="129"/>
  <c r="N46" i="129"/>
  <c r="O46" i="129" s="1"/>
  <c r="L46" i="129"/>
  <c r="I46" i="129"/>
  <c r="L45" i="129"/>
  <c r="I45" i="129"/>
  <c r="F43" i="129"/>
  <c r="F21" i="129"/>
  <c r="F22" i="129"/>
  <c r="F23" i="129"/>
  <c r="F24" i="129"/>
  <c r="F25" i="129"/>
  <c r="F26" i="129"/>
  <c r="F27" i="129"/>
  <c r="F28" i="129"/>
  <c r="F20" i="129"/>
  <c r="L22" i="129" l="1"/>
  <c r="Q22" i="129"/>
  <c r="R22" i="129" s="1"/>
  <c r="O22" i="129"/>
  <c r="L27" i="129"/>
  <c r="Q27" i="129"/>
  <c r="R27" i="129" s="1"/>
  <c r="O27" i="129"/>
  <c r="L24" i="129"/>
  <c r="O24" i="129"/>
  <c r="Q24" i="129"/>
  <c r="R24" i="129" s="1"/>
  <c r="L23" i="129"/>
  <c r="Q23" i="129"/>
  <c r="R23" i="129" s="1"/>
  <c r="O23" i="129"/>
  <c r="L20" i="129"/>
  <c r="Q20" i="129"/>
  <c r="O20" i="129"/>
  <c r="L21" i="129"/>
  <c r="O21" i="129"/>
  <c r="Q21" i="129"/>
  <c r="R21" i="129" s="1"/>
  <c r="L28" i="129"/>
  <c r="O28" i="129"/>
  <c r="Q28" i="129"/>
  <c r="R28" i="129" s="1"/>
  <c r="L43" i="129"/>
  <c r="O43" i="129"/>
  <c r="Q43" i="129"/>
  <c r="R43" i="129" s="1"/>
  <c r="O45" i="129"/>
  <c r="Q45" i="129"/>
  <c r="R45" i="129" s="1"/>
  <c r="L26" i="129"/>
  <c r="O26" i="129"/>
  <c r="Q26" i="129"/>
  <c r="R26" i="129" s="1"/>
  <c r="L25" i="129"/>
  <c r="Q25" i="129"/>
  <c r="R25" i="129" s="1"/>
  <c r="O25" i="129"/>
  <c r="Q46" i="129"/>
  <c r="R46" i="129" s="1"/>
  <c r="O47" i="129"/>
  <c r="R20" i="129" l="1"/>
  <c r="F41" i="129"/>
  <c r="F40" i="129"/>
  <c r="F39" i="129"/>
  <c r="F38" i="129"/>
  <c r="F36" i="129"/>
  <c r="F34" i="129"/>
  <c r="F33" i="129"/>
  <c r="F31" i="129"/>
  <c r="F30" i="129"/>
  <c r="B9" i="129"/>
  <c r="B58" i="129" s="1"/>
  <c r="N545" i="70"/>
  <c r="AL16" i="124"/>
  <c r="AK17" i="124"/>
  <c r="AL17" i="124" s="1"/>
  <c r="AL18" i="124"/>
  <c r="AL19" i="124"/>
  <c r="AK20" i="124"/>
  <c r="AL20" i="124" s="1"/>
  <c r="AL21" i="124"/>
  <c r="AL22" i="124"/>
  <c r="AL23" i="124"/>
  <c r="AK24" i="124"/>
  <c r="AL24" i="124" s="1"/>
  <c r="L39" i="129" l="1"/>
  <c r="O39" i="129"/>
  <c r="Q39" i="129"/>
  <c r="R39" i="129" s="1"/>
  <c r="L36" i="129"/>
  <c r="Q36" i="129"/>
  <c r="R36" i="129" s="1"/>
  <c r="O36" i="129"/>
  <c r="Q38" i="129"/>
  <c r="R38" i="129" s="1"/>
  <c r="L38" i="129"/>
  <c r="O38" i="129"/>
  <c r="L40" i="129"/>
  <c r="O40" i="129"/>
  <c r="Q40" i="129"/>
  <c r="R40" i="129" s="1"/>
  <c r="L30" i="129"/>
  <c r="O30" i="129"/>
  <c r="Q30" i="129"/>
  <c r="L41" i="129"/>
  <c r="O41" i="129"/>
  <c r="Q41" i="129"/>
  <c r="R41" i="129" s="1"/>
  <c r="L31" i="129"/>
  <c r="O31" i="129"/>
  <c r="Q31" i="129"/>
  <c r="R31" i="129" s="1"/>
  <c r="L33" i="129"/>
  <c r="Q33" i="129"/>
  <c r="R33" i="129" s="1"/>
  <c r="O33" i="129"/>
  <c r="L34" i="129"/>
  <c r="Q34" i="129"/>
  <c r="R34" i="129" s="1"/>
  <c r="O34" i="129"/>
  <c r="AK28" i="124"/>
  <c r="J21" i="125"/>
  <c r="K21" i="125" s="1"/>
  <c r="F44" i="129"/>
  <c r="S46" i="129" s="1"/>
  <c r="R30" i="129" l="1"/>
  <c r="Q44" i="129"/>
  <c r="S48" i="129" s="1"/>
  <c r="T44" i="129"/>
  <c r="H48" i="129"/>
  <c r="K48" i="129"/>
  <c r="F20" i="125" s="1"/>
  <c r="D77" i="129"/>
  <c r="D75" i="129"/>
  <c r="D76" i="129"/>
  <c r="F48" i="129"/>
  <c r="C20" i="125"/>
  <c r="I78" i="125"/>
  <c r="G78" i="125"/>
  <c r="J78" i="125"/>
  <c r="E78" i="125"/>
  <c r="D46" i="129"/>
  <c r="D45" i="129"/>
  <c r="D47" i="129"/>
  <c r="L44" i="129"/>
  <c r="K16" i="129"/>
  <c r="F16" i="129"/>
  <c r="I44" i="129"/>
  <c r="H16" i="129"/>
  <c r="T164" i="142" l="1"/>
  <c r="F77" i="125"/>
  <c r="F91" i="125" s="1"/>
  <c r="L90" i="125" s="1"/>
  <c r="K78" i="125"/>
  <c r="M91" i="125"/>
  <c r="H77" i="125"/>
  <c r="H91" i="125" s="1"/>
  <c r="N48" i="129"/>
  <c r="O48" i="129" s="1"/>
  <c r="S44" i="129"/>
  <c r="R208" i="142"/>
  <c r="L48" i="129"/>
  <c r="H20" i="125"/>
  <c r="I20" i="125" s="1"/>
  <c r="E20" i="125"/>
  <c r="G20" i="125"/>
  <c r="I48" i="129"/>
  <c r="C77" i="125"/>
  <c r="N16" i="129"/>
  <c r="O44" i="129"/>
  <c r="Z164" i="142" l="1"/>
  <c r="AC164" i="142"/>
  <c r="T194" i="142"/>
  <c r="J77" i="125"/>
  <c r="K77" i="125" s="1"/>
  <c r="Q48" i="129"/>
  <c r="R48" i="129" s="1"/>
  <c r="J20" i="125"/>
  <c r="K20" i="125" s="1"/>
  <c r="I77" i="125"/>
  <c r="E77" i="125"/>
  <c r="G77" i="125"/>
  <c r="R44" i="129"/>
  <c r="Q16" i="129"/>
  <c r="AH164" i="142" l="1"/>
  <c r="AJ164" i="142"/>
  <c r="AL164" i="142" s="1"/>
  <c r="Z194" i="142"/>
  <c r="AC194" i="142"/>
  <c r="T208" i="142"/>
  <c r="AC208" i="142" s="1"/>
  <c r="N549" i="70"/>
  <c r="Q549" i="70" s="1"/>
  <c r="AH194" i="142" l="1"/>
  <c r="AJ194" i="142"/>
  <c r="AL194" i="142" s="1"/>
  <c r="M20" i="127"/>
  <c r="K20" i="127"/>
  <c r="H20" i="127"/>
  <c r="D20" i="127"/>
  <c r="F20" i="127" s="1"/>
  <c r="O20" i="127" l="1"/>
  <c r="I20" i="127"/>
  <c r="L20" i="127"/>
  <c r="N20" i="127"/>
  <c r="M58" i="127" l="1"/>
  <c r="P58" i="127" s="1"/>
  <c r="M59" i="127"/>
  <c r="P59" i="127" s="1"/>
  <c r="M60" i="127"/>
  <c r="P60" i="127" s="1"/>
  <c r="M62" i="127"/>
  <c r="P62" i="127" s="1"/>
  <c r="M63" i="127"/>
  <c r="P63" i="127" s="1"/>
  <c r="M64" i="127"/>
  <c r="P64" i="127" s="1"/>
  <c r="M67" i="127"/>
  <c r="P67" i="127" s="1"/>
  <c r="K57" i="127"/>
  <c r="K58" i="127"/>
  <c r="K59" i="127"/>
  <c r="K60" i="127"/>
  <c r="K61" i="127"/>
  <c r="K62" i="127"/>
  <c r="K63" i="127"/>
  <c r="K64" i="127"/>
  <c r="H57" i="127"/>
  <c r="H58" i="127"/>
  <c r="H59" i="127"/>
  <c r="H60" i="127"/>
  <c r="H61" i="127"/>
  <c r="H62" i="127"/>
  <c r="H63" i="127"/>
  <c r="H64" i="127"/>
  <c r="N64" i="127" l="1"/>
  <c r="N62" i="127"/>
  <c r="N60" i="127"/>
  <c r="N63" i="127"/>
  <c r="N59" i="127"/>
  <c r="N58" i="127"/>
  <c r="F64" i="127" l="1"/>
  <c r="F63" i="127"/>
  <c r="F62" i="127"/>
  <c r="F61" i="127"/>
  <c r="F60" i="127"/>
  <c r="F59" i="127"/>
  <c r="F58" i="127"/>
  <c r="F57" i="127"/>
  <c r="M25" i="127"/>
  <c r="P25" i="127" s="1"/>
  <c r="M27" i="127"/>
  <c r="P27" i="127" s="1"/>
  <c r="M28" i="127"/>
  <c r="P28" i="127" s="1"/>
  <c r="M29" i="127"/>
  <c r="P29" i="127" s="1"/>
  <c r="M30" i="127"/>
  <c r="P30" i="127" s="1"/>
  <c r="M31" i="127"/>
  <c r="P31" i="127" s="1"/>
  <c r="M32" i="127"/>
  <c r="P32" i="127" s="1"/>
  <c r="M33" i="127"/>
  <c r="P33" i="127" s="1"/>
  <c r="M34" i="127"/>
  <c r="P34" i="127" s="1"/>
  <c r="M35" i="127"/>
  <c r="P35" i="127" s="1"/>
  <c r="M36" i="127"/>
  <c r="P36" i="127" s="1"/>
  <c r="M37" i="127"/>
  <c r="P37" i="127" s="1"/>
  <c r="M38" i="127"/>
  <c r="P38" i="127" s="1"/>
  <c r="M39" i="127"/>
  <c r="P39" i="127" s="1"/>
  <c r="M40" i="127"/>
  <c r="P40" i="127" s="1"/>
  <c r="M41" i="127"/>
  <c r="P41" i="127" s="1"/>
  <c r="M42" i="127"/>
  <c r="P42" i="127" s="1"/>
  <c r="M43" i="127"/>
  <c r="P43" i="127" s="1"/>
  <c r="M44" i="127"/>
  <c r="P44" i="127" s="1"/>
  <c r="M45" i="127"/>
  <c r="P45" i="127" s="1"/>
  <c r="M46" i="127"/>
  <c r="P46" i="127" s="1"/>
  <c r="M47" i="127"/>
  <c r="P47" i="127" s="1"/>
  <c r="M50" i="127"/>
  <c r="P50" i="127" s="1"/>
  <c r="M51" i="127"/>
  <c r="P51" i="127" s="1"/>
  <c r="M52" i="127"/>
  <c r="P52" i="127" s="1"/>
  <c r="M54" i="127"/>
  <c r="P54" i="127" s="1"/>
  <c r="M55" i="127"/>
  <c r="P55" i="127" s="1"/>
  <c r="M56" i="127"/>
  <c r="P56" i="127" s="1"/>
  <c r="M24" i="127"/>
  <c r="P24" i="127" s="1"/>
  <c r="I62" i="127" l="1"/>
  <c r="L62" i="127"/>
  <c r="Q62" i="127"/>
  <c r="R62" i="127" s="1"/>
  <c r="O62" i="127"/>
  <c r="L64" i="127"/>
  <c r="O64" i="127"/>
  <c r="I64" i="127"/>
  <c r="Q64" i="127"/>
  <c r="R64" i="127" s="1"/>
  <c r="O63" i="127"/>
  <c r="I63" i="127"/>
  <c r="L63" i="127"/>
  <c r="Q63" i="127"/>
  <c r="R63" i="127" s="1"/>
  <c r="I60" i="127"/>
  <c r="O60" i="127"/>
  <c r="L60" i="127"/>
  <c r="Q60" i="127"/>
  <c r="R60" i="127" s="1"/>
  <c r="Q57" i="127"/>
  <c r="Q61" i="127"/>
  <c r="Q58" i="127"/>
  <c r="R58" i="127" s="1"/>
  <c r="L58" i="127"/>
  <c r="I58" i="127"/>
  <c r="O58" i="127"/>
  <c r="L59" i="127"/>
  <c r="I59" i="127"/>
  <c r="O59" i="127"/>
  <c r="Q59" i="127"/>
  <c r="R59" i="127" s="1"/>
  <c r="H25" i="127"/>
  <c r="H26" i="127"/>
  <c r="H27" i="127"/>
  <c r="H28" i="127"/>
  <c r="H29" i="127"/>
  <c r="H30" i="127"/>
  <c r="H31" i="127"/>
  <c r="H32" i="127"/>
  <c r="H33" i="127"/>
  <c r="H34" i="127"/>
  <c r="H35" i="127"/>
  <c r="H36" i="127"/>
  <c r="H37" i="127"/>
  <c r="H38" i="127"/>
  <c r="H39" i="127"/>
  <c r="H40" i="127"/>
  <c r="H41" i="127"/>
  <c r="H42" i="127"/>
  <c r="H43" i="127"/>
  <c r="H44" i="127"/>
  <c r="H45" i="127"/>
  <c r="H46" i="127"/>
  <c r="H47" i="127"/>
  <c r="H48" i="127"/>
  <c r="H49" i="127"/>
  <c r="H50" i="127"/>
  <c r="H51" i="127"/>
  <c r="H52" i="127"/>
  <c r="H53" i="127"/>
  <c r="H54" i="127"/>
  <c r="H55" i="127"/>
  <c r="H56" i="127"/>
  <c r="H65" i="127"/>
  <c r="H66" i="127"/>
  <c r="H67" i="127"/>
  <c r="H24" i="127"/>
  <c r="H68" i="127" l="1"/>
  <c r="K65" i="127" l="1"/>
  <c r="N546" i="70"/>
  <c r="N547" i="70"/>
  <c r="N548" i="70"/>
  <c r="N550" i="70"/>
  <c r="N551" i="70" l="1"/>
  <c r="Q65" i="127"/>
  <c r="O547" i="70" l="1"/>
  <c r="O548" i="70"/>
  <c r="O550" i="70"/>
  <c r="O546" i="70"/>
  <c r="O549" i="70"/>
  <c r="L547" i="70"/>
  <c r="L548" i="70"/>
  <c r="L549" i="70"/>
  <c r="L550" i="70"/>
  <c r="N30" i="127"/>
  <c r="F53" i="127"/>
  <c r="F54" i="127"/>
  <c r="F55" i="127"/>
  <c r="F56" i="127"/>
  <c r="F52" i="127"/>
  <c r="F51" i="127"/>
  <c r="I56" i="127" l="1"/>
  <c r="I52" i="127"/>
  <c r="I55" i="127"/>
  <c r="I54" i="127"/>
  <c r="I51" i="127"/>
  <c r="Q53" i="127"/>
  <c r="F48" i="127" l="1"/>
  <c r="F49" i="127"/>
  <c r="F50" i="127"/>
  <c r="Q49" i="127" l="1"/>
  <c r="Q48" i="127"/>
  <c r="I50" i="127"/>
  <c r="K42" i="127"/>
  <c r="K43" i="127"/>
  <c r="N43" i="127" s="1"/>
  <c r="K44" i="127"/>
  <c r="K45" i="127"/>
  <c r="N45" i="127" s="1"/>
  <c r="K46" i="127"/>
  <c r="K47" i="127"/>
  <c r="N47" i="127" s="1"/>
  <c r="K48" i="127"/>
  <c r="K49" i="127"/>
  <c r="K50" i="127"/>
  <c r="N50" i="127" s="1"/>
  <c r="O50" i="127" s="1"/>
  <c r="K51" i="127"/>
  <c r="K52" i="127"/>
  <c r="K53" i="127"/>
  <c r="K54" i="127"/>
  <c r="K55" i="127"/>
  <c r="K56" i="127"/>
  <c r="K66" i="127"/>
  <c r="N56" i="127" l="1"/>
  <c r="L56" i="127"/>
  <c r="N55" i="127"/>
  <c r="O55" i="127" s="1"/>
  <c r="L55" i="127"/>
  <c r="N54" i="127"/>
  <c r="O54" i="127" s="1"/>
  <c r="L54" i="127"/>
  <c r="N51" i="127"/>
  <c r="Q51" i="127" s="1"/>
  <c r="R51" i="127" s="1"/>
  <c r="L51" i="127"/>
  <c r="L50" i="127"/>
  <c r="N52" i="127"/>
  <c r="Q52" i="127" s="1"/>
  <c r="R52" i="127" s="1"/>
  <c r="L52" i="127"/>
  <c r="O56" i="127"/>
  <c r="Q56" i="127"/>
  <c r="R56" i="127" s="1"/>
  <c r="Q50" i="127"/>
  <c r="R50" i="127" s="1"/>
  <c r="N46" i="127"/>
  <c r="Q54" i="127" l="1"/>
  <c r="R54" i="127" s="1"/>
  <c r="O51" i="127"/>
  <c r="Q55" i="127"/>
  <c r="R55" i="127" s="1"/>
  <c r="O52" i="127"/>
  <c r="H69" i="127" l="1"/>
  <c r="E79" i="127" l="1"/>
  <c r="F14" i="125" l="1"/>
  <c r="F66" i="127"/>
  <c r="F67" i="127"/>
  <c r="AN208" i="142" l="1"/>
  <c r="K551" i="70"/>
  <c r="N555" i="70"/>
  <c r="I67" i="127"/>
  <c r="Q66" i="127"/>
  <c r="K67" i="127"/>
  <c r="N67" i="127" s="1"/>
  <c r="Q67" i="127" s="1"/>
  <c r="R67" i="127" s="1"/>
  <c r="O67" i="127" l="1"/>
  <c r="L67" i="127"/>
  <c r="L546" i="70"/>
  <c r="L545" i="70"/>
  <c r="AJ208" i="142" l="1"/>
  <c r="AL208" i="142" s="1"/>
  <c r="AH208" i="142"/>
  <c r="Z208" i="142"/>
  <c r="K24" i="127"/>
  <c r="N24" i="127" s="1"/>
  <c r="F32" i="70"/>
  <c r="L32" i="70" l="1"/>
  <c r="O32" i="70"/>
  <c r="R32" i="70"/>
  <c r="F25" i="127"/>
  <c r="I25" i="127" s="1"/>
  <c r="F26" i="127"/>
  <c r="Q26" i="127" s="1"/>
  <c r="F27" i="127"/>
  <c r="I27" i="127" s="1"/>
  <c r="F28" i="127"/>
  <c r="Q28" i="127" s="1"/>
  <c r="F29" i="127"/>
  <c r="I29" i="127" s="1"/>
  <c r="F30" i="127"/>
  <c r="F31" i="127"/>
  <c r="Q31" i="127" s="1"/>
  <c r="F32" i="127"/>
  <c r="F33" i="127"/>
  <c r="F34" i="127"/>
  <c r="Q34" i="127" s="1"/>
  <c r="F35" i="127"/>
  <c r="Q35" i="127" s="1"/>
  <c r="F36" i="127"/>
  <c r="I36" i="127" s="1"/>
  <c r="F37" i="127"/>
  <c r="Q37" i="127" s="1"/>
  <c r="F38" i="127"/>
  <c r="I38" i="127" s="1"/>
  <c r="F39" i="127"/>
  <c r="Q39" i="127" s="1"/>
  <c r="F40" i="127"/>
  <c r="I40" i="127" s="1"/>
  <c r="F41" i="127"/>
  <c r="I41" i="127" s="1"/>
  <c r="F42" i="127"/>
  <c r="Q42" i="127" s="1"/>
  <c r="F43" i="127"/>
  <c r="F44" i="127"/>
  <c r="Q44" i="127" s="1"/>
  <c r="F45" i="127"/>
  <c r="F46" i="127"/>
  <c r="F47" i="127"/>
  <c r="F24" i="127"/>
  <c r="I24" i="127" s="1"/>
  <c r="Q46" i="127" l="1"/>
  <c r="I46" i="127"/>
  <c r="Q30" i="127"/>
  <c r="I30" i="127"/>
  <c r="Q43" i="127"/>
  <c r="I43" i="127"/>
  <c r="Q45" i="127"/>
  <c r="I45" i="127"/>
  <c r="Q47" i="127"/>
  <c r="I47" i="127"/>
  <c r="L43" i="127"/>
  <c r="O24" i="127"/>
  <c r="Q24" i="127"/>
  <c r="F68" i="127"/>
  <c r="F15" i="127" s="1"/>
  <c r="O43" i="127"/>
  <c r="R43" i="127" l="1"/>
  <c r="L46" i="127" l="1"/>
  <c r="R46" i="127"/>
  <c r="O46" i="127"/>
  <c r="L45" i="127"/>
  <c r="R45" i="127"/>
  <c r="O45" i="127"/>
  <c r="R47" i="127"/>
  <c r="L47" i="127"/>
  <c r="O47" i="127"/>
  <c r="AJ28" i="124" l="1"/>
  <c r="AL15" i="124"/>
  <c r="AL28" i="124" s="1"/>
  <c r="K27" i="127" l="1"/>
  <c r="L27" i="127" l="1"/>
  <c r="N27" i="127"/>
  <c r="Q27" i="127" l="1"/>
  <c r="R27" i="127" s="1"/>
  <c r="O27" i="127"/>
  <c r="K41" i="127"/>
  <c r="N41" i="127" s="1"/>
  <c r="Q41" i="127" s="1"/>
  <c r="K40" i="127"/>
  <c r="N40" i="127" s="1"/>
  <c r="Q40" i="127" s="1"/>
  <c r="K38" i="127"/>
  <c r="K36" i="127"/>
  <c r="K33" i="127"/>
  <c r="K32" i="127"/>
  <c r="L30" i="127"/>
  <c r="K29" i="127"/>
  <c r="N29" i="127" s="1"/>
  <c r="Q29" i="127" s="1"/>
  <c r="K25" i="127"/>
  <c r="B8" i="127"/>
  <c r="B7" i="127"/>
  <c r="B4" i="127"/>
  <c r="L38" i="127" l="1"/>
  <c r="N38" i="127"/>
  <c r="Q38" i="127" s="1"/>
  <c r="R38" i="127" s="1"/>
  <c r="N32" i="127"/>
  <c r="Q32" i="127" s="1"/>
  <c r="N33" i="127"/>
  <c r="Q33" i="127" s="1"/>
  <c r="L36" i="127"/>
  <c r="N36" i="127"/>
  <c r="Q36" i="127" s="1"/>
  <c r="N25" i="127"/>
  <c r="K68" i="127"/>
  <c r="L40" i="127"/>
  <c r="L41" i="127"/>
  <c r="R41" i="127"/>
  <c r="L25" i="127"/>
  <c r="L29" i="127"/>
  <c r="R30" i="127"/>
  <c r="O40" i="127"/>
  <c r="L24" i="127"/>
  <c r="R29" i="127"/>
  <c r="H15" i="127"/>
  <c r="O36" i="127" l="1"/>
  <c r="Q25" i="127"/>
  <c r="N68" i="127"/>
  <c r="N15" i="127" s="1"/>
  <c r="N69" i="127"/>
  <c r="R36" i="127"/>
  <c r="R40" i="127"/>
  <c r="O30" i="127"/>
  <c r="K15" i="127"/>
  <c r="K69" i="127"/>
  <c r="I68" i="127"/>
  <c r="O25" i="127"/>
  <c r="L68" i="127"/>
  <c r="O38" i="127"/>
  <c r="O29" i="127"/>
  <c r="O41" i="127"/>
  <c r="Q69" i="127" l="1"/>
  <c r="Q68" i="127"/>
  <c r="R25" i="127"/>
  <c r="O68" i="127"/>
  <c r="R24" i="127"/>
  <c r="Q15" i="127" l="1"/>
  <c r="R68" i="127"/>
  <c r="K78" i="112" l="1"/>
  <c r="K83" i="112" s="1"/>
  <c r="C88" i="112"/>
  <c r="E32" i="75" l="1"/>
  <c r="I28" i="75" l="1"/>
  <c r="I29" i="75"/>
  <c r="I30" i="75"/>
  <c r="I26" i="75"/>
  <c r="I27" i="75"/>
  <c r="I25" i="75"/>
  <c r="I24" i="75"/>
  <c r="I23" i="75"/>
  <c r="I17" i="75"/>
  <c r="I21" i="75"/>
  <c r="Q546" i="70"/>
  <c r="R546" i="70" s="1"/>
  <c r="Q547" i="70"/>
  <c r="R547" i="70" s="1"/>
  <c r="Q548" i="70"/>
  <c r="R548" i="70" s="1"/>
  <c r="R549" i="70"/>
  <c r="F58" i="70"/>
  <c r="F59" i="70"/>
  <c r="F57" i="70"/>
  <c r="F54" i="70"/>
  <c r="F55" i="70"/>
  <c r="F53" i="70"/>
  <c r="F50" i="70"/>
  <c r="F51" i="70"/>
  <c r="F49" i="70"/>
  <c r="F44" i="70"/>
  <c r="F36" i="70"/>
  <c r="F37" i="70"/>
  <c r="F38" i="70"/>
  <c r="F39" i="70"/>
  <c r="F40" i="70"/>
  <c r="F35" i="70"/>
  <c r="F21" i="70"/>
  <c r="F22" i="70"/>
  <c r="F23" i="70"/>
  <c r="L44" i="70" l="1"/>
  <c r="O44" i="70"/>
  <c r="R44" i="70"/>
  <c r="L59" i="70"/>
  <c r="O59" i="70"/>
  <c r="R59" i="70"/>
  <c r="L21" i="70"/>
  <c r="R21" i="70"/>
  <c r="O21" i="70"/>
  <c r="L58" i="70"/>
  <c r="O58" i="70"/>
  <c r="R58" i="70"/>
  <c r="O51" i="70"/>
  <c r="L51" i="70"/>
  <c r="R51" i="70"/>
  <c r="L40" i="70"/>
  <c r="O40" i="70"/>
  <c r="R40" i="70"/>
  <c r="L55" i="70"/>
  <c r="O55" i="70"/>
  <c r="R55" i="70"/>
  <c r="L37" i="70"/>
  <c r="O37" i="70"/>
  <c r="R37" i="70"/>
  <c r="O54" i="70"/>
  <c r="R54" i="70"/>
  <c r="L54" i="70"/>
  <c r="L22" i="70"/>
  <c r="R22" i="70"/>
  <c r="O22" i="70"/>
  <c r="L49" i="70"/>
  <c r="R49" i="70"/>
  <c r="O49" i="70"/>
  <c r="L35" i="70"/>
  <c r="R35" i="70"/>
  <c r="O35" i="70"/>
  <c r="R50" i="70"/>
  <c r="L50" i="70"/>
  <c r="O50" i="70"/>
  <c r="R39" i="70"/>
  <c r="L39" i="70"/>
  <c r="O39" i="70"/>
  <c r="L53" i="70"/>
  <c r="O53" i="70"/>
  <c r="R53" i="70"/>
  <c r="R38" i="70"/>
  <c r="O38" i="70"/>
  <c r="L38" i="70"/>
  <c r="L23" i="70"/>
  <c r="R23" i="70"/>
  <c r="O23" i="70"/>
  <c r="R36" i="70"/>
  <c r="L36" i="70"/>
  <c r="O36" i="70"/>
  <c r="O57" i="70"/>
  <c r="R57" i="70"/>
  <c r="L57" i="70"/>
  <c r="F231" i="70"/>
  <c r="F25" i="70"/>
  <c r="F26" i="70"/>
  <c r="F28" i="70"/>
  <c r="F30" i="70"/>
  <c r="F33" i="70"/>
  <c r="F46" i="70"/>
  <c r="F61" i="70"/>
  <c r="F62" i="70"/>
  <c r="F63" i="70"/>
  <c r="F65" i="70"/>
  <c r="F66" i="70"/>
  <c r="F67" i="70"/>
  <c r="F69" i="70"/>
  <c r="F70" i="70"/>
  <c r="F71" i="70"/>
  <c r="F73" i="70"/>
  <c r="F74" i="70"/>
  <c r="F75" i="70"/>
  <c r="F76" i="70"/>
  <c r="F78" i="70"/>
  <c r="F79" i="70"/>
  <c r="F80" i="70"/>
  <c r="F82" i="70"/>
  <c r="F83" i="70"/>
  <c r="F86" i="70"/>
  <c r="F87" i="70"/>
  <c r="F89" i="70"/>
  <c r="F90" i="70"/>
  <c r="F91" i="70"/>
  <c r="F93" i="70"/>
  <c r="F94" i="70"/>
  <c r="F95" i="70"/>
  <c r="F96" i="70"/>
  <c r="F97" i="70"/>
  <c r="F98" i="70"/>
  <c r="F99" i="70"/>
  <c r="F100" i="70"/>
  <c r="F101" i="70"/>
  <c r="F102" i="70"/>
  <c r="F103" i="70"/>
  <c r="F105" i="70"/>
  <c r="F107" i="70"/>
  <c r="F108" i="70"/>
  <c r="F109" i="70"/>
  <c r="F111" i="70"/>
  <c r="F112" i="70"/>
  <c r="F113" i="70"/>
  <c r="F114" i="70"/>
  <c r="F115" i="70"/>
  <c r="F116" i="70"/>
  <c r="F117" i="70"/>
  <c r="F118" i="70"/>
  <c r="F119" i="70"/>
  <c r="F121" i="70"/>
  <c r="F122" i="70"/>
  <c r="F124" i="70"/>
  <c r="F126" i="70"/>
  <c r="F128" i="70"/>
  <c r="F129" i="70"/>
  <c r="F130" i="70"/>
  <c r="F131" i="70"/>
  <c r="F132" i="70"/>
  <c r="F136" i="70"/>
  <c r="F137" i="70"/>
  <c r="F138" i="70"/>
  <c r="F139" i="70"/>
  <c r="F140" i="70"/>
  <c r="F143" i="70"/>
  <c r="F144" i="70"/>
  <c r="F145" i="70"/>
  <c r="F147" i="70"/>
  <c r="F148" i="70"/>
  <c r="F149" i="70"/>
  <c r="F151" i="70"/>
  <c r="F153" i="70"/>
  <c r="F154" i="70"/>
  <c r="F155" i="70"/>
  <c r="F156" i="70"/>
  <c r="F157" i="70"/>
  <c r="F158" i="70"/>
  <c r="F159" i="70"/>
  <c r="F160" i="70"/>
  <c r="F161" i="70"/>
  <c r="F163" i="70"/>
  <c r="F165" i="70"/>
  <c r="F166" i="70"/>
  <c r="F169" i="70"/>
  <c r="F170" i="70"/>
  <c r="F171" i="70"/>
  <c r="F172" i="70"/>
  <c r="F174" i="70"/>
  <c r="F175" i="70"/>
  <c r="F176" i="70"/>
  <c r="F177" i="70"/>
  <c r="F178" i="70"/>
  <c r="F179" i="70"/>
  <c r="F182" i="70"/>
  <c r="F184" i="70"/>
  <c r="F185" i="70"/>
  <c r="F186" i="70"/>
  <c r="F187" i="70"/>
  <c r="F188" i="70"/>
  <c r="F189" i="70"/>
  <c r="F190" i="70"/>
  <c r="F191" i="70"/>
  <c r="F192" i="70"/>
  <c r="F193" i="70"/>
  <c r="F194" i="70"/>
  <c r="F195" i="70"/>
  <c r="F196" i="70"/>
  <c r="F198" i="70"/>
  <c r="F199" i="70"/>
  <c r="F200" i="70"/>
  <c r="F202" i="70"/>
  <c r="F203" i="70"/>
  <c r="F204" i="70"/>
  <c r="F207" i="70"/>
  <c r="F208" i="70"/>
  <c r="F209" i="70"/>
  <c r="F211" i="70"/>
  <c r="F212" i="70"/>
  <c r="F213" i="70"/>
  <c r="F214" i="70"/>
  <c r="F215" i="70"/>
  <c r="F216" i="70"/>
  <c r="F217" i="70"/>
  <c r="F218" i="70"/>
  <c r="F219" i="70"/>
  <c r="F220" i="70"/>
  <c r="F221" i="70"/>
  <c r="F223" i="70"/>
  <c r="F225" i="70"/>
  <c r="F227" i="70"/>
  <c r="F228" i="70"/>
  <c r="F230" i="70"/>
  <c r="F234" i="70"/>
  <c r="F235" i="70"/>
  <c r="F238" i="70"/>
  <c r="F239" i="70"/>
  <c r="F240" i="70"/>
  <c r="F241" i="70"/>
  <c r="F242" i="70"/>
  <c r="F244" i="70"/>
  <c r="F245" i="70"/>
  <c r="F247" i="70"/>
  <c r="F248" i="70"/>
  <c r="F251" i="70"/>
  <c r="F252" i="70"/>
  <c r="F253" i="70"/>
  <c r="F254" i="70"/>
  <c r="F255" i="70"/>
  <c r="F256" i="70"/>
  <c r="F257" i="70"/>
  <c r="F258" i="70"/>
  <c r="F259" i="70"/>
  <c r="F260" i="70"/>
  <c r="F261" i="70"/>
  <c r="F262" i="70"/>
  <c r="F263" i="70"/>
  <c r="F264" i="70"/>
  <c r="F265" i="70"/>
  <c r="F266" i="70"/>
  <c r="F267" i="70"/>
  <c r="F268" i="70"/>
  <c r="F269" i="70"/>
  <c r="F270" i="70"/>
  <c r="F271" i="70"/>
  <c r="F272" i="70"/>
  <c r="F273" i="70"/>
  <c r="F274" i="70"/>
  <c r="F275" i="70"/>
  <c r="F277" i="70"/>
  <c r="F278" i="70"/>
  <c r="F279" i="70"/>
  <c r="F280" i="70"/>
  <c r="F281" i="70"/>
  <c r="F282" i="70"/>
  <c r="F283" i="70"/>
  <c r="F284" i="70"/>
  <c r="F285" i="70"/>
  <c r="F287" i="70"/>
  <c r="F288" i="70"/>
  <c r="F289" i="70"/>
  <c r="F290" i="70"/>
  <c r="F292" i="70"/>
  <c r="F293" i="70"/>
  <c r="F294" i="70"/>
  <c r="F295" i="70"/>
  <c r="F296" i="70"/>
  <c r="F299" i="70"/>
  <c r="F301" i="70"/>
  <c r="F302" i="70"/>
  <c r="F304" i="70"/>
  <c r="F305" i="70"/>
  <c r="F306" i="70"/>
  <c r="F307" i="70"/>
  <c r="F308" i="70"/>
  <c r="F309" i="70"/>
  <c r="F310" i="70"/>
  <c r="F311" i="70"/>
  <c r="F312" i="70"/>
  <c r="F314" i="70"/>
  <c r="F315" i="70"/>
  <c r="F316" i="70"/>
  <c r="F317" i="70"/>
  <c r="F318" i="70"/>
  <c r="F320" i="70"/>
  <c r="F321" i="70"/>
  <c r="F324" i="70"/>
  <c r="F325" i="70"/>
  <c r="F326" i="70"/>
  <c r="F327" i="70"/>
  <c r="F328" i="70"/>
  <c r="F331" i="70"/>
  <c r="F332" i="70"/>
  <c r="F334" i="70"/>
  <c r="F335" i="70"/>
  <c r="F336" i="70"/>
  <c r="F337" i="70"/>
  <c r="F338" i="70"/>
  <c r="F339" i="70"/>
  <c r="F341" i="70"/>
  <c r="F342" i="70"/>
  <c r="F344" i="70"/>
  <c r="F345" i="70"/>
  <c r="F346" i="70"/>
  <c r="F348" i="70"/>
  <c r="F350" i="70"/>
  <c r="F351" i="70"/>
  <c r="F352" i="70"/>
  <c r="F353" i="70"/>
  <c r="F355" i="70"/>
  <c r="F356" i="70"/>
  <c r="F357" i="70"/>
  <c r="F358" i="70"/>
  <c r="F359" i="70"/>
  <c r="F360" i="70"/>
  <c r="F361" i="70"/>
  <c r="F362" i="70"/>
  <c r="F363" i="70"/>
  <c r="F365" i="70"/>
  <c r="F368" i="70"/>
  <c r="F370" i="70"/>
  <c r="F371" i="70"/>
  <c r="F372" i="70"/>
  <c r="F373" i="70"/>
  <c r="F374" i="70"/>
  <c r="F375" i="70"/>
  <c r="F377" i="70"/>
  <c r="F378" i="70"/>
  <c r="F380" i="70"/>
  <c r="F381" i="70"/>
  <c r="F382" i="70"/>
  <c r="F383" i="70"/>
  <c r="F385" i="70"/>
  <c r="F387" i="70"/>
  <c r="F388" i="70"/>
  <c r="F389" i="70"/>
  <c r="F390" i="70"/>
  <c r="F391" i="70"/>
  <c r="F393" i="70"/>
  <c r="F395" i="70"/>
  <c r="F398" i="70"/>
  <c r="F399" i="70"/>
  <c r="F401" i="70"/>
  <c r="F402" i="70"/>
  <c r="F403" i="70"/>
  <c r="F404" i="70"/>
  <c r="F405" i="70"/>
  <c r="F406" i="70"/>
  <c r="F407" i="70"/>
  <c r="F408" i="70"/>
  <c r="F410" i="70"/>
  <c r="F411" i="70"/>
  <c r="F412" i="70"/>
  <c r="F414" i="70"/>
  <c r="F415" i="70"/>
  <c r="F416" i="70"/>
  <c r="F417" i="70"/>
  <c r="F418" i="70"/>
  <c r="F421" i="70"/>
  <c r="F423" i="70"/>
  <c r="F425" i="70"/>
  <c r="F426" i="70"/>
  <c r="F427" i="70"/>
  <c r="F428" i="70"/>
  <c r="F429" i="70"/>
  <c r="F430" i="70"/>
  <c r="F431" i="70"/>
  <c r="F432" i="70"/>
  <c r="F434" i="70"/>
  <c r="F436" i="70"/>
  <c r="F437" i="70"/>
  <c r="F439" i="70"/>
  <c r="F440" i="70"/>
  <c r="F441" i="70"/>
  <c r="F442" i="70"/>
  <c r="F443" i="70"/>
  <c r="F444" i="70"/>
  <c r="F445" i="70"/>
  <c r="F450" i="70"/>
  <c r="F451" i="70"/>
  <c r="F453" i="70"/>
  <c r="F455" i="70"/>
  <c r="F456" i="70"/>
  <c r="F457" i="70"/>
  <c r="F458" i="70"/>
  <c r="F459" i="70"/>
  <c r="F460" i="70"/>
  <c r="F463" i="70"/>
  <c r="F464" i="70"/>
  <c r="F466" i="70"/>
  <c r="F467" i="70"/>
  <c r="F468" i="70"/>
  <c r="F469" i="70"/>
  <c r="F470" i="70"/>
  <c r="F471" i="70"/>
  <c r="F472" i="70"/>
  <c r="F473" i="70"/>
  <c r="F474" i="70"/>
  <c r="F475" i="70"/>
  <c r="F476" i="70"/>
  <c r="F478" i="70"/>
  <c r="F479" i="70"/>
  <c r="F480" i="70"/>
  <c r="F481" i="70"/>
  <c r="F482" i="70"/>
  <c r="F483" i="70"/>
  <c r="F484" i="70"/>
  <c r="F485" i="70"/>
  <c r="F487" i="70"/>
  <c r="F488" i="70"/>
  <c r="F489" i="70"/>
  <c r="F491" i="70"/>
  <c r="F492" i="70"/>
  <c r="F493" i="70"/>
  <c r="F495" i="70"/>
  <c r="F496" i="70"/>
  <c r="F497" i="70"/>
  <c r="F498" i="70"/>
  <c r="F500" i="70"/>
  <c r="F501" i="70"/>
  <c r="F503" i="70"/>
  <c r="F504" i="70"/>
  <c r="F505" i="70"/>
  <c r="F506" i="70"/>
  <c r="F507" i="70"/>
  <c r="F508" i="70"/>
  <c r="F509" i="70"/>
  <c r="F510" i="70"/>
  <c r="F511" i="70"/>
  <c r="F512" i="70"/>
  <c r="F513" i="70"/>
  <c r="F514" i="70"/>
  <c r="F516" i="70"/>
  <c r="F517" i="70"/>
  <c r="F518" i="70"/>
  <c r="F519" i="70"/>
  <c r="F520" i="70"/>
  <c r="F523" i="70"/>
  <c r="F524" i="70"/>
  <c r="F525" i="70"/>
  <c r="F526" i="70"/>
  <c r="F527" i="70"/>
  <c r="F528" i="70"/>
  <c r="F529" i="70"/>
  <c r="F530" i="70"/>
  <c r="F531" i="70"/>
  <c r="F532" i="70"/>
  <c r="F534" i="70"/>
  <c r="F535" i="70"/>
  <c r="F536" i="70"/>
  <c r="F537" i="70"/>
  <c r="F538" i="70"/>
  <c r="F539" i="70"/>
  <c r="F540" i="70"/>
  <c r="F541" i="70"/>
  <c r="F542" i="70"/>
  <c r="F543" i="70"/>
  <c r="C91" i="112"/>
  <c r="O538" i="70" l="1"/>
  <c r="L538" i="70"/>
  <c r="R538" i="70"/>
  <c r="L510" i="70"/>
  <c r="O510" i="70"/>
  <c r="R510" i="70"/>
  <c r="O481" i="70"/>
  <c r="R481" i="70"/>
  <c r="L481" i="70"/>
  <c r="L451" i="70"/>
  <c r="R451" i="70"/>
  <c r="O451" i="70"/>
  <c r="R416" i="70"/>
  <c r="L416" i="70"/>
  <c r="O416" i="70"/>
  <c r="L383" i="70"/>
  <c r="R383" i="70"/>
  <c r="O383" i="70"/>
  <c r="L341" i="70"/>
  <c r="R341" i="70"/>
  <c r="O341" i="70"/>
  <c r="L299" i="70"/>
  <c r="O299" i="70"/>
  <c r="R299" i="70"/>
  <c r="L270" i="70"/>
  <c r="R270" i="70"/>
  <c r="O270" i="70"/>
  <c r="L242" i="70"/>
  <c r="O242" i="70"/>
  <c r="R242" i="70"/>
  <c r="R208" i="70"/>
  <c r="O208" i="70"/>
  <c r="L208" i="70"/>
  <c r="L177" i="70"/>
  <c r="O177" i="70"/>
  <c r="R177" i="70"/>
  <c r="O121" i="70"/>
  <c r="L121" i="70"/>
  <c r="R121" i="70"/>
  <c r="O537" i="70"/>
  <c r="R537" i="70"/>
  <c r="L537" i="70"/>
  <c r="O509" i="70"/>
  <c r="L509" i="70"/>
  <c r="R509" i="70"/>
  <c r="O480" i="70"/>
  <c r="L480" i="70"/>
  <c r="R480" i="70"/>
  <c r="L427" i="70"/>
  <c r="O427" i="70"/>
  <c r="R427" i="70"/>
  <c r="O405" i="70"/>
  <c r="L405" i="70"/>
  <c r="R405" i="70"/>
  <c r="L372" i="70"/>
  <c r="O372" i="70"/>
  <c r="R372" i="70"/>
  <c r="L317" i="70"/>
  <c r="R317" i="70"/>
  <c r="O317" i="70"/>
  <c r="L194" i="70"/>
  <c r="O194" i="70"/>
  <c r="R194" i="70"/>
  <c r="L163" i="70"/>
  <c r="R163" i="70"/>
  <c r="O163" i="70"/>
  <c r="L130" i="70"/>
  <c r="O130" i="70"/>
  <c r="R130" i="70"/>
  <c r="L90" i="70"/>
  <c r="O90" i="70"/>
  <c r="R90" i="70"/>
  <c r="L30" i="70"/>
  <c r="O30" i="70"/>
  <c r="R30" i="70"/>
  <c r="O526" i="70"/>
  <c r="L526" i="70"/>
  <c r="R526" i="70"/>
  <c r="L478" i="70"/>
  <c r="O478" i="70"/>
  <c r="R478" i="70"/>
  <c r="L434" i="70"/>
  <c r="R434" i="70"/>
  <c r="O434" i="70"/>
  <c r="O380" i="70"/>
  <c r="L380" i="70"/>
  <c r="R380" i="70"/>
  <c r="L348" i="70"/>
  <c r="O348" i="70"/>
  <c r="R348" i="70"/>
  <c r="L315" i="70"/>
  <c r="O315" i="70"/>
  <c r="R315" i="70"/>
  <c r="L284" i="70"/>
  <c r="O284" i="70"/>
  <c r="R284" i="70"/>
  <c r="L251" i="70"/>
  <c r="O251" i="70"/>
  <c r="R251" i="70"/>
  <c r="L203" i="70"/>
  <c r="O203" i="70"/>
  <c r="R203" i="70"/>
  <c r="L161" i="70"/>
  <c r="R161" i="70"/>
  <c r="O161" i="70"/>
  <c r="O117" i="70"/>
  <c r="L117" i="70"/>
  <c r="R117" i="70"/>
  <c r="L89" i="70"/>
  <c r="O89" i="70"/>
  <c r="R89" i="70"/>
  <c r="L542" i="70"/>
  <c r="R542" i="70"/>
  <c r="O542" i="70"/>
  <c r="L506" i="70"/>
  <c r="O506" i="70"/>
  <c r="R506" i="70"/>
  <c r="O457" i="70"/>
  <c r="R457" i="70"/>
  <c r="L457" i="70"/>
  <c r="L389" i="70"/>
  <c r="O389" i="70"/>
  <c r="R389" i="70"/>
  <c r="L346" i="70"/>
  <c r="R346" i="70"/>
  <c r="O346" i="70"/>
  <c r="O305" i="70"/>
  <c r="L305" i="70"/>
  <c r="R305" i="70"/>
  <c r="R274" i="70"/>
  <c r="O274" i="70"/>
  <c r="L274" i="70"/>
  <c r="L248" i="70"/>
  <c r="O248" i="70"/>
  <c r="R248" i="70"/>
  <c r="O213" i="70"/>
  <c r="L213" i="70"/>
  <c r="R213" i="70"/>
  <c r="L139" i="70"/>
  <c r="O139" i="70"/>
  <c r="R139" i="70"/>
  <c r="L365" i="70"/>
  <c r="R365" i="70"/>
  <c r="O365" i="70"/>
  <c r="L138" i="70"/>
  <c r="O138" i="70"/>
  <c r="R138" i="70"/>
  <c r="L529" i="70"/>
  <c r="R529" i="70"/>
  <c r="O529" i="70"/>
  <c r="L501" i="70"/>
  <c r="O501" i="70"/>
  <c r="R501" i="70"/>
  <c r="O463" i="70"/>
  <c r="L463" i="70"/>
  <c r="R463" i="70"/>
  <c r="L439" i="70"/>
  <c r="R439" i="70"/>
  <c r="O439" i="70"/>
  <c r="L395" i="70"/>
  <c r="R395" i="70"/>
  <c r="O395" i="70"/>
  <c r="O361" i="70"/>
  <c r="L361" i="70"/>
  <c r="R361" i="70"/>
  <c r="L331" i="70"/>
  <c r="R331" i="70"/>
  <c r="O331" i="70"/>
  <c r="O318" i="70"/>
  <c r="L318" i="70"/>
  <c r="R318" i="70"/>
  <c r="O279" i="70"/>
  <c r="L279" i="70"/>
  <c r="R279" i="70"/>
  <c r="L254" i="70"/>
  <c r="O254" i="70"/>
  <c r="R254" i="70"/>
  <c r="O217" i="70"/>
  <c r="L217" i="70"/>
  <c r="R217" i="70"/>
  <c r="L188" i="70"/>
  <c r="O188" i="70"/>
  <c r="R188" i="70"/>
  <c r="L166" i="70"/>
  <c r="O166" i="70"/>
  <c r="R166" i="70"/>
  <c r="L145" i="70"/>
  <c r="O145" i="70"/>
  <c r="R145" i="70"/>
  <c r="L112" i="70"/>
  <c r="O112" i="70"/>
  <c r="R112" i="70"/>
  <c r="L93" i="70"/>
  <c r="O93" i="70"/>
  <c r="R93" i="70"/>
  <c r="L70" i="70"/>
  <c r="O70" i="70"/>
  <c r="R70" i="70"/>
  <c r="O528" i="70"/>
  <c r="L528" i="70"/>
  <c r="R528" i="70"/>
  <c r="O500" i="70"/>
  <c r="L500" i="70"/>
  <c r="R500" i="70"/>
  <c r="L471" i="70"/>
  <c r="R471" i="70"/>
  <c r="O471" i="70"/>
  <c r="L450" i="70"/>
  <c r="R450" i="70"/>
  <c r="O450" i="70"/>
  <c r="L415" i="70"/>
  <c r="O415" i="70"/>
  <c r="R415" i="70"/>
  <c r="L382" i="70"/>
  <c r="R382" i="70"/>
  <c r="O382" i="70"/>
  <c r="L351" i="70"/>
  <c r="R351" i="70"/>
  <c r="O351" i="70"/>
  <c r="L328" i="70"/>
  <c r="O328" i="70"/>
  <c r="R328" i="70"/>
  <c r="L296" i="70"/>
  <c r="O296" i="70"/>
  <c r="R296" i="70"/>
  <c r="L278" i="70"/>
  <c r="R278" i="70"/>
  <c r="O278" i="70"/>
  <c r="L269" i="70"/>
  <c r="O269" i="70"/>
  <c r="R269" i="70"/>
  <c r="O253" i="70"/>
  <c r="R253" i="70"/>
  <c r="L253" i="70"/>
  <c r="O241" i="70"/>
  <c r="R241" i="70"/>
  <c r="L241" i="70"/>
  <c r="O216" i="70"/>
  <c r="L216" i="70"/>
  <c r="R216" i="70"/>
  <c r="L195" i="70"/>
  <c r="O195" i="70"/>
  <c r="R195" i="70"/>
  <c r="L176" i="70"/>
  <c r="O176" i="70"/>
  <c r="R176" i="70"/>
  <c r="O155" i="70"/>
  <c r="L155" i="70"/>
  <c r="R155" i="70"/>
  <c r="O131" i="70"/>
  <c r="R131" i="70"/>
  <c r="L131" i="70"/>
  <c r="O111" i="70"/>
  <c r="R111" i="70"/>
  <c r="L111" i="70"/>
  <c r="L91" i="70"/>
  <c r="O91" i="70"/>
  <c r="R91" i="70"/>
  <c r="O69" i="70"/>
  <c r="L69" i="70"/>
  <c r="R69" i="70"/>
  <c r="L527" i="70"/>
  <c r="R527" i="70"/>
  <c r="O527" i="70"/>
  <c r="L508" i="70"/>
  <c r="R508" i="70"/>
  <c r="O508" i="70"/>
  <c r="L488" i="70"/>
  <c r="O488" i="70"/>
  <c r="R488" i="70"/>
  <c r="L459" i="70"/>
  <c r="R459" i="70"/>
  <c r="O459" i="70"/>
  <c r="L426" i="70"/>
  <c r="O426" i="70"/>
  <c r="R426" i="70"/>
  <c r="L404" i="70"/>
  <c r="R404" i="70"/>
  <c r="O404" i="70"/>
  <c r="L381" i="70"/>
  <c r="R381" i="70"/>
  <c r="O381" i="70"/>
  <c r="R359" i="70"/>
  <c r="L359" i="70"/>
  <c r="O359" i="70"/>
  <c r="L338" i="70"/>
  <c r="R338" i="70"/>
  <c r="O338" i="70"/>
  <c r="L307" i="70"/>
  <c r="O307" i="70"/>
  <c r="R307" i="70"/>
  <c r="L285" i="70"/>
  <c r="R285" i="70"/>
  <c r="O285" i="70"/>
  <c r="O268" i="70"/>
  <c r="L268" i="70"/>
  <c r="R268" i="70"/>
  <c r="L260" i="70"/>
  <c r="O260" i="70"/>
  <c r="R260" i="70"/>
  <c r="L240" i="70"/>
  <c r="O240" i="70"/>
  <c r="R240" i="70"/>
  <c r="L215" i="70"/>
  <c r="O215" i="70"/>
  <c r="R215" i="70"/>
  <c r="O186" i="70"/>
  <c r="L186" i="70"/>
  <c r="R186" i="70"/>
  <c r="L154" i="70"/>
  <c r="O154" i="70"/>
  <c r="R154" i="70"/>
  <c r="L118" i="70"/>
  <c r="O118" i="70"/>
  <c r="R118" i="70"/>
  <c r="O109" i="70"/>
  <c r="L109" i="70"/>
  <c r="R109" i="70"/>
  <c r="L78" i="70"/>
  <c r="O78" i="70"/>
  <c r="R78" i="70"/>
  <c r="R543" i="70"/>
  <c r="L543" i="70"/>
  <c r="O543" i="70"/>
  <c r="L516" i="70"/>
  <c r="O516" i="70"/>
  <c r="R516" i="70"/>
  <c r="L497" i="70"/>
  <c r="R497" i="70"/>
  <c r="O497" i="70"/>
  <c r="O469" i="70"/>
  <c r="R469" i="70"/>
  <c r="L469" i="70"/>
  <c r="R444" i="70"/>
  <c r="L444" i="70"/>
  <c r="O444" i="70"/>
  <c r="L390" i="70"/>
  <c r="R390" i="70"/>
  <c r="O390" i="70"/>
  <c r="L370" i="70"/>
  <c r="R370" i="70"/>
  <c r="O370" i="70"/>
  <c r="L326" i="70"/>
  <c r="O326" i="70"/>
  <c r="R326" i="70"/>
  <c r="L294" i="70"/>
  <c r="O294" i="70"/>
  <c r="R294" i="70"/>
  <c r="L267" i="70"/>
  <c r="O267" i="70"/>
  <c r="R267" i="70"/>
  <c r="L239" i="70"/>
  <c r="O239" i="70"/>
  <c r="R239" i="70"/>
  <c r="L214" i="70"/>
  <c r="O214" i="70"/>
  <c r="R214" i="70"/>
  <c r="L185" i="70"/>
  <c r="O185" i="70"/>
  <c r="R185" i="70"/>
  <c r="L153" i="70"/>
  <c r="R153" i="70"/>
  <c r="O153" i="70"/>
  <c r="L129" i="70"/>
  <c r="O129" i="70"/>
  <c r="R129" i="70"/>
  <c r="L108" i="70"/>
  <c r="R108" i="70"/>
  <c r="O108" i="70"/>
  <c r="O76" i="70"/>
  <c r="L76" i="70"/>
  <c r="R76" i="70"/>
  <c r="L28" i="70"/>
  <c r="O28" i="70"/>
  <c r="R28" i="70"/>
  <c r="L525" i="70"/>
  <c r="O525" i="70"/>
  <c r="R525" i="70"/>
  <c r="R496" i="70"/>
  <c r="O496" i="70"/>
  <c r="L496" i="70"/>
  <c r="L476" i="70"/>
  <c r="O476" i="70"/>
  <c r="R476" i="70"/>
  <c r="O432" i="70"/>
  <c r="L432" i="70"/>
  <c r="R432" i="70"/>
  <c r="L423" i="70"/>
  <c r="O423" i="70"/>
  <c r="R423" i="70"/>
  <c r="R402" i="70"/>
  <c r="L402" i="70"/>
  <c r="O402" i="70"/>
  <c r="R368" i="70"/>
  <c r="L368" i="70"/>
  <c r="O368" i="70"/>
  <c r="L336" i="70"/>
  <c r="R336" i="70"/>
  <c r="O336" i="70"/>
  <c r="L314" i="70"/>
  <c r="R314" i="70"/>
  <c r="O314" i="70"/>
  <c r="R283" i="70"/>
  <c r="L283" i="70"/>
  <c r="O283" i="70"/>
  <c r="L258" i="70"/>
  <c r="O258" i="70"/>
  <c r="R258" i="70"/>
  <c r="L221" i="70"/>
  <c r="R221" i="70"/>
  <c r="O221" i="70"/>
  <c r="L192" i="70"/>
  <c r="O192" i="70"/>
  <c r="R192" i="70"/>
  <c r="R172" i="70"/>
  <c r="L172" i="70"/>
  <c r="O172" i="70"/>
  <c r="L151" i="70"/>
  <c r="O151" i="70"/>
  <c r="R151" i="70"/>
  <c r="O116" i="70"/>
  <c r="R116" i="70"/>
  <c r="L116" i="70"/>
  <c r="L97" i="70"/>
  <c r="R97" i="70"/>
  <c r="O97" i="70"/>
  <c r="O75" i="70"/>
  <c r="L75" i="70"/>
  <c r="R75" i="70"/>
  <c r="L26" i="70"/>
  <c r="R26" i="70"/>
  <c r="O26" i="70"/>
  <c r="L532" i="70"/>
  <c r="R532" i="70"/>
  <c r="O532" i="70"/>
  <c r="L513" i="70"/>
  <c r="R513" i="70"/>
  <c r="O513" i="70"/>
  <c r="L495" i="70"/>
  <c r="R495" i="70"/>
  <c r="O495" i="70"/>
  <c r="R475" i="70"/>
  <c r="L475" i="70"/>
  <c r="O475" i="70"/>
  <c r="O456" i="70"/>
  <c r="L456" i="70"/>
  <c r="R456" i="70"/>
  <c r="L431" i="70"/>
  <c r="R431" i="70"/>
  <c r="O431" i="70"/>
  <c r="L401" i="70"/>
  <c r="O401" i="70"/>
  <c r="R401" i="70"/>
  <c r="L388" i="70"/>
  <c r="R388" i="70"/>
  <c r="O388" i="70"/>
  <c r="O356" i="70"/>
  <c r="L356" i="70"/>
  <c r="R356" i="70"/>
  <c r="O335" i="70"/>
  <c r="L335" i="70"/>
  <c r="R335" i="70"/>
  <c r="L304" i="70"/>
  <c r="O304" i="70"/>
  <c r="R304" i="70"/>
  <c r="L292" i="70"/>
  <c r="O292" i="70"/>
  <c r="R292" i="70"/>
  <c r="L265" i="70"/>
  <c r="R265" i="70"/>
  <c r="O265" i="70"/>
  <c r="O235" i="70"/>
  <c r="L235" i="70"/>
  <c r="R235" i="70"/>
  <c r="O212" i="70"/>
  <c r="L212" i="70"/>
  <c r="R212" i="70"/>
  <c r="L191" i="70"/>
  <c r="O191" i="70"/>
  <c r="R191" i="70"/>
  <c r="L171" i="70"/>
  <c r="O171" i="70"/>
  <c r="R171" i="70"/>
  <c r="O149" i="70"/>
  <c r="L149" i="70"/>
  <c r="R149" i="70"/>
  <c r="O126" i="70"/>
  <c r="R126" i="70"/>
  <c r="L126" i="70"/>
  <c r="R105" i="70"/>
  <c r="L105" i="70"/>
  <c r="O105" i="70"/>
  <c r="L74" i="70"/>
  <c r="O74" i="70"/>
  <c r="R74" i="70"/>
  <c r="L25" i="70"/>
  <c r="R25" i="70"/>
  <c r="O25" i="70"/>
  <c r="O540" i="70"/>
  <c r="R540" i="70"/>
  <c r="L540" i="70"/>
  <c r="L531" i="70"/>
  <c r="O531" i="70"/>
  <c r="R531" i="70"/>
  <c r="O523" i="70"/>
  <c r="R523" i="70"/>
  <c r="L523" i="70"/>
  <c r="O512" i="70"/>
  <c r="L512" i="70"/>
  <c r="R512" i="70"/>
  <c r="L504" i="70"/>
  <c r="O504" i="70"/>
  <c r="R504" i="70"/>
  <c r="R493" i="70"/>
  <c r="L493" i="70"/>
  <c r="O493" i="70"/>
  <c r="L483" i="70"/>
  <c r="O483" i="70"/>
  <c r="R483" i="70"/>
  <c r="L474" i="70"/>
  <c r="O474" i="70"/>
  <c r="R474" i="70"/>
  <c r="R466" i="70"/>
  <c r="L466" i="70"/>
  <c r="O466" i="70"/>
  <c r="L455" i="70"/>
  <c r="O455" i="70"/>
  <c r="R455" i="70"/>
  <c r="L441" i="70"/>
  <c r="R441" i="70"/>
  <c r="O441" i="70"/>
  <c r="L430" i="70"/>
  <c r="R430" i="70"/>
  <c r="O430" i="70"/>
  <c r="O418" i="70"/>
  <c r="L418" i="70"/>
  <c r="R418" i="70"/>
  <c r="L408" i="70"/>
  <c r="O408" i="70"/>
  <c r="R408" i="70"/>
  <c r="L399" i="70"/>
  <c r="O399" i="70"/>
  <c r="R399" i="70"/>
  <c r="L387" i="70"/>
  <c r="R387" i="70"/>
  <c r="O387" i="70"/>
  <c r="O375" i="70"/>
  <c r="R375" i="70"/>
  <c r="L375" i="70"/>
  <c r="L363" i="70"/>
  <c r="R363" i="70"/>
  <c r="O363" i="70"/>
  <c r="L355" i="70"/>
  <c r="O355" i="70"/>
  <c r="R355" i="70"/>
  <c r="L344" i="70"/>
  <c r="R344" i="70"/>
  <c r="O344" i="70"/>
  <c r="O334" i="70"/>
  <c r="L334" i="70"/>
  <c r="R334" i="70"/>
  <c r="L321" i="70"/>
  <c r="R321" i="70"/>
  <c r="O321" i="70"/>
  <c r="L311" i="70"/>
  <c r="O311" i="70"/>
  <c r="R311" i="70"/>
  <c r="L302" i="70"/>
  <c r="O302" i="70"/>
  <c r="R302" i="70"/>
  <c r="L290" i="70"/>
  <c r="O290" i="70"/>
  <c r="R290" i="70"/>
  <c r="O281" i="70"/>
  <c r="L281" i="70"/>
  <c r="R281" i="70"/>
  <c r="L272" i="70"/>
  <c r="R272" i="70"/>
  <c r="O272" i="70"/>
  <c r="O264" i="70"/>
  <c r="L264" i="70"/>
  <c r="R264" i="70"/>
  <c r="R256" i="70"/>
  <c r="L256" i="70"/>
  <c r="O256" i="70"/>
  <c r="O245" i="70"/>
  <c r="L245" i="70"/>
  <c r="R245" i="70"/>
  <c r="O219" i="70"/>
  <c r="L219" i="70"/>
  <c r="R219" i="70"/>
  <c r="O211" i="70"/>
  <c r="L211" i="70"/>
  <c r="R211" i="70"/>
  <c r="O199" i="70"/>
  <c r="R199" i="70"/>
  <c r="L199" i="70"/>
  <c r="O190" i="70"/>
  <c r="L190" i="70"/>
  <c r="R190" i="70"/>
  <c r="L179" i="70"/>
  <c r="O179" i="70"/>
  <c r="R179" i="70"/>
  <c r="O170" i="70"/>
  <c r="L170" i="70"/>
  <c r="R170" i="70"/>
  <c r="L158" i="70"/>
  <c r="O158" i="70"/>
  <c r="R158" i="70"/>
  <c r="O148" i="70"/>
  <c r="L148" i="70"/>
  <c r="R148" i="70"/>
  <c r="O137" i="70"/>
  <c r="L137" i="70"/>
  <c r="R137" i="70"/>
  <c r="L124" i="70"/>
  <c r="O124" i="70"/>
  <c r="R124" i="70"/>
  <c r="L114" i="70"/>
  <c r="O114" i="70"/>
  <c r="R114" i="70"/>
  <c r="L103" i="70"/>
  <c r="O103" i="70"/>
  <c r="R103" i="70"/>
  <c r="L95" i="70"/>
  <c r="R95" i="70"/>
  <c r="O95" i="70"/>
  <c r="O83" i="70"/>
  <c r="L83" i="70"/>
  <c r="R83" i="70"/>
  <c r="L73" i="70"/>
  <c r="O73" i="70"/>
  <c r="R73" i="70"/>
  <c r="L62" i="70"/>
  <c r="R62" i="70"/>
  <c r="O62" i="70"/>
  <c r="O231" i="70"/>
  <c r="L231" i="70"/>
  <c r="R231" i="70"/>
  <c r="L519" i="70"/>
  <c r="O519" i="70"/>
  <c r="R519" i="70"/>
  <c r="L491" i="70"/>
  <c r="O491" i="70"/>
  <c r="R491" i="70"/>
  <c r="O472" i="70"/>
  <c r="L472" i="70"/>
  <c r="R472" i="70"/>
  <c r="L428" i="70"/>
  <c r="R428" i="70"/>
  <c r="O428" i="70"/>
  <c r="L406" i="70"/>
  <c r="O406" i="70"/>
  <c r="R406" i="70"/>
  <c r="L373" i="70"/>
  <c r="R373" i="70"/>
  <c r="O373" i="70"/>
  <c r="L352" i="70"/>
  <c r="O352" i="70"/>
  <c r="R352" i="70"/>
  <c r="O309" i="70"/>
  <c r="L309" i="70"/>
  <c r="R309" i="70"/>
  <c r="O288" i="70"/>
  <c r="L288" i="70"/>
  <c r="R288" i="70"/>
  <c r="O262" i="70"/>
  <c r="R262" i="70"/>
  <c r="L262" i="70"/>
  <c r="L228" i="70"/>
  <c r="O228" i="70"/>
  <c r="R228" i="70"/>
  <c r="R196" i="70"/>
  <c r="L196" i="70"/>
  <c r="O196" i="70"/>
  <c r="L156" i="70"/>
  <c r="O156" i="70"/>
  <c r="R156" i="70"/>
  <c r="R132" i="70"/>
  <c r="O132" i="70"/>
  <c r="L132" i="70"/>
  <c r="L101" i="70"/>
  <c r="O101" i="70"/>
  <c r="R101" i="70"/>
  <c r="O80" i="70"/>
  <c r="L80" i="70"/>
  <c r="R80" i="70"/>
  <c r="L46" i="70"/>
  <c r="O46" i="70"/>
  <c r="R46" i="70"/>
  <c r="L518" i="70"/>
  <c r="O518" i="70"/>
  <c r="R518" i="70"/>
  <c r="O489" i="70"/>
  <c r="L489" i="70"/>
  <c r="R489" i="70"/>
  <c r="L460" i="70"/>
  <c r="R460" i="70"/>
  <c r="O460" i="70"/>
  <c r="O437" i="70"/>
  <c r="L437" i="70"/>
  <c r="R437" i="70"/>
  <c r="O393" i="70"/>
  <c r="L393" i="70"/>
  <c r="R393" i="70"/>
  <c r="L360" i="70"/>
  <c r="O360" i="70"/>
  <c r="R360" i="70"/>
  <c r="R339" i="70"/>
  <c r="L339" i="70"/>
  <c r="O339" i="70"/>
  <c r="L308" i="70"/>
  <c r="O308" i="70"/>
  <c r="R308" i="70"/>
  <c r="L287" i="70"/>
  <c r="O287" i="70"/>
  <c r="R287" i="70"/>
  <c r="L261" i="70"/>
  <c r="O261" i="70"/>
  <c r="R261" i="70"/>
  <c r="L227" i="70"/>
  <c r="O227" i="70"/>
  <c r="R227" i="70"/>
  <c r="L207" i="70"/>
  <c r="R207" i="70"/>
  <c r="O207" i="70"/>
  <c r="O187" i="70"/>
  <c r="R187" i="70"/>
  <c r="L187" i="70"/>
  <c r="L165" i="70"/>
  <c r="R165" i="70"/>
  <c r="O165" i="70"/>
  <c r="L144" i="70"/>
  <c r="O144" i="70"/>
  <c r="R144" i="70"/>
  <c r="O119" i="70"/>
  <c r="L119" i="70"/>
  <c r="R119" i="70"/>
  <c r="L100" i="70"/>
  <c r="O100" i="70"/>
  <c r="R100" i="70"/>
  <c r="L79" i="70"/>
  <c r="O79" i="70"/>
  <c r="R79" i="70"/>
  <c r="L33" i="70"/>
  <c r="O33" i="70"/>
  <c r="R33" i="70"/>
  <c r="L536" i="70"/>
  <c r="O536" i="70"/>
  <c r="R536" i="70"/>
  <c r="O517" i="70"/>
  <c r="R517" i="70"/>
  <c r="L517" i="70"/>
  <c r="L498" i="70"/>
  <c r="O498" i="70"/>
  <c r="R498" i="70"/>
  <c r="L479" i="70"/>
  <c r="O479" i="70"/>
  <c r="R479" i="70"/>
  <c r="L470" i="70"/>
  <c r="O470" i="70"/>
  <c r="R470" i="70"/>
  <c r="L445" i="70"/>
  <c r="O445" i="70"/>
  <c r="R445" i="70"/>
  <c r="L436" i="70"/>
  <c r="O436" i="70"/>
  <c r="R436" i="70"/>
  <c r="O414" i="70"/>
  <c r="L414" i="70"/>
  <c r="R414" i="70"/>
  <c r="L391" i="70"/>
  <c r="R391" i="70"/>
  <c r="O391" i="70"/>
  <c r="L371" i="70"/>
  <c r="R371" i="70"/>
  <c r="O371" i="70"/>
  <c r="L350" i="70"/>
  <c r="R350" i="70"/>
  <c r="O350" i="70"/>
  <c r="L327" i="70"/>
  <c r="R327" i="70"/>
  <c r="O327" i="70"/>
  <c r="O316" i="70"/>
  <c r="R316" i="70"/>
  <c r="L316" i="70"/>
  <c r="O295" i="70"/>
  <c r="L295" i="70"/>
  <c r="R295" i="70"/>
  <c r="O277" i="70"/>
  <c r="L277" i="70"/>
  <c r="R277" i="70"/>
  <c r="L252" i="70"/>
  <c r="O252" i="70"/>
  <c r="R252" i="70"/>
  <c r="L225" i="70"/>
  <c r="O225" i="70"/>
  <c r="R225" i="70"/>
  <c r="O204" i="70"/>
  <c r="R204" i="70"/>
  <c r="L204" i="70"/>
  <c r="L175" i="70"/>
  <c r="O175" i="70"/>
  <c r="R175" i="70"/>
  <c r="L143" i="70"/>
  <c r="O143" i="70"/>
  <c r="R143" i="70"/>
  <c r="L99" i="70"/>
  <c r="R99" i="70"/>
  <c r="O99" i="70"/>
  <c r="O67" i="70"/>
  <c r="L67" i="70"/>
  <c r="R67" i="70"/>
  <c r="L535" i="70"/>
  <c r="O535" i="70"/>
  <c r="R535" i="70"/>
  <c r="O507" i="70"/>
  <c r="L507" i="70"/>
  <c r="R507" i="70"/>
  <c r="L487" i="70"/>
  <c r="R487" i="70"/>
  <c r="O487" i="70"/>
  <c r="L458" i="70"/>
  <c r="O458" i="70"/>
  <c r="R458" i="70"/>
  <c r="L425" i="70"/>
  <c r="O425" i="70"/>
  <c r="R425" i="70"/>
  <c r="L412" i="70"/>
  <c r="O412" i="70"/>
  <c r="R412" i="70"/>
  <c r="O403" i="70"/>
  <c r="L403" i="70"/>
  <c r="R403" i="70"/>
  <c r="L358" i="70"/>
  <c r="R358" i="70"/>
  <c r="O358" i="70"/>
  <c r="L337" i="70"/>
  <c r="R337" i="70"/>
  <c r="O337" i="70"/>
  <c r="L306" i="70"/>
  <c r="O306" i="70"/>
  <c r="R306" i="70"/>
  <c r="L275" i="70"/>
  <c r="R275" i="70"/>
  <c r="O275" i="70"/>
  <c r="O259" i="70"/>
  <c r="L259" i="70"/>
  <c r="R259" i="70"/>
  <c r="O223" i="70"/>
  <c r="R223" i="70"/>
  <c r="L223" i="70"/>
  <c r="O193" i="70"/>
  <c r="L193" i="70"/>
  <c r="R193" i="70"/>
  <c r="L174" i="70"/>
  <c r="R174" i="70"/>
  <c r="O174" i="70"/>
  <c r="L140" i="70"/>
  <c r="R140" i="70"/>
  <c r="O140" i="70"/>
  <c r="L98" i="70"/>
  <c r="R98" i="70"/>
  <c r="O98" i="70"/>
  <c r="O66" i="70"/>
  <c r="L66" i="70"/>
  <c r="R66" i="70"/>
  <c r="L534" i="70"/>
  <c r="O534" i="70"/>
  <c r="R534" i="70"/>
  <c r="O514" i="70"/>
  <c r="R514" i="70"/>
  <c r="L514" i="70"/>
  <c r="L485" i="70"/>
  <c r="O485" i="70"/>
  <c r="R485" i="70"/>
  <c r="L468" i="70"/>
  <c r="O468" i="70"/>
  <c r="R468" i="70"/>
  <c r="L443" i="70"/>
  <c r="O443" i="70"/>
  <c r="R443" i="70"/>
  <c r="L411" i="70"/>
  <c r="O411" i="70"/>
  <c r="R411" i="70"/>
  <c r="L378" i="70"/>
  <c r="O378" i="70"/>
  <c r="R378" i="70"/>
  <c r="O357" i="70"/>
  <c r="L357" i="70"/>
  <c r="R357" i="70"/>
  <c r="O325" i="70"/>
  <c r="L325" i="70"/>
  <c r="R325" i="70"/>
  <c r="L293" i="70"/>
  <c r="O293" i="70"/>
  <c r="R293" i="70"/>
  <c r="L266" i="70"/>
  <c r="O266" i="70"/>
  <c r="R266" i="70"/>
  <c r="L238" i="70"/>
  <c r="O238" i="70"/>
  <c r="R238" i="70"/>
  <c r="L202" i="70"/>
  <c r="O202" i="70"/>
  <c r="R202" i="70"/>
  <c r="O184" i="70"/>
  <c r="L184" i="70"/>
  <c r="R184" i="70"/>
  <c r="L160" i="70"/>
  <c r="O160" i="70"/>
  <c r="R160" i="70"/>
  <c r="L128" i="70"/>
  <c r="R128" i="70"/>
  <c r="O128" i="70"/>
  <c r="R107" i="70"/>
  <c r="L107" i="70"/>
  <c r="O107" i="70"/>
  <c r="R87" i="70"/>
  <c r="L87" i="70"/>
  <c r="O87" i="70"/>
  <c r="O65" i="70"/>
  <c r="L65" i="70"/>
  <c r="R65" i="70"/>
  <c r="O541" i="70"/>
  <c r="L541" i="70"/>
  <c r="R541" i="70"/>
  <c r="L524" i="70"/>
  <c r="R524" i="70"/>
  <c r="O524" i="70"/>
  <c r="O505" i="70"/>
  <c r="R505" i="70"/>
  <c r="L505" i="70"/>
  <c r="L484" i="70"/>
  <c r="O484" i="70"/>
  <c r="R484" i="70"/>
  <c r="L467" i="70"/>
  <c r="O467" i="70"/>
  <c r="R467" i="70"/>
  <c r="L442" i="70"/>
  <c r="O442" i="70"/>
  <c r="R442" i="70"/>
  <c r="L421" i="70"/>
  <c r="O421" i="70"/>
  <c r="R421" i="70"/>
  <c r="L410" i="70"/>
  <c r="O410" i="70"/>
  <c r="R410" i="70"/>
  <c r="L377" i="70"/>
  <c r="R377" i="70"/>
  <c r="O377" i="70"/>
  <c r="L345" i="70"/>
  <c r="O345" i="70"/>
  <c r="R345" i="70"/>
  <c r="R324" i="70"/>
  <c r="L324" i="70"/>
  <c r="O324" i="70"/>
  <c r="L312" i="70"/>
  <c r="R312" i="70"/>
  <c r="O312" i="70"/>
  <c r="L282" i="70"/>
  <c r="O282" i="70"/>
  <c r="R282" i="70"/>
  <c r="O273" i="70"/>
  <c r="R273" i="70"/>
  <c r="L273" i="70"/>
  <c r="L257" i="70"/>
  <c r="O257" i="70"/>
  <c r="R257" i="70"/>
  <c r="R247" i="70"/>
  <c r="O247" i="70"/>
  <c r="L247" i="70"/>
  <c r="L220" i="70"/>
  <c r="R220" i="70"/>
  <c r="O220" i="70"/>
  <c r="O200" i="70"/>
  <c r="L200" i="70"/>
  <c r="R200" i="70"/>
  <c r="L182" i="70"/>
  <c r="R182" i="70"/>
  <c r="O182" i="70"/>
  <c r="O159" i="70"/>
  <c r="R159" i="70"/>
  <c r="L159" i="70"/>
  <c r="O115" i="70"/>
  <c r="L115" i="70"/>
  <c r="R115" i="70"/>
  <c r="O96" i="70"/>
  <c r="L96" i="70"/>
  <c r="R96" i="70"/>
  <c r="L86" i="70"/>
  <c r="O86" i="70"/>
  <c r="R86" i="70"/>
  <c r="O63" i="70"/>
  <c r="L63" i="70"/>
  <c r="R63" i="70"/>
  <c r="L539" i="70"/>
  <c r="R539" i="70"/>
  <c r="O539" i="70"/>
  <c r="O530" i="70"/>
  <c r="L530" i="70"/>
  <c r="R530" i="70"/>
  <c r="O520" i="70"/>
  <c r="L520" i="70"/>
  <c r="R520" i="70"/>
  <c r="R511" i="70"/>
  <c r="L511" i="70"/>
  <c r="O511" i="70"/>
  <c r="L503" i="70"/>
  <c r="O503" i="70"/>
  <c r="R503" i="70"/>
  <c r="L492" i="70"/>
  <c r="R492" i="70"/>
  <c r="O492" i="70"/>
  <c r="L482" i="70"/>
  <c r="O482" i="70"/>
  <c r="R482" i="70"/>
  <c r="L473" i="70"/>
  <c r="O473" i="70"/>
  <c r="R473" i="70"/>
  <c r="L464" i="70"/>
  <c r="O464" i="70"/>
  <c r="R464" i="70"/>
  <c r="L453" i="70"/>
  <c r="O453" i="70"/>
  <c r="R453" i="70"/>
  <c r="L440" i="70"/>
  <c r="R440" i="70"/>
  <c r="O440" i="70"/>
  <c r="R429" i="70"/>
  <c r="O429" i="70"/>
  <c r="L429" i="70"/>
  <c r="L417" i="70"/>
  <c r="O417" i="70"/>
  <c r="R417" i="70"/>
  <c r="O407" i="70"/>
  <c r="L407" i="70"/>
  <c r="R407" i="70"/>
  <c r="L398" i="70"/>
  <c r="O398" i="70"/>
  <c r="R398" i="70"/>
  <c r="L385" i="70"/>
  <c r="R385" i="70"/>
  <c r="O385" i="70"/>
  <c r="L374" i="70"/>
  <c r="R374" i="70"/>
  <c r="O374" i="70"/>
  <c r="O362" i="70"/>
  <c r="L362" i="70"/>
  <c r="R362" i="70"/>
  <c r="O353" i="70"/>
  <c r="L353" i="70"/>
  <c r="R353" i="70"/>
  <c r="L342" i="70"/>
  <c r="O342" i="70"/>
  <c r="R342" i="70"/>
  <c r="L332" i="70"/>
  <c r="R332" i="70"/>
  <c r="O332" i="70"/>
  <c r="L320" i="70"/>
  <c r="O320" i="70"/>
  <c r="R320" i="70"/>
  <c r="L310" i="70"/>
  <c r="R310" i="70"/>
  <c r="O310" i="70"/>
  <c r="L301" i="70"/>
  <c r="O301" i="70"/>
  <c r="R301" i="70"/>
  <c r="L289" i="70"/>
  <c r="O289" i="70"/>
  <c r="R289" i="70"/>
  <c r="L280" i="70"/>
  <c r="O280" i="70"/>
  <c r="R280" i="70"/>
  <c r="O271" i="70"/>
  <c r="L271" i="70"/>
  <c r="R271" i="70"/>
  <c r="L263" i="70"/>
  <c r="O263" i="70"/>
  <c r="R263" i="70"/>
  <c r="L255" i="70"/>
  <c r="R255" i="70"/>
  <c r="O255" i="70"/>
  <c r="O244" i="70"/>
  <c r="L244" i="70"/>
  <c r="R244" i="70"/>
  <c r="O230" i="70"/>
  <c r="L230" i="70"/>
  <c r="R230" i="70"/>
  <c r="L218" i="70"/>
  <c r="R218" i="70"/>
  <c r="O218" i="70"/>
  <c r="L209" i="70"/>
  <c r="O209" i="70"/>
  <c r="R209" i="70"/>
  <c r="L198" i="70"/>
  <c r="R198" i="70"/>
  <c r="O198" i="70"/>
  <c r="L189" i="70"/>
  <c r="O189" i="70"/>
  <c r="R189" i="70"/>
  <c r="O178" i="70"/>
  <c r="L178" i="70"/>
  <c r="R178" i="70"/>
  <c r="L169" i="70"/>
  <c r="O169" i="70"/>
  <c r="R169" i="70"/>
  <c r="O157" i="70"/>
  <c r="L157" i="70"/>
  <c r="R157" i="70"/>
  <c r="O147" i="70"/>
  <c r="R147" i="70"/>
  <c r="L147" i="70"/>
  <c r="L136" i="70"/>
  <c r="O136" i="70"/>
  <c r="R136" i="70"/>
  <c r="O122" i="70"/>
  <c r="L122" i="70"/>
  <c r="R122" i="70"/>
  <c r="L113" i="70"/>
  <c r="R113" i="70"/>
  <c r="O113" i="70"/>
  <c r="L102" i="70"/>
  <c r="O102" i="70"/>
  <c r="R102" i="70"/>
  <c r="L94" i="70"/>
  <c r="O94" i="70"/>
  <c r="R94" i="70"/>
  <c r="L82" i="70"/>
  <c r="O82" i="70"/>
  <c r="R82" i="70"/>
  <c r="L71" i="70"/>
  <c r="R71" i="70"/>
  <c r="O71" i="70"/>
  <c r="L61" i="70"/>
  <c r="O61" i="70"/>
  <c r="R61" i="70"/>
  <c r="D545" i="70"/>
  <c r="D13" i="125"/>
  <c r="I22" i="75"/>
  <c r="I19" i="75"/>
  <c r="I20" i="75"/>
  <c r="I18" i="75"/>
  <c r="H75" i="125" l="1"/>
  <c r="D14" i="125"/>
  <c r="Q550" i="70"/>
  <c r="R550" i="70" s="1"/>
  <c r="F12" i="125" l="1"/>
  <c r="H12" i="125" s="1"/>
  <c r="J12" i="125" s="1"/>
  <c r="B7" i="125"/>
  <c r="B29" i="125" s="1"/>
  <c r="B28" i="125"/>
  <c r="O545" i="70" l="1"/>
  <c r="Q545" i="70" l="1"/>
  <c r="R545" i="70" s="1"/>
  <c r="E19" i="4" l="1"/>
  <c r="B8" i="70"/>
  <c r="B7" i="70"/>
  <c r="C45" i="112" l="1"/>
  <c r="C25" i="112"/>
  <c r="B58" i="125" l="1"/>
  <c r="B5" i="131"/>
  <c r="B176" i="131" s="1"/>
  <c r="B233" i="131" s="1"/>
  <c r="B3" i="125"/>
  <c r="B25" i="125" s="1"/>
  <c r="B5" i="129"/>
  <c r="B54" i="129" s="1"/>
  <c r="C3" i="75"/>
  <c r="B4" i="70"/>
  <c r="K15" i="70" l="1"/>
  <c r="L544" i="70"/>
  <c r="D548" i="70" l="1"/>
  <c r="D549" i="70"/>
  <c r="D550" i="70"/>
  <c r="D547" i="70"/>
  <c r="F551" i="70"/>
  <c r="I551" i="70" s="1"/>
  <c r="C75" i="125"/>
  <c r="C91" i="125" l="1"/>
  <c r="J91" i="125" s="1"/>
  <c r="J75" i="125"/>
  <c r="L91" i="125" s="1"/>
  <c r="N91" i="125" s="1"/>
  <c r="H14" i="125"/>
  <c r="C13" i="125"/>
  <c r="E13" i="125" s="1"/>
  <c r="E14" i="125"/>
  <c r="L551" i="70"/>
  <c r="Q551" i="70"/>
  <c r="F13" i="125"/>
  <c r="H13" i="125" s="1"/>
  <c r="G14" i="125"/>
  <c r="H31" i="75" l="1"/>
  <c r="H32" i="75" s="1"/>
  <c r="I32" i="75" s="1"/>
  <c r="E75" i="125"/>
  <c r="E91" i="125"/>
  <c r="I13" i="125"/>
  <c r="I14" i="125"/>
  <c r="J14" i="125"/>
  <c r="K14" i="125" s="1"/>
  <c r="F17" i="75"/>
  <c r="F18" i="75"/>
  <c r="F20" i="75"/>
  <c r="F21" i="75"/>
  <c r="F25" i="75"/>
  <c r="F29" i="75"/>
  <c r="F24" i="75"/>
  <c r="F28" i="75"/>
  <c r="F27" i="75"/>
  <c r="F30" i="75"/>
  <c r="F23" i="75"/>
  <c r="F26" i="75"/>
  <c r="F19" i="75"/>
  <c r="F22" i="75"/>
  <c r="F31" i="75"/>
  <c r="G13" i="125"/>
  <c r="I31" i="75" l="1"/>
  <c r="J13" i="125"/>
  <c r="K13" i="125" s="1"/>
  <c r="G17" i="75"/>
  <c r="G18" i="75" s="1"/>
  <c r="G19" i="75" s="1"/>
  <c r="G20" i="75" s="1"/>
  <c r="G21" i="75" s="1"/>
  <c r="G22" i="75" s="1"/>
  <c r="F32" i="75"/>
  <c r="Q232" i="120" l="1"/>
  <c r="R232" i="120" s="1"/>
  <c r="Q226" i="120"/>
  <c r="T9" i="120" l="1"/>
  <c r="T10" i="120"/>
  <c r="T15" i="120"/>
  <c r="T17" i="120"/>
  <c r="T19" i="120"/>
  <c r="T23" i="120"/>
  <c r="T24" i="120"/>
  <c r="T26" i="120"/>
  <c r="T30" i="120"/>
  <c r="T31" i="120"/>
  <c r="T32" i="120"/>
  <c r="T33" i="120"/>
  <c r="T34" i="120"/>
  <c r="T35" i="120"/>
  <c r="T41" i="120"/>
  <c r="T42" i="120"/>
  <c r="T43" i="120"/>
  <c r="T44" i="120"/>
  <c r="T46" i="120"/>
  <c r="T50" i="120"/>
  <c r="T51" i="120"/>
  <c r="T52" i="120"/>
  <c r="T53" i="120"/>
  <c r="T54" i="120"/>
  <c r="T55" i="120"/>
  <c r="T56" i="120"/>
  <c r="T57" i="120"/>
  <c r="T58" i="120"/>
  <c r="T59" i="120"/>
  <c r="T60" i="120"/>
  <c r="T61" i="120"/>
  <c r="T67" i="120"/>
  <c r="T68" i="120"/>
  <c r="T69" i="120"/>
  <c r="T70" i="120"/>
  <c r="T71" i="120"/>
  <c r="T77" i="120"/>
  <c r="T78" i="120"/>
  <c r="T79" i="120"/>
  <c r="T80" i="120"/>
  <c r="T81" i="120"/>
  <c r="T82" i="120"/>
  <c r="T83" i="120"/>
  <c r="T84" i="120"/>
  <c r="T85" i="120"/>
  <c r="T86" i="120"/>
  <c r="T87" i="120"/>
  <c r="T88" i="120"/>
  <c r="T89" i="120"/>
  <c r="T90" i="120"/>
  <c r="T91" i="120"/>
  <c r="T92" i="120"/>
  <c r="T93" i="120"/>
  <c r="T94" i="120"/>
  <c r="T95" i="120"/>
  <c r="T96" i="120"/>
  <c r="T97" i="120"/>
  <c r="T98" i="120"/>
  <c r="T99" i="120"/>
  <c r="T100" i="120"/>
  <c r="T101" i="120"/>
  <c r="T102" i="120"/>
  <c r="T103" i="120"/>
  <c r="T104" i="120"/>
  <c r="T105" i="120"/>
  <c r="T106" i="120"/>
  <c r="T107" i="120"/>
  <c r="T108" i="120"/>
  <c r="T109" i="120"/>
  <c r="T110" i="120"/>
  <c r="T111" i="120"/>
  <c r="T113" i="120"/>
  <c r="T114" i="120"/>
  <c r="T115" i="120"/>
  <c r="T116" i="120"/>
  <c r="T117" i="120"/>
  <c r="T118" i="120"/>
  <c r="T119" i="120"/>
  <c r="T120" i="120"/>
  <c r="T121" i="120"/>
  <c r="T122" i="120"/>
  <c r="T123" i="120"/>
  <c r="T124" i="120"/>
  <c r="T125" i="120"/>
  <c r="T126" i="120"/>
  <c r="T127" i="120"/>
  <c r="T128" i="120"/>
  <c r="T129" i="120"/>
  <c r="T130" i="120"/>
  <c r="T131" i="120"/>
  <c r="T132" i="120"/>
  <c r="T134" i="120"/>
  <c r="T138" i="120"/>
  <c r="T139" i="120"/>
  <c r="T140" i="120"/>
  <c r="T141" i="120"/>
  <c r="T142" i="120"/>
  <c r="T143" i="120"/>
  <c r="T144" i="120"/>
  <c r="T145" i="120"/>
  <c r="T146" i="120"/>
  <c r="T148" i="120"/>
  <c r="T152" i="120"/>
  <c r="T153" i="120"/>
  <c r="T154" i="120"/>
  <c r="T155" i="120"/>
  <c r="T156" i="120"/>
  <c r="T157" i="120"/>
  <c r="T158" i="120"/>
  <c r="T159" i="120"/>
  <c r="T160" i="120"/>
  <c r="T161" i="120"/>
  <c r="T162" i="120"/>
  <c r="T163" i="120"/>
  <c r="T164" i="120"/>
  <c r="T166" i="120"/>
  <c r="T167" i="120"/>
  <c r="T168" i="120"/>
  <c r="T169" i="120"/>
  <c r="T170" i="120"/>
  <c r="T171" i="120"/>
  <c r="T172" i="120"/>
  <c r="T173" i="120"/>
  <c r="T175" i="120"/>
  <c r="T176" i="120"/>
  <c r="T177" i="120"/>
  <c r="T178" i="120"/>
  <c r="T179" i="120"/>
  <c r="T181" i="120"/>
  <c r="T182" i="120"/>
  <c r="T183" i="120"/>
  <c r="T184" i="120"/>
  <c r="T185" i="120"/>
  <c r="T188" i="120"/>
  <c r="T190" i="120"/>
  <c r="T192" i="120"/>
  <c r="T193" i="120"/>
  <c r="T194" i="120"/>
  <c r="T195" i="120"/>
  <c r="T196" i="120"/>
  <c r="T197" i="120"/>
  <c r="T198" i="120"/>
  <c r="T199" i="120"/>
  <c r="T200" i="120"/>
  <c r="T201" i="120"/>
  <c r="T202" i="120"/>
  <c r="T203" i="120"/>
  <c r="T204" i="120"/>
  <c r="T205" i="120"/>
  <c r="T206" i="120"/>
  <c r="T207" i="120"/>
  <c r="T208" i="120"/>
  <c r="T209" i="120"/>
  <c r="T210" i="120"/>
  <c r="T211" i="120"/>
  <c r="T212" i="120"/>
  <c r="T213" i="120"/>
  <c r="T216" i="120"/>
  <c r="T217" i="120"/>
  <c r="T218" i="120"/>
  <c r="T219" i="120"/>
  <c r="T220" i="120"/>
  <c r="T221" i="120"/>
  <c r="T222" i="120"/>
  <c r="T223" i="120"/>
  <c r="M8" i="120"/>
  <c r="S164" i="120"/>
  <c r="S168" i="120"/>
  <c r="J171" i="120"/>
  <c r="S171" i="120" s="1"/>
  <c r="S172" i="120"/>
  <c r="I180" i="120"/>
  <c r="T180" i="120" s="1"/>
  <c r="K37" i="120"/>
  <c r="K8" i="120" s="1"/>
  <c r="I37" i="120"/>
  <c r="J37" i="120" s="1"/>
  <c r="I36" i="120"/>
  <c r="T36" i="120" s="1"/>
  <c r="I38" i="120"/>
  <c r="T38" i="120" s="1"/>
  <c r="I39" i="120"/>
  <c r="T39" i="120" s="1"/>
  <c r="I40" i="120"/>
  <c r="T40" i="120" s="1"/>
  <c r="I112" i="120"/>
  <c r="T112" i="120" s="1"/>
  <c r="S9" i="120"/>
  <c r="S10" i="120"/>
  <c r="S32" i="120"/>
  <c r="S34" i="120"/>
  <c r="S41" i="120"/>
  <c r="S42" i="120"/>
  <c r="S43" i="120"/>
  <c r="S44" i="120"/>
  <c r="S46" i="120"/>
  <c r="S50" i="120"/>
  <c r="S54" i="120"/>
  <c r="S58" i="120"/>
  <c r="S59" i="120"/>
  <c r="S60" i="120"/>
  <c r="S61" i="120"/>
  <c r="S67" i="120"/>
  <c r="S70" i="120"/>
  <c r="S71" i="120"/>
  <c r="S77" i="120"/>
  <c r="S80" i="120"/>
  <c r="S81" i="120"/>
  <c r="S85" i="120"/>
  <c r="S91" i="120"/>
  <c r="S92" i="120"/>
  <c r="S97" i="120"/>
  <c r="S101" i="120"/>
  <c r="S106" i="120"/>
  <c r="S108" i="120"/>
  <c r="S110" i="120"/>
  <c r="S111" i="120"/>
  <c r="S117" i="120"/>
  <c r="S118" i="120"/>
  <c r="S119" i="120"/>
  <c r="S120" i="120"/>
  <c r="S121" i="120"/>
  <c r="S122" i="120"/>
  <c r="S124" i="120"/>
  <c r="S125" i="120"/>
  <c r="S126" i="120"/>
  <c r="S127" i="120"/>
  <c r="S128" i="120"/>
  <c r="S129" i="120"/>
  <c r="S130" i="120"/>
  <c r="S131" i="120"/>
  <c r="S132" i="120"/>
  <c r="S134" i="120"/>
  <c r="S137" i="120"/>
  <c r="S141" i="120"/>
  <c r="S143" i="120"/>
  <c r="S144" i="120"/>
  <c r="S145" i="120"/>
  <c r="S146" i="120"/>
  <c r="S148" i="120"/>
  <c r="S150" i="120"/>
  <c r="S151" i="120"/>
  <c r="S152" i="120"/>
  <c r="S157" i="120"/>
  <c r="S158" i="120"/>
  <c r="S162" i="120"/>
  <c r="S163" i="120"/>
  <c r="S165" i="120"/>
  <c r="S166" i="120"/>
  <c r="S167" i="120"/>
  <c r="S169" i="120"/>
  <c r="S170" i="120"/>
  <c r="S174" i="120"/>
  <c r="S175" i="120"/>
  <c r="S176" i="120"/>
  <c r="S179" i="120"/>
  <c r="S181" i="120"/>
  <c r="S182" i="120"/>
  <c r="S183" i="120"/>
  <c r="S184" i="120"/>
  <c r="S185" i="120"/>
  <c r="S188" i="120"/>
  <c r="S192" i="120"/>
  <c r="S193" i="120"/>
  <c r="S194" i="120"/>
  <c r="S195" i="120"/>
  <c r="S196" i="120"/>
  <c r="S197" i="120"/>
  <c r="S198" i="120"/>
  <c r="S199" i="120"/>
  <c r="S200" i="120"/>
  <c r="S201" i="120"/>
  <c r="S205" i="120"/>
  <c r="S213" i="120"/>
  <c r="S215" i="120"/>
  <c r="S216" i="120"/>
  <c r="S217" i="120"/>
  <c r="S218" i="120"/>
  <c r="S219" i="120"/>
  <c r="S220" i="120"/>
  <c r="S221" i="120"/>
  <c r="S222" i="120"/>
  <c r="S223" i="120"/>
  <c r="I151" i="120"/>
  <c r="T151" i="120" s="1"/>
  <c r="I150" i="120"/>
  <c r="T150" i="120" s="1"/>
  <c r="I137" i="120"/>
  <c r="T137" i="120" s="1"/>
  <c r="I136" i="120"/>
  <c r="T136" i="120" s="1"/>
  <c r="I76" i="120"/>
  <c r="T76" i="120" s="1"/>
  <c r="I75" i="120"/>
  <c r="J75" i="120" s="1"/>
  <c r="S75" i="120" s="1"/>
  <c r="I66" i="120"/>
  <c r="T66" i="120" s="1"/>
  <c r="I65" i="120"/>
  <c r="T65" i="120" s="1"/>
  <c r="I49" i="120"/>
  <c r="T49" i="120" s="1"/>
  <c r="I28" i="120"/>
  <c r="J28" i="120" s="1"/>
  <c r="S28" i="120" s="1"/>
  <c r="I14" i="120"/>
  <c r="T14" i="120" s="1"/>
  <c r="O232" i="120"/>
  <c r="P232" i="120" s="1"/>
  <c r="S232" i="120" s="1"/>
  <c r="O226" i="120"/>
  <c r="J76" i="120" l="1"/>
  <c r="S76" i="120" s="1"/>
  <c r="J66" i="120"/>
  <c r="S66" i="120" s="1"/>
  <c r="T37" i="120"/>
  <c r="L37" i="120"/>
  <c r="T28" i="120"/>
  <c r="T75" i="120"/>
  <c r="J49" i="120"/>
  <c r="S49" i="120" s="1"/>
  <c r="J65" i="120"/>
  <c r="S65" i="120" s="1"/>
  <c r="T215" i="120"/>
  <c r="T165" i="120"/>
  <c r="I135" i="120" l="1"/>
  <c r="T135" i="120" s="1"/>
  <c r="I149" i="120"/>
  <c r="T149" i="120" s="1"/>
  <c r="J21" i="120"/>
  <c r="J20" i="120"/>
  <c r="J22" i="120"/>
  <c r="J23" i="120"/>
  <c r="S23" i="120" s="1"/>
  <c r="J24" i="120"/>
  <c r="S24" i="120" s="1"/>
  <c r="J25" i="120"/>
  <c r="J26" i="120"/>
  <c r="S26" i="120" s="1"/>
  <c r="J27" i="120"/>
  <c r="J29" i="120"/>
  <c r="J30" i="120"/>
  <c r="S30" i="120" s="1"/>
  <c r="J31" i="120"/>
  <c r="S31" i="120" s="1"/>
  <c r="J33" i="120"/>
  <c r="S33" i="120" s="1"/>
  <c r="J35" i="120"/>
  <c r="S35" i="120" s="1"/>
  <c r="J36" i="120"/>
  <c r="S36" i="120" s="1"/>
  <c r="S37" i="120"/>
  <c r="J38" i="120"/>
  <c r="S38" i="120" s="1"/>
  <c r="J39" i="120"/>
  <c r="S39" i="120" s="1"/>
  <c r="J40" i="120"/>
  <c r="S40" i="120" s="1"/>
  <c r="J51" i="120"/>
  <c r="S51" i="120" s="1"/>
  <c r="J52" i="120"/>
  <c r="S52" i="120" s="1"/>
  <c r="J53" i="120"/>
  <c r="S53" i="120" s="1"/>
  <c r="J55" i="120"/>
  <c r="S55" i="120" s="1"/>
  <c r="J56" i="120"/>
  <c r="S56" i="120" s="1"/>
  <c r="S57" i="120"/>
  <c r="J68" i="120"/>
  <c r="S68" i="120" s="1"/>
  <c r="J69" i="120"/>
  <c r="S69" i="120" s="1"/>
  <c r="J78" i="120"/>
  <c r="S78" i="120" s="1"/>
  <c r="J79" i="120"/>
  <c r="S79" i="120" s="1"/>
  <c r="J82" i="120"/>
  <c r="S82" i="120" s="1"/>
  <c r="J83" i="120"/>
  <c r="S83" i="120" s="1"/>
  <c r="J84" i="120"/>
  <c r="S84" i="120" s="1"/>
  <c r="J86" i="120"/>
  <c r="S86" i="120" s="1"/>
  <c r="J87" i="120"/>
  <c r="S87" i="120" s="1"/>
  <c r="J88" i="120"/>
  <c r="S88" i="120" s="1"/>
  <c r="J89" i="120"/>
  <c r="S89" i="120" s="1"/>
  <c r="J90" i="120"/>
  <c r="S90" i="120" s="1"/>
  <c r="J93" i="120"/>
  <c r="S93" i="120" s="1"/>
  <c r="J94" i="120"/>
  <c r="S94" i="120" s="1"/>
  <c r="J95" i="120"/>
  <c r="S95" i="120" s="1"/>
  <c r="J96" i="120"/>
  <c r="S96" i="120" s="1"/>
  <c r="J98" i="120"/>
  <c r="S98" i="120" s="1"/>
  <c r="J99" i="120"/>
  <c r="S99" i="120" s="1"/>
  <c r="J100" i="120"/>
  <c r="S100" i="120" s="1"/>
  <c r="J102" i="120"/>
  <c r="S102" i="120" s="1"/>
  <c r="J103" i="120"/>
  <c r="S103" i="120" s="1"/>
  <c r="J104" i="120"/>
  <c r="S104" i="120" s="1"/>
  <c r="J105" i="120"/>
  <c r="S105" i="120" s="1"/>
  <c r="J107" i="120"/>
  <c r="S107" i="120" s="1"/>
  <c r="J109" i="120"/>
  <c r="S109" i="120" s="1"/>
  <c r="J112" i="120"/>
  <c r="S112" i="120" s="1"/>
  <c r="J113" i="120"/>
  <c r="S113" i="120" s="1"/>
  <c r="J114" i="120"/>
  <c r="S114" i="120" s="1"/>
  <c r="J115" i="120"/>
  <c r="S115" i="120" s="1"/>
  <c r="S123" i="120"/>
  <c r="J135" i="120"/>
  <c r="S135" i="120" s="1"/>
  <c r="J136" i="120"/>
  <c r="S136" i="120" s="1"/>
  <c r="J138" i="120"/>
  <c r="S138" i="120" s="1"/>
  <c r="J139" i="120"/>
  <c r="S139" i="120" s="1"/>
  <c r="J140" i="120"/>
  <c r="S140" i="120" s="1"/>
  <c r="J142" i="120"/>
  <c r="S142" i="120" s="1"/>
  <c r="J149" i="120"/>
  <c r="S149" i="120" s="1"/>
  <c r="J153" i="120"/>
  <c r="S153" i="120" s="1"/>
  <c r="J154" i="120"/>
  <c r="S154" i="120" s="1"/>
  <c r="J155" i="120"/>
  <c r="S155" i="120" s="1"/>
  <c r="J156" i="120"/>
  <c r="S156" i="120" s="1"/>
  <c r="J159" i="120"/>
  <c r="S159" i="120" s="1"/>
  <c r="J160" i="120"/>
  <c r="S160" i="120" s="1"/>
  <c r="J161" i="120"/>
  <c r="S161" i="120" s="1"/>
  <c r="J173" i="120"/>
  <c r="S173" i="120" s="1"/>
  <c r="J177" i="120"/>
  <c r="S177" i="120" s="1"/>
  <c r="J178" i="120"/>
  <c r="S178" i="120" s="1"/>
  <c r="J180" i="120"/>
  <c r="S180" i="120" s="1"/>
  <c r="J190" i="120"/>
  <c r="S190" i="120" s="1"/>
  <c r="J202" i="120"/>
  <c r="S202" i="120" s="1"/>
  <c r="J203" i="120"/>
  <c r="S203" i="120" s="1"/>
  <c r="J204" i="120"/>
  <c r="S204" i="120" s="1"/>
  <c r="J206" i="120"/>
  <c r="S206" i="120" s="1"/>
  <c r="J207" i="120"/>
  <c r="S207" i="120" s="1"/>
  <c r="J208" i="120"/>
  <c r="S208" i="120" s="1"/>
  <c r="J209" i="120"/>
  <c r="S209" i="120" s="1"/>
  <c r="J210" i="120"/>
  <c r="S210" i="120" s="1"/>
  <c r="J211" i="120"/>
  <c r="S211" i="120" s="1"/>
  <c r="J212" i="120"/>
  <c r="S212" i="120" s="1"/>
  <c r="J14" i="120"/>
  <c r="S14" i="120" s="1"/>
  <c r="J15" i="120"/>
  <c r="S15" i="120" s="1"/>
  <c r="J17" i="120"/>
  <c r="S17" i="120" s="1"/>
  <c r="J18" i="120"/>
  <c r="J19" i="120"/>
  <c r="S19" i="120" s="1"/>
  <c r="J12" i="120"/>
  <c r="J51" i="122" l="1"/>
  <c r="L217" i="122"/>
  <c r="J202" i="122"/>
  <c r="J203" i="122"/>
  <c r="J204" i="122"/>
  <c r="L193" i="122"/>
  <c r="J191" i="122"/>
  <c r="J190" i="122"/>
  <c r="J187" i="122"/>
  <c r="J189" i="122"/>
  <c r="N183" i="122"/>
  <c r="L180" i="122"/>
  <c r="L166" i="122"/>
  <c r="L167" i="122"/>
  <c r="L169" i="122"/>
  <c r="L158" i="122"/>
  <c r="L142" i="122"/>
  <c r="L143" i="122"/>
  <c r="L144" i="122"/>
  <c r="J123" i="122"/>
  <c r="L119" i="122"/>
  <c r="H31" i="122"/>
  <c r="I173" i="122"/>
  <c r="J173" i="122" s="1"/>
  <c r="M230" i="122"/>
  <c r="N230" i="122" s="1"/>
  <c r="M229" i="122"/>
  <c r="N229" i="122" s="1"/>
  <c r="M228" i="122"/>
  <c r="N228" i="122" s="1"/>
  <c r="K228" i="122"/>
  <c r="L228" i="122" s="1"/>
  <c r="I228" i="122"/>
  <c r="J228" i="122" s="1"/>
  <c r="G228" i="122"/>
  <c r="H228" i="122" s="1"/>
  <c r="M227" i="122"/>
  <c r="N227" i="122" s="1"/>
  <c r="K227" i="122"/>
  <c r="L227" i="122" s="1"/>
  <c r="I227" i="122"/>
  <c r="J227" i="122" s="1"/>
  <c r="G227" i="122"/>
  <c r="H227" i="122" s="1"/>
  <c r="M226" i="122"/>
  <c r="M8" i="122" s="1"/>
  <c r="K226" i="122"/>
  <c r="K8" i="122" s="1"/>
  <c r="N223" i="122"/>
  <c r="N222" i="122"/>
  <c r="N221" i="122"/>
  <c r="N220" i="122"/>
  <c r="N218" i="122"/>
  <c r="N217" i="122"/>
  <c r="J212" i="122"/>
  <c r="J211" i="122"/>
  <c r="J210" i="122"/>
  <c r="J209" i="122"/>
  <c r="J208" i="122"/>
  <c r="J207" i="122"/>
  <c r="J206" i="122"/>
  <c r="L199" i="122"/>
  <c r="L198" i="122"/>
  <c r="L197" i="122"/>
  <c r="L196" i="122"/>
  <c r="L195" i="122"/>
  <c r="L194" i="122"/>
  <c r="L182" i="122"/>
  <c r="L181" i="122"/>
  <c r="J180" i="122"/>
  <c r="J177" i="122"/>
  <c r="N171" i="122"/>
  <c r="N168" i="122"/>
  <c r="N163" i="122"/>
  <c r="J159" i="122"/>
  <c r="N158" i="122"/>
  <c r="J156" i="122"/>
  <c r="J155" i="122"/>
  <c r="J154" i="122"/>
  <c r="J153" i="122"/>
  <c r="J149" i="122"/>
  <c r="J142" i="122"/>
  <c r="L141" i="122"/>
  <c r="J140" i="122"/>
  <c r="J139" i="122"/>
  <c r="I135" i="122"/>
  <c r="J135" i="122" s="1"/>
  <c r="N129" i="122"/>
  <c r="N128" i="122"/>
  <c r="N127" i="122"/>
  <c r="N126" i="122"/>
  <c r="N125" i="122"/>
  <c r="N122" i="122"/>
  <c r="N120" i="122"/>
  <c r="N119" i="122"/>
  <c r="N118" i="122"/>
  <c r="L118" i="122"/>
  <c r="L117" i="122"/>
  <c r="J117" i="122"/>
  <c r="J115" i="122"/>
  <c r="J114" i="122"/>
  <c r="J113" i="122"/>
  <c r="J112" i="122"/>
  <c r="J109" i="122"/>
  <c r="J107" i="122"/>
  <c r="J105" i="122"/>
  <c r="J104" i="122"/>
  <c r="J103" i="122"/>
  <c r="J102" i="122"/>
  <c r="J100" i="122"/>
  <c r="J99" i="122"/>
  <c r="J98" i="122"/>
  <c r="J96" i="122"/>
  <c r="J95" i="122"/>
  <c r="J90" i="122"/>
  <c r="J89" i="122"/>
  <c r="J88" i="122"/>
  <c r="J87" i="122"/>
  <c r="J86" i="122"/>
  <c r="J84" i="122"/>
  <c r="J83" i="122"/>
  <c r="J82" i="122"/>
  <c r="J69" i="122"/>
  <c r="J57" i="122"/>
  <c r="J56" i="122"/>
  <c r="J55" i="122"/>
  <c r="J53" i="122"/>
  <c r="L42" i="122"/>
  <c r="L41" i="122"/>
  <c r="L40" i="122"/>
  <c r="J40" i="122"/>
  <c r="L39" i="122"/>
  <c r="J39" i="122"/>
  <c r="L38" i="122"/>
  <c r="J38" i="122"/>
  <c r="L37" i="122"/>
  <c r="J37" i="122"/>
  <c r="L36" i="122"/>
  <c r="J36" i="122"/>
  <c r="J35" i="122"/>
  <c r="I33" i="122"/>
  <c r="J33" i="122" s="1"/>
  <c r="I31" i="122"/>
  <c r="J31" i="122" s="1"/>
  <c r="N21" i="122"/>
  <c r="L21" i="122"/>
  <c r="J21" i="122"/>
  <c r="J18" i="122"/>
  <c r="N12" i="122"/>
  <c r="L12" i="122"/>
  <c r="J12" i="122"/>
  <c r="F8" i="122"/>
  <c r="F226" i="122" s="1"/>
  <c r="K232" i="122" l="1"/>
  <c r="F232" i="122"/>
  <c r="L226" i="122"/>
  <c r="N226" i="122"/>
  <c r="M232" i="122"/>
  <c r="L232" i="122" l="1"/>
  <c r="N232" i="122"/>
  <c r="M228" i="120" l="1"/>
  <c r="K228" i="120"/>
  <c r="L228" i="120" s="1"/>
  <c r="I228" i="120"/>
  <c r="M227" i="120"/>
  <c r="N227" i="120" s="1"/>
  <c r="K227" i="120"/>
  <c r="L227" i="120" s="1"/>
  <c r="I227" i="120"/>
  <c r="Q227" i="120" s="1"/>
  <c r="M226" i="120"/>
  <c r="K226" i="120"/>
  <c r="F8" i="120"/>
  <c r="J228" i="120" l="1"/>
  <c r="G228" i="120"/>
  <c r="H228" i="120" s="1"/>
  <c r="F226" i="120"/>
  <c r="P226" i="120" s="1"/>
  <c r="N8" i="120"/>
  <c r="L8" i="120"/>
  <c r="J227" i="120"/>
  <c r="G227" i="120"/>
  <c r="N228" i="120"/>
  <c r="O228" i="120"/>
  <c r="K234" i="120"/>
  <c r="M234" i="120"/>
  <c r="F234" i="120" l="1"/>
  <c r="L226" i="120"/>
  <c r="P228" i="120"/>
  <c r="S228" i="120" s="1"/>
  <c r="Q228" i="120"/>
  <c r="R228" i="120" s="1"/>
  <c r="L234" i="120"/>
  <c r="O227" i="120"/>
  <c r="H227" i="120"/>
  <c r="R227" i="120" s="1"/>
  <c r="N234" i="120"/>
  <c r="N226" i="120"/>
  <c r="D7" i="75"/>
  <c r="P227" i="120" l="1"/>
  <c r="S227" i="120" s="1"/>
  <c r="O234" i="120"/>
  <c r="P234" i="120" s="1"/>
  <c r="D10" i="75" l="1"/>
  <c r="D9" i="75"/>
  <c r="E8" i="107"/>
  <c r="D546" i="70" l="1"/>
  <c r="G187" i="120"/>
  <c r="I187" i="120" s="1"/>
  <c r="J187" i="120" s="1"/>
  <c r="G147" i="120"/>
  <c r="T147" i="120" s="1"/>
  <c r="G74" i="120"/>
  <c r="T74" i="120" s="1"/>
  <c r="G189" i="120"/>
  <c r="I189" i="120" s="1"/>
  <c r="G133" i="120"/>
  <c r="H133" i="120" s="1"/>
  <c r="S133" i="120" s="1"/>
  <c r="G73" i="120"/>
  <c r="T73" i="120" s="1"/>
  <c r="G12" i="120"/>
  <c r="T12" i="120" s="1"/>
  <c r="G63" i="122"/>
  <c r="H63" i="122" s="1"/>
  <c r="G63" i="120"/>
  <c r="G214" i="122"/>
  <c r="I214" i="122" s="1"/>
  <c r="G214" i="120"/>
  <c r="G186" i="122"/>
  <c r="H186" i="122" s="1"/>
  <c r="G186" i="120"/>
  <c r="G62" i="122"/>
  <c r="H62" i="122" s="1"/>
  <c r="G62" i="120"/>
  <c r="G20" i="122"/>
  <c r="H20" i="122" s="1"/>
  <c r="G20" i="120"/>
  <c r="G16" i="122"/>
  <c r="H16" i="122" s="1"/>
  <c r="G16" i="120"/>
  <c r="G72" i="122"/>
  <c r="H72" i="122" s="1"/>
  <c r="G72" i="120"/>
  <c r="G64" i="122"/>
  <c r="H64" i="122" s="1"/>
  <c r="G64" i="120"/>
  <c r="G22" i="122"/>
  <c r="H22" i="122" s="1"/>
  <c r="G22" i="120"/>
  <c r="G18" i="122"/>
  <c r="H18" i="122" s="1"/>
  <c r="G18" i="120"/>
  <c r="G14" i="122"/>
  <c r="H14" i="122" s="1"/>
  <c r="G66" i="122"/>
  <c r="H66" i="122" s="1"/>
  <c r="I191" i="120"/>
  <c r="G151" i="122"/>
  <c r="H151" i="122" s="1"/>
  <c r="G150" i="122"/>
  <c r="H150" i="122" s="1"/>
  <c r="G65" i="122"/>
  <c r="H65" i="122" s="1"/>
  <c r="G28" i="122"/>
  <c r="H28" i="122" s="1"/>
  <c r="G21" i="122"/>
  <c r="H21" i="122" s="1"/>
  <c r="G21" i="120"/>
  <c r="G191" i="122"/>
  <c r="H191" i="122" s="1"/>
  <c r="G187" i="122"/>
  <c r="H187" i="122" s="1"/>
  <c r="G147" i="122"/>
  <c r="H147" i="122" s="1"/>
  <c r="G75" i="122"/>
  <c r="H75" i="122" s="1"/>
  <c r="G136" i="122"/>
  <c r="H136" i="122" s="1"/>
  <c r="G76" i="122"/>
  <c r="H76" i="122" s="1"/>
  <c r="G12" i="122"/>
  <c r="H12" i="122" s="1"/>
  <c r="G74" i="122"/>
  <c r="H74" i="122" s="1"/>
  <c r="G189" i="122"/>
  <c r="H189" i="122" s="1"/>
  <c r="G137" i="122"/>
  <c r="H137" i="122" s="1"/>
  <c r="G133" i="122"/>
  <c r="H133" i="122" s="1"/>
  <c r="G73" i="122"/>
  <c r="H73" i="122" s="1"/>
  <c r="H12" i="120" l="1"/>
  <c r="S12" i="120" s="1"/>
  <c r="H189" i="120"/>
  <c r="T133" i="120"/>
  <c r="H73" i="120"/>
  <c r="S73" i="120" s="1"/>
  <c r="H187" i="120"/>
  <c r="S187" i="120" s="1"/>
  <c r="H74" i="120"/>
  <c r="S74" i="120" s="1"/>
  <c r="H147" i="120"/>
  <c r="S147" i="120" s="1"/>
  <c r="I16" i="122"/>
  <c r="J16" i="122" s="1"/>
  <c r="T187" i="120"/>
  <c r="H214" i="122"/>
  <c r="T189" i="120"/>
  <c r="J189" i="120"/>
  <c r="G45" i="122"/>
  <c r="H45" i="122" s="1"/>
  <c r="G45" i="120"/>
  <c r="G11" i="122"/>
  <c r="H11" i="122" s="1"/>
  <c r="G11" i="120"/>
  <c r="G27" i="122"/>
  <c r="H27" i="122" s="1"/>
  <c r="G27" i="120"/>
  <c r="H21" i="120"/>
  <c r="S21" i="120" s="1"/>
  <c r="T21" i="120"/>
  <c r="T22" i="120"/>
  <c r="H22" i="120"/>
  <c r="S22" i="120" s="1"/>
  <c r="T72" i="120"/>
  <c r="H72" i="120"/>
  <c r="S72" i="120" s="1"/>
  <c r="H16" i="120"/>
  <c r="I16" i="120"/>
  <c r="J16" i="120" s="1"/>
  <c r="T62" i="120"/>
  <c r="H62" i="120"/>
  <c r="S62" i="120" s="1"/>
  <c r="T186" i="120"/>
  <c r="H186" i="120"/>
  <c r="S186" i="120" s="1"/>
  <c r="T63" i="120"/>
  <c r="H63" i="120"/>
  <c r="S63" i="120" s="1"/>
  <c r="G29" i="122"/>
  <c r="H29" i="122" s="1"/>
  <c r="G29" i="120"/>
  <c r="G13" i="122"/>
  <c r="H13" i="122" s="1"/>
  <c r="G13" i="120"/>
  <c r="G47" i="122"/>
  <c r="H47" i="122" s="1"/>
  <c r="G47" i="120"/>
  <c r="G48" i="122"/>
  <c r="H48" i="122" s="1"/>
  <c r="G48" i="120"/>
  <c r="G25" i="122"/>
  <c r="H25" i="122" s="1"/>
  <c r="G25" i="120"/>
  <c r="T18" i="120"/>
  <c r="H18" i="120"/>
  <c r="S18" i="120" s="1"/>
  <c r="T64" i="120"/>
  <c r="H64" i="120"/>
  <c r="S64" i="120" s="1"/>
  <c r="T20" i="120"/>
  <c r="H20" i="120"/>
  <c r="S20" i="120" s="1"/>
  <c r="H214" i="120"/>
  <c r="I214" i="120"/>
  <c r="J214" i="120" s="1"/>
  <c r="T191" i="120"/>
  <c r="G49" i="122"/>
  <c r="H49" i="122" s="1"/>
  <c r="J191" i="120"/>
  <c r="S191" i="120" s="1"/>
  <c r="N553" i="70"/>
  <c r="J214" i="122"/>
  <c r="O551" i="70" l="1"/>
  <c r="S189" i="120"/>
  <c r="I226" i="122"/>
  <c r="I232" i="122" s="1"/>
  <c r="J232" i="122" s="1"/>
  <c r="T214" i="120"/>
  <c r="T174" i="120" s="1"/>
  <c r="I226" i="120"/>
  <c r="J226" i="120" s="1"/>
  <c r="I8" i="120"/>
  <c r="J8" i="120" s="1"/>
  <c r="T16" i="120"/>
  <c r="G226" i="122"/>
  <c r="G8" i="122" s="1"/>
  <c r="H8" i="122" s="1"/>
  <c r="S214" i="120"/>
  <c r="S16" i="120"/>
  <c r="T27" i="120"/>
  <c r="H27" i="120"/>
  <c r="S27" i="120" s="1"/>
  <c r="T45" i="120"/>
  <c r="H45" i="120"/>
  <c r="S45" i="120" s="1"/>
  <c r="T48" i="120"/>
  <c r="H48" i="120"/>
  <c r="S48" i="120" s="1"/>
  <c r="T13" i="120"/>
  <c r="H13" i="120"/>
  <c r="S13" i="120" s="1"/>
  <c r="T11" i="120"/>
  <c r="H11" i="120"/>
  <c r="S11" i="120" s="1"/>
  <c r="T25" i="120"/>
  <c r="H25" i="120"/>
  <c r="S25" i="120" s="1"/>
  <c r="T47" i="120"/>
  <c r="H47" i="120"/>
  <c r="S47" i="120" s="1"/>
  <c r="T29" i="120"/>
  <c r="H29" i="120"/>
  <c r="S29" i="120" s="1"/>
  <c r="G8" i="120"/>
  <c r="G226" i="120"/>
  <c r="H226" i="120" s="1"/>
  <c r="R226" i="120" s="1"/>
  <c r="R551" i="70" l="1"/>
  <c r="I8" i="122"/>
  <c r="J8" i="122" s="1"/>
  <c r="F15" i="70"/>
  <c r="J226" i="122"/>
  <c r="I234" i="120"/>
  <c r="J234" i="120" s="1"/>
  <c r="N8" i="122"/>
  <c r="L8" i="122"/>
  <c r="H226" i="122"/>
  <c r="G232" i="122"/>
  <c r="H232" i="122" s="1"/>
  <c r="S226" i="120"/>
  <c r="H8" i="120"/>
  <c r="S8" i="120" s="1"/>
  <c r="T8" i="120"/>
  <c r="G234" i="120"/>
  <c r="H234" i="120" s="1"/>
  <c r="F69" i="127" l="1"/>
  <c r="I69" i="127" s="1"/>
  <c r="S234" i="120"/>
  <c r="O226" i="122"/>
  <c r="R69" i="127" l="1"/>
  <c r="O69" i="127"/>
  <c r="L69" i="127"/>
  <c r="Q160" i="118"/>
  <c r="P160" i="118"/>
  <c r="L160" i="118"/>
  <c r="R160" i="118" s="1"/>
  <c r="Q159" i="118"/>
  <c r="P159" i="118"/>
  <c r="L159" i="118"/>
  <c r="R159" i="118" s="1"/>
  <c r="Q155" i="118"/>
  <c r="P155" i="118"/>
  <c r="L155" i="118"/>
  <c r="R155" i="118" s="1"/>
  <c r="Q154" i="118"/>
  <c r="P154" i="118"/>
  <c r="L154" i="118"/>
  <c r="R154" i="118" s="1"/>
  <c r="Q150" i="118"/>
  <c r="P150" i="118"/>
  <c r="L150" i="118"/>
  <c r="R150" i="118" s="1"/>
  <c r="Q149" i="118"/>
  <c r="P149" i="118"/>
  <c r="L149" i="118"/>
  <c r="R149" i="118" s="1"/>
  <c r="S144" i="118"/>
  <c r="R143" i="118"/>
  <c r="T143" i="118" s="1"/>
  <c r="V143" i="118" s="1"/>
  <c r="L142" i="118"/>
  <c r="R142" i="118" s="1"/>
  <c r="T142" i="118" s="1"/>
  <c r="V142" i="118" s="1"/>
  <c r="L141" i="118"/>
  <c r="R141" i="118" s="1"/>
  <c r="T141" i="118" s="1"/>
  <c r="V141" i="118" s="1"/>
  <c r="L140" i="118"/>
  <c r="R140" i="118" s="1"/>
  <c r="T140" i="118" s="1"/>
  <c r="V140" i="118" s="1"/>
  <c r="L139" i="118"/>
  <c r="R139" i="118" s="1"/>
  <c r="T139" i="118" s="1"/>
  <c r="V139" i="118" s="1"/>
  <c r="L138" i="118"/>
  <c r="R138" i="118" s="1"/>
  <c r="T138" i="118" s="1"/>
  <c r="V138" i="118" s="1"/>
  <c r="Q137" i="118"/>
  <c r="P137" i="118"/>
  <c r="L137" i="118"/>
  <c r="R137" i="118" s="1"/>
  <c r="Q136" i="118"/>
  <c r="P136" i="118"/>
  <c r="L136" i="118"/>
  <c r="R136" i="118" s="1"/>
  <c r="Q132" i="118"/>
  <c r="P132" i="118"/>
  <c r="L132" i="118"/>
  <c r="R132" i="118" s="1"/>
  <c r="Q131" i="118"/>
  <c r="P131" i="118"/>
  <c r="L131" i="118"/>
  <c r="R131" i="118" s="1"/>
  <c r="Q127" i="118"/>
  <c r="P127" i="118"/>
  <c r="L127" i="118"/>
  <c r="R127" i="118" s="1"/>
  <c r="Q126" i="118"/>
  <c r="P126" i="118"/>
  <c r="L126" i="118"/>
  <c r="R126" i="118" s="1"/>
  <c r="R120" i="118"/>
  <c r="P120" i="118"/>
  <c r="L120" i="118"/>
  <c r="Q120" i="118" s="1"/>
  <c r="R119" i="118"/>
  <c r="P119" i="118"/>
  <c r="L119" i="118"/>
  <c r="Q119" i="118" s="1"/>
  <c r="Q115" i="118"/>
  <c r="P115" i="118"/>
  <c r="L115" i="118"/>
  <c r="R115" i="118" s="1"/>
  <c r="Q114" i="118"/>
  <c r="P114" i="118"/>
  <c r="L114" i="118"/>
  <c r="R114" i="118" s="1"/>
  <c r="R110" i="118"/>
  <c r="P110" i="118"/>
  <c r="L110" i="118"/>
  <c r="Q110" i="118" s="1"/>
  <c r="L109" i="118"/>
  <c r="Q109" i="118" s="1"/>
  <c r="S109" i="118" s="1"/>
  <c r="V109" i="118" s="1"/>
  <c r="L108" i="118"/>
  <c r="Q108" i="118" s="1"/>
  <c r="S108" i="118" s="1"/>
  <c r="V108" i="118" s="1"/>
  <c r="L107" i="118"/>
  <c r="Q107" i="118" s="1"/>
  <c r="S107" i="118" s="1"/>
  <c r="V107" i="118" s="1"/>
  <c r="R106" i="118"/>
  <c r="P106" i="118"/>
  <c r="L106" i="118"/>
  <c r="Q106" i="118" s="1"/>
  <c r="R105" i="118"/>
  <c r="P105" i="118"/>
  <c r="L105" i="118"/>
  <c r="Q105" i="118" s="1"/>
  <c r="R104" i="118"/>
  <c r="P104" i="118"/>
  <c r="L104" i="118"/>
  <c r="Q104" i="118" s="1"/>
  <c r="R103" i="118"/>
  <c r="P103" i="118"/>
  <c r="L103" i="118"/>
  <c r="Q103" i="118" s="1"/>
  <c r="R102" i="118"/>
  <c r="P102" i="118"/>
  <c r="L102" i="118"/>
  <c r="Q102" i="118" s="1"/>
  <c r="R101" i="118"/>
  <c r="P101" i="118"/>
  <c r="L101" i="118"/>
  <c r="Q101" i="118" s="1"/>
  <c r="R100" i="118"/>
  <c r="P100" i="118"/>
  <c r="L100" i="118"/>
  <c r="Q100" i="118" s="1"/>
  <c r="R99" i="118"/>
  <c r="P99" i="118"/>
  <c r="L99" i="118"/>
  <c r="Q99" i="118" s="1"/>
  <c r="R98" i="118"/>
  <c r="P98" i="118"/>
  <c r="L98" i="118"/>
  <c r="Q98" i="118" s="1"/>
  <c r="R97" i="118"/>
  <c r="P97" i="118"/>
  <c r="L97" i="118"/>
  <c r="Q97" i="118" s="1"/>
  <c r="R96" i="118"/>
  <c r="P96" i="118"/>
  <c r="L96" i="118"/>
  <c r="Q96" i="118" s="1"/>
  <c r="R95" i="118"/>
  <c r="P95" i="118"/>
  <c r="L95" i="118"/>
  <c r="Q95" i="118" s="1"/>
  <c r="R94" i="118"/>
  <c r="Q94" i="118"/>
  <c r="P94" i="118"/>
  <c r="L94" i="118"/>
  <c r="R93" i="118"/>
  <c r="P93" i="118"/>
  <c r="L93" i="118"/>
  <c r="Q93" i="118" s="1"/>
  <c r="R92" i="118"/>
  <c r="P92" i="118"/>
  <c r="L92" i="118"/>
  <c r="Q92" i="118" s="1"/>
  <c r="R91" i="118"/>
  <c r="P91" i="118"/>
  <c r="L91" i="118"/>
  <c r="Q91" i="118" s="1"/>
  <c r="R90" i="118"/>
  <c r="P90" i="118"/>
  <c r="L90" i="118"/>
  <c r="Q90" i="118" s="1"/>
  <c r="R89" i="118"/>
  <c r="P89" i="118"/>
  <c r="L89" i="118"/>
  <c r="Q89" i="118" s="1"/>
  <c r="R88" i="118"/>
  <c r="P88" i="118"/>
  <c r="L88" i="118"/>
  <c r="Q88" i="118" s="1"/>
  <c r="R87" i="118"/>
  <c r="P87" i="118"/>
  <c r="L87" i="118"/>
  <c r="Q87" i="118" s="1"/>
  <c r="R86" i="118"/>
  <c r="P86" i="118"/>
  <c r="L86" i="118"/>
  <c r="Q86" i="118" s="1"/>
  <c r="R85" i="118"/>
  <c r="P85" i="118"/>
  <c r="L85" i="118"/>
  <c r="Q85" i="118" s="1"/>
  <c r="R84" i="118"/>
  <c r="P84" i="118"/>
  <c r="L84" i="118"/>
  <c r="Q84" i="118" s="1"/>
  <c r="R83" i="118"/>
  <c r="P83" i="118"/>
  <c r="L83" i="118"/>
  <c r="Q83" i="118" s="1"/>
  <c r="R82" i="118"/>
  <c r="P82" i="118"/>
  <c r="L82" i="118"/>
  <c r="Q82" i="118" s="1"/>
  <c r="R81" i="118"/>
  <c r="P81" i="118"/>
  <c r="L81" i="118"/>
  <c r="Q81" i="118" s="1"/>
  <c r="R80" i="118"/>
  <c r="P80" i="118"/>
  <c r="L80" i="118"/>
  <c r="Q80" i="118" s="1"/>
  <c r="R79" i="118"/>
  <c r="P79" i="118"/>
  <c r="L79" i="118"/>
  <c r="Q79" i="118" s="1"/>
  <c r="R78" i="118"/>
  <c r="P78" i="118"/>
  <c r="L78" i="118"/>
  <c r="Q78" i="118" s="1"/>
  <c r="R77" i="118"/>
  <c r="P77" i="118"/>
  <c r="L77" i="118"/>
  <c r="Q77" i="118" s="1"/>
  <c r="R76" i="118"/>
  <c r="P76" i="118"/>
  <c r="L76" i="118"/>
  <c r="Q76" i="118" s="1"/>
  <c r="R75" i="118"/>
  <c r="P75" i="118"/>
  <c r="L75" i="118"/>
  <c r="Q75" i="118" s="1"/>
  <c r="R74" i="118"/>
  <c r="P74" i="118"/>
  <c r="L74" i="118"/>
  <c r="Q74" i="118" s="1"/>
  <c r="R73" i="118"/>
  <c r="P73" i="118"/>
  <c r="L73" i="118"/>
  <c r="Q73" i="118" s="1"/>
  <c r="R72" i="118"/>
  <c r="P72" i="118"/>
  <c r="L72" i="118"/>
  <c r="Q72" i="118" s="1"/>
  <c r="R71" i="118"/>
  <c r="P71" i="118"/>
  <c r="L71" i="118"/>
  <c r="Q71" i="118" s="1"/>
  <c r="R70" i="118"/>
  <c r="P70" i="118"/>
  <c r="L70" i="118"/>
  <c r="Q70" i="118" s="1"/>
  <c r="R69" i="118"/>
  <c r="P69" i="118"/>
  <c r="L69" i="118"/>
  <c r="Q69" i="118" s="1"/>
  <c r="R68" i="118"/>
  <c r="P68" i="118"/>
  <c r="L68" i="118"/>
  <c r="Q68" i="118" s="1"/>
  <c r="R67" i="118"/>
  <c r="P67" i="118"/>
  <c r="L67" i="118"/>
  <c r="Q67" i="118" s="1"/>
  <c r="R66" i="118"/>
  <c r="P66" i="118"/>
  <c r="L66" i="118"/>
  <c r="Q66" i="118" s="1"/>
  <c r="R65" i="118"/>
  <c r="P65" i="118"/>
  <c r="L65" i="118"/>
  <c r="Q65" i="118" s="1"/>
  <c r="R64" i="118"/>
  <c r="P64" i="118"/>
  <c r="L64" i="118"/>
  <c r="Q64" i="118" s="1"/>
  <c r="R63" i="118"/>
  <c r="P63" i="118"/>
  <c r="L63" i="118"/>
  <c r="Q63" i="118" s="1"/>
  <c r="R62" i="118"/>
  <c r="P62" i="118"/>
  <c r="L62" i="118"/>
  <c r="Q62" i="118" s="1"/>
  <c r="R61" i="118"/>
  <c r="P61" i="118"/>
  <c r="L61" i="118"/>
  <c r="Q61" i="118" s="1"/>
  <c r="R60" i="118"/>
  <c r="P60" i="118"/>
  <c r="L60" i="118"/>
  <c r="Q60" i="118" s="1"/>
  <c r="R59" i="118"/>
  <c r="P59" i="118"/>
  <c r="L59" i="118"/>
  <c r="Q59" i="118" s="1"/>
  <c r="R58" i="118"/>
  <c r="P58" i="118"/>
  <c r="L58" i="118"/>
  <c r="Q58" i="118" s="1"/>
  <c r="R57" i="118"/>
  <c r="P57" i="118"/>
  <c r="L57" i="118"/>
  <c r="Q57" i="118" s="1"/>
  <c r="R56" i="118"/>
  <c r="P56" i="118"/>
  <c r="L56" i="118"/>
  <c r="Q56" i="118" s="1"/>
  <c r="R55" i="118"/>
  <c r="P55" i="118"/>
  <c r="L55" i="118"/>
  <c r="Q55" i="118" s="1"/>
  <c r="R54" i="118"/>
  <c r="P54" i="118"/>
  <c r="L54" i="118"/>
  <c r="Q54" i="118" s="1"/>
  <c r="R53" i="118"/>
  <c r="P53" i="118"/>
  <c r="L53" i="118"/>
  <c r="Q53" i="118" s="1"/>
  <c r="R52" i="118"/>
  <c r="P52" i="118"/>
  <c r="L52" i="118"/>
  <c r="Q52" i="118" s="1"/>
  <c r="R51" i="118"/>
  <c r="P51" i="118"/>
  <c r="L51" i="118"/>
  <c r="Q51" i="118" s="1"/>
  <c r="R50" i="118"/>
  <c r="P50" i="118"/>
  <c r="L50" i="118"/>
  <c r="Q50" i="118" s="1"/>
  <c r="R49" i="118"/>
  <c r="P49" i="118"/>
  <c r="L49" i="118"/>
  <c r="Q49" i="118" s="1"/>
  <c r="R48" i="118"/>
  <c r="P48" i="118"/>
  <c r="L48" i="118"/>
  <c r="Q48" i="118" s="1"/>
  <c r="R47" i="118"/>
  <c r="P47" i="118"/>
  <c r="L47" i="118"/>
  <c r="Q47" i="118" s="1"/>
  <c r="R46" i="118"/>
  <c r="P46" i="118"/>
  <c r="L46" i="118"/>
  <c r="Q46" i="118" s="1"/>
  <c r="R45" i="118"/>
  <c r="P45" i="118"/>
  <c r="L45" i="118"/>
  <c r="Q45" i="118" s="1"/>
  <c r="R44" i="118"/>
  <c r="P44" i="118"/>
  <c r="L44" i="118"/>
  <c r="Q44" i="118" s="1"/>
  <c r="R43" i="118"/>
  <c r="P43" i="118"/>
  <c r="L43" i="118"/>
  <c r="Q43" i="118" s="1"/>
  <c r="R42" i="118"/>
  <c r="P42" i="118"/>
  <c r="L42" i="118"/>
  <c r="Q42" i="118" s="1"/>
  <c r="R41" i="118"/>
  <c r="P41" i="118"/>
  <c r="L41" i="118"/>
  <c r="Q41" i="118" s="1"/>
  <c r="R40" i="118"/>
  <c r="P40" i="118"/>
  <c r="L40" i="118"/>
  <c r="Q40" i="118" s="1"/>
  <c r="R39" i="118"/>
  <c r="P39" i="118"/>
  <c r="L39" i="118"/>
  <c r="Q39" i="118" s="1"/>
  <c r="R38" i="118"/>
  <c r="P38" i="118"/>
  <c r="L38" i="118"/>
  <c r="Q38" i="118" s="1"/>
  <c r="R37" i="118"/>
  <c r="P37" i="118"/>
  <c r="L37" i="118"/>
  <c r="Q37" i="118" s="1"/>
  <c r="R36" i="118"/>
  <c r="P36" i="118"/>
  <c r="L36" i="118"/>
  <c r="Q36" i="118" s="1"/>
  <c r="R35" i="118"/>
  <c r="P35" i="118"/>
  <c r="L35" i="118"/>
  <c r="Q35" i="118" s="1"/>
  <c r="R34" i="118"/>
  <c r="P34" i="118"/>
  <c r="L34" i="118"/>
  <c r="Q34" i="118" s="1"/>
  <c r="R33" i="118"/>
  <c r="P33" i="118"/>
  <c r="L33" i="118"/>
  <c r="Q33" i="118" s="1"/>
  <c r="R32" i="118"/>
  <c r="P32" i="118"/>
  <c r="L32" i="118"/>
  <c r="Q32" i="118" s="1"/>
  <c r="R31" i="118"/>
  <c r="P31" i="118"/>
  <c r="L31" i="118"/>
  <c r="Q31" i="118" s="1"/>
  <c r="R30" i="118"/>
  <c r="P30" i="118"/>
  <c r="L30" i="118"/>
  <c r="Q30" i="118" s="1"/>
  <c r="R29" i="118"/>
  <c r="P29" i="118"/>
  <c r="L29" i="118"/>
  <c r="Q29" i="118" s="1"/>
  <c r="R28" i="118"/>
  <c r="P28" i="118"/>
  <c r="L28" i="118"/>
  <c r="Q28" i="118" s="1"/>
  <c r="R27" i="118"/>
  <c r="P27" i="118"/>
  <c r="L27" i="118"/>
  <c r="Q27" i="118" s="1"/>
  <c r="R26" i="118"/>
  <c r="P26" i="118"/>
  <c r="L26" i="118"/>
  <c r="Q26" i="118" s="1"/>
  <c r="R25" i="118"/>
  <c r="P25" i="118"/>
  <c r="L25" i="118"/>
  <c r="Q25" i="118" s="1"/>
  <c r="R24" i="118"/>
  <c r="P24" i="118"/>
  <c r="L24" i="118"/>
  <c r="Q24" i="118" s="1"/>
  <c r="R23" i="118"/>
  <c r="P23" i="118"/>
  <c r="L23" i="118"/>
  <c r="Q23" i="118" s="1"/>
  <c r="R19" i="118"/>
  <c r="R20" i="118" s="1"/>
  <c r="Q19" i="118"/>
  <c r="Q20" i="118" s="1"/>
  <c r="L19" i="118"/>
  <c r="P19" i="118" s="1"/>
  <c r="E11" i="118"/>
  <c r="E10" i="118"/>
  <c r="E9" i="118"/>
  <c r="E8" i="118"/>
  <c r="E7" i="118"/>
  <c r="E6" i="118"/>
  <c r="E5" i="118"/>
  <c r="R151" i="118" l="1"/>
  <c r="P133" i="118"/>
  <c r="S36" i="118"/>
  <c r="V36" i="118" s="1"/>
  <c r="S40" i="118"/>
  <c r="V40" i="118" s="1"/>
  <c r="Q116" i="118"/>
  <c r="Q128" i="118"/>
  <c r="Q144" i="118"/>
  <c r="S68" i="118"/>
  <c r="V68" i="118" s="1"/>
  <c r="S72" i="118"/>
  <c r="V72" i="118" s="1"/>
  <c r="T137" i="118"/>
  <c r="V137" i="118" s="1"/>
  <c r="S100" i="118"/>
  <c r="V100" i="118" s="1"/>
  <c r="Q151" i="118"/>
  <c r="Q161" i="118"/>
  <c r="S52" i="118"/>
  <c r="V52" i="118" s="1"/>
  <c r="S56" i="118"/>
  <c r="V56" i="118" s="1"/>
  <c r="S78" i="118"/>
  <c r="V78" i="118" s="1"/>
  <c r="S84" i="118"/>
  <c r="V84" i="118" s="1"/>
  <c r="S88" i="118"/>
  <c r="V88" i="118" s="1"/>
  <c r="P156" i="118"/>
  <c r="S48" i="118"/>
  <c r="V48" i="118" s="1"/>
  <c r="S104" i="118"/>
  <c r="V104" i="118" s="1"/>
  <c r="R128" i="118"/>
  <c r="Q133" i="118"/>
  <c r="P161" i="118"/>
  <c r="S32" i="118"/>
  <c r="V32" i="118" s="1"/>
  <c r="S24" i="118"/>
  <c r="V24" i="118" s="1"/>
  <c r="S28" i="118"/>
  <c r="V28" i="118" s="1"/>
  <c r="S38" i="118"/>
  <c r="V38" i="118" s="1"/>
  <c r="S39" i="118"/>
  <c r="V39" i="118" s="1"/>
  <c r="S44" i="118"/>
  <c r="V44" i="118" s="1"/>
  <c r="S54" i="118"/>
  <c r="V54" i="118" s="1"/>
  <c r="S60" i="118"/>
  <c r="V60" i="118" s="1"/>
  <c r="S70" i="118"/>
  <c r="V70" i="118" s="1"/>
  <c r="S71" i="118"/>
  <c r="V71" i="118" s="1"/>
  <c r="S76" i="118"/>
  <c r="V76" i="118" s="1"/>
  <c r="S86" i="118"/>
  <c r="V86" i="118" s="1"/>
  <c r="S87" i="118"/>
  <c r="V87" i="118" s="1"/>
  <c r="S92" i="118"/>
  <c r="V92" i="118" s="1"/>
  <c r="S120" i="118"/>
  <c r="V120" i="118" s="1"/>
  <c r="S64" i="118"/>
  <c r="V64" i="118" s="1"/>
  <c r="S80" i="118"/>
  <c r="V80" i="118" s="1"/>
  <c r="S97" i="118"/>
  <c r="V97" i="118" s="1"/>
  <c r="S53" i="118"/>
  <c r="V53" i="118" s="1"/>
  <c r="S61" i="118"/>
  <c r="V61" i="118" s="1"/>
  <c r="S25" i="118"/>
  <c r="V25" i="118" s="1"/>
  <c r="S50" i="118"/>
  <c r="V50" i="118" s="1"/>
  <c r="S51" i="118"/>
  <c r="V51" i="118" s="1"/>
  <c r="S66" i="118"/>
  <c r="V66" i="118" s="1"/>
  <c r="S74" i="118"/>
  <c r="V74" i="118" s="1"/>
  <c r="S82" i="118"/>
  <c r="V82" i="118" s="1"/>
  <c r="S90" i="118"/>
  <c r="V90" i="118" s="1"/>
  <c r="S98" i="118"/>
  <c r="V98" i="118" s="1"/>
  <c r="S105" i="118"/>
  <c r="V105" i="118" s="1"/>
  <c r="S110" i="118"/>
  <c r="V110" i="118" s="1"/>
  <c r="P116" i="118"/>
  <c r="S115" i="118"/>
  <c r="V115" i="118" s="1"/>
  <c r="P121" i="118"/>
  <c r="R161" i="118"/>
  <c r="S106" i="118"/>
  <c r="V106" i="118" s="1"/>
  <c r="S27" i="118"/>
  <c r="V27" i="118" s="1"/>
  <c r="S29" i="118"/>
  <c r="V29" i="118" s="1"/>
  <c r="S37" i="118"/>
  <c r="V37" i="118" s="1"/>
  <c r="S45" i="118"/>
  <c r="V45" i="118" s="1"/>
  <c r="S69" i="118"/>
  <c r="V69" i="118" s="1"/>
  <c r="S77" i="118"/>
  <c r="V77" i="118" s="1"/>
  <c r="S85" i="118"/>
  <c r="V85" i="118" s="1"/>
  <c r="S93" i="118"/>
  <c r="V93" i="118" s="1"/>
  <c r="S95" i="118"/>
  <c r="V95" i="118" s="1"/>
  <c r="S96" i="118"/>
  <c r="V96" i="118" s="1"/>
  <c r="S102" i="118"/>
  <c r="V102" i="118" s="1"/>
  <c r="R116" i="118"/>
  <c r="Q121" i="118"/>
  <c r="T127" i="118"/>
  <c r="V127" i="118" s="1"/>
  <c r="T150" i="118"/>
  <c r="V150" i="118" s="1"/>
  <c r="Q156" i="118"/>
  <c r="S34" i="118"/>
  <c r="V34" i="118" s="1"/>
  <c r="S33" i="118"/>
  <c r="V33" i="118" s="1"/>
  <c r="S41" i="118"/>
  <c r="V41" i="118" s="1"/>
  <c r="S49" i="118"/>
  <c r="V49" i="118" s="1"/>
  <c r="S57" i="118"/>
  <c r="V57" i="118" s="1"/>
  <c r="S65" i="118"/>
  <c r="V65" i="118" s="1"/>
  <c r="S73" i="118"/>
  <c r="V73" i="118" s="1"/>
  <c r="S81" i="118"/>
  <c r="V81" i="118" s="1"/>
  <c r="S89" i="118"/>
  <c r="V89" i="118" s="1"/>
  <c r="S94" i="118"/>
  <c r="V94" i="118" s="1"/>
  <c r="S101" i="118"/>
  <c r="V101" i="118" s="1"/>
  <c r="S103" i="118"/>
  <c r="V103" i="118" s="1"/>
  <c r="R121" i="118"/>
  <c r="T160" i="118"/>
  <c r="V160" i="118" s="1"/>
  <c r="S35" i="118"/>
  <c r="V35" i="118" s="1"/>
  <c r="R111" i="118"/>
  <c r="P20" i="118"/>
  <c r="S19" i="118"/>
  <c r="S30" i="118"/>
  <c r="V30" i="118" s="1"/>
  <c r="S47" i="118"/>
  <c r="V47" i="118" s="1"/>
  <c r="S62" i="118"/>
  <c r="V62" i="118" s="1"/>
  <c r="S75" i="118"/>
  <c r="V75" i="118" s="1"/>
  <c r="S91" i="118"/>
  <c r="V91" i="118" s="1"/>
  <c r="R144" i="118"/>
  <c r="S26" i="118"/>
  <c r="V26" i="118" s="1"/>
  <c r="S43" i="118"/>
  <c r="V43" i="118" s="1"/>
  <c r="S58" i="118"/>
  <c r="V58" i="118" s="1"/>
  <c r="T136" i="118"/>
  <c r="S31" i="118"/>
  <c r="V31" i="118" s="1"/>
  <c r="S46" i="118"/>
  <c r="V46" i="118" s="1"/>
  <c r="S63" i="118"/>
  <c r="V63" i="118" s="1"/>
  <c r="S83" i="118"/>
  <c r="V83" i="118" s="1"/>
  <c r="Q111" i="118"/>
  <c r="S42" i="118"/>
  <c r="V42" i="118" s="1"/>
  <c r="S59" i="118"/>
  <c r="V59" i="118" s="1"/>
  <c r="R133" i="118"/>
  <c r="T132" i="118"/>
  <c r="V132" i="118" s="1"/>
  <c r="T155" i="118"/>
  <c r="V155" i="118" s="1"/>
  <c r="R156" i="118"/>
  <c r="S67" i="118"/>
  <c r="V67" i="118" s="1"/>
  <c r="S23" i="118"/>
  <c r="S55" i="118"/>
  <c r="V55" i="118" s="1"/>
  <c r="S79" i="118"/>
  <c r="V79" i="118" s="1"/>
  <c r="S99" i="118"/>
  <c r="V99" i="118" s="1"/>
  <c r="T126" i="118"/>
  <c r="P128" i="118"/>
  <c r="T131" i="118"/>
  <c r="P144" i="118"/>
  <c r="P111" i="118"/>
  <c r="T149" i="118"/>
  <c r="P151" i="118"/>
  <c r="T154" i="118"/>
  <c r="S114" i="118"/>
  <c r="V114" i="118" s="1"/>
  <c r="S119" i="118"/>
  <c r="T159" i="118"/>
  <c r="S144" i="107"/>
  <c r="P120" i="107"/>
  <c r="L120" i="107"/>
  <c r="R120" i="107" s="1"/>
  <c r="P119" i="107"/>
  <c r="L119" i="107"/>
  <c r="R119" i="107" s="1"/>
  <c r="R143" i="107"/>
  <c r="T143" i="107" s="1"/>
  <c r="L142" i="107"/>
  <c r="R142" i="107" s="1"/>
  <c r="T142" i="107" s="1"/>
  <c r="L141" i="107"/>
  <c r="R141" i="107" s="1"/>
  <c r="T141" i="107" s="1"/>
  <c r="L140" i="107"/>
  <c r="R140" i="107" s="1"/>
  <c r="L139" i="107"/>
  <c r="R139" i="107" s="1"/>
  <c r="T139" i="107" s="1"/>
  <c r="L138" i="107"/>
  <c r="R138" i="107" s="1"/>
  <c r="T138" i="107" s="1"/>
  <c r="Q137" i="107"/>
  <c r="P137" i="107"/>
  <c r="L137" i="107"/>
  <c r="R137" i="107" s="1"/>
  <c r="Q136" i="107"/>
  <c r="P136" i="107"/>
  <c r="L136" i="107"/>
  <c r="R136" i="107" s="1"/>
  <c r="R110" i="107"/>
  <c r="P110" i="107"/>
  <c r="L110" i="107"/>
  <c r="Q110" i="107" s="1"/>
  <c r="L109" i="107"/>
  <c r="Q109" i="107" s="1"/>
  <c r="S109" i="107" s="1"/>
  <c r="V109" i="107" s="1"/>
  <c r="L108" i="107"/>
  <c r="Q108" i="107" s="1"/>
  <c r="S108" i="107" s="1"/>
  <c r="V108" i="107" s="1"/>
  <c r="L107" i="107"/>
  <c r="Q107" i="107" s="1"/>
  <c r="S107" i="107" s="1"/>
  <c r="V107" i="107" s="1"/>
  <c r="R106" i="107"/>
  <c r="P106" i="107"/>
  <c r="L106" i="107"/>
  <c r="Q106" i="107" s="1"/>
  <c r="R105" i="107"/>
  <c r="P105" i="107"/>
  <c r="L105" i="107"/>
  <c r="Q105" i="107" s="1"/>
  <c r="R104" i="107"/>
  <c r="P104" i="107"/>
  <c r="L104" i="107"/>
  <c r="Q104" i="107" s="1"/>
  <c r="R103" i="107"/>
  <c r="P103" i="107"/>
  <c r="L103" i="107"/>
  <c r="Q103" i="107" s="1"/>
  <c r="R102" i="107"/>
  <c r="P102" i="107"/>
  <c r="L102" i="107"/>
  <c r="Q102" i="107" s="1"/>
  <c r="R101" i="107"/>
  <c r="P101" i="107"/>
  <c r="L101" i="107"/>
  <c r="Q101" i="107" s="1"/>
  <c r="R100" i="107"/>
  <c r="P100" i="107"/>
  <c r="L100" i="107"/>
  <c r="Q100" i="107" s="1"/>
  <c r="R99" i="107"/>
  <c r="P99" i="107"/>
  <c r="L99" i="107"/>
  <c r="Q99" i="107" s="1"/>
  <c r="R98" i="107"/>
  <c r="P98" i="107"/>
  <c r="L98" i="107"/>
  <c r="Q98" i="107" s="1"/>
  <c r="R97" i="107"/>
  <c r="P97" i="107"/>
  <c r="L97" i="107"/>
  <c r="Q97" i="107" s="1"/>
  <c r="R96" i="107"/>
  <c r="P96" i="107"/>
  <c r="L96" i="107"/>
  <c r="Q96" i="107" s="1"/>
  <c r="R95" i="107"/>
  <c r="P95" i="107"/>
  <c r="L95" i="107"/>
  <c r="Q95" i="107" s="1"/>
  <c r="R94" i="107"/>
  <c r="Q94" i="107"/>
  <c r="P94" i="107"/>
  <c r="L94" i="107"/>
  <c r="R93" i="107"/>
  <c r="P93" i="107"/>
  <c r="L93" i="107"/>
  <c r="Q93" i="107" s="1"/>
  <c r="R92" i="107"/>
  <c r="P92" i="107"/>
  <c r="L92" i="107"/>
  <c r="Q92" i="107" s="1"/>
  <c r="R91" i="107"/>
  <c r="P91" i="107"/>
  <c r="L91" i="107"/>
  <c r="Q91" i="107" s="1"/>
  <c r="R90" i="107"/>
  <c r="P90" i="107"/>
  <c r="L90" i="107"/>
  <c r="Q90" i="107" s="1"/>
  <c r="R89" i="107"/>
  <c r="P89" i="107"/>
  <c r="L89" i="107"/>
  <c r="Q89" i="107" s="1"/>
  <c r="R88" i="107"/>
  <c r="P88" i="107"/>
  <c r="L88" i="107"/>
  <c r="Q88" i="107" s="1"/>
  <c r="R87" i="107"/>
  <c r="P87" i="107"/>
  <c r="L87" i="107"/>
  <c r="Q87" i="107" s="1"/>
  <c r="R86" i="107"/>
  <c r="P86" i="107"/>
  <c r="L86" i="107"/>
  <c r="Q86" i="107" s="1"/>
  <c r="R85" i="107"/>
  <c r="P85" i="107"/>
  <c r="L85" i="107"/>
  <c r="Q85" i="107" s="1"/>
  <c r="R84" i="107"/>
  <c r="P84" i="107"/>
  <c r="L84" i="107"/>
  <c r="Q84" i="107" s="1"/>
  <c r="R83" i="107"/>
  <c r="P83" i="107"/>
  <c r="L83" i="107"/>
  <c r="Q83" i="107" s="1"/>
  <c r="R82" i="107"/>
  <c r="P82" i="107"/>
  <c r="L82" i="107"/>
  <c r="Q82" i="107" s="1"/>
  <c r="R81" i="107"/>
  <c r="P81" i="107"/>
  <c r="L81" i="107"/>
  <c r="Q81" i="107" s="1"/>
  <c r="R80" i="107"/>
  <c r="P80" i="107"/>
  <c r="L80" i="107"/>
  <c r="Q80" i="107" s="1"/>
  <c r="R79" i="107"/>
  <c r="P79" i="107"/>
  <c r="L79" i="107"/>
  <c r="Q79" i="107" s="1"/>
  <c r="R78" i="107"/>
  <c r="P78" i="107"/>
  <c r="L78" i="107"/>
  <c r="Q78" i="107" s="1"/>
  <c r="R77" i="107"/>
  <c r="P77" i="107"/>
  <c r="L77" i="107"/>
  <c r="Q77" i="107" s="1"/>
  <c r="R76" i="107"/>
  <c r="P76" i="107"/>
  <c r="L76" i="107"/>
  <c r="Q76" i="107" s="1"/>
  <c r="R75" i="107"/>
  <c r="P75" i="107"/>
  <c r="L75" i="107"/>
  <c r="Q75" i="107" s="1"/>
  <c r="R74" i="107"/>
  <c r="P74" i="107"/>
  <c r="L74" i="107"/>
  <c r="Q74" i="107" s="1"/>
  <c r="R73" i="107"/>
  <c r="P73" i="107"/>
  <c r="L73" i="107"/>
  <c r="Q73" i="107" s="1"/>
  <c r="R72" i="107"/>
  <c r="P72" i="107"/>
  <c r="L72" i="107"/>
  <c r="Q72" i="107" s="1"/>
  <c r="R71" i="107"/>
  <c r="P71" i="107"/>
  <c r="L71" i="107"/>
  <c r="Q71" i="107" s="1"/>
  <c r="R70" i="107"/>
  <c r="P70" i="107"/>
  <c r="L70" i="107"/>
  <c r="Q70" i="107" s="1"/>
  <c r="R69" i="107"/>
  <c r="P69" i="107"/>
  <c r="L69" i="107"/>
  <c r="Q69" i="107" s="1"/>
  <c r="R68" i="107"/>
  <c r="P68" i="107"/>
  <c r="L68" i="107"/>
  <c r="Q68" i="107" s="1"/>
  <c r="R67" i="107"/>
  <c r="P67" i="107"/>
  <c r="L67" i="107"/>
  <c r="Q67" i="107" s="1"/>
  <c r="R66" i="107"/>
  <c r="P66" i="107"/>
  <c r="L66" i="107"/>
  <c r="Q66" i="107" s="1"/>
  <c r="R65" i="107"/>
  <c r="P65" i="107"/>
  <c r="L65" i="107"/>
  <c r="Q65" i="107" s="1"/>
  <c r="R64" i="107"/>
  <c r="P64" i="107"/>
  <c r="L64" i="107"/>
  <c r="Q64" i="107" s="1"/>
  <c r="R63" i="107"/>
  <c r="P63" i="107"/>
  <c r="L63" i="107"/>
  <c r="Q63" i="107" s="1"/>
  <c r="R62" i="107"/>
  <c r="P62" i="107"/>
  <c r="L62" i="107"/>
  <c r="Q62" i="107" s="1"/>
  <c r="R61" i="107"/>
  <c r="P61" i="107"/>
  <c r="L61" i="107"/>
  <c r="Q61" i="107" s="1"/>
  <c r="R60" i="107"/>
  <c r="P60" i="107"/>
  <c r="L60" i="107"/>
  <c r="Q60" i="107" s="1"/>
  <c r="R59" i="107"/>
  <c r="P59" i="107"/>
  <c r="L59" i="107"/>
  <c r="Q59" i="107" s="1"/>
  <c r="R58" i="107"/>
  <c r="P58" i="107"/>
  <c r="L58" i="107"/>
  <c r="Q58" i="107" s="1"/>
  <c r="R57" i="107"/>
  <c r="P57" i="107"/>
  <c r="L57" i="107"/>
  <c r="Q57" i="107" s="1"/>
  <c r="R56" i="107"/>
  <c r="P56" i="107"/>
  <c r="L56" i="107"/>
  <c r="Q56" i="107" s="1"/>
  <c r="R55" i="107"/>
  <c r="P55" i="107"/>
  <c r="L55" i="107"/>
  <c r="Q55" i="107" s="1"/>
  <c r="R54" i="107"/>
  <c r="P54" i="107"/>
  <c r="L54" i="107"/>
  <c r="Q54" i="107" s="1"/>
  <c r="R53" i="107"/>
  <c r="P53" i="107"/>
  <c r="L53" i="107"/>
  <c r="Q53" i="107" s="1"/>
  <c r="R52" i="107"/>
  <c r="P52" i="107"/>
  <c r="L52" i="107"/>
  <c r="Q52" i="107" s="1"/>
  <c r="R51" i="107"/>
  <c r="P51" i="107"/>
  <c r="L51" i="107"/>
  <c r="Q51" i="107" s="1"/>
  <c r="R50" i="107"/>
  <c r="P50" i="107"/>
  <c r="L50" i="107"/>
  <c r="Q50" i="107" s="1"/>
  <c r="R49" i="107"/>
  <c r="P49" i="107"/>
  <c r="L49" i="107"/>
  <c r="Q49" i="107" s="1"/>
  <c r="R48" i="107"/>
  <c r="P48" i="107"/>
  <c r="L48" i="107"/>
  <c r="Q48" i="107" s="1"/>
  <c r="R47" i="107"/>
  <c r="P47" i="107"/>
  <c r="L47" i="107"/>
  <c r="Q47" i="107" s="1"/>
  <c r="R46" i="107"/>
  <c r="P46" i="107"/>
  <c r="L46" i="107"/>
  <c r="Q46" i="107" s="1"/>
  <c r="R45" i="107"/>
  <c r="P45" i="107"/>
  <c r="L45" i="107"/>
  <c r="Q45" i="107" s="1"/>
  <c r="R44" i="107"/>
  <c r="P44" i="107"/>
  <c r="L44" i="107"/>
  <c r="Q44" i="107" s="1"/>
  <c r="R43" i="107"/>
  <c r="P43" i="107"/>
  <c r="L43" i="107"/>
  <c r="Q43" i="107" s="1"/>
  <c r="R42" i="107"/>
  <c r="P42" i="107"/>
  <c r="L42" i="107"/>
  <c r="Q42" i="107" s="1"/>
  <c r="R41" i="107"/>
  <c r="P41" i="107"/>
  <c r="L41" i="107"/>
  <c r="Q41" i="107" s="1"/>
  <c r="R40" i="107"/>
  <c r="P40" i="107"/>
  <c r="L40" i="107"/>
  <c r="Q40" i="107" s="1"/>
  <c r="R39" i="107"/>
  <c r="P39" i="107"/>
  <c r="L39" i="107"/>
  <c r="Q39" i="107" s="1"/>
  <c r="R38" i="107"/>
  <c r="P38" i="107"/>
  <c r="L38" i="107"/>
  <c r="Q38" i="107" s="1"/>
  <c r="R37" i="107"/>
  <c r="P37" i="107"/>
  <c r="L37" i="107"/>
  <c r="Q37" i="107" s="1"/>
  <c r="R36" i="107"/>
  <c r="P36" i="107"/>
  <c r="L36" i="107"/>
  <c r="Q36" i="107" s="1"/>
  <c r="R35" i="107"/>
  <c r="P35" i="107"/>
  <c r="L35" i="107"/>
  <c r="Q35" i="107" s="1"/>
  <c r="R34" i="107"/>
  <c r="P34" i="107"/>
  <c r="L34" i="107"/>
  <c r="Q34" i="107" s="1"/>
  <c r="R33" i="107"/>
  <c r="P33" i="107"/>
  <c r="L33" i="107"/>
  <c r="Q33" i="107" s="1"/>
  <c r="R32" i="107"/>
  <c r="P32" i="107"/>
  <c r="L32" i="107"/>
  <c r="Q32" i="107" s="1"/>
  <c r="R31" i="107"/>
  <c r="P31" i="107"/>
  <c r="L31" i="107"/>
  <c r="Q31" i="107" s="1"/>
  <c r="R30" i="107"/>
  <c r="P30" i="107"/>
  <c r="L30" i="107"/>
  <c r="Q30" i="107" s="1"/>
  <c r="R29" i="107"/>
  <c r="P29" i="107"/>
  <c r="L29" i="107"/>
  <c r="Q29" i="107" s="1"/>
  <c r="R28" i="107"/>
  <c r="P28" i="107"/>
  <c r="L28" i="107"/>
  <c r="Q28" i="107" s="1"/>
  <c r="R27" i="107"/>
  <c r="P27" i="107"/>
  <c r="L27" i="107"/>
  <c r="Q27" i="107" s="1"/>
  <c r="R26" i="107"/>
  <c r="P26" i="107"/>
  <c r="L26" i="107"/>
  <c r="Q26" i="107" s="1"/>
  <c r="R25" i="107"/>
  <c r="P25" i="107"/>
  <c r="L25" i="107"/>
  <c r="Q25" i="107" s="1"/>
  <c r="R24" i="107"/>
  <c r="P24" i="107"/>
  <c r="L24" i="107"/>
  <c r="Q24" i="107" s="1"/>
  <c r="R23" i="107"/>
  <c r="P23" i="107"/>
  <c r="L23" i="107"/>
  <c r="Q23" i="107" s="1"/>
  <c r="L19" i="107"/>
  <c r="V113" i="118" l="1"/>
  <c r="Q164" i="118"/>
  <c r="T137" i="107"/>
  <c r="V137" i="107" s="1"/>
  <c r="T136" i="107"/>
  <c r="V136" i="107" s="1"/>
  <c r="Q120" i="107"/>
  <c r="S120" i="107" s="1"/>
  <c r="V120" i="107" s="1"/>
  <c r="Q119" i="107"/>
  <c r="S119" i="107" s="1"/>
  <c r="T140" i="107"/>
  <c r="V140" i="107" s="1"/>
  <c r="V139" i="107"/>
  <c r="V143" i="107"/>
  <c r="R164" i="118"/>
  <c r="V119" i="118"/>
  <c r="V118" i="118" s="1"/>
  <c r="S121" i="118"/>
  <c r="T128" i="118"/>
  <c r="V126" i="118"/>
  <c r="V125" i="118" s="1"/>
  <c r="V154" i="118"/>
  <c r="V153" i="118" s="1"/>
  <c r="T156" i="118"/>
  <c r="S111" i="118"/>
  <c r="V111" i="118" s="1"/>
  <c r="V23" i="118"/>
  <c r="V22" i="118" s="1"/>
  <c r="V19" i="118"/>
  <c r="V18" i="118" s="1"/>
  <c r="S20" i="118"/>
  <c r="V149" i="118"/>
  <c r="V148" i="118" s="1"/>
  <c r="T151" i="118"/>
  <c r="P164" i="118"/>
  <c r="T144" i="118"/>
  <c r="V136" i="118"/>
  <c r="V135" i="118" s="1"/>
  <c r="T161" i="118"/>
  <c r="V159" i="118"/>
  <c r="V158" i="118" s="1"/>
  <c r="T133" i="118"/>
  <c r="V131" i="118"/>
  <c r="V130" i="118" s="1"/>
  <c r="V138" i="107"/>
  <c r="V142" i="107"/>
  <c r="V141" i="107"/>
  <c r="P121" i="107"/>
  <c r="R121" i="107"/>
  <c r="S90" i="107"/>
  <c r="V90" i="107" s="1"/>
  <c r="S101" i="107"/>
  <c r="V101" i="107" s="1"/>
  <c r="S105" i="107"/>
  <c r="V105" i="107" s="1"/>
  <c r="S44" i="107"/>
  <c r="V44" i="107" s="1"/>
  <c r="S106" i="107"/>
  <c r="V106" i="107" s="1"/>
  <c r="S43" i="107"/>
  <c r="V43" i="107" s="1"/>
  <c r="S47" i="107"/>
  <c r="V47" i="107" s="1"/>
  <c r="S63" i="107"/>
  <c r="V63" i="107" s="1"/>
  <c r="S60" i="107"/>
  <c r="V60" i="107" s="1"/>
  <c r="S42" i="107"/>
  <c r="V42" i="107" s="1"/>
  <c r="S96" i="107"/>
  <c r="V96" i="107" s="1"/>
  <c r="S58" i="107"/>
  <c r="V58" i="107" s="1"/>
  <c r="S26" i="107"/>
  <c r="V26" i="107" s="1"/>
  <c r="S29" i="107"/>
  <c r="V29" i="107" s="1"/>
  <c r="S30" i="107"/>
  <c r="V30" i="107" s="1"/>
  <c r="S34" i="107"/>
  <c r="V34" i="107" s="1"/>
  <c r="S37" i="107"/>
  <c r="V37" i="107" s="1"/>
  <c r="S38" i="107"/>
  <c r="V38" i="107" s="1"/>
  <c r="S39" i="107"/>
  <c r="V39" i="107" s="1"/>
  <c r="S67" i="107"/>
  <c r="V67" i="107" s="1"/>
  <c r="S79" i="107"/>
  <c r="V79" i="107" s="1"/>
  <c r="S83" i="107"/>
  <c r="V83" i="107" s="1"/>
  <c r="S84" i="107"/>
  <c r="V84" i="107" s="1"/>
  <c r="S87" i="107"/>
  <c r="V87" i="107" s="1"/>
  <c r="S98" i="107"/>
  <c r="V98" i="107" s="1"/>
  <c r="S76" i="107"/>
  <c r="V76" i="107" s="1"/>
  <c r="S23" i="107"/>
  <c r="S28" i="107"/>
  <c r="V28" i="107" s="1"/>
  <c r="S50" i="107"/>
  <c r="V50" i="107" s="1"/>
  <c r="S53" i="107"/>
  <c r="V53" i="107" s="1"/>
  <c r="S54" i="107"/>
  <c r="V54" i="107" s="1"/>
  <c r="S74" i="107"/>
  <c r="V74" i="107" s="1"/>
  <c r="S92" i="107"/>
  <c r="V92" i="107" s="1"/>
  <c r="S68" i="107"/>
  <c r="V68" i="107" s="1"/>
  <c r="S31" i="107"/>
  <c r="V31" i="107" s="1"/>
  <c r="S35" i="107"/>
  <c r="V35" i="107" s="1"/>
  <c r="S36" i="107"/>
  <c r="V36" i="107" s="1"/>
  <c r="S51" i="107"/>
  <c r="V51" i="107" s="1"/>
  <c r="S52" i="107"/>
  <c r="V52" i="107" s="1"/>
  <c r="S62" i="107"/>
  <c r="V62" i="107" s="1"/>
  <c r="S77" i="107"/>
  <c r="V77" i="107" s="1"/>
  <c r="S78" i="107"/>
  <c r="V78" i="107" s="1"/>
  <c r="S82" i="107"/>
  <c r="V82" i="107" s="1"/>
  <c r="S85" i="107"/>
  <c r="V85" i="107" s="1"/>
  <c r="S86" i="107"/>
  <c r="V86" i="107" s="1"/>
  <c r="S99" i="107"/>
  <c r="V99" i="107" s="1"/>
  <c r="S100" i="107"/>
  <c r="V100" i="107" s="1"/>
  <c r="S103" i="107"/>
  <c r="V103" i="107" s="1"/>
  <c r="S104" i="107"/>
  <c r="V104" i="107" s="1"/>
  <c r="S45" i="107"/>
  <c r="V45" i="107" s="1"/>
  <c r="S46" i="107"/>
  <c r="V46" i="107" s="1"/>
  <c r="S66" i="107"/>
  <c r="V66" i="107" s="1"/>
  <c r="S69" i="107"/>
  <c r="V69" i="107" s="1"/>
  <c r="S70" i="107"/>
  <c r="V70" i="107" s="1"/>
  <c r="S75" i="107"/>
  <c r="V75" i="107" s="1"/>
  <c r="S97" i="107"/>
  <c r="V97" i="107" s="1"/>
  <c r="S102" i="107"/>
  <c r="V102" i="107" s="1"/>
  <c r="S32" i="107"/>
  <c r="V32" i="107" s="1"/>
  <c r="S48" i="107"/>
  <c r="V48" i="107" s="1"/>
  <c r="S64" i="107"/>
  <c r="V64" i="107" s="1"/>
  <c r="S80" i="107"/>
  <c r="V80" i="107" s="1"/>
  <c r="S110" i="107"/>
  <c r="V110" i="107" s="1"/>
  <c r="S94" i="107"/>
  <c r="V94" i="107" s="1"/>
  <c r="S24" i="107"/>
  <c r="V24" i="107" s="1"/>
  <c r="S27" i="107"/>
  <c r="V27" i="107" s="1"/>
  <c r="S40" i="107"/>
  <c r="V40" i="107" s="1"/>
  <c r="S56" i="107"/>
  <c r="V56" i="107" s="1"/>
  <c r="S59" i="107"/>
  <c r="V59" i="107" s="1"/>
  <c r="S61" i="107"/>
  <c r="V61" i="107" s="1"/>
  <c r="S72" i="107"/>
  <c r="V72" i="107" s="1"/>
  <c r="S88" i="107"/>
  <c r="V88" i="107" s="1"/>
  <c r="S91" i="107"/>
  <c r="V91" i="107" s="1"/>
  <c r="S93" i="107"/>
  <c r="V93" i="107" s="1"/>
  <c r="S55" i="107"/>
  <c r="V55" i="107" s="1"/>
  <c r="S71" i="107"/>
  <c r="V71" i="107" s="1"/>
  <c r="S25" i="107"/>
  <c r="V25" i="107" s="1"/>
  <c r="S33" i="107"/>
  <c r="V33" i="107" s="1"/>
  <c r="S41" i="107"/>
  <c r="V41" i="107" s="1"/>
  <c r="S49" i="107"/>
  <c r="V49" i="107" s="1"/>
  <c r="S57" i="107"/>
  <c r="V57" i="107" s="1"/>
  <c r="S65" i="107"/>
  <c r="V65" i="107" s="1"/>
  <c r="S73" i="107"/>
  <c r="V73" i="107" s="1"/>
  <c r="S81" i="107"/>
  <c r="V81" i="107" s="1"/>
  <c r="S89" i="107"/>
  <c r="V89" i="107" s="1"/>
  <c r="S95" i="107"/>
  <c r="V95" i="107" s="1"/>
  <c r="AK22" i="91"/>
  <c r="AK23" i="91"/>
  <c r="AL23" i="91" s="1"/>
  <c r="AK24" i="91"/>
  <c r="Q121" i="107" l="1"/>
  <c r="V17" i="118"/>
  <c r="V124" i="118"/>
  <c r="S164" i="118"/>
  <c r="V23" i="107"/>
  <c r="S111" i="107"/>
  <c r="V111" i="107" s="1"/>
  <c r="V119" i="107"/>
  <c r="V118" i="107" s="1"/>
  <c r="S121" i="107"/>
  <c r="V147" i="118"/>
  <c r="T164" i="118"/>
  <c r="V164" i="118" l="1"/>
  <c r="AL24" i="91"/>
  <c r="D13" i="91" l="1"/>
  <c r="D12" i="91"/>
  <c r="D11" i="91"/>
  <c r="D10" i="91"/>
  <c r="E9" i="91"/>
  <c r="D9" i="91"/>
  <c r="D7" i="91"/>
  <c r="D6" i="91"/>
  <c r="D8" i="91"/>
  <c r="L160" i="107" l="1"/>
  <c r="L159" i="107"/>
  <c r="L155" i="107"/>
  <c r="L154" i="107"/>
  <c r="L150" i="107"/>
  <c r="L149" i="107"/>
  <c r="L132" i="107"/>
  <c r="L131" i="107"/>
  <c r="L127" i="107"/>
  <c r="L126" i="107"/>
  <c r="L115" i="107"/>
  <c r="L114" i="107"/>
  <c r="F15" i="111" l="1"/>
  <c r="I15" i="111" s="1"/>
  <c r="I26" i="111" s="1"/>
  <c r="H26" i="110"/>
  <c r="J17" i="110"/>
  <c r="J23" i="110" s="1"/>
  <c r="J24" i="110" s="1"/>
  <c r="J26" i="110" s="1"/>
  <c r="I23" i="110"/>
  <c r="H23" i="110"/>
  <c r="R160" i="107" l="1"/>
  <c r="Q160" i="107"/>
  <c r="P160" i="107"/>
  <c r="R159" i="107"/>
  <c r="Q159" i="107"/>
  <c r="P159" i="107"/>
  <c r="R155" i="107"/>
  <c r="Q155" i="107"/>
  <c r="P155" i="107"/>
  <c r="R154" i="107"/>
  <c r="Q154" i="107"/>
  <c r="P154" i="107"/>
  <c r="R150" i="107"/>
  <c r="Q150" i="107"/>
  <c r="P150" i="107"/>
  <c r="R149" i="107"/>
  <c r="Q149" i="107"/>
  <c r="P149" i="107"/>
  <c r="T159" i="107" l="1"/>
  <c r="R156" i="107"/>
  <c r="Q161" i="107"/>
  <c r="Q151" i="107"/>
  <c r="T150" i="107"/>
  <c r="V150" i="107" s="1"/>
  <c r="T149" i="107"/>
  <c r="P156" i="107"/>
  <c r="R161" i="107"/>
  <c r="Q156" i="107"/>
  <c r="T160" i="107"/>
  <c r="V160" i="107" s="1"/>
  <c r="R151" i="107"/>
  <c r="P161" i="107"/>
  <c r="T154" i="107"/>
  <c r="P151" i="107"/>
  <c r="T155" i="107"/>
  <c r="V155" i="107" s="1"/>
  <c r="V149" i="107" l="1"/>
  <c r="V148" i="107" s="1"/>
  <c r="T151" i="107"/>
  <c r="V154" i="107"/>
  <c r="V153" i="107" s="1"/>
  <c r="T156" i="107"/>
  <c r="V159" i="107"/>
  <c r="V158" i="107" s="1"/>
  <c r="T161" i="107"/>
  <c r="V147" i="107" l="1"/>
  <c r="R132" i="107" l="1"/>
  <c r="Q132" i="107"/>
  <c r="P132" i="107"/>
  <c r="R131" i="107"/>
  <c r="Q131" i="107"/>
  <c r="P131" i="107"/>
  <c r="R127" i="107"/>
  <c r="Q127" i="107"/>
  <c r="P127" i="107"/>
  <c r="R126" i="107"/>
  <c r="Q126" i="107"/>
  <c r="P126" i="107"/>
  <c r="R128" i="107" l="1"/>
  <c r="Q133" i="107"/>
  <c r="R133" i="107"/>
  <c r="P128" i="107"/>
  <c r="Q128" i="107"/>
  <c r="P133" i="107"/>
  <c r="T131" i="107"/>
  <c r="T127" i="107"/>
  <c r="V127" i="107" s="1"/>
  <c r="T132" i="107"/>
  <c r="V132" i="107" s="1"/>
  <c r="T126" i="107"/>
  <c r="V131" i="107" l="1"/>
  <c r="V130" i="107" s="1"/>
  <c r="T133" i="107"/>
  <c r="V126" i="107"/>
  <c r="V125" i="107" s="1"/>
  <c r="T128" i="107"/>
  <c r="R115" i="107"/>
  <c r="Q115" i="107"/>
  <c r="P115" i="107"/>
  <c r="R114" i="107"/>
  <c r="Q114" i="107"/>
  <c r="P114" i="107"/>
  <c r="R19" i="107"/>
  <c r="Q19" i="107"/>
  <c r="P144" i="107" l="1"/>
  <c r="Q144" i="107"/>
  <c r="R144" i="107"/>
  <c r="P116" i="107"/>
  <c r="Q116" i="107"/>
  <c r="Q111" i="107"/>
  <c r="R116" i="107"/>
  <c r="P111" i="107"/>
  <c r="R111" i="107"/>
  <c r="Q20" i="107"/>
  <c r="S114" i="107"/>
  <c r="V114" i="107" s="1"/>
  <c r="S115" i="107"/>
  <c r="V115" i="107" s="1"/>
  <c r="P19" i="107"/>
  <c r="Q164" i="107" l="1"/>
  <c r="V135" i="107"/>
  <c r="V124" i="107" s="1"/>
  <c r="T144" i="107"/>
  <c r="T164" i="107" s="1"/>
  <c r="S19" i="107"/>
  <c r="R20" i="107"/>
  <c r="R164" i="107" s="1"/>
  <c r="E6" i="102"/>
  <c r="V19" i="107" l="1"/>
  <c r="P20" i="107"/>
  <c r="P164" i="107" l="1"/>
  <c r="S20" i="107"/>
  <c r="S164" i="107" s="1"/>
  <c r="P16" i="102"/>
  <c r="P17" i="102" s="1"/>
  <c r="P18" i="102" s="1"/>
  <c r="P19" i="102" s="1"/>
  <c r="P20" i="102" s="1"/>
  <c r="P21" i="102" s="1"/>
  <c r="P25" i="102" s="1"/>
  <c r="P26" i="102" s="1"/>
  <c r="E7" i="107" l="1"/>
  <c r="E6" i="107"/>
  <c r="E11" i="107"/>
  <c r="E10" i="107"/>
  <c r="E9" i="107"/>
  <c r="E5" i="107"/>
  <c r="E12" i="118" l="1"/>
  <c r="E12" i="107" l="1"/>
  <c r="N15" i="70"/>
  <c r="C92" i="112" l="1"/>
  <c r="C48" i="112"/>
  <c r="A21" i="112"/>
  <c r="A41" i="112" s="1"/>
  <c r="A47" i="112" s="1"/>
  <c r="A64" i="112" s="1"/>
  <c r="A65" i="112" s="1"/>
  <c r="A72" i="112" s="1"/>
  <c r="A79" i="112" s="1"/>
  <c r="A84" i="112" s="1"/>
  <c r="A95" i="112" s="1"/>
  <c r="E60" i="112" l="1"/>
  <c r="I16" i="75"/>
  <c r="J16" i="75" s="1"/>
  <c r="A22" i="112"/>
  <c r="G23" i="75" l="1"/>
  <c r="G24" i="75" s="1"/>
  <c r="G25" i="75" s="1"/>
  <c r="G26" i="75" s="1"/>
  <c r="G27" i="75" s="1"/>
  <c r="G28" i="75" s="1"/>
  <c r="G29" i="75" s="1"/>
  <c r="G30" i="75" s="1"/>
  <c r="G31" i="75" s="1"/>
  <c r="J17" i="75"/>
  <c r="J18" i="75" s="1"/>
  <c r="J19" i="75" s="1"/>
  <c r="J20" i="75" s="1"/>
  <c r="J21" i="75" s="1"/>
  <c r="J22" i="75" s="1"/>
  <c r="J23" i="75" s="1"/>
  <c r="J24" i="75" s="1"/>
  <c r="J25" i="75" s="1"/>
  <c r="J26" i="75" s="1"/>
  <c r="J27" i="75" s="1"/>
  <c r="J28" i="75" s="1"/>
  <c r="J29" i="75" s="1"/>
  <c r="J30" i="75" s="1"/>
  <c r="J31" i="75" s="1"/>
  <c r="V18" i="107" l="1"/>
  <c r="V113" i="107" l="1"/>
  <c r="V22" i="107"/>
  <c r="V17" i="107" s="1"/>
  <c r="V164" i="107" l="1"/>
  <c r="AK28" i="91" l="1"/>
  <c r="AL28" i="91" s="1"/>
  <c r="AK27" i="91"/>
  <c r="AL27" i="91" s="1"/>
  <c r="AK26" i="91"/>
  <c r="AL26" i="91" s="1"/>
  <c r="AL22" i="91"/>
  <c r="AK21" i="91"/>
  <c r="AL21" i="91" s="1"/>
  <c r="AK20" i="91"/>
  <c r="AL20" i="91" s="1"/>
  <c r="AK18" i="91"/>
  <c r="AL18" i="91" s="1"/>
  <c r="AK17" i="91"/>
  <c r="F15" i="91"/>
  <c r="G15" i="91" s="1"/>
  <c r="H15" i="91" s="1"/>
  <c r="I15" i="91" s="1"/>
  <c r="J15" i="91" s="1"/>
  <c r="K15" i="91" s="1"/>
  <c r="L15" i="91" s="1"/>
  <c r="M15" i="91" s="1"/>
  <c r="N15" i="91" s="1"/>
  <c r="O15" i="91" s="1"/>
  <c r="P15" i="91" s="1"/>
  <c r="Q15" i="91" s="1"/>
  <c r="R15" i="91" s="1"/>
  <c r="S15" i="91" s="1"/>
  <c r="T15" i="91" s="1"/>
  <c r="U15" i="91" s="1"/>
  <c r="V15" i="91" s="1"/>
  <c r="W15" i="91" s="1"/>
  <c r="X15" i="91" s="1"/>
  <c r="Y15" i="91" s="1"/>
  <c r="Z15" i="91" s="1"/>
  <c r="AA15" i="91" s="1"/>
  <c r="AB15" i="91" s="1"/>
  <c r="AC15" i="91" s="1"/>
  <c r="AD15" i="91" s="1"/>
  <c r="AE15" i="91" s="1"/>
  <c r="AF15" i="91" s="1"/>
  <c r="AG15" i="91" s="1"/>
  <c r="AH15" i="91" s="1"/>
  <c r="AK29" i="91" l="1"/>
  <c r="AL17" i="91"/>
  <c r="AL29" i="91" s="1"/>
  <c r="B4" i="83" l="1"/>
  <c r="H269" i="82"/>
  <c r="I267" i="82" s="1"/>
  <c r="I263" i="82"/>
  <c r="D84" i="83" s="1"/>
  <c r="I260" i="82"/>
  <c r="D81" i="83" s="1"/>
  <c r="H257" i="82"/>
  <c r="H256" i="82"/>
  <c r="H255" i="82"/>
  <c r="H254" i="82"/>
  <c r="H253" i="82"/>
  <c r="H252" i="82"/>
  <c r="H251" i="82"/>
  <c r="D38" i="82"/>
  <c r="H38" i="82" s="1"/>
  <c r="H248" i="82"/>
  <c r="H247" i="82"/>
  <c r="H246" i="82"/>
  <c r="H245" i="82"/>
  <c r="H244" i="82"/>
  <c r="H243" i="82"/>
  <c r="H242" i="82"/>
  <c r="H241" i="82"/>
  <c r="H240" i="82"/>
  <c r="H239" i="82"/>
  <c r="H238" i="82"/>
  <c r="H237" i="82"/>
  <c r="H236" i="82"/>
  <c r="H235" i="82"/>
  <c r="H234" i="82"/>
  <c r="H233" i="82"/>
  <c r="H232" i="82"/>
  <c r="H231" i="82"/>
  <c r="H230" i="82"/>
  <c r="H229" i="82"/>
  <c r="H227" i="82"/>
  <c r="H226" i="82"/>
  <c r="H225" i="82"/>
  <c r="H224" i="82"/>
  <c r="H223" i="82"/>
  <c r="H222" i="82"/>
  <c r="H221" i="82"/>
  <c r="H220" i="82"/>
  <c r="H219" i="82"/>
  <c r="H218" i="82"/>
  <c r="H217" i="82"/>
  <c r="H216" i="82"/>
  <c r="H215" i="82"/>
  <c r="H214" i="82"/>
  <c r="H213" i="82"/>
  <c r="H212" i="82"/>
  <c r="H211" i="82"/>
  <c r="H210" i="82"/>
  <c r="H209" i="82"/>
  <c r="H208" i="82"/>
  <c r="H204" i="82"/>
  <c r="H203" i="82"/>
  <c r="H202" i="82"/>
  <c r="H201" i="82"/>
  <c r="H200" i="82"/>
  <c r="H199" i="82"/>
  <c r="H198" i="82"/>
  <c r="H197" i="82"/>
  <c r="H196" i="82"/>
  <c r="H195" i="82"/>
  <c r="H194" i="82"/>
  <c r="H193" i="82"/>
  <c r="H192" i="82"/>
  <c r="H191" i="82"/>
  <c r="H190" i="82"/>
  <c r="H189" i="82"/>
  <c r="H188" i="82"/>
  <c r="H187" i="82"/>
  <c r="H186" i="82"/>
  <c r="H185" i="82"/>
  <c r="H183" i="82"/>
  <c r="H182" i="82"/>
  <c r="H181" i="82"/>
  <c r="H180" i="82"/>
  <c r="H179" i="82"/>
  <c r="H178" i="82"/>
  <c r="H177" i="82"/>
  <c r="H176" i="82"/>
  <c r="H175" i="82"/>
  <c r="H174" i="82"/>
  <c r="H173" i="82"/>
  <c r="H172" i="82"/>
  <c r="H171" i="82"/>
  <c r="H170" i="82"/>
  <c r="H169" i="82"/>
  <c r="H168" i="82"/>
  <c r="H167" i="82"/>
  <c r="H166" i="82"/>
  <c r="H165" i="82"/>
  <c r="H164" i="82"/>
  <c r="H159" i="82"/>
  <c r="H158" i="82"/>
  <c r="H157" i="82"/>
  <c r="H156" i="82"/>
  <c r="H155" i="82"/>
  <c r="H154" i="82"/>
  <c r="H153" i="82"/>
  <c r="H149" i="82"/>
  <c r="H148" i="82"/>
  <c r="H147" i="82"/>
  <c r="H146" i="82"/>
  <c r="H145" i="82"/>
  <c r="H144" i="82"/>
  <c r="H143" i="82"/>
  <c r="H130" i="82"/>
  <c r="H127" i="82"/>
  <c r="H121" i="82"/>
  <c r="H114" i="82"/>
  <c r="H110" i="82"/>
  <c r="I108" i="82" s="1"/>
  <c r="H106" i="82"/>
  <c r="H105" i="82"/>
  <c r="C100" i="82"/>
  <c r="C98" i="82"/>
  <c r="D95" i="82"/>
  <c r="H95" i="82" s="1"/>
  <c r="D94" i="82"/>
  <c r="H94" i="82" s="1"/>
  <c r="F88" i="82"/>
  <c r="C99" i="82" s="1"/>
  <c r="H84" i="82"/>
  <c r="H83" i="82"/>
  <c r="H78" i="82"/>
  <c r="H77" i="82"/>
  <c r="H76" i="82"/>
  <c r="H72" i="82"/>
  <c r="H71" i="82"/>
  <c r="H70" i="82"/>
  <c r="D66" i="82"/>
  <c r="D89" i="82" s="1"/>
  <c r="H89" i="82" s="1"/>
  <c r="D65" i="82"/>
  <c r="D88" i="82" s="1"/>
  <c r="D64" i="82"/>
  <c r="D98" i="82" s="1"/>
  <c r="H60" i="82"/>
  <c r="H59" i="82"/>
  <c r="H58" i="82"/>
  <c r="H52" i="82"/>
  <c r="H51" i="82"/>
  <c r="H50" i="82"/>
  <c r="H46" i="82"/>
  <c r="H45" i="82"/>
  <c r="H44" i="82"/>
  <c r="H30" i="82"/>
  <c r="I29" i="82" s="1"/>
  <c r="D33" i="82" s="1"/>
  <c r="H33" i="82" s="1"/>
  <c r="H26" i="82"/>
  <c r="I23" i="82" s="1"/>
  <c r="H21" i="82"/>
  <c r="I18" i="82" s="1"/>
  <c r="H16" i="82"/>
  <c r="I13" i="82"/>
  <c r="H11" i="82"/>
  <c r="I11" i="82" s="1"/>
  <c r="H88" i="82" l="1"/>
  <c r="I48" i="82"/>
  <c r="D35" i="82"/>
  <c r="H35" i="82" s="1"/>
  <c r="I250" i="82"/>
  <c r="I266" i="82"/>
  <c r="L267" i="82" s="1"/>
  <c r="D34" i="82"/>
  <c r="H34" i="82" s="1"/>
  <c r="I42" i="82"/>
  <c r="I112" i="82"/>
  <c r="I206" i="82"/>
  <c r="D37" i="82"/>
  <c r="H37" i="82" s="1"/>
  <c r="I68" i="82"/>
  <c r="H98" i="82"/>
  <c r="I103" i="82"/>
  <c r="H65" i="82"/>
  <c r="D36" i="82"/>
  <c r="H36" i="82" s="1"/>
  <c r="I151" i="82"/>
  <c r="H64" i="82"/>
  <c r="H66" i="82"/>
  <c r="I74" i="82"/>
  <c r="I141" i="82"/>
  <c r="I162" i="82"/>
  <c r="D100" i="82"/>
  <c r="H100" i="82" s="1"/>
  <c r="D87" i="82"/>
  <c r="H87" i="82" s="1"/>
  <c r="D99" i="82"/>
  <c r="H99" i="82" s="1"/>
  <c r="I80" i="82" l="1"/>
  <c r="H32" i="82"/>
  <c r="I32" i="82" s="1"/>
  <c r="I54" i="82"/>
  <c r="I91" i="82"/>
  <c r="J32" i="75" l="1"/>
  <c r="N17" i="55"/>
  <c r="N18" i="55"/>
  <c r="N19" i="55"/>
  <c r="N20" i="55"/>
  <c r="N21" i="55"/>
  <c r="N22" i="55"/>
  <c r="N23" i="55"/>
  <c r="N24" i="55"/>
  <c r="N25" i="55"/>
  <c r="B28" i="55"/>
  <c r="D28" i="55"/>
  <c r="E28" i="55"/>
  <c r="G28" i="55"/>
  <c r="H28" i="55"/>
  <c r="J28" i="55"/>
  <c r="K28" i="55"/>
  <c r="M28" i="55"/>
  <c r="N28" i="55" l="1"/>
  <c r="G91" i="125"/>
  <c r="G75" i="125"/>
  <c r="K75" i="125" l="1"/>
  <c r="K91" i="125"/>
  <c r="I75" i="125"/>
  <c r="I91" i="125" l="1"/>
  <c r="AC215" i="142" l="1"/>
  <c r="AH215" i="142" s="1"/>
  <c r="Z215" i="142"/>
  <c r="AC214" i="142"/>
  <c r="AJ214" i="142" s="1"/>
  <c r="Z214" i="142" l="1"/>
  <c r="AJ215" i="142"/>
  <c r="AL215" i="142" s="1"/>
  <c r="AL214" i="142"/>
  <c r="H214" i="142"/>
  <c r="AH214" i="142"/>
</calcChain>
</file>

<file path=xl/sharedStrings.xml><?xml version="1.0" encoding="utf-8"?>
<sst xmlns="http://schemas.openxmlformats.org/spreadsheetml/2006/main" count="17188" uniqueCount="4300">
  <si>
    <t xml:space="preserve"> </t>
  </si>
  <si>
    <t>No</t>
  </si>
  <si>
    <t>DESCRIPCION</t>
  </si>
  <si>
    <t>FORMATO</t>
  </si>
  <si>
    <t>CONTROL</t>
  </si>
  <si>
    <t>F-1</t>
  </si>
  <si>
    <t>F-2</t>
  </si>
  <si>
    <t>F-3</t>
  </si>
  <si>
    <t>F-8</t>
  </si>
  <si>
    <t>F-11</t>
  </si>
  <si>
    <t>TOTAL</t>
  </si>
  <si>
    <t>M</t>
  </si>
  <si>
    <t>FECHA</t>
  </si>
  <si>
    <t>UND</t>
  </si>
  <si>
    <t>CONTENIDO PRINCIPAL</t>
  </si>
  <si>
    <t>Unidad Ejecutora</t>
  </si>
  <si>
    <t>SALDO</t>
  </si>
  <si>
    <t xml:space="preserve">: </t>
  </si>
  <si>
    <t>Costo Directo</t>
  </si>
  <si>
    <t>MES</t>
  </si>
  <si>
    <t>PROGRAMADO</t>
  </si>
  <si>
    <t>EJECUTADO</t>
  </si>
  <si>
    <t>ACUMULADO</t>
  </si>
  <si>
    <t>METRADO</t>
  </si>
  <si>
    <t>COSTO</t>
  </si>
  <si>
    <t>V</t>
  </si>
  <si>
    <t>S</t>
  </si>
  <si>
    <t>D</t>
  </si>
  <si>
    <t>L</t>
  </si>
  <si>
    <t>J</t>
  </si>
  <si>
    <t>%</t>
  </si>
  <si>
    <t>ITEM</t>
  </si>
  <si>
    <t>S/.</t>
  </si>
  <si>
    <t>COSTO DIRECTO</t>
  </si>
  <si>
    <t>01</t>
  </si>
  <si>
    <t>02</t>
  </si>
  <si>
    <t>04</t>
  </si>
  <si>
    <t>UNIDAD</t>
  </si>
  <si>
    <t>DIA</t>
  </si>
  <si>
    <t>05</t>
  </si>
  <si>
    <t>RESIDENTE DE OBRA</t>
  </si>
  <si>
    <t>OTROS</t>
  </si>
  <si>
    <t>Supervisor de Obra</t>
  </si>
  <si>
    <t>01.01</t>
  </si>
  <si>
    <t>01.02</t>
  </si>
  <si>
    <t>02.01</t>
  </si>
  <si>
    <t>03</t>
  </si>
  <si>
    <t>03.01</t>
  </si>
  <si>
    <t>03.02</t>
  </si>
  <si>
    <t>m2</t>
  </si>
  <si>
    <t>m3</t>
  </si>
  <si>
    <t>m</t>
  </si>
  <si>
    <t>und</t>
  </si>
  <si>
    <t>mes</t>
  </si>
  <si>
    <t>Metrado</t>
  </si>
  <si>
    <t>ASISTENTE ADMINISTRATIVO</t>
  </si>
  <si>
    <t>PROYECTO</t>
  </si>
  <si>
    <t>MUNICIPALIDAD PROVINCIAL DE ABANCAY</t>
  </si>
  <si>
    <t>SUPERVISOR DE OBRA</t>
  </si>
  <si>
    <t>Nombre del Proyecto:</t>
  </si>
  <si>
    <t>Residente de Obra</t>
  </si>
  <si>
    <t>Asistente Administrativo</t>
  </si>
  <si>
    <t>Fecha :</t>
  </si>
  <si>
    <t>I.- GENERALIDADES</t>
  </si>
  <si>
    <t>1.1.1.- Ubicación</t>
  </si>
  <si>
    <t>Departamento:</t>
  </si>
  <si>
    <t>Provincia :</t>
  </si>
  <si>
    <t>Distrito :</t>
  </si>
  <si>
    <t>Dirección y/o Ubicación :</t>
  </si>
  <si>
    <t>1.1.2.- Función Programática</t>
  </si>
  <si>
    <t>FUNCION</t>
  </si>
  <si>
    <t>PROGRAMA</t>
  </si>
  <si>
    <t>SUB PROGRAMA</t>
  </si>
  <si>
    <t>COMPONENTE</t>
  </si>
  <si>
    <t>META</t>
  </si>
  <si>
    <t>MODALIDAD</t>
  </si>
  <si>
    <t>1.1.3.- Aspectos Financieros</t>
  </si>
  <si>
    <t>FUENTE FINANCIAMIENTO</t>
  </si>
  <si>
    <t>07</t>
  </si>
  <si>
    <t>II.- EJECUCIÓN DE OBRA</t>
  </si>
  <si>
    <t>2.1.- PLAZO DE EJECUCION</t>
  </si>
  <si>
    <t>Fecha de Entrega de Terreno</t>
  </si>
  <si>
    <t>Fecha de Termino Programada Original</t>
  </si>
  <si>
    <t xml:space="preserve">Plazo de Ejec. Programado Original </t>
  </si>
  <si>
    <t>R.G. Nº</t>
  </si>
  <si>
    <t>Fecha</t>
  </si>
  <si>
    <t>Und</t>
  </si>
  <si>
    <t>AVANCE   FISICO</t>
  </si>
  <si>
    <t>Presupuesto   de Obra S/.</t>
  </si>
  <si>
    <t>Anterior</t>
  </si>
  <si>
    <t>Actual</t>
  </si>
  <si>
    <t>Acumulado</t>
  </si>
  <si>
    <t>Saldo</t>
  </si>
  <si>
    <t>AVANCE   FINANCIERO</t>
  </si>
  <si>
    <t>Presupuesto   Asignado S/.</t>
  </si>
  <si>
    <t>RESUMEN  MENSUAL DE TRABAJADORES</t>
  </si>
  <si>
    <t>Nº de Semana del mes</t>
  </si>
  <si>
    <t>Semana</t>
  </si>
  <si>
    <t>N° Jornales por semana</t>
  </si>
  <si>
    <t>Monto Pagado por categoria</t>
  </si>
  <si>
    <t>Del</t>
  </si>
  <si>
    <t>Al</t>
  </si>
  <si>
    <t>Peón</t>
  </si>
  <si>
    <t>Oficial</t>
  </si>
  <si>
    <t>Operario</t>
  </si>
  <si>
    <t>Total de jornales del mes</t>
  </si>
  <si>
    <t>CONTROL DE MANO DE OBRA</t>
  </si>
  <si>
    <t>Presupuesto   de Mano de Obra S/.</t>
  </si>
  <si>
    <t>GASTOS GENERALES</t>
  </si>
  <si>
    <t>PROYECTO:</t>
  </si>
  <si>
    <t>SUB META:</t>
  </si>
  <si>
    <t>FTE - FTO:</t>
  </si>
  <si>
    <t>MODALIDAD:</t>
  </si>
  <si>
    <t>Parcial</t>
  </si>
  <si>
    <t>DESCRIPCIÒN DE PARTIDAS</t>
  </si>
  <si>
    <t>OBRAS PROVISIONALES</t>
  </si>
  <si>
    <t>02.02</t>
  </si>
  <si>
    <t>04.01.01</t>
  </si>
  <si>
    <t>08</t>
  </si>
  <si>
    <t>Gastos Supervision</t>
  </si>
  <si>
    <t>ESPECIFICA</t>
  </si>
  <si>
    <t>FORMATO - 02</t>
  </si>
  <si>
    <t>Valorización Mensual</t>
  </si>
  <si>
    <t>Movimiento de Almacen Valorizado</t>
  </si>
  <si>
    <t>APURIMAC</t>
  </si>
  <si>
    <t>ABANCAY</t>
  </si>
  <si>
    <t>ADMINISTRACION DIRECTA</t>
  </si>
  <si>
    <t>MONTO</t>
  </si>
  <si>
    <t>Supervisor</t>
  </si>
  <si>
    <t>Residente</t>
  </si>
  <si>
    <t>M3</t>
  </si>
  <si>
    <t>P.U</t>
  </si>
  <si>
    <t>Sub Total</t>
  </si>
  <si>
    <t>F-4</t>
  </si>
  <si>
    <t>F-10</t>
  </si>
  <si>
    <t>Entidad</t>
  </si>
  <si>
    <t>Obra</t>
  </si>
  <si>
    <t>Modalidad</t>
  </si>
  <si>
    <t>Administracion Directa</t>
  </si>
  <si>
    <t>Meta</t>
  </si>
  <si>
    <t>AVANCE ANTERIOR</t>
  </si>
  <si>
    <t>AVANCE ACTUAL</t>
  </si>
  <si>
    <t>AVANCE ACUMULADO</t>
  </si>
  <si>
    <t>COMPONENTE:</t>
  </si>
  <si>
    <t>TOTALES</t>
  </si>
  <si>
    <t>DE GASTOS</t>
  </si>
  <si>
    <t>Copias de cuaderno de obra</t>
  </si>
  <si>
    <t>Anexos</t>
  </si>
  <si>
    <t>Aguinaldos</t>
  </si>
  <si>
    <t>04.01.03</t>
  </si>
  <si>
    <t>MOVIMIENTO DE TIERRAS</t>
  </si>
  <si>
    <t>TRABAJOS PRELIMINARES</t>
  </si>
  <si>
    <t>META:</t>
  </si>
  <si>
    <t>F-16</t>
  </si>
  <si>
    <t>Cronograma de Obra Valorizado</t>
  </si>
  <si>
    <t>F-14</t>
  </si>
  <si>
    <t>Memoria Descriptiva Valorizado</t>
  </si>
  <si>
    <t>F-12</t>
  </si>
  <si>
    <t>Relacion de Personal Mensual y Total Acumulado Empleado por Categoria</t>
  </si>
  <si>
    <t xml:space="preserve">Consumo de Combustible Lubricantes Repuestos y Otros </t>
  </si>
  <si>
    <t xml:space="preserve">Resumen de Horas Maquina Propia / Contratada Mensual </t>
  </si>
  <si>
    <t>F-9</t>
  </si>
  <si>
    <t>Maquinaria Propia / Alquilada</t>
  </si>
  <si>
    <t>F-7</t>
  </si>
  <si>
    <t>Cuadro de Movimiento de Diario de Almacen por Insumo</t>
  </si>
  <si>
    <t>F-6</t>
  </si>
  <si>
    <t>Cuadro Comparativo del Presupuesto Analitico Aprobado y Ejecutado</t>
  </si>
  <si>
    <t>F-5</t>
  </si>
  <si>
    <t xml:space="preserve">Ejecucion Presupuestal Mensual </t>
  </si>
  <si>
    <t>Información Mensual de Obra</t>
  </si>
  <si>
    <t>FORMATO FE - 05</t>
  </si>
  <si>
    <t>DOCUMENTO</t>
  </si>
  <si>
    <t>COSTOS</t>
  </si>
  <si>
    <t>Directos</t>
  </si>
  <si>
    <t>Indirectos</t>
  </si>
  <si>
    <t>FORMATO FE - 09</t>
  </si>
  <si>
    <t>MAQUINARIA PROPIA  /  ALQUILADA</t>
  </si>
  <si>
    <t>MAQUINARIA</t>
  </si>
  <si>
    <t>POTENCIA</t>
  </si>
  <si>
    <t>CAPACIDAD</t>
  </si>
  <si>
    <t>PLACA Nº MOT.</t>
  </si>
  <si>
    <t>TRABAJOS REALIZADOS</t>
  </si>
  <si>
    <t>HORAS TRABAJADAS (HM)</t>
  </si>
  <si>
    <t>Mes</t>
  </si>
  <si>
    <t>PRECIO POR ALQUILER o DEPRECIACION HORARIA (S/.)</t>
  </si>
  <si>
    <t>FORMATO FE - 10</t>
  </si>
  <si>
    <t>RESUMEN DE HORAS MAQUINARIA PROPIA  / CONTRATADA  MENSUAL</t>
  </si>
  <si>
    <t>NOMBRE PROVEEDOR / PROPIA</t>
  </si>
  <si>
    <t>DESCRIPCION  DE LA MAQUINARIA (Capacidad - Placa)</t>
  </si>
  <si>
    <t>(S/.)</t>
  </si>
  <si>
    <t>P.Unit.</t>
  </si>
  <si>
    <t>Glns</t>
  </si>
  <si>
    <t>tipo</t>
  </si>
  <si>
    <t>REPUESTOS</t>
  </si>
  <si>
    <t>LUBRICANTE</t>
  </si>
  <si>
    <t>COMBUSTIBLE                                      (P D2 )</t>
  </si>
  <si>
    <t>PLACA O Nº MOTOR</t>
  </si>
  <si>
    <t>LUBRICANTES REPUESTOS Y OTROS DE MAQUINARIA PROPIA MENSUAL</t>
  </si>
  <si>
    <t>CONSUMO DE COMBUSTIBLE</t>
  </si>
  <si>
    <t>FORMATO FE - 11</t>
  </si>
  <si>
    <t>MEMORIA DESCRIPTIVA VALORIZADA</t>
  </si>
  <si>
    <t>I.- GENERALIDADES DEL PROYECTO</t>
  </si>
  <si>
    <r>
      <t xml:space="preserve">1.1.- </t>
    </r>
    <r>
      <rPr>
        <b/>
        <u/>
        <sz val="11"/>
        <rFont val="Arial"/>
        <family val="2"/>
      </rPr>
      <t>GENERALIDADES DEL PROYECTO</t>
    </r>
  </si>
  <si>
    <t>1.2.- OBJETIVOS Y DESCRIPCION DEL PROYECTO:</t>
  </si>
  <si>
    <t>II.- PROYECTO EJECUTADO:</t>
  </si>
  <si>
    <t>2.3.- AVANCE FISICO ALCANZADO</t>
  </si>
  <si>
    <t>GERENCIA DE ACONDICIONAMIENTO TERRITORIAL Y DESARROLLO URBANO</t>
  </si>
  <si>
    <t>SUB GERENCIA DE OBRAS PUBLICAS</t>
  </si>
  <si>
    <t>MANIFIESTO DE GASTO</t>
  </si>
  <si>
    <t>FTE.FTO:</t>
  </si>
  <si>
    <t>RESPONSABLE:</t>
  </si>
  <si>
    <t>SUPERVISOR</t>
  </si>
  <si>
    <t>MES:</t>
  </si>
  <si>
    <t xml:space="preserve">Nº </t>
  </si>
  <si>
    <t>SIAF</t>
  </si>
  <si>
    <t>NOMBRE / PROVEEDOR</t>
  </si>
  <si>
    <t>N°</t>
  </si>
  <si>
    <t xml:space="preserve">EJECUCION PRESUPUESTAL MENSUAL  </t>
  </si>
  <si>
    <t>-</t>
  </si>
  <si>
    <t xml:space="preserve"> COSTO DIRECTO</t>
  </si>
  <si>
    <t>COSTO DE COSTRUCCION POR ADMINISTRACION DIRECTA - SERVICIOS</t>
  </si>
  <si>
    <t>FORMATO FE - 12</t>
  </si>
  <si>
    <t>RELACION DE PERSONAL MENSUAL Y  TOTAL ACUMULADO EMPLEADO POR CATEGORIAS</t>
  </si>
  <si>
    <t>PERSONAL</t>
  </si>
  <si>
    <t>HOMBRES - DIA</t>
  </si>
  <si>
    <t>Acum. Ant.</t>
  </si>
  <si>
    <t>Acum. Act.</t>
  </si>
  <si>
    <t>PROFESIONALES</t>
  </si>
  <si>
    <t>TECNICO  ADMINISTRATIVO</t>
  </si>
  <si>
    <t>MAESTRO DE OBRA</t>
  </si>
  <si>
    <t>OBREROS - CONSTRUCCION</t>
  </si>
  <si>
    <t>OPERARIOS</t>
  </si>
  <si>
    <t>OFICIALES</t>
  </si>
  <si>
    <t>PEONES</t>
  </si>
  <si>
    <t xml:space="preserve">    _________________________</t>
  </si>
  <si>
    <t>________________________</t>
  </si>
  <si>
    <t xml:space="preserve">     ING. RESIDENTE DE OBRA</t>
  </si>
  <si>
    <t>ADMINISTRATIVO DE OBRA</t>
  </si>
  <si>
    <t xml:space="preserve">     ING. SUPERVISION </t>
  </si>
  <si>
    <t xml:space="preserve">         </t>
  </si>
  <si>
    <t xml:space="preserve">       </t>
  </si>
  <si>
    <t>KG</t>
  </si>
  <si>
    <t>“MEJORAMIENTO DEL SERVICIO DE TRANSITABILIDAD VEHICULAR Y PEATONAL EN LA CALLE COUNTRY CLUB DE LA CIUDAD DE ABANCAY ,PROVINCIA DE ABANCAY - APURIMAC "</t>
  </si>
  <si>
    <t>OBRAS PRELIMINARES</t>
  </si>
  <si>
    <t xml:space="preserve">   PAVIMENTO RIGIDO</t>
  </si>
  <si>
    <t>04.01.04</t>
  </si>
  <si>
    <t>04.01.05</t>
  </si>
  <si>
    <t>04.01.06</t>
  </si>
  <si>
    <t>04.01.07</t>
  </si>
  <si>
    <t>BERMAS DE CONCRETO SIMPLE</t>
  </si>
  <si>
    <t>VEREDAS Y SARDINELES</t>
  </si>
  <si>
    <t>07.01.01</t>
  </si>
  <si>
    <t>07.01.02</t>
  </si>
  <si>
    <t>07.01.03</t>
  </si>
  <si>
    <t>07.01.04</t>
  </si>
  <si>
    <t>07.01.05</t>
  </si>
  <si>
    <t>07.01.06</t>
  </si>
  <si>
    <t>07.01.07</t>
  </si>
  <si>
    <t>07.02.01</t>
  </si>
  <si>
    <t>07.02.02</t>
  </si>
  <si>
    <t>07.02.03</t>
  </si>
  <si>
    <t>07.02.04</t>
  </si>
  <si>
    <t>07.02.05</t>
  </si>
  <si>
    <t>07.02.06</t>
  </si>
  <si>
    <t>CUNETAS PARA LA EVACUACION DE AGUAS PLUVIALES</t>
  </si>
  <si>
    <t>REPOSISION DE CAJAS DE REGISTRO DE AGUA Y DESAGUE</t>
  </si>
  <si>
    <t>MANTENIMIENTO Y SEGURIDAD VIAL</t>
  </si>
  <si>
    <t>MITIGACION DE IMPACTO AMBIENTAL</t>
  </si>
  <si>
    <t>glb</t>
  </si>
  <si>
    <t>ASISTENTE  TECNICO</t>
  </si>
  <si>
    <t>MAQUINARIA :</t>
  </si>
  <si>
    <t>CAPACIDAD   :</t>
  </si>
  <si>
    <t>H O J A    D E   M E T R A D O S</t>
  </si>
  <si>
    <t>Plazo :</t>
  </si>
  <si>
    <t>90 DIAS CALENDARIOS</t>
  </si>
  <si>
    <t>DESCRIPCCION / PARTIDAS</t>
  </si>
  <si>
    <t>Cant.</t>
  </si>
  <si>
    <t>N° Veces</t>
  </si>
  <si>
    <t>Largo</t>
  </si>
  <si>
    <t>Ancho</t>
  </si>
  <si>
    <t>Altura</t>
  </si>
  <si>
    <t>Total</t>
  </si>
  <si>
    <t>01.00.00</t>
  </si>
  <si>
    <t/>
  </si>
  <si>
    <t>01.01.00</t>
  </si>
  <si>
    <t>CARTEL DE OBRA IMPRESION DE BANNER DE  8.50 m X 3.60 m (Soporte de Madera)</t>
  </si>
  <si>
    <t>01.02.00</t>
  </si>
  <si>
    <t>OFICINA Y ALMACEN</t>
  </si>
  <si>
    <t>02.00.00</t>
  </si>
  <si>
    <t>02.01.00</t>
  </si>
  <si>
    <t>MOVILIZACION Y DESMOVILIZACION DE EQUIPO</t>
  </si>
  <si>
    <t>GLB</t>
  </si>
  <si>
    <t>02.02.00</t>
  </si>
  <si>
    <t>LIMPIEZA DE TERRENO MANUAL</t>
  </si>
  <si>
    <t>M2</t>
  </si>
  <si>
    <t>CALLE CONTRY CLUB</t>
  </si>
  <si>
    <t>TRAMO 01</t>
  </si>
  <si>
    <t>02.03.00</t>
  </si>
  <si>
    <t>TRAZO NIVELACION Y REPLANTEO</t>
  </si>
  <si>
    <t>03.00.00</t>
  </si>
  <si>
    <t xml:space="preserve">   MOVIMIENTO DE TIERRAS</t>
  </si>
  <si>
    <t>03.01.00</t>
  </si>
  <si>
    <t>CORTE A NIVEL DE SUB RASANTE</t>
  </si>
  <si>
    <t>VER PLANILLA DE VOLUMEN</t>
  </si>
  <si>
    <t>03.03.00</t>
  </si>
  <si>
    <t>ELIMINACION DE MATERIAL EXCEDENTE</t>
  </si>
  <si>
    <t>Esponjamiento</t>
  </si>
  <si>
    <t>VOLUMEN DE EXCAVACION EN PAVIMENTO</t>
  </si>
  <si>
    <t>VOLUMEN DE EXCAVACION DE BERMAS</t>
  </si>
  <si>
    <t>VOLUMEN DE EXCAVACION DE VEREDAS</t>
  </si>
  <si>
    <t>VOLUMEN DE EXCAVACION DE SARDINELES</t>
  </si>
  <si>
    <t>VOLUMEN DE EXCAVACION DE CUNETAS</t>
  </si>
  <si>
    <t>VOLUMEN DE EXCAVACION DE ALCANTARILLAS</t>
  </si>
  <si>
    <t>04.00.00</t>
  </si>
  <si>
    <t>PAVIMENTOS</t>
  </si>
  <si>
    <t>04.01.00</t>
  </si>
  <si>
    <t>PERFILADO Y COMPACTADO DE SUB RASANTE</t>
  </si>
  <si>
    <t>TRAMO 02</t>
  </si>
  <si>
    <t>TRAMO 03</t>
  </si>
  <si>
    <t xml:space="preserve">CONFORMACION Y COMPACTACION BASE GRANULAR E=0.30 m </t>
  </si>
  <si>
    <t>ENCOFRADO Y DESENCOFRADO DE PAVIMENTO RIGIDO</t>
  </si>
  <si>
    <t>EN VERTICAL</t>
  </si>
  <si>
    <t>UN PAÑO</t>
  </si>
  <si>
    <t>EN HORIZONTAL</t>
  </si>
  <si>
    <t>CONCRETO F'C=210 KG/CM2 EN PAVIMENTO RIGIDO e=0.20m.</t>
  </si>
  <si>
    <t>CURADO DEL CONCRETO EN PAVIMENTO RIGIDO</t>
  </si>
  <si>
    <t>JUNTAS ASFALTICAS</t>
  </si>
  <si>
    <t>ML</t>
  </si>
  <si>
    <t>VERTICAL</t>
  </si>
  <si>
    <t>HORIZONTAL</t>
  </si>
  <si>
    <t>04.01.08</t>
  </si>
  <si>
    <t>ACERO REFUERZO FY=4200 KG/CM2 (PASADORES)</t>
  </si>
  <si>
    <t>PESO X ML =</t>
  </si>
  <si>
    <t>05.00.00</t>
  </si>
  <si>
    <t>SEÑALIZACIONES</t>
  </si>
  <si>
    <t>05.01.00</t>
  </si>
  <si>
    <t>PINTADO EN SARDINELES</t>
  </si>
  <si>
    <t>CALLE COUNTRY CLUB</t>
  </si>
  <si>
    <t>MARGEN DERECHA</t>
  </si>
  <si>
    <t>MARGEN IZQUIERDA</t>
  </si>
  <si>
    <t>05.02.00</t>
  </si>
  <si>
    <t>SEÑALES VERTICALES INFORMATIVAS Y REGLAMENTARIAS</t>
  </si>
  <si>
    <t>INFORMATIVAS</t>
  </si>
  <si>
    <t>05.03.00</t>
  </si>
  <si>
    <t>PINTADO DE SIMBOLOS Y LETRA DE TRANSITO</t>
  </si>
  <si>
    <t>AREA</t>
  </si>
  <si>
    <t>PINTADO DE FLECHAS DIRECCIONALES DEFRENTE COMBINADA</t>
  </si>
  <si>
    <t>PINTADO DE FLECHAS DIRECCIONALES DEFRENTE</t>
  </si>
  <si>
    <t>PINTADO DE LINEAS DE PASE PEATONALES</t>
  </si>
  <si>
    <t>PINTADO DE LETRAS DE PASE PEATONALES</t>
  </si>
  <si>
    <t>06.00.00</t>
  </si>
  <si>
    <t>06.01.00</t>
  </si>
  <si>
    <t>AREA 01</t>
  </si>
  <si>
    <t>AREA 02</t>
  </si>
  <si>
    <t>AREA 03</t>
  </si>
  <si>
    <t>AREA 04</t>
  </si>
  <si>
    <t>AREA 05</t>
  </si>
  <si>
    <t>AREA 06</t>
  </si>
  <si>
    <t>AREA 07</t>
  </si>
  <si>
    <t>06.02.00</t>
  </si>
  <si>
    <t>06.03.00</t>
  </si>
  <si>
    <t>NIVELACION Y COMPACTADO DE SUB RASANTE</t>
  </si>
  <si>
    <t>06.04.00</t>
  </si>
  <si>
    <t>CONFORMACION Y COMPACTACION DE BASE GRANULAR EN BERMAS e=0.15m.</t>
  </si>
  <si>
    <t>06.05.00</t>
  </si>
  <si>
    <t>06.06.00</t>
  </si>
  <si>
    <t>07.00.00</t>
  </si>
  <si>
    <t>07.01.00</t>
  </si>
  <si>
    <t>VEREDAS</t>
  </si>
  <si>
    <t>PERFILADO Y COMPACTACION DE LA SUBRASANTE PARA VEREDA</t>
  </si>
  <si>
    <t>CONFORMACION Y COMPACTACION DE BASE GRANULAR EN VEREDAS e=0.10m.</t>
  </si>
  <si>
    <t>07.02.00</t>
  </si>
  <si>
    <t>08.00.00</t>
  </si>
  <si>
    <t>08.01.00</t>
  </si>
  <si>
    <t>08.02.00</t>
  </si>
  <si>
    <t>08.03.00</t>
  </si>
  <si>
    <t>08.04.00</t>
  </si>
  <si>
    <t>08.05.00</t>
  </si>
  <si>
    <t>08.07.00</t>
  </si>
  <si>
    <t>09.00.00</t>
  </si>
  <si>
    <t>09.01.00</t>
  </si>
  <si>
    <t>09.02.00</t>
  </si>
  <si>
    <t>09.03.00</t>
  </si>
  <si>
    <t>09.04.00</t>
  </si>
  <si>
    <t>09.05.00</t>
  </si>
  <si>
    <t>09.06.00</t>
  </si>
  <si>
    <t>10.00.00</t>
  </si>
  <si>
    <t>10.01.00</t>
  </si>
  <si>
    <t>11.00.00</t>
  </si>
  <si>
    <t>11.01.00</t>
  </si>
  <si>
    <t>12.00.00</t>
  </si>
  <si>
    <t>12.01.00</t>
  </si>
  <si>
    <t>13.00.00</t>
  </si>
  <si>
    <t>13.01.00</t>
  </si>
  <si>
    <t>LIMPIEZA FINAL DE OBRA</t>
  </si>
  <si>
    <t>PAVIEMNTOS</t>
  </si>
  <si>
    <t>HOJA DE  METRADOS</t>
  </si>
  <si>
    <t xml:space="preserve">PROY:     </t>
  </si>
  <si>
    <t>MEJORAMIENTO DEL SERVICIO DE TRANSITABILIDAD VEHICULAR Y PEATONAL EN LA CALLE COUNTRY CLUB DE LA CUIDAD DE ABANCAY, PROVINCIA DE ABANCAY - APURIMAC</t>
  </si>
  <si>
    <t>FECHA:</t>
  </si>
  <si>
    <t>UBIC.:</t>
  </si>
  <si>
    <t>COUNTRY CLUB - ABANCAY - APURIMAC</t>
  </si>
  <si>
    <t>METRADOS</t>
  </si>
  <si>
    <t>CONSTRUCCION DE ALCANTARILLA</t>
  </si>
  <si>
    <t>PROYECTO :</t>
  </si>
  <si>
    <t>SERVICIOS</t>
  </si>
  <si>
    <t>03.01.01</t>
  </si>
  <si>
    <t>03.02.01</t>
  </si>
  <si>
    <t xml:space="preserve">      TRABAJOS PRELIMINARES</t>
  </si>
  <si>
    <t>DICIEMBRE</t>
  </si>
  <si>
    <t>FORMATO FE - 07</t>
  </si>
  <si>
    <t>CUADRO DE MOVIMIENTO DIARIO DE ALMACEN POR INSUMO</t>
  </si>
  <si>
    <t>ENTRADA</t>
  </si>
  <si>
    <t>SALIDA</t>
  </si>
  <si>
    <t>PROVEEDOR</t>
  </si>
  <si>
    <t>Actividad o Partida</t>
  </si>
  <si>
    <t>Nombre quien recibe</t>
  </si>
  <si>
    <t>Documento</t>
  </si>
  <si>
    <t>PRESTAMO ALMACEN CENTRAL</t>
  </si>
  <si>
    <t>SALDO POR MES</t>
  </si>
  <si>
    <t>kg</t>
  </si>
  <si>
    <t>PECOSA</t>
  </si>
  <si>
    <t>26.23.25</t>
  </si>
  <si>
    <t xml:space="preserve">  </t>
  </si>
  <si>
    <t>Item</t>
  </si>
  <si>
    <t>RETROEXCAVADORA 420-D</t>
  </si>
  <si>
    <t>DEMOLICION DE EMBOQUILLADO EXISTENTE</t>
  </si>
  <si>
    <t>CESAR CARPIO BALLON</t>
  </si>
  <si>
    <t>EXCAVACION MANUAL EN TERRENO SUELTO</t>
  </si>
  <si>
    <t>CONCRETO FC=175 KG/CM2 EN BERMAS</t>
  </si>
  <si>
    <t>CURADO DEL  CONCRETO EN BERMAS</t>
  </si>
  <si>
    <t xml:space="preserve"> CONCRETO FC=175 KG/CM2</t>
  </si>
  <si>
    <t>CURADO DEL CONCRETO EN VEREDAS</t>
  </si>
  <si>
    <t>SARDINELES</t>
  </si>
  <si>
    <t>CONCRETO FC=175 KG/CM2</t>
  </si>
  <si>
    <t>ENCOFRADO Y DESENCOFRADO DE SARDINELES</t>
  </si>
  <si>
    <t>CURADO DEL CONCRETO EN SARDINELES DE VEREDA</t>
  </si>
  <si>
    <t xml:space="preserve">CONCRETO F'C= 175 KG/CM2 </t>
  </si>
  <si>
    <t>ENCOFRADO Y DESENCOFRADO DE CUNETAS</t>
  </si>
  <si>
    <t>CURADO EN CONCRETO EN CUNETAS</t>
  </si>
  <si>
    <t>ENCOFRADO Y DESENCOFRADO</t>
  </si>
  <si>
    <t>CONCRETO FC=210 KG/CM2</t>
  </si>
  <si>
    <t xml:space="preserve">TARRAJEO CON IMPERMEABILIZANTES </t>
  </si>
  <si>
    <t>REJILLA SUMIDERO-PLAT 1 1/4"X1/4"+L 1 1/1/4"</t>
  </si>
  <si>
    <t>COSTO DE COSTRUCCION POR ADMINISTRACION -PERSONAL</t>
  </si>
  <si>
    <t xml:space="preserve"> COSTO DE COSTRUCCION POR ADMINISTRACION DIRECTA -BIENES</t>
  </si>
  <si>
    <t>COSTO DE COSTRUCCION POR ADMINISTRACION DIRECTA -BIENES</t>
  </si>
  <si>
    <t>26.23.24</t>
  </si>
  <si>
    <t>26.23.26</t>
  </si>
  <si>
    <t>DATOS GENERALES DE LA OBRA</t>
  </si>
  <si>
    <t>MEJORAMIENTO DEL SERVICIO DE TRANSITABILIDAD VEHICULAR Y  PEATONAL EN EL JIRON LAS MAGNOLIAS Y DEL JIRON LOS MOLLES DE LA CIUDAD DE ABANCAY, DISTRITO DE ABANCAY, PROVINCIA DE ABANCAY – APURIMAC</t>
  </si>
  <si>
    <t>Obra:</t>
  </si>
  <si>
    <t>Código unificado:</t>
  </si>
  <si>
    <t>Municipalidad Provincial de Abancay</t>
  </si>
  <si>
    <t>Unidad ejecutora:</t>
  </si>
  <si>
    <t>Tipo de ejecución:</t>
  </si>
  <si>
    <t>Ejecución presupuestaria directa</t>
  </si>
  <si>
    <t>Función:</t>
  </si>
  <si>
    <t>Meta:</t>
  </si>
  <si>
    <t>079</t>
  </si>
  <si>
    <t>Ubicación:</t>
  </si>
  <si>
    <t>Distrito:</t>
  </si>
  <si>
    <t>Provincia:</t>
  </si>
  <si>
    <t>Región:</t>
  </si>
  <si>
    <t>Abancay</t>
  </si>
  <si>
    <t>Apurimac</t>
  </si>
  <si>
    <t>SOBRE EL PROYECTO DE INVERSIÓN PÚBLICA</t>
  </si>
  <si>
    <t>Cadena Funcional:</t>
  </si>
  <si>
    <t>Nombre PIP:</t>
  </si>
  <si>
    <t>Unidad Formuladora:</t>
  </si>
  <si>
    <t>Unidad Evaluadora:</t>
  </si>
  <si>
    <t>Unidad Formuladora Municipal (UFM) - Gobiernos Locales - Municipalidad Provincial de Abancay</t>
  </si>
  <si>
    <t>Beneficiarios:</t>
  </si>
  <si>
    <t>Responsable de Viabilidad:</t>
  </si>
  <si>
    <t>Fecha de Viabilidad:</t>
  </si>
  <si>
    <t>Monto Viable:</t>
  </si>
  <si>
    <t>•</t>
  </si>
  <si>
    <t>Fecha de Aprobación:</t>
  </si>
  <si>
    <t>Sector:</t>
  </si>
  <si>
    <t>Pliego:</t>
  </si>
  <si>
    <t>Nombre:</t>
  </si>
  <si>
    <t>Gobiernos Locales</t>
  </si>
  <si>
    <t>Unidad Formuladora Municipal (UFM)</t>
  </si>
  <si>
    <t>Responsable de formulación:</t>
  </si>
  <si>
    <t>Responsable de UF</t>
  </si>
  <si>
    <t>Organo Técnico Responsable:</t>
  </si>
  <si>
    <t>Gerencia de Acondicionamiento Territorial y Desarrollo Urbano</t>
  </si>
  <si>
    <t>Ubicación Geográfica:</t>
  </si>
  <si>
    <t>Declaración de viabilidad:</t>
  </si>
  <si>
    <t>Especialista:</t>
  </si>
  <si>
    <t>Responsable:</t>
  </si>
  <si>
    <t>Resolucón de Aprobación:</t>
  </si>
  <si>
    <t>Soles</t>
  </si>
  <si>
    <t>Monto Aprobado:</t>
  </si>
  <si>
    <t>SOBRE EL EXPEDIENTE TÉCNICO</t>
  </si>
  <si>
    <t>Estudios a Nivel de Pre Inversión</t>
  </si>
  <si>
    <t>SOBRE LA INFORMACIÓN FINANCIERA / FINANCIAMIENTO</t>
  </si>
  <si>
    <t>Asignado (PIM)</t>
  </si>
  <si>
    <t>Devengado</t>
  </si>
  <si>
    <t>Fondos de Compensación Municipal</t>
  </si>
  <si>
    <t>Contribución a Fondos</t>
  </si>
  <si>
    <t>18</t>
  </si>
  <si>
    <t>Impuestos Municipales</t>
  </si>
  <si>
    <t>Canon y Sobrecanon, Regalías, Renta de Aduanas y Participaciones</t>
  </si>
  <si>
    <t>Fuente de Financiamiento: MEF</t>
  </si>
  <si>
    <t>Recursos Determinados:</t>
  </si>
  <si>
    <t>Monto</t>
  </si>
  <si>
    <t>Porcentaje</t>
  </si>
  <si>
    <t>DATOS SOBRE LA EJECUCIÓN DE LA OBRA</t>
  </si>
  <si>
    <t>Fecha de entrega de terreno:</t>
  </si>
  <si>
    <t>Fecha de inicio de obra:</t>
  </si>
  <si>
    <t>Fecha de término de ejecución:</t>
  </si>
  <si>
    <t>Fecha de paralización N° 01</t>
  </si>
  <si>
    <t>Fecha de reinicio</t>
  </si>
  <si>
    <t>N° días paralizados</t>
  </si>
  <si>
    <t>Fecha de término programado:</t>
  </si>
  <si>
    <t>Plazo de ejecución:</t>
  </si>
  <si>
    <t>días calendarios</t>
  </si>
  <si>
    <t>Residente de Obra:</t>
  </si>
  <si>
    <t>Ing. Jhon Grober Condori García</t>
  </si>
  <si>
    <t>Supervisor de Obra:</t>
  </si>
  <si>
    <t>Ing. Wildo Peña Castañeda</t>
  </si>
  <si>
    <t>N° Contrato:</t>
  </si>
  <si>
    <t>CIP:</t>
  </si>
  <si>
    <t>Entidad:</t>
  </si>
  <si>
    <t>Sobre La Entidad:</t>
  </si>
  <si>
    <t>Sobre La Residencia de Obra:</t>
  </si>
  <si>
    <t>Sobre el Plazo de Ejecución:</t>
  </si>
  <si>
    <t>Ampliación de Plazo N° 01</t>
  </si>
  <si>
    <t>Sobre la Valorización de Obra Vigente:</t>
  </si>
  <si>
    <t>Valorización N°</t>
  </si>
  <si>
    <t>Periodo:</t>
  </si>
  <si>
    <t>al</t>
  </si>
  <si>
    <t>ABRIL 2018</t>
  </si>
  <si>
    <t>Asistente Administrativo:</t>
  </si>
  <si>
    <r>
      <t xml:space="preserve">1.1.- </t>
    </r>
    <r>
      <rPr>
        <b/>
        <u/>
        <sz val="11"/>
        <rFont val="Calibri"/>
        <family val="2"/>
        <scheme val="minor"/>
      </rPr>
      <t>GENERALIDADES DEL PROYECTO</t>
    </r>
  </si>
  <si>
    <t xml:space="preserve">   OBRAS PROVISIONALES Y TRABAJOS PRELIMINARES</t>
  </si>
  <si>
    <t>01.01.01</t>
  </si>
  <si>
    <t>01.01.02</t>
  </si>
  <si>
    <t xml:space="preserve">      CARTEL DE IDENTIFICACION DE LA OBRA </t>
  </si>
  <si>
    <t>01.01.03</t>
  </si>
  <si>
    <t xml:space="preserve">      DEMOLICION DE VEREDA DE CONCRETO CON MINICARGADOR CAT 246C CON MARTILLO CAT H55E</t>
  </si>
  <si>
    <t>01.01.04</t>
  </si>
  <si>
    <t xml:space="preserve">      ALINEAMIENTO DE POSTES DE ALUMBRADO PUBLICO</t>
  </si>
  <si>
    <t>01.02.01</t>
  </si>
  <si>
    <t xml:space="preserve">      SEÑALIZACIÓN TEMPORAL DE SEGURIDAD</t>
  </si>
  <si>
    <t xml:space="preserve">      CAPACITACIÓN EN SEGURIDAD Y SALUD</t>
  </si>
  <si>
    <t>01.03</t>
  </si>
  <si>
    <t xml:space="preserve">   CONTROL TOPOGRAFICO</t>
  </si>
  <si>
    <t>01.03.01</t>
  </si>
  <si>
    <t xml:space="preserve">      TRAZO, NIVELACION Y REPLANTEO DURANTE EL PROCESO</t>
  </si>
  <si>
    <t>01.04</t>
  </si>
  <si>
    <t xml:space="preserve">   MOVILIZACION Y TRANSPORTE</t>
  </si>
  <si>
    <t>01.04.01</t>
  </si>
  <si>
    <t xml:space="preserve">      MOVILIZACION Y DESMOVILIZACION DE EQUIPOS</t>
  </si>
  <si>
    <t>01.04.02</t>
  </si>
  <si>
    <t>01.05</t>
  </si>
  <si>
    <t>01.05.01</t>
  </si>
  <si>
    <t>01.05.01.01</t>
  </si>
  <si>
    <t xml:space="preserve">         LIMPIEZA MANUAL DE TERRENO</t>
  </si>
  <si>
    <t>01.05.02</t>
  </si>
  <si>
    <t xml:space="preserve">      MOVIMIENTO DE TIERRAS</t>
  </si>
  <si>
    <t>01.05.02.01</t>
  </si>
  <si>
    <t xml:space="preserve">         EXCAVACION A NIVEL DE SUB RASANTE</t>
  </si>
  <si>
    <t>01.05.02.02</t>
  </si>
  <si>
    <t>01.05.03</t>
  </si>
  <si>
    <t>01.05.03.01</t>
  </si>
  <si>
    <t>01.05.04</t>
  </si>
  <si>
    <t xml:space="preserve">      LOSA DE RODADURA</t>
  </si>
  <si>
    <t>01.05.04.01</t>
  </si>
  <si>
    <t xml:space="preserve">         ENCOFRADO Y DESENCOFRADO EN LOSA DE PAVIMENTO, h=0.20mts.</t>
  </si>
  <si>
    <t xml:space="preserve">         FROTACHADO EN LOSA DE RODADURA</t>
  </si>
  <si>
    <t xml:space="preserve">         SELLADO DE JUNTAS CON ASFALTO,e=1"</t>
  </si>
  <si>
    <t xml:space="preserve">         CURADO DE CONCRETO</t>
  </si>
  <si>
    <t>01.06</t>
  </si>
  <si>
    <t>01.06.01</t>
  </si>
  <si>
    <t>01.06.01.01</t>
  </si>
  <si>
    <t xml:space="preserve">         PERFILADO Y COMPACTADO MANUAL</t>
  </si>
  <si>
    <t>01.06.02</t>
  </si>
  <si>
    <t>01.06.02.01</t>
  </si>
  <si>
    <t>01.06.02.02</t>
  </si>
  <si>
    <t>01.06.02.03</t>
  </si>
  <si>
    <t>01.07</t>
  </si>
  <si>
    <t>01.07.01</t>
  </si>
  <si>
    <t>01.07.01.01</t>
  </si>
  <si>
    <t xml:space="preserve">         EXCAVACION DE ZANJAS EN TERRENO SUELTO</t>
  </si>
  <si>
    <t>01.07.01.02</t>
  </si>
  <si>
    <t xml:space="preserve">         REFINE Y NIVELACION EN FONDO DE ZANJA</t>
  </si>
  <si>
    <t>01.07.01.03</t>
  </si>
  <si>
    <t xml:space="preserve">         PREPARACION Y COLOCACION DE CAMA DE APOYO PARA TUBERIAS</t>
  </si>
  <si>
    <t>01.07.01.04</t>
  </si>
  <si>
    <t xml:space="preserve">         RELLENO Y COMP. MANUAL DE ZANJAS</t>
  </si>
  <si>
    <t>01.07.02</t>
  </si>
  <si>
    <t>01.07.02.01</t>
  </si>
  <si>
    <t>01.08</t>
  </si>
  <si>
    <t xml:space="preserve">   REPOSICION DE CONEXIONES DOMICILIARIAS DE DESAGUE</t>
  </si>
  <si>
    <t>01.08.01</t>
  </si>
  <si>
    <t>01.08.01.01</t>
  </si>
  <si>
    <t>01.08.01.02</t>
  </si>
  <si>
    <t>01.08.01.03</t>
  </si>
  <si>
    <t>01.08.01.04</t>
  </si>
  <si>
    <t>01.08.02</t>
  </si>
  <si>
    <t>01.08.02.01</t>
  </si>
  <si>
    <t xml:space="preserve">         SUM. Y COL. TUB. PVC UF S25 160mm. C/ANILLO ELASTOMERICO</t>
  </si>
  <si>
    <t>01.08.02.02</t>
  </si>
  <si>
    <t xml:space="preserve">         SUM. Y COL. DE ACCESORIOS P/CONEXION DOMICILIARIA DE DESAGUE</t>
  </si>
  <si>
    <t>01.09</t>
  </si>
  <si>
    <t>01.09.01</t>
  </si>
  <si>
    <t>01.09.01.01</t>
  </si>
  <si>
    <t>01.09.01.02</t>
  </si>
  <si>
    <t>01.09.01.03</t>
  </si>
  <si>
    <t>01.09.02</t>
  </si>
  <si>
    <t>01.09.02.01</t>
  </si>
  <si>
    <t>01.09.02.02</t>
  </si>
  <si>
    <t>01.10</t>
  </si>
  <si>
    <t>01.10.01</t>
  </si>
  <si>
    <t>01.10.01.01</t>
  </si>
  <si>
    <t>01.10.01.02</t>
  </si>
  <si>
    <t>01.10.01.03</t>
  </si>
  <si>
    <t>01.10.01.04</t>
  </si>
  <si>
    <t>01.10.02</t>
  </si>
  <si>
    <t>01.10.02.01</t>
  </si>
  <si>
    <t xml:space="preserve">         SUM. Y COL. DE TUBERIA PVC SAP C-10 DE 1/2"</t>
  </si>
  <si>
    <t>01.10.02.02</t>
  </si>
  <si>
    <t xml:space="preserve">         SUM. Y COL. DE ACCESORIOS P/CONEXION DOMICILIARIA DE AGUA</t>
  </si>
  <si>
    <t>01.11</t>
  </si>
  <si>
    <t xml:space="preserve">   REPOSICION DE BUZONES</t>
  </si>
  <si>
    <t>01.11.01</t>
  </si>
  <si>
    <t>01.11.01.01</t>
  </si>
  <si>
    <t>01.11.01.02</t>
  </si>
  <si>
    <t>01.11.01.03</t>
  </si>
  <si>
    <t>01.11.02</t>
  </si>
  <si>
    <t xml:space="preserve">      OBRAS DE CONCRETO</t>
  </si>
  <si>
    <t>01.11.02.01</t>
  </si>
  <si>
    <t>01.11.02.02</t>
  </si>
  <si>
    <t>01.11.02.03</t>
  </si>
  <si>
    <t xml:space="preserve">         ACERO GRADO 60 P/LOSA DE BUZON</t>
  </si>
  <si>
    <t>01.11.02.04</t>
  </si>
  <si>
    <t xml:space="preserve">         ENCOFRADO Y DESENCOFRADO METALICO DE BUZONES</t>
  </si>
  <si>
    <t xml:space="preserve">         SUMINISTRO Y COLOCADO DE TAPA DE BUZON FºFº DIAM.= 0.60mts.</t>
  </si>
  <si>
    <t>01.12</t>
  </si>
  <si>
    <t>01.12.01</t>
  </si>
  <si>
    <t>01.12.01.01</t>
  </si>
  <si>
    <t>01.12.01.02</t>
  </si>
  <si>
    <t>01.12.01.03</t>
  </si>
  <si>
    <t>01.12.02</t>
  </si>
  <si>
    <t>01.12.02.01</t>
  </si>
  <si>
    <t>01.12.02.02</t>
  </si>
  <si>
    <t>01.12.02.03</t>
  </si>
  <si>
    <t xml:space="preserve">      REJILLA METALICA PARA DRENAJE PLUVIAL</t>
  </si>
  <si>
    <t xml:space="preserve">         SUM. Y COL. DE REJILLA METALICA PARA DRENAJE PLUVIAL CON PLATINA  ASTM A36 DE 1/2" X 3"</t>
  </si>
  <si>
    <t xml:space="preserve">      TUBERIA PVC PARA EVACUACION PLUVIAL</t>
  </si>
  <si>
    <t xml:space="preserve">         SUM. Y COL. TUB. PVC UF S25 250mm. C/ANILLO ELASTOMERICO</t>
  </si>
  <si>
    <t>01.13</t>
  </si>
  <si>
    <t xml:space="preserve">   CANAL DE EVACUACION PLUVIAL</t>
  </si>
  <si>
    <t>01.13.01</t>
  </si>
  <si>
    <t>01.13.02</t>
  </si>
  <si>
    <t xml:space="preserve">         ENCOFRADO Y DESENCOFRADO EN CANALES LATERALES</t>
  </si>
  <si>
    <t>01.13.03</t>
  </si>
  <si>
    <t>01.13.04</t>
  </si>
  <si>
    <t>01.14</t>
  </si>
  <si>
    <t>01.14.01</t>
  </si>
  <si>
    <t>01.15</t>
  </si>
  <si>
    <t xml:space="preserve">   PRUEBAS DE LABORATORIO</t>
  </si>
  <si>
    <t>01.15.01</t>
  </si>
  <si>
    <t xml:space="preserve">      DISEÑO DE MEZCLAS DE CONCRETO</t>
  </si>
  <si>
    <t xml:space="preserve">      ENSAYOS DE COMPRESION AXIAL (BRIQUETAS DE CONCRETO)</t>
  </si>
  <si>
    <t xml:space="preserve">      ENSAYOS PARA EL CONTROL DE GRADO DE COMPACTACION</t>
  </si>
  <si>
    <t>01.16</t>
  </si>
  <si>
    <t>01.16.01</t>
  </si>
  <si>
    <t>01.17</t>
  </si>
  <si>
    <t xml:space="preserve">   PLACA RECORDATORIA</t>
  </si>
  <si>
    <t>01.17.01</t>
  </si>
  <si>
    <t xml:space="preserve">      SUM. Y COL. DE PLACA RECORDATORIA</t>
  </si>
  <si>
    <t xml:space="preserve">   VEREDAS</t>
  </si>
  <si>
    <t>02.01.01</t>
  </si>
  <si>
    <t>02.01.01.01</t>
  </si>
  <si>
    <t xml:space="preserve">         EXCAVACION MANUAL EN TERRENO SUELTO PARA VEREDAS</t>
  </si>
  <si>
    <t>02.01.01.02</t>
  </si>
  <si>
    <t>02.01.02</t>
  </si>
  <si>
    <t xml:space="preserve">      CONCRETO EN VEREDAS</t>
  </si>
  <si>
    <t>02.01.02.01</t>
  </si>
  <si>
    <t>02.01.02.02</t>
  </si>
  <si>
    <t xml:space="preserve">         ENCOFRADO Y DESENCOFRADO EN VEREDAS</t>
  </si>
  <si>
    <t>02.01.02.03</t>
  </si>
  <si>
    <t>02.01.02.04</t>
  </si>
  <si>
    <t xml:space="preserve">         FROTACHADO EN VEREDAS</t>
  </si>
  <si>
    <t xml:space="preserve">         BRUÑA EN VEREDAS</t>
  </si>
  <si>
    <t xml:space="preserve">   SARDINELES</t>
  </si>
  <si>
    <t>02.02.01</t>
  </si>
  <si>
    <t>02.02.01.01</t>
  </si>
  <si>
    <t xml:space="preserve">         EXCAVACION DE ZANJAS PARA SARDINELES</t>
  </si>
  <si>
    <t>02.02.01.02</t>
  </si>
  <si>
    <t>02.02.02</t>
  </si>
  <si>
    <t xml:space="preserve">      CONCRETO EN SARDINELES</t>
  </si>
  <si>
    <t>02.02.02.01</t>
  </si>
  <si>
    <t xml:space="preserve">         ENCOFRADO Y DESENCOFRADO EN SARDINELES</t>
  </si>
  <si>
    <t>02.02.02.02</t>
  </si>
  <si>
    <t>02.02.02.03</t>
  </si>
  <si>
    <t>02.03</t>
  </si>
  <si>
    <t>02.03.01</t>
  </si>
  <si>
    <t>02.03.02</t>
  </si>
  <si>
    <t xml:space="preserve">      SUM. Y COL. DE CAPA DE ENRRAIZAMIENTO</t>
  </si>
  <si>
    <t xml:space="preserve">      SUM. Y COL. DE CAPA DE TAPADO H=2cm.</t>
  </si>
  <si>
    <t xml:space="preserve">      SEMBRADO DE GRASS</t>
  </si>
  <si>
    <t xml:space="preserve">   MITIGACION DE IMPACTO AMBIENTAL</t>
  </si>
  <si>
    <t>P.U.</t>
  </si>
  <si>
    <t>Total Presupuesto</t>
  </si>
  <si>
    <t>Gastos Generales</t>
  </si>
  <si>
    <t>079-2018</t>
  </si>
  <si>
    <t>Administración Directa</t>
  </si>
  <si>
    <t>Proveedor</t>
  </si>
  <si>
    <t>Cant</t>
  </si>
  <si>
    <t>Nombre de quien</t>
  </si>
  <si>
    <t>recepciona</t>
  </si>
  <si>
    <t>Firma</t>
  </si>
  <si>
    <t>Supervisor:</t>
  </si>
  <si>
    <t>INSUMO:</t>
  </si>
  <si>
    <t>OBRA:</t>
  </si>
  <si>
    <t>Componente:</t>
  </si>
  <si>
    <t>Correlativo de meta:</t>
  </si>
  <si>
    <t>Proyecto:</t>
  </si>
  <si>
    <t>Fte. Fto:</t>
  </si>
  <si>
    <t>Modalidad:</t>
  </si>
  <si>
    <t>Residente:</t>
  </si>
  <si>
    <t>Almacenero:</t>
  </si>
  <si>
    <t>DNI:</t>
  </si>
  <si>
    <t>Sub Meta:</t>
  </si>
  <si>
    <t>S/</t>
  </si>
  <si>
    <t>Específica</t>
  </si>
  <si>
    <t>ID</t>
  </si>
  <si>
    <t>Adecuada Infraestructura Vial / Adecuada Infraestructura Peatonal / Adecuadas Políticas de conservación de Vía</t>
  </si>
  <si>
    <t>05 - Recursos Determinados:</t>
  </si>
  <si>
    <t>ACERO DE REFUERZO FY=4200 GRADO 60 - CORRUGADO Ø 1/2"</t>
  </si>
  <si>
    <t>var</t>
  </si>
  <si>
    <t>O/S XXX</t>
  </si>
  <si>
    <t>Kelvin</t>
  </si>
  <si>
    <t>Habilitación para acero de temperatura</t>
  </si>
  <si>
    <t>adfgadg</t>
  </si>
  <si>
    <t>asdfasdfas</t>
  </si>
  <si>
    <t>as</t>
  </si>
  <si>
    <t>adsf</t>
  </si>
  <si>
    <t>2.6.2.3.2.5</t>
  </si>
  <si>
    <t>2.6.2.3.2.4</t>
  </si>
  <si>
    <t>2.6.2.3.2.6</t>
  </si>
  <si>
    <t>PU</t>
  </si>
  <si>
    <t>Mes:</t>
  </si>
  <si>
    <t>DETALLE  DEL GASTOS</t>
  </si>
  <si>
    <t>COMPROBANTE DE GASTO</t>
  </si>
  <si>
    <t>Importe</t>
  </si>
  <si>
    <t>Nro</t>
  </si>
  <si>
    <t>BIENES</t>
  </si>
  <si>
    <t>PARCIAL</t>
  </si>
  <si>
    <t>de gasto</t>
  </si>
  <si>
    <t>ABRIL - 2018</t>
  </si>
  <si>
    <t>EJECUCION PRESPUPUESTAL POR ESPECIFICA</t>
  </si>
  <si>
    <t>N° Viajes</t>
  </si>
  <si>
    <t>TRABAJO REALIZADO</t>
  </si>
  <si>
    <t>TRABAJO MES: ABRIL 2018</t>
  </si>
  <si>
    <t>PRECIO</t>
  </si>
  <si>
    <t>TRABAJO (Cantidad; horas; días)</t>
  </si>
  <si>
    <t>N° INFORME</t>
  </si>
  <si>
    <t>MES INFORME</t>
  </si>
  <si>
    <t>PORCENTAJE %</t>
  </si>
  <si>
    <t>30/04/2018</t>
  </si>
  <si>
    <t>GASTOS DE SUPERVISIÓN</t>
  </si>
  <si>
    <t>AVANCE FÍSICO</t>
  </si>
  <si>
    <t>AVANCE</t>
  </si>
  <si>
    <t>ALMACENERO</t>
  </si>
  <si>
    <t>MES DE ABRIL</t>
  </si>
  <si>
    <t>Presupuesto   Aprobado S/.</t>
  </si>
  <si>
    <t>GUARDIÁN</t>
  </si>
  <si>
    <t>07/05/2018</t>
  </si>
  <si>
    <t>PLANILLA</t>
  </si>
  <si>
    <t>ORE SALVADOR CERVANTES</t>
  </si>
  <si>
    <t>PAGO DE PLANILLA CORRESPONDIENTE AL ME DE ABRIL  2018</t>
  </si>
  <si>
    <t>CLASE OS/OC</t>
  </si>
  <si>
    <t>17/04/2018</t>
  </si>
  <si>
    <t xml:space="preserve">O/C </t>
  </si>
  <si>
    <t>PALOMINO CCOLLCCA SIMEON</t>
  </si>
  <si>
    <t>QUITASARRO</t>
  </si>
  <si>
    <t>gln</t>
  </si>
  <si>
    <t>ARCO DE SIERRA 12”- UYUSTOOLS</t>
  </si>
  <si>
    <t>ROMANA DE 10 Y 50 KILOS PESCADITO – POCKET</t>
  </si>
  <si>
    <t xml:space="preserve">BALDE VACIO X 20L </t>
  </si>
  <si>
    <t>BARRETA EXAGONAL 1 ¼”X 1.80</t>
  </si>
  <si>
    <t>GALONERA X 5 GLS</t>
  </si>
  <si>
    <t>SET DE BROCA PARA CONCRETO</t>
  </si>
  <si>
    <t>BROCHA DE 2” - TUMI</t>
  </si>
  <si>
    <t>BROCHA DE 3” - TUMI</t>
  </si>
  <si>
    <t>BROCHA DE 4” -TUMI</t>
  </si>
  <si>
    <t>BROCHA DE  1 ½” – TUMI</t>
  </si>
  <si>
    <t>BROCHA DE ½” – TUMI</t>
  </si>
  <si>
    <t>BROCHA DE 1” – TUMI</t>
  </si>
  <si>
    <t>CABLE ELECTRICO THW # 10 – INDECO</t>
  </si>
  <si>
    <t>metro</t>
  </si>
  <si>
    <t>CABLE ELECTRICO THW # 14 -  INDECO</t>
  </si>
  <si>
    <t>CARRETILLA DE CONSTRUCCION TIPO BUGUIE – TRUPER</t>
  </si>
  <si>
    <t>CILINDRO PVC DE 55 GL</t>
  </si>
  <si>
    <t>CINCEL PUNTA PUNTA ¾” – HECHIZO</t>
  </si>
  <si>
    <t>CINCEL PUNTA PLANA ¾” – HECHIZO</t>
  </si>
  <si>
    <t>CINTA AISLANTE 3M NEGRO 1000 GRANDE</t>
  </si>
  <si>
    <t>CIZALLA TIJERA DE 18” – TRUPER</t>
  </si>
  <si>
    <t>COMBA DE 24 LIBRAS C/MANGO – ORE</t>
  </si>
  <si>
    <t>COMBA DE 8 LIBRAS C/MANGO – ORE</t>
  </si>
  <si>
    <t>CONO DE ABRAHAMS</t>
  </si>
  <si>
    <t>CORDEL NYLON # 10X100MTS</t>
  </si>
  <si>
    <t xml:space="preserve">DETERGENTE INDUSTRIAL – SAPOLIO </t>
  </si>
  <si>
    <t>klg</t>
  </si>
  <si>
    <t>DISCO DE CORTE PARA METAL DE 4 ½”X 1/8” – 3M</t>
  </si>
  <si>
    <t>DISCO DE CORTE PARA METAL DE 14” – DEWALT</t>
  </si>
  <si>
    <t>DISCO DE CORTE PARA MADERA DE 7 ¼”- UYUSOOL</t>
  </si>
  <si>
    <t>THINER ACRILICO ESPECIAL – CRONS</t>
  </si>
  <si>
    <t>SOGA DRISA 5/32X50MTS</t>
  </si>
  <si>
    <t>ESCOBA MEDIANO – HUDE</t>
  </si>
  <si>
    <t>ESCOBON – HUDE</t>
  </si>
  <si>
    <t>ESCUADRA 90ºX50 – STANLEY</t>
  </si>
  <si>
    <t>FOCO ESPIRAL DE 24 WATT – ULIX</t>
  </si>
  <si>
    <t>HOJA SIERRA SANDFLEX</t>
  </si>
  <si>
    <t>HOJA SIERRA PARA CALAR</t>
  </si>
  <si>
    <t>INFLADOR PARA LLANTA – TRUPER</t>
  </si>
  <si>
    <t>TERMOMAGNETICO 2X50 . STRONGER</t>
  </si>
  <si>
    <t>TERMOMAGNETICO 2X32 – STRONGER</t>
  </si>
  <si>
    <t>INTERRUPTOR SIMPLE</t>
  </si>
  <si>
    <t>JUEGO DE BROCA PARA MADERA</t>
  </si>
  <si>
    <t xml:space="preserve">LIJA PARA FIERRO </t>
  </si>
  <si>
    <t>LIJA PARA MADERA</t>
  </si>
  <si>
    <t>LIMA</t>
  </si>
  <si>
    <t>LINTERNA RECARGABLE – OPALUX</t>
  </si>
  <si>
    <t>LLANTA DE REPUESTO – TRUPER</t>
  </si>
  <si>
    <t>LLAVE EXTILSON  14” – UYUSTOOLS</t>
  </si>
  <si>
    <t>MANGUERA DE NIVEL X50M</t>
  </si>
  <si>
    <t>BRIQUETERA</t>
  </si>
  <si>
    <t>NIVEL DE MANO 30CM STANLEY</t>
  </si>
  <si>
    <t>OCRE COLOR ROJO – BAYER</t>
  </si>
  <si>
    <t>PALA CUCHARA – TRAMONTINA</t>
  </si>
  <si>
    <t>ZAPAPICO CON MANGO – TRAMONTINA</t>
  </si>
  <si>
    <t>PINTURA ESMALTE BLANCO – CRONS</t>
  </si>
  <si>
    <t xml:space="preserve">PLASTICO 2M DOBLE ANCHO X ROLLO </t>
  </si>
  <si>
    <t>RASTRILLO METALICO</t>
  </si>
  <si>
    <t>RECOGEDOR DE BASURA DOMESTICO – HUDE</t>
  </si>
  <si>
    <t>REGLA DE ALUMINIO 2”X4”X6M</t>
  </si>
  <si>
    <t>RESPIRADOR POLVO SAFETY</t>
  </si>
  <si>
    <t>SERRUCHO 16” – STANLEY</t>
  </si>
  <si>
    <t>SILVATO</t>
  </si>
  <si>
    <t>SOCKET OVAL</t>
  </si>
  <si>
    <t>SOGA 5/8 X15M</t>
  </si>
  <si>
    <t>TACHO PARA BASURA DOMESTICO</t>
  </si>
  <si>
    <t>EXTENSION ELECTRICA 3 ENTRADAS X 5M</t>
  </si>
  <si>
    <t>TOMACORRIENTE UNIVERSAL</t>
  </si>
  <si>
    <t xml:space="preserve">TRAPO INDUSTRIAL </t>
  </si>
  <si>
    <t>WINCHA DE 50 MTS – TRUPER</t>
  </si>
  <si>
    <t>YESO X25 KG</t>
  </si>
  <si>
    <t>PICO PUNTA CON MANGO – TRAMONTINA</t>
  </si>
  <si>
    <t>20/04/2018</t>
  </si>
  <si>
    <t>VH FERRETERIA &amp; LIBRERÍA S.R.L</t>
  </si>
  <si>
    <t>VARILLA DE ACERO CORRUGADO FY=4200 KG/CM2 GRADO 60 DE ¼ IN X 9M- ACEROS AREQUIPA</t>
  </si>
  <si>
    <t>VARILLA DE ACERO CORRUGADO FY=4200 KG/CM2 GRADO 60 DE 5/8 IN X 9M- ACEROS AREQUIPA</t>
  </si>
  <si>
    <t>ACERO DE REFUERZO FY=4200 GRADO 60 LISO 5/8</t>
  </si>
  <si>
    <t>THE BEST IMPORT E.I.R.L</t>
  </si>
  <si>
    <t>TECNOPORT DE 1.20 X 2.40 X"</t>
  </si>
  <si>
    <t>ADAPTADOR PVC 1/2" PN-10</t>
  </si>
  <si>
    <t>LUBRICANTE PARA TUBERIAS</t>
  </si>
  <si>
    <t>LLAVE DE PASO PVC 1/2</t>
  </si>
  <si>
    <t>PEGAMENTO 1/8 GL (473 ML) - OATEY</t>
  </si>
  <si>
    <t>TAPON DE PVC 1"</t>
  </si>
  <si>
    <t>TUBO PVC SAP DE 1", C - 10 - PAVCO</t>
  </si>
  <si>
    <t>TUBO PVC SAP DE 1/2", C - 10X5 MTS - PAVCO</t>
  </si>
  <si>
    <t>TUBO PVC NARANJA UF 200 MM = 8", S-25 - KOPLAST</t>
  </si>
  <si>
    <t>TUBO PVC NARANJA UF 160 MM = 6", S-25 - KOPLAST</t>
  </si>
  <si>
    <t>TUBO PVC 90 MM = 8", S -25 - KOPLAST</t>
  </si>
  <si>
    <t xml:space="preserve">TUBO PVC NARANJA UF 110 MM = 4", S-20 </t>
  </si>
  <si>
    <t>TUBO PVC NARANJA UF 250 MM = 10", S-25 - KOPLAST</t>
  </si>
  <si>
    <t>UNION CON ROSCA PVC 2 1/2"</t>
  </si>
  <si>
    <t>05/05/2018</t>
  </si>
  <si>
    <t>O/S</t>
  </si>
  <si>
    <t>CABEZAS HUAMAN FLAVIO</t>
  </si>
  <si>
    <t>PAGO AL MAESTRO DE OBRA CORRESPONDIENTE AL MES DE DICIEMBRE DEL 2017</t>
  </si>
  <si>
    <t>05/05/2019</t>
  </si>
  <si>
    <t>751</t>
  </si>
  <si>
    <t>KARI DAMIAN BLAS CARLOS</t>
  </si>
  <si>
    <t>PAGO AL ASISTENTE TECNICO CORRESPONDIENTE AL MES DE DICIEMBRE DEL 2017</t>
  </si>
  <si>
    <t>05/05/2020</t>
  </si>
  <si>
    <t>765</t>
  </si>
  <si>
    <t>DURAND SEQUEIROS DENZEL KELVIN</t>
  </si>
  <si>
    <t>PAGO  AL MACENERO DE OBRA CORRESPONDIENTE AL MES DE DICIEMBRE DEL 2017</t>
  </si>
  <si>
    <t>05/05/2021</t>
  </si>
  <si>
    <t>822</t>
  </si>
  <si>
    <t>CUAQUERA VILLAFUERTE MARIO MOISES</t>
  </si>
  <si>
    <t>PAGO DE RESIDENTE  DE OBRA CORRESPONDIENTE AL MES DE DICIEMBRE DEL 2017</t>
  </si>
  <si>
    <t>05/05/2022</t>
  </si>
  <si>
    <t>741</t>
  </si>
  <si>
    <t>GUIZADO CARTAGENA KATERINE</t>
  </si>
  <si>
    <t>AISTENTE ADMINISTRATIVO CORRESPONDIENTE AL MES DE MARZO DEL 2018</t>
  </si>
  <si>
    <t>27/05/2018</t>
  </si>
  <si>
    <t>922</t>
  </si>
  <si>
    <t>RIVAS LOPEZ SANTIAGO</t>
  </si>
  <si>
    <t>ALQUILER DE ALMACEN DE OBRA PAGO CORRESPONDIENTE DEL 01 DE ENERO AL 15 DE MARZO DEL 2018</t>
  </si>
  <si>
    <t>27/05/2019</t>
  </si>
  <si>
    <t>745</t>
  </si>
  <si>
    <t>ASISTENTE ADMINISTRATIVO PAGO CORRESPONDIENTE DEL 1 DE ABRIL AL 10 DE MAYO DEL 2018</t>
  </si>
  <si>
    <t>27/05/2020</t>
  </si>
  <si>
    <t>977</t>
  </si>
  <si>
    <t>TORRES SANCHEZ ALEJANDRO ENRIQUE</t>
  </si>
  <si>
    <t>GUARDIANIA DE OBRA PAGO CORREPONDIENTE DEL 01 DE ENERO AL 10 DE MAYO DEL 2018</t>
  </si>
  <si>
    <t>CAJA CHICA</t>
  </si>
  <si>
    <t>C. DIRECTO</t>
  </si>
  <si>
    <t>C. INDIRECTO</t>
  </si>
  <si>
    <t>RESOLUCIÒN NRO 166-2018-GM-MPA</t>
  </si>
  <si>
    <t>CAJA CHICA Nº 01  (VIGENTE)</t>
  </si>
  <si>
    <t>MES DE MAYO DE 2018</t>
  </si>
  <si>
    <t>ADECUADAS CONDICIONES DE TRANSITO VEHICULAR</t>
  </si>
  <si>
    <t xml:space="preserve">      ALQUILER PARA OFICINA, ALMACEN Y GUARDIANIA</t>
  </si>
  <si>
    <t>VJE</t>
  </si>
  <si>
    <t>Código Unico de inversiones:</t>
  </si>
  <si>
    <t xml:space="preserve">   SEGURIDAD EN OBRA Y SALUD </t>
  </si>
  <si>
    <t xml:space="preserve">      EQUIPAMIENTO PARA LA SEGURIDAD Y PROTECCION</t>
  </si>
  <si>
    <t xml:space="preserve">   CONFORMACION DE INFRAESTRUCTURA DE PAVIMENTO</t>
  </si>
  <si>
    <t xml:space="preserve">         PERFILADO EN ZONA DE CORTE</t>
  </si>
  <si>
    <t xml:space="preserve">         ELIMINACION DE MATERIAL EXCEDENTE  CON MAQUINARIA</t>
  </si>
  <si>
    <t xml:space="preserve">      MEJORAMIENTO DE LA SUB RASANTE</t>
  </si>
  <si>
    <t xml:space="preserve">         MEJORAMIENTO Y COMPACTADO DE LA SUB RASANTE E=0.150MT. CON MATERIAL PROPIO (INCLUYE RIEGO)</t>
  </si>
  <si>
    <t xml:space="preserve">      CONFORMACION DE BASE GRANULAR</t>
  </si>
  <si>
    <t xml:space="preserve">         EXTENDIDO Y COMPACTADO DE  BASE GRANULAR E=20CM (INCLUYE RIEGO)</t>
  </si>
  <si>
    <t xml:space="preserve">         CONCRETO F'C=210 KG/CM2  EN LOSA DE RODADURA</t>
  </si>
  <si>
    <t xml:space="preserve">         ACERO LISO GRADO 60 EN JUNTAS TRANSVERSALES</t>
  </si>
  <si>
    <t xml:space="preserve">         ACERO CORRUGADO GRADO 60 EN JUNTAS LONGITUDINALES</t>
  </si>
  <si>
    <t xml:space="preserve">         TUBERIA PVC SAP CLASE 10 DE 5/8" (P/JUNTA TRANSVERSAL)</t>
  </si>
  <si>
    <t xml:space="preserve">   BERMAS</t>
  </si>
  <si>
    <t xml:space="preserve">      LOSA  EN BERMA</t>
  </si>
  <si>
    <t xml:space="preserve">         ENCOFRADO Y DESENCOFRADO EN BERMAS, h=0.20mts.</t>
  </si>
  <si>
    <t xml:space="preserve">         CONCRETO F'C=175 KG/CM2 PARA BERMAS</t>
  </si>
  <si>
    <t xml:space="preserve">         FROTACHADO EN BERMAS</t>
  </si>
  <si>
    <t xml:space="preserve">         EXCAVACION DE ZANJAS EN TERRENO SUELTO </t>
  </si>
  <si>
    <t xml:space="preserve">      CONEXIONES DOMICILIARIAS DE DESAGÜE</t>
  </si>
  <si>
    <t xml:space="preserve">   REPOSICION DE CONEXIONES DOMICILIARIAS DE AGUA</t>
  </si>
  <si>
    <t xml:space="preserve">      CONEXIONES DOMICILIARIAS DE AGUA</t>
  </si>
  <si>
    <t xml:space="preserve">         CONCRETO F'C=175 KG/CM2. PARA BUZONES</t>
  </si>
  <si>
    <t xml:space="preserve">         CONCRETO  F'C= 210 KG/CM2 (LOSA DE BUZON)</t>
  </si>
  <si>
    <t xml:space="preserve">    ALCANTARILLAS LATERALES Y TRANSVERSALES</t>
  </si>
  <si>
    <t xml:space="preserve">      OBRAS DE CONCRETO SIMPLE</t>
  </si>
  <si>
    <t xml:space="preserve">         ENCOFRADO Y DESENCOFRADO EN ALCANTARILLA LATERAL</t>
  </si>
  <si>
    <t xml:space="preserve">         CONCRETO FC=175 KG/CM2 PARA ALCANTARILLA LATERAL</t>
  </si>
  <si>
    <t xml:space="preserve">      OBRAS DE CONCRETO ARMADO</t>
  </si>
  <si>
    <t xml:space="preserve">         ENCOFRADO Y DESENCOFRADO EN ALCANTARILLA TRANSVERSAL</t>
  </si>
  <si>
    <t xml:space="preserve">         CONCRETO F'C=175 KG/CM2 PARA ALCANTARILLA TRANSVERSAL</t>
  </si>
  <si>
    <t xml:space="preserve">         ACERO CORRUGADO GRADO 60</t>
  </si>
  <si>
    <t xml:space="preserve">         CONCRETO F'C=175 KG/CM2 PARA CANALES LATERALES</t>
  </si>
  <si>
    <t xml:space="preserve">      TAPA DE CONCRETO PARA LIMPIEZA DE CANAL 1.50x0.80x0.10mts</t>
  </si>
  <si>
    <t xml:space="preserve">         TAPA DE INSPECCION DE C° A° PARA CANAL DE 1.50m x 0.80m x 0.10m</t>
  </si>
  <si>
    <t xml:space="preserve">      TAPAS DE CANAL DE CONCRETO </t>
  </si>
  <si>
    <t xml:space="preserve">         ENCOFRADO Y DESENCOFRADO</t>
  </si>
  <si>
    <t xml:space="preserve">         CONCRETO F'C=175 KG/CM2 PARA TAPA DE CANAL</t>
  </si>
  <si>
    <t xml:space="preserve">   MURO DE CONTENCION </t>
  </si>
  <si>
    <t xml:space="preserve">      MURO DE CONTENCION CON CONCRETO ARMADO</t>
  </si>
  <si>
    <t xml:space="preserve">         TRABAJOS PRELIMINARES</t>
  </si>
  <si>
    <t xml:space="preserve">            LIMPIEZA MANUAL DE TERRENO</t>
  </si>
  <si>
    <t xml:space="preserve">         MOVIMIENTO DE TIERRAS</t>
  </si>
  <si>
    <t xml:space="preserve">            RELLENO Y COMPACTADO MANUAL CON MATERIAL PROPIO</t>
  </si>
  <si>
    <t xml:space="preserve">            EXCAVACION PARA MUROS</t>
  </si>
  <si>
    <t xml:space="preserve">            ELIMINACION DE MATERIAL EXCEDENTE  CON MAQUINARIA</t>
  </si>
  <si>
    <t xml:space="preserve">         OBRAS DE CONCRETO ARMADO</t>
  </si>
  <si>
    <t xml:space="preserve">            SOLADO DE 4" MEZCLA 1:12 CEMENTO-HORMIGON</t>
  </si>
  <si>
    <t xml:space="preserve">            ENCOFRADO Y DESENCOFRADO</t>
  </si>
  <si>
    <t xml:space="preserve">            CONCRETO F'C=210 KG/CM2  EN MURO DE CONTENCION</t>
  </si>
  <si>
    <t xml:space="preserve">            ACERO GRADO 60 EN MURO DE CONTENCION</t>
  </si>
  <si>
    <t xml:space="preserve">            CURADO DE CONCRETO</t>
  </si>
  <si>
    <t xml:space="preserve">            SELLADO DE JUNTAS CON ASFALTO,e=1"</t>
  </si>
  <si>
    <t xml:space="preserve">      MURO DE CONTENCION DE CONCRETO CICLOPEO</t>
  </si>
  <si>
    <t xml:space="preserve">         OBRAS DE CONCRETO SIMPLE</t>
  </si>
  <si>
    <t xml:space="preserve">            CONCRETO CICLOPEO  FC=175KG/CM2   + 30 % PM.</t>
  </si>
  <si>
    <t xml:space="preserve">      ESTUDIO DE CANTERA</t>
  </si>
  <si>
    <t xml:space="preserve">      LIMPIEZA DE OBRA  FINAL</t>
  </si>
  <si>
    <t xml:space="preserve">   PINTADO Y SEÑALIZACION VIAL</t>
  </si>
  <si>
    <t xml:space="preserve">      PINTADO DE SEÑALIZACION VIAL</t>
  </si>
  <si>
    <t xml:space="preserve">         PINTURA DE CRUCERO PEATONAL</t>
  </si>
  <si>
    <t xml:space="preserve">         PINTURA DE LINEA CENTRAL DE PAVIMENTO</t>
  </si>
  <si>
    <t xml:space="preserve">         PINTURA EN SARDINELES H=0.20mts.</t>
  </si>
  <si>
    <t xml:space="preserve">         SEÑALES INFORMATIVAS EN MURO DE PARED</t>
  </si>
  <si>
    <t xml:space="preserve">   FLETE TERRESTRE</t>
  </si>
  <si>
    <t xml:space="preserve">      FLETE TERRESTRE</t>
  </si>
  <si>
    <t>ADECUADAS CONDICIONES DE TRANSITO PEATONAL</t>
  </si>
  <si>
    <t xml:space="preserve">         CONCRETO F'C=175 KG/CM2. PARA  SARDINEL</t>
  </si>
  <si>
    <t xml:space="preserve">         TRAZO, NIVELACION Y REPLANTEO DURANTE EL PROCESO</t>
  </si>
  <si>
    <t xml:space="preserve">         COMPACTADO MANUAL CON MATERIAL DE BASE E=4"</t>
  </si>
  <si>
    <t xml:space="preserve">         CONCRETO F'C=175 KG/CM2. PARA  VEREDAS</t>
  </si>
  <si>
    <t xml:space="preserve">   RAMPAS PARA DISCAPACITADOS</t>
  </si>
  <si>
    <t xml:space="preserve">         EXCAVACION MANUAL EN TERRENO SUELTO PARA RAMPAS.</t>
  </si>
  <si>
    <t xml:space="preserve">      CONCRETO EN RAMPAS PARA DISCAPACITADOS</t>
  </si>
  <si>
    <t xml:space="preserve">         ENCOFRADO Y DESENCOFRADO EN RAMPAS DE ACCESO</t>
  </si>
  <si>
    <t xml:space="preserve">         CONCRETO F'C=175 KG/CM2. PARA  RAMPA DE ACCESO</t>
  </si>
  <si>
    <t xml:space="preserve">         FROTACHADO EN RAMPAS DE ACCESO</t>
  </si>
  <si>
    <t xml:space="preserve">         BRUÑA EN RAMPAS DE ACCESO</t>
  </si>
  <si>
    <t xml:space="preserve">      FLETE TERRESTRE- TRANSITO PEATONAL</t>
  </si>
  <si>
    <t>INSTALACION DE AREAS VERDES</t>
  </si>
  <si>
    <t xml:space="preserve">      EXCAVACION MANUAL EN TERRENO SUELTO PARA AREAS VERDES, hasta=0.20mts.</t>
  </si>
  <si>
    <t xml:space="preserve">      ELIMINACION DE MATERIAL EXCEDENTE  CON MAQUINARIA</t>
  </si>
  <si>
    <t xml:space="preserve">   OBRAS DE TRATAMIENTO DE AREAS VERDES</t>
  </si>
  <si>
    <t xml:space="preserve">      SUM. Y COL. DE FLORES ORNAMENTALES</t>
  </si>
  <si>
    <t>01.04.03</t>
  </si>
  <si>
    <t>01.05.02.03</t>
  </si>
  <si>
    <t>01.05.05</t>
  </si>
  <si>
    <t>01.05.05.01</t>
  </si>
  <si>
    <t>01.05.05.02</t>
  </si>
  <si>
    <t>01.05.05.03</t>
  </si>
  <si>
    <t>01.05.05.04</t>
  </si>
  <si>
    <t>01.05.05.05</t>
  </si>
  <si>
    <t>01.05.05.06</t>
  </si>
  <si>
    <t>01.05.05.07</t>
  </si>
  <si>
    <t>01.05.05.08</t>
  </si>
  <si>
    <t>01.06.03</t>
  </si>
  <si>
    <t>01.06.03.01</t>
  </si>
  <si>
    <t>01.06.04</t>
  </si>
  <si>
    <t>01.06.04.01</t>
  </si>
  <si>
    <t>01.06.05</t>
  </si>
  <si>
    <t>01.06.05.01</t>
  </si>
  <si>
    <t>01.06.05.02</t>
  </si>
  <si>
    <t>01.06.05.03</t>
  </si>
  <si>
    <t>01.06.05.04</t>
  </si>
  <si>
    <t>01.06.05.05</t>
  </si>
  <si>
    <t>01.07.01.05</t>
  </si>
  <si>
    <t>01.07.02.02</t>
  </si>
  <si>
    <t>01.08.01.05</t>
  </si>
  <si>
    <t>01.09.02.03</t>
  </si>
  <si>
    <t>01.09.02.04</t>
  </si>
  <si>
    <t>01.09.02.05</t>
  </si>
  <si>
    <t>01.10.02.03</t>
  </si>
  <si>
    <t>01.10.03</t>
  </si>
  <si>
    <t>01.10.03.01</t>
  </si>
  <si>
    <t>01.10.03.02</t>
  </si>
  <si>
    <t>01.10.03.03</t>
  </si>
  <si>
    <t>01.10.03.04</t>
  </si>
  <si>
    <t>01.10.04</t>
  </si>
  <si>
    <t>01.10.04.01</t>
  </si>
  <si>
    <t>01.10.05</t>
  </si>
  <si>
    <t>01.10.05.01</t>
  </si>
  <si>
    <t>01.11.01.04</t>
  </si>
  <si>
    <t>01.11.03</t>
  </si>
  <si>
    <t>01.11.03.01</t>
  </si>
  <si>
    <t>01.11.03.02</t>
  </si>
  <si>
    <t>01.11.04</t>
  </si>
  <si>
    <t>01.11.04.01</t>
  </si>
  <si>
    <t>01.11.04.02</t>
  </si>
  <si>
    <t>01.11.04.03</t>
  </si>
  <si>
    <t>01.11.04.04</t>
  </si>
  <si>
    <t>01.11.04.05</t>
  </si>
  <si>
    <t>01.12.01.01.01</t>
  </si>
  <si>
    <t>01.12.01.02.01</t>
  </si>
  <si>
    <t>01.12.01.02.02</t>
  </si>
  <si>
    <t>01.12.01.02.03</t>
  </si>
  <si>
    <t>01.12.01.03.01</t>
  </si>
  <si>
    <t>01.12.01.03.02</t>
  </si>
  <si>
    <t>01.12.01.03.03</t>
  </si>
  <si>
    <t>01.12.01.03.04</t>
  </si>
  <si>
    <t>01.12.01.03.05</t>
  </si>
  <si>
    <t>01.12.01.03.06</t>
  </si>
  <si>
    <t>01.12.02.01.01</t>
  </si>
  <si>
    <t>01.12.02.02.01</t>
  </si>
  <si>
    <t>01.12.02.02.02</t>
  </si>
  <si>
    <t>01.12.02.02.03</t>
  </si>
  <si>
    <t>01.12.02.03.01</t>
  </si>
  <si>
    <t>01.12.02.03.02</t>
  </si>
  <si>
    <t>01.12.02.03.03</t>
  </si>
  <si>
    <t>01.12.02.03.04</t>
  </si>
  <si>
    <t>01.15.01.01</t>
  </si>
  <si>
    <t>01.15.01.02</t>
  </si>
  <si>
    <t>01.15.01.03</t>
  </si>
  <si>
    <t>01.15.01.04</t>
  </si>
  <si>
    <t>02.02.03</t>
  </si>
  <si>
    <t>02.02.03.01</t>
  </si>
  <si>
    <t>02.02.03.02</t>
  </si>
  <si>
    <t>02.02.03.03</t>
  </si>
  <si>
    <t>02.02.03.04</t>
  </si>
  <si>
    <t>02.02.03.05</t>
  </si>
  <si>
    <t>02.02.03.06</t>
  </si>
  <si>
    <t>02.02.03.07</t>
  </si>
  <si>
    <t>02.03.01.01</t>
  </si>
  <si>
    <t>02.03.01.02</t>
  </si>
  <si>
    <t>02.03.01.03</t>
  </si>
  <si>
    <t>02.03.02.01</t>
  </si>
  <si>
    <t>02.03.02.02</t>
  </si>
  <si>
    <t>02.03.02.03</t>
  </si>
  <si>
    <t>02.03.02.04</t>
  </si>
  <si>
    <t>02.03.02.05</t>
  </si>
  <si>
    <t>02.03.02.06</t>
  </si>
  <si>
    <t>02.03.02.07</t>
  </si>
  <si>
    <t>02.04</t>
  </si>
  <si>
    <t>02.04.01</t>
  </si>
  <si>
    <t>03.01.02</t>
  </si>
  <si>
    <t>03.02.02</t>
  </si>
  <si>
    <t>03.02.03</t>
  </si>
  <si>
    <t>03.02.04</t>
  </si>
  <si>
    <t>“MEJORAMIENTO DE LA TRANSITABILIDAD VEHICULAR Y PEATONAL DEL JR. BENIGNO LA TORRE PALMA CUADRA 03 DE LA CIUDAD DE ABANCAY DEL DISTRITO DE ABANCAY - PROVINCIA DE ABANCAY - DEPARTAMENTO DE APURIMAC”</t>
  </si>
  <si>
    <t>PROPIETARIO:</t>
  </si>
  <si>
    <t>Presupuesto (S/.)</t>
  </si>
  <si>
    <t>CRONOGRAMA FINANCIERO</t>
  </si>
  <si>
    <t>OCTUBRE</t>
  </si>
  <si>
    <t>NOVIEMBRE</t>
  </si>
  <si>
    <t>ENERO</t>
  </si>
  <si>
    <t>GASTOS GENERALES (7.38%)</t>
  </si>
  <si>
    <t>GASTOS DE SUPERVISION (2.22%)</t>
  </si>
  <si>
    <t>GASTOS DE LIQUIDACION (0.85%)</t>
  </si>
  <si>
    <t>EXPEDIENTE TECNICO (1.03%)</t>
  </si>
  <si>
    <t>PRESUPUESTO DE PROYECTO</t>
  </si>
  <si>
    <t>FORMATO FE - 16</t>
  </si>
  <si>
    <t xml:space="preserve"> CRONOGRAMA DE OBRA VALORIZADA</t>
  </si>
  <si>
    <t>III.- CONTROL DE AVANCE</t>
  </si>
  <si>
    <r>
      <t xml:space="preserve">3.1.- </t>
    </r>
    <r>
      <rPr>
        <b/>
        <u/>
        <sz val="11"/>
        <rFont val="Calibri"/>
        <family val="2"/>
        <scheme val="minor"/>
      </rPr>
      <t>AVANCE FISICO DE OBRA</t>
    </r>
  </si>
  <si>
    <t>Especificamente durante el mes se realizaron las siguientes actividades</t>
  </si>
  <si>
    <r>
      <t xml:space="preserve">3.2.- </t>
    </r>
    <r>
      <rPr>
        <b/>
        <u/>
        <sz val="11"/>
        <rFont val="Calibri"/>
        <family val="2"/>
        <scheme val="minor"/>
      </rPr>
      <t>INFORMACIÓN FISICA - FINANCIERA DEL PERIODO</t>
    </r>
  </si>
  <si>
    <t>IV.- CONTROL DE MANO DE OBRA</t>
  </si>
  <si>
    <t>del victor</t>
  </si>
  <si>
    <t>CRONOGRAMA DE VALORIZACION</t>
  </si>
  <si>
    <t>V.- PRINCIPALES OCURRENCIAS EN EL MES</t>
  </si>
  <si>
    <t>VI.- DOCUMENTACION</t>
  </si>
  <si>
    <r>
      <t xml:space="preserve">6.1.- </t>
    </r>
    <r>
      <rPr>
        <b/>
        <u/>
        <sz val="11"/>
        <rFont val="Calibri"/>
        <family val="2"/>
        <scheme val="minor"/>
      </rPr>
      <t>CUADERNO DE OBRA</t>
    </r>
  </si>
  <si>
    <t>TOTAL COSTO DIRECTO</t>
  </si>
  <si>
    <t>FEBRERO</t>
  </si>
  <si>
    <t>2.4.- AVANCE FINANCIERO</t>
  </si>
  <si>
    <t>INFORME MENSUAL FISICO-FINANCIERO</t>
  </si>
  <si>
    <t>UBICACIÓN :</t>
  </si>
  <si>
    <t>LOCALIDAD/SECTOR:</t>
  </si>
  <si>
    <t>DISTRITO:</t>
  </si>
  <si>
    <t>PROVINCIA:</t>
  </si>
  <si>
    <t>DEPARTAMENTO:</t>
  </si>
  <si>
    <t>SUPERVISOR DE OBRA:</t>
  </si>
  <si>
    <t>RESIDENTE DE OBRA:</t>
  </si>
  <si>
    <t>Fecha de inicio de obra</t>
  </si>
  <si>
    <t>Gastos de expediente tecnico</t>
  </si>
  <si>
    <t>Gestion del proyecto</t>
  </si>
  <si>
    <t>Gastos COVID-19</t>
  </si>
  <si>
    <t>Gastos de liquidacion</t>
  </si>
  <si>
    <t>MARZO</t>
  </si>
  <si>
    <t>ESPECIFICA DE GASTO</t>
  </si>
  <si>
    <t>MONTO ACUMULADO</t>
  </si>
  <si>
    <t>COSTO ADMI.DIRECTA -PERSONAL</t>
  </si>
  <si>
    <t>COSTO ADMI.DIRECTA -BIENES</t>
  </si>
  <si>
    <t>COSTO ADMI.DIRECTA -SERVICIOS</t>
  </si>
  <si>
    <t>2.6.81.41</t>
  </si>
  <si>
    <t>GASTO-PERSONAL</t>
  </si>
  <si>
    <t>2.6.81.42</t>
  </si>
  <si>
    <t>GASTO-COMPRA DE BIENES</t>
  </si>
  <si>
    <t>2.6.81.43</t>
  </si>
  <si>
    <t>GASTO-CONTRATACION DE SERVICIO</t>
  </si>
  <si>
    <t>2.5.- CUADRO DE ESPECIFICA DE GASTOS</t>
  </si>
  <si>
    <t>pto</t>
  </si>
  <si>
    <t>29/02/2021</t>
  </si>
  <si>
    <t xml:space="preserve">FECHA  </t>
  </si>
  <si>
    <t>LOCALIDAD</t>
  </si>
  <si>
    <t xml:space="preserve">PROVINCIA </t>
  </si>
  <si>
    <t xml:space="preserve">Plazo de Ejecucion </t>
  </si>
  <si>
    <t>DEPARTAMENTO</t>
  </si>
  <si>
    <t>CORRELATIVO DE META:</t>
  </si>
  <si>
    <t>RESPONSABLES:</t>
  </si>
  <si>
    <t>Acta de Entreda de Terreno y inicio de Obra</t>
  </si>
  <si>
    <t xml:space="preserve">Memoria Descriptiva </t>
  </si>
  <si>
    <t>Resumen mensual</t>
  </si>
  <si>
    <t>Control fisico de Obra</t>
  </si>
  <si>
    <t>Curvas S</t>
  </si>
  <si>
    <t>Resumen planilla de Metrados</t>
  </si>
  <si>
    <t>Planilla de Metrados</t>
  </si>
  <si>
    <t>Resumen Planilla de Mayores  Metrados</t>
  </si>
  <si>
    <t>Planilla de Mayores  Metrados</t>
  </si>
  <si>
    <t xml:space="preserve">Valorización de Mayores Metrados </t>
  </si>
  <si>
    <t>Resumen Planilla de Adicionales</t>
  </si>
  <si>
    <t>Planilla de Adicionales de Obra</t>
  </si>
  <si>
    <t>Valorización de Adicionales de Obra</t>
  </si>
  <si>
    <t>Vale Pampa</t>
  </si>
  <si>
    <t>Copia O/C, O/S Y Cmprobantes</t>
  </si>
  <si>
    <t>Tareo del personal Obrero</t>
  </si>
  <si>
    <t>Panel fotografico</t>
  </si>
  <si>
    <t>VALORIZACION</t>
  </si>
  <si>
    <t>PRESUPUESTO EXPEDIENTE TECNICO</t>
  </si>
  <si>
    <t>VALORIZADO</t>
  </si>
  <si>
    <t>GASTOS DE COVID</t>
  </si>
  <si>
    <t>“MEJORAMIENTO DE LA GESTIÓN MUNICIPAL Y SERVICIO ADMINISTRATIVO DE LA MUNICIPALIDAD PROVINCIAL DE ABANCAY, DISTRITO DE ABANCAY - PROVINCIA DE ABANCAY - DEPARTAMENTO DE APURIMAC”.</t>
  </si>
  <si>
    <t>Jr.LIMA N°206</t>
  </si>
  <si>
    <t>RESOLUCIÓN GERENCIAL MUNICIPAL N°455-2021-GM-MPA</t>
  </si>
  <si>
    <t>Jr. LIMA N°206</t>
  </si>
  <si>
    <t>MEJORAMIENTO DE LA GESTIÓN MUNICIPAL Y SERVICIO ADMINISTRATIVO DE LA MUNICIPALIDAD PROVINCIAL DE ABANCAY, DISTRITO DE ABANCAY - PROVINCIA DE ABANCAY - DEPARTAMENTO DE APURIMAC.</t>
  </si>
  <si>
    <t>Año 2022</t>
  </si>
  <si>
    <t>Division funcional:</t>
  </si>
  <si>
    <t>Grupo Funcional:</t>
  </si>
  <si>
    <t>Sector Responsable:</t>
  </si>
  <si>
    <t xml:space="preserve"> 
VIVIENDA, CONSTRUCCION Y SANEAMIENTO</t>
  </si>
  <si>
    <t xml:space="preserve">   Tipologia de proyecto:</t>
  </si>
  <si>
    <t>ESPACIOS PÚBLICOS PARA LA INTEGRACIÓN</t>
  </si>
  <si>
    <t>425 DIAS CALENDARIOS</t>
  </si>
  <si>
    <t>JR.LIMA N°206</t>
  </si>
  <si>
    <t>1.1.1</t>
  </si>
  <si>
    <t>1.1.1.1</t>
  </si>
  <si>
    <t>1.1.1.2</t>
  </si>
  <si>
    <t>1.1.1.3</t>
  </si>
  <si>
    <t>1.1.1.4</t>
  </si>
  <si>
    <t>1.1.2</t>
  </si>
  <si>
    <t>1.1.2.1</t>
  </si>
  <si>
    <t>1.1.2.2</t>
  </si>
  <si>
    <t>1.1.3</t>
  </si>
  <si>
    <t>1.1.3.1</t>
  </si>
  <si>
    <t>1.1.4</t>
  </si>
  <si>
    <t>1.1.4.1</t>
  </si>
  <si>
    <t>1.1.5</t>
  </si>
  <si>
    <t>1.1.5.1</t>
  </si>
  <si>
    <t>1.1.5.2</t>
  </si>
  <si>
    <t>1.2.1</t>
  </si>
  <si>
    <t>1.2.2</t>
  </si>
  <si>
    <t>1.2.3</t>
  </si>
  <si>
    <t>1.2.4</t>
  </si>
  <si>
    <t>1.2.5</t>
  </si>
  <si>
    <t>1.2.6</t>
  </si>
  <si>
    <t>2.1.1</t>
  </si>
  <si>
    <t>2.1.1.1</t>
  </si>
  <si>
    <t>2.1.2</t>
  </si>
  <si>
    <t>2.1.2.1</t>
  </si>
  <si>
    <t>2.2.1</t>
  </si>
  <si>
    <t>2.2.1.1</t>
  </si>
  <si>
    <t>2.2.1.2</t>
  </si>
  <si>
    <t>2.2.1.3</t>
  </si>
  <si>
    <t>2.2.2</t>
  </si>
  <si>
    <t>2.2.2.1</t>
  </si>
  <si>
    <t>2.2.2.2</t>
  </si>
  <si>
    <t>2.2.2.3</t>
  </si>
  <si>
    <t>2.2.3</t>
  </si>
  <si>
    <t>2.2.3.1</t>
  </si>
  <si>
    <t>2.2.3.2</t>
  </si>
  <si>
    <t>2.2.3.3</t>
  </si>
  <si>
    <t>2.2.4</t>
  </si>
  <si>
    <t>2.2.4.1</t>
  </si>
  <si>
    <t>2.2.4.2</t>
  </si>
  <si>
    <t>2.2.4.3</t>
  </si>
  <si>
    <t>2.2.5</t>
  </si>
  <si>
    <t>2.2.5.1</t>
  </si>
  <si>
    <t>2.2.5.2</t>
  </si>
  <si>
    <t>2.2.5.3</t>
  </si>
  <si>
    <t>2.2.6</t>
  </si>
  <si>
    <t>2.2.6.1</t>
  </si>
  <si>
    <t>2.2.6.2</t>
  </si>
  <si>
    <t>2.2.6.3</t>
  </si>
  <si>
    <t>2.2.7</t>
  </si>
  <si>
    <t>2.2.7.1</t>
  </si>
  <si>
    <t>2.2.7.2</t>
  </si>
  <si>
    <t>2.2.7.3</t>
  </si>
  <si>
    <t>2.2.7.4</t>
  </si>
  <si>
    <t>2.2.8</t>
  </si>
  <si>
    <t>2.2.8.1</t>
  </si>
  <si>
    <t>2.2.8.2</t>
  </si>
  <si>
    <t>2.2.8.3</t>
  </si>
  <si>
    <t>2.3.1</t>
  </si>
  <si>
    <t>2.3.2</t>
  </si>
  <si>
    <t>3.1.1</t>
  </si>
  <si>
    <t>3.1.2</t>
  </si>
  <si>
    <t>3.2.1</t>
  </si>
  <si>
    <t>3.2.2</t>
  </si>
  <si>
    <t>3.2.3</t>
  </si>
  <si>
    <t>3.3.1</t>
  </si>
  <si>
    <t>3.3.2</t>
  </si>
  <si>
    <t>3.3.3</t>
  </si>
  <si>
    <t>3.3.4</t>
  </si>
  <si>
    <t>3.3.5</t>
  </si>
  <si>
    <t>3.3.6</t>
  </si>
  <si>
    <t>3.3.7</t>
  </si>
  <si>
    <t>3.3.8</t>
  </si>
  <si>
    <t>3.3.9</t>
  </si>
  <si>
    <t>3.3.10</t>
  </si>
  <si>
    <t>3.3.11</t>
  </si>
  <si>
    <t>3.4.1</t>
  </si>
  <si>
    <t>3.5.1</t>
  </si>
  <si>
    <t>3.5.2</t>
  </si>
  <si>
    <t>3.5.3</t>
  </si>
  <si>
    <t>3.6.1</t>
  </si>
  <si>
    <t>3.6.2</t>
  </si>
  <si>
    <t>3.6.3</t>
  </si>
  <si>
    <t>3.6.4</t>
  </si>
  <si>
    <t>3.6.5</t>
  </si>
  <si>
    <t>3.6.6</t>
  </si>
  <si>
    <t>3.6.7</t>
  </si>
  <si>
    <t>3.6.8</t>
  </si>
  <si>
    <t>3.6.9</t>
  </si>
  <si>
    <t>3.7.1</t>
  </si>
  <si>
    <t>3.7.2</t>
  </si>
  <si>
    <t>3.8.1</t>
  </si>
  <si>
    <t>3.9.1</t>
  </si>
  <si>
    <t>3.10.1</t>
  </si>
  <si>
    <t>3.10.2</t>
  </si>
  <si>
    <t>3.10.3</t>
  </si>
  <si>
    <t>3.10.4</t>
  </si>
  <si>
    <t>3.10.5</t>
  </si>
  <si>
    <t>4.1.1</t>
  </si>
  <si>
    <t>4.1.1.1</t>
  </si>
  <si>
    <t>4.1.1.2</t>
  </si>
  <si>
    <t>4.1.1.3</t>
  </si>
  <si>
    <t>4.1.1.4</t>
  </si>
  <si>
    <t>4.1.1.5</t>
  </si>
  <si>
    <t>4.2.1</t>
  </si>
  <si>
    <t>4.2.1.1</t>
  </si>
  <si>
    <t>4.2.1.2</t>
  </si>
  <si>
    <t>4.2.1.3</t>
  </si>
  <si>
    <t>4.2.2</t>
  </si>
  <si>
    <t>4.2.2.1</t>
  </si>
  <si>
    <t>4.2.2.2</t>
  </si>
  <si>
    <t>4.2.2.3</t>
  </si>
  <si>
    <t>4.2.3</t>
  </si>
  <si>
    <t>4.2.3.1</t>
  </si>
  <si>
    <t>4.2.4</t>
  </si>
  <si>
    <t>4.2.4.1</t>
  </si>
  <si>
    <t>4.2.4.2</t>
  </si>
  <si>
    <t>4.2.4.3</t>
  </si>
  <si>
    <t>4.2.4.4</t>
  </si>
  <si>
    <t>4.2.4.5</t>
  </si>
  <si>
    <t>4.2.4.6</t>
  </si>
  <si>
    <t>4.2.4.7</t>
  </si>
  <si>
    <t>4.2.4.8</t>
  </si>
  <si>
    <t>4.2.4.9</t>
  </si>
  <si>
    <t>4.2.5</t>
  </si>
  <si>
    <t>4.2.5.1</t>
  </si>
  <si>
    <t>4.2.6</t>
  </si>
  <si>
    <t>4.2.6.1</t>
  </si>
  <si>
    <t>4.2.6.2</t>
  </si>
  <si>
    <t>4.2.7</t>
  </si>
  <si>
    <t>4.2.7.1</t>
  </si>
  <si>
    <t>4.2.7.1.1</t>
  </si>
  <si>
    <t>4.2.7.1.2</t>
  </si>
  <si>
    <t>4.2.7.1.3</t>
  </si>
  <si>
    <t>4.2.7.1.4</t>
  </si>
  <si>
    <t>4.2.7.2</t>
  </si>
  <si>
    <t>4.2.7.2.1</t>
  </si>
  <si>
    <t>4.2.7.2.2</t>
  </si>
  <si>
    <t>4.2.7.2.3</t>
  </si>
  <si>
    <t>4.2.7.2.4</t>
  </si>
  <si>
    <t>4.2.7.2.5</t>
  </si>
  <si>
    <t>4.2.7.2.6</t>
  </si>
  <si>
    <t>4.3.1</t>
  </si>
  <si>
    <t>4.3.1.1</t>
  </si>
  <si>
    <t>4.3.2</t>
  </si>
  <si>
    <t>4.3.2.1</t>
  </si>
  <si>
    <t>4.3.2.2</t>
  </si>
  <si>
    <t>4.3.2.3</t>
  </si>
  <si>
    <t>4.3.2.4</t>
  </si>
  <si>
    <t>4.3.2.5</t>
  </si>
  <si>
    <t>4.3.2.6</t>
  </si>
  <si>
    <t>4.3.2.7</t>
  </si>
  <si>
    <t>4.3.2.8</t>
  </si>
  <si>
    <t>4.3.2.9</t>
  </si>
  <si>
    <t>4.3.2.10</t>
  </si>
  <si>
    <t>4.3.2.11</t>
  </si>
  <si>
    <t>4.3.2.12</t>
  </si>
  <si>
    <t>4.3.2.13</t>
  </si>
  <si>
    <t>4.3.3</t>
  </si>
  <si>
    <t>4.3.3.1</t>
  </si>
  <si>
    <t>4.3.3.2</t>
  </si>
  <si>
    <t>4.3.3.3</t>
  </si>
  <si>
    <t>4.3.4</t>
  </si>
  <si>
    <t>4.3.4.1</t>
  </si>
  <si>
    <t>4.3.4.2</t>
  </si>
  <si>
    <t>4.3.4.3</t>
  </si>
  <si>
    <t>4.4.1</t>
  </si>
  <si>
    <t>4.4.1.1</t>
  </si>
  <si>
    <t>4.4.1.2</t>
  </si>
  <si>
    <t>4.4.1.3</t>
  </si>
  <si>
    <t>4.4.2</t>
  </si>
  <si>
    <t>4.4.2.1</t>
  </si>
  <si>
    <t>4.4.2.2</t>
  </si>
  <si>
    <t>4.4.2.3</t>
  </si>
  <si>
    <t>4.4.2.4</t>
  </si>
  <si>
    <t>4.4.2.5</t>
  </si>
  <si>
    <t>4.4.2.6</t>
  </si>
  <si>
    <t>4.4.2.7</t>
  </si>
  <si>
    <t>4.4.2.8</t>
  </si>
  <si>
    <t>4.4.2.9</t>
  </si>
  <si>
    <t>4.4.2.10</t>
  </si>
  <si>
    <t>4.4.2.11</t>
  </si>
  <si>
    <t>4.4.3</t>
  </si>
  <si>
    <t>4.4.3.1</t>
  </si>
  <si>
    <t>4.4.4</t>
  </si>
  <si>
    <t>4.4.4.1</t>
  </si>
  <si>
    <t>4.4.5</t>
  </si>
  <si>
    <t>4.4.5.1</t>
  </si>
  <si>
    <t>4.4.5.2</t>
  </si>
  <si>
    <t>4.4.6</t>
  </si>
  <si>
    <t>4.4.6.1</t>
  </si>
  <si>
    <t>4.4.6.2</t>
  </si>
  <si>
    <t>4.5.1</t>
  </si>
  <si>
    <t>4.5.1.1</t>
  </si>
  <si>
    <t>4.5.1.2</t>
  </si>
  <si>
    <t>5.1.1</t>
  </si>
  <si>
    <t>5.1.2</t>
  </si>
  <si>
    <t>5.1.3</t>
  </si>
  <si>
    <t>5.1.4</t>
  </si>
  <si>
    <t>5.1.5</t>
  </si>
  <si>
    <t>5.2.1</t>
  </si>
  <si>
    <t>5.2.2</t>
  </si>
  <si>
    <t>5.3.1</t>
  </si>
  <si>
    <t>5.3.2</t>
  </si>
  <si>
    <t>5.4.1</t>
  </si>
  <si>
    <t>5.4.1.1</t>
  </si>
  <si>
    <t>5.4.1.2</t>
  </si>
  <si>
    <t>5.4.1.3</t>
  </si>
  <si>
    <t>5.4.1.4</t>
  </si>
  <si>
    <t>5.4.1.5</t>
  </si>
  <si>
    <t>5.4.1.6</t>
  </si>
  <si>
    <t>5.4.1.7</t>
  </si>
  <si>
    <t>5.4.1.8</t>
  </si>
  <si>
    <t>5.4.1.9</t>
  </si>
  <si>
    <t>5.4.1.10</t>
  </si>
  <si>
    <t>5.4.1.11</t>
  </si>
  <si>
    <t>5.4.1.12</t>
  </si>
  <si>
    <t>5.4.1.13</t>
  </si>
  <si>
    <t>5.4.1.14</t>
  </si>
  <si>
    <t>5.4.1.15</t>
  </si>
  <si>
    <t>5.4.1.16</t>
  </si>
  <si>
    <t>5.4.1.17</t>
  </si>
  <si>
    <t>5.4.1.18</t>
  </si>
  <si>
    <t>5.4.1.19</t>
  </si>
  <si>
    <t>5.4.1.20</t>
  </si>
  <si>
    <t>5.4.1.21</t>
  </si>
  <si>
    <t>5.4.1.22</t>
  </si>
  <si>
    <t>5.4.1.23</t>
  </si>
  <si>
    <t>5.4.1.24</t>
  </si>
  <si>
    <t>5.4.1.25</t>
  </si>
  <si>
    <t>5.4.2</t>
  </si>
  <si>
    <t>5.4.2.1</t>
  </si>
  <si>
    <t>5.4.2.2</t>
  </si>
  <si>
    <t>5.4.2.3</t>
  </si>
  <si>
    <t>5.4.2.4</t>
  </si>
  <si>
    <t>5.4.2.5</t>
  </si>
  <si>
    <t>5.4.2.6</t>
  </si>
  <si>
    <t>5.4.2.7</t>
  </si>
  <si>
    <t>5.4.2.8</t>
  </si>
  <si>
    <t>5.4.2.9</t>
  </si>
  <si>
    <t>5.4.3</t>
  </si>
  <si>
    <t>5.4.3.1</t>
  </si>
  <si>
    <t>5.4.3.2</t>
  </si>
  <si>
    <t>5.4.3.3</t>
  </si>
  <si>
    <t>5.4.3.4</t>
  </si>
  <si>
    <t>5.4.4</t>
  </si>
  <si>
    <t>5.4.4.1</t>
  </si>
  <si>
    <t>5.4.4.2</t>
  </si>
  <si>
    <t>5.4.4.3</t>
  </si>
  <si>
    <t>5.4.4.4</t>
  </si>
  <si>
    <t>5.4.4.5</t>
  </si>
  <si>
    <t>5.5.1</t>
  </si>
  <si>
    <t>5.5.1.1</t>
  </si>
  <si>
    <t>5.5.2</t>
  </si>
  <si>
    <t>5.5.2.1</t>
  </si>
  <si>
    <t>5.5.2.2</t>
  </si>
  <si>
    <t>5.5.3</t>
  </si>
  <si>
    <t>5.5.3.1</t>
  </si>
  <si>
    <t>5.5.3.2</t>
  </si>
  <si>
    <t>5.5.3.3</t>
  </si>
  <si>
    <t>5.5.3.4</t>
  </si>
  <si>
    <t>5.5.3.5</t>
  </si>
  <si>
    <t>5.5.3.6</t>
  </si>
  <si>
    <t>5.5.3.7</t>
  </si>
  <si>
    <t>5.5.3.8</t>
  </si>
  <si>
    <t>5.5.3.9</t>
  </si>
  <si>
    <t>5.6.1</t>
  </si>
  <si>
    <t>5.6.2</t>
  </si>
  <si>
    <t>5.6.3</t>
  </si>
  <si>
    <t>5.6.4</t>
  </si>
  <si>
    <t>5.6.5</t>
  </si>
  <si>
    <t>5.7.1</t>
  </si>
  <si>
    <t>5.7.2</t>
  </si>
  <si>
    <t>6.1.1</t>
  </si>
  <si>
    <t>6.1.2</t>
  </si>
  <si>
    <t>6.1.3</t>
  </si>
  <si>
    <t>6.1.4</t>
  </si>
  <si>
    <t>6.1.5</t>
  </si>
  <si>
    <t>6.2.1</t>
  </si>
  <si>
    <t>6.2.1.1</t>
  </si>
  <si>
    <t>6.2.1.2</t>
  </si>
  <si>
    <t>6.2.2</t>
  </si>
  <si>
    <t>6.2.2.1</t>
  </si>
  <si>
    <t>6.2.2.2</t>
  </si>
  <si>
    <t>6.2.2.3</t>
  </si>
  <si>
    <t>6.2.2.4</t>
  </si>
  <si>
    <t>6.2.2.5</t>
  </si>
  <si>
    <t>6.2.2.6</t>
  </si>
  <si>
    <t>6.2.3</t>
  </si>
  <si>
    <t>6.2.3.1</t>
  </si>
  <si>
    <t>6.2.3.2</t>
  </si>
  <si>
    <t>6.2.4</t>
  </si>
  <si>
    <t>6.2.4.1</t>
  </si>
  <si>
    <t>6.2.4.2</t>
  </si>
  <si>
    <t>6.2.4.3</t>
  </si>
  <si>
    <t>6.2.5</t>
  </si>
  <si>
    <t>6.2.5.1</t>
  </si>
  <si>
    <t>6.2.6</t>
  </si>
  <si>
    <t>6.2.6.1</t>
  </si>
  <si>
    <t>6.2.6.2</t>
  </si>
  <si>
    <t>6.2.6.3</t>
  </si>
  <si>
    <t>6.2.6.4</t>
  </si>
  <si>
    <t>6.2.7</t>
  </si>
  <si>
    <t>6.2.7.1</t>
  </si>
  <si>
    <t>6.2.7.2</t>
  </si>
  <si>
    <t>6.2.7.3</t>
  </si>
  <si>
    <t>6.2.7.4</t>
  </si>
  <si>
    <t>6.2.7.5</t>
  </si>
  <si>
    <t>6.2.7.6</t>
  </si>
  <si>
    <t>6.2.7.7</t>
  </si>
  <si>
    <t>6.2.7.8</t>
  </si>
  <si>
    <t>6.2.7.9</t>
  </si>
  <si>
    <t>6.2.8</t>
  </si>
  <si>
    <t>6.2.8.1</t>
  </si>
  <si>
    <t>6.3.1</t>
  </si>
  <si>
    <t>6.3.1.1</t>
  </si>
  <si>
    <t>6.3.2</t>
  </si>
  <si>
    <t>6.3.2.1</t>
  </si>
  <si>
    <t>6.3.2.2</t>
  </si>
  <si>
    <t>6.3.2.3</t>
  </si>
  <si>
    <t>6.3.2.4</t>
  </si>
  <si>
    <t>6.3.2.5</t>
  </si>
  <si>
    <t>6.3.2.6</t>
  </si>
  <si>
    <t>6.3.3</t>
  </si>
  <si>
    <t>6.3.3.1</t>
  </si>
  <si>
    <t>6.3.3.2</t>
  </si>
  <si>
    <t>6.3.4</t>
  </si>
  <si>
    <t>6.3.4.1</t>
  </si>
  <si>
    <t>6.3.4.2</t>
  </si>
  <si>
    <t>6.3.4.3</t>
  </si>
  <si>
    <t>6.3.4.4</t>
  </si>
  <si>
    <t>6.3.5</t>
  </si>
  <si>
    <t>6.3.5.1</t>
  </si>
  <si>
    <t>6.3.6</t>
  </si>
  <si>
    <t>6.3.6.1</t>
  </si>
  <si>
    <t>6.3.6.2</t>
  </si>
  <si>
    <t>6.3.6.3</t>
  </si>
  <si>
    <t>6.3.6.4</t>
  </si>
  <si>
    <t>6.3.6.5</t>
  </si>
  <si>
    <t>6.3.7</t>
  </si>
  <si>
    <t>6.3.7.1</t>
  </si>
  <si>
    <t>6.3.8</t>
  </si>
  <si>
    <t>6.3.8.1</t>
  </si>
  <si>
    <t>6.4.1</t>
  </si>
  <si>
    <t>6.4.1.1</t>
  </si>
  <si>
    <t>6.4.1.2</t>
  </si>
  <si>
    <t>6.4.2</t>
  </si>
  <si>
    <t>6.4.2.1</t>
  </si>
  <si>
    <t>6.4.2.2</t>
  </si>
  <si>
    <t>6.4.2.3</t>
  </si>
  <si>
    <t>6.4.2.4</t>
  </si>
  <si>
    <t>6.4.2.5</t>
  </si>
  <si>
    <t>6.4.2.6</t>
  </si>
  <si>
    <t>6.4.2.7</t>
  </si>
  <si>
    <t>6.4.2.8</t>
  </si>
  <si>
    <t>6.4.3</t>
  </si>
  <si>
    <t>6.4.3.1</t>
  </si>
  <si>
    <t>6.4.3.2</t>
  </si>
  <si>
    <t>6.4.3.3</t>
  </si>
  <si>
    <t>6.4.4</t>
  </si>
  <si>
    <t>6.4.4.1</t>
  </si>
  <si>
    <t>6.4.4.2</t>
  </si>
  <si>
    <t>6.4.4.3</t>
  </si>
  <si>
    <t>6.4.4.4</t>
  </si>
  <si>
    <t>6.4.4.5</t>
  </si>
  <si>
    <t>6.4.5</t>
  </si>
  <si>
    <t>6.4.5.1</t>
  </si>
  <si>
    <t>6.4.5.1.1</t>
  </si>
  <si>
    <t>6.4.5.2</t>
  </si>
  <si>
    <t>6.4.5.2.1</t>
  </si>
  <si>
    <t>6.4.5.3</t>
  </si>
  <si>
    <t>6.4.5.3.1</t>
  </si>
  <si>
    <t>6.4.5.3.2</t>
  </si>
  <si>
    <t>6.4.5.3.3</t>
  </si>
  <si>
    <t>6.4.5.3.4</t>
  </si>
  <si>
    <t>6.4.5.3.5</t>
  </si>
  <si>
    <t>6.4.5.3.6</t>
  </si>
  <si>
    <t>6.4.5.3.7</t>
  </si>
  <si>
    <t>6.4.5.3.8</t>
  </si>
  <si>
    <t>6.4.6</t>
  </si>
  <si>
    <t>6.4.6.1</t>
  </si>
  <si>
    <t>6.5.1</t>
  </si>
  <si>
    <t>6.5.2</t>
  </si>
  <si>
    <t>6.6.1</t>
  </si>
  <si>
    <t>6.6.2</t>
  </si>
  <si>
    <t>6.6.3</t>
  </si>
  <si>
    <t>6.6.4</t>
  </si>
  <si>
    <t>6.6.5</t>
  </si>
  <si>
    <t>6.6.6</t>
  </si>
  <si>
    <t>6.6.7</t>
  </si>
  <si>
    <t>6.7.1</t>
  </si>
  <si>
    <t>6.7.1.1</t>
  </si>
  <si>
    <t>6.7.1.1.1</t>
  </si>
  <si>
    <t>6.7.1.1.1.1</t>
  </si>
  <si>
    <t>6.7.1.1.1.2</t>
  </si>
  <si>
    <t>6.7.1.1.2</t>
  </si>
  <si>
    <t>6.7.1.1.2.1</t>
  </si>
  <si>
    <t>6.8.1</t>
  </si>
  <si>
    <t>6.8.2</t>
  </si>
  <si>
    <t>6.8.3</t>
  </si>
  <si>
    <t>6.8.4</t>
  </si>
  <si>
    <t>6.8.5</t>
  </si>
  <si>
    <t>6.8.6</t>
  </si>
  <si>
    <t>6.9.1</t>
  </si>
  <si>
    <t>6.9.1.1</t>
  </si>
  <si>
    <t>6.9.1.2</t>
  </si>
  <si>
    <t>6.9.2</t>
  </si>
  <si>
    <t>6.9.2.1</t>
  </si>
  <si>
    <t>6.9.2.2</t>
  </si>
  <si>
    <t>6.9.2.3</t>
  </si>
  <si>
    <t>6.9.2.4</t>
  </si>
  <si>
    <t>6.9.2.5</t>
  </si>
  <si>
    <t>6.9.2.6</t>
  </si>
  <si>
    <t>6.9.2.7</t>
  </si>
  <si>
    <t>6.9.2.8</t>
  </si>
  <si>
    <t>6.9.2.9</t>
  </si>
  <si>
    <t>6.9.2.10</t>
  </si>
  <si>
    <t>6.9.2.11</t>
  </si>
  <si>
    <t>6.9.3</t>
  </si>
  <si>
    <t>6.9.3.1</t>
  </si>
  <si>
    <t>6.9.3.2</t>
  </si>
  <si>
    <t>6.9.3.3</t>
  </si>
  <si>
    <t>6.9.3.4</t>
  </si>
  <si>
    <t>6.9.3.5</t>
  </si>
  <si>
    <t>6.9.3.6</t>
  </si>
  <si>
    <t>6.9.3.7</t>
  </si>
  <si>
    <t>6.9.3.8</t>
  </si>
  <si>
    <t>6.9.4</t>
  </si>
  <si>
    <t>6.9.4.1</t>
  </si>
  <si>
    <t>6.9.4.2</t>
  </si>
  <si>
    <t>6.9.4.3</t>
  </si>
  <si>
    <t>6.9.5</t>
  </si>
  <si>
    <t>6.9.5.1</t>
  </si>
  <si>
    <t>6.9.5.2</t>
  </si>
  <si>
    <t>6.9.5.3</t>
  </si>
  <si>
    <t>6.9.6</t>
  </si>
  <si>
    <t>6.9.6.1</t>
  </si>
  <si>
    <t>6.9.6.2</t>
  </si>
  <si>
    <t>6.9.6.3</t>
  </si>
  <si>
    <t>6.9.6.4</t>
  </si>
  <si>
    <t>6.9.7</t>
  </si>
  <si>
    <t>6.9.7.1</t>
  </si>
  <si>
    <t>6.9.7.2</t>
  </si>
  <si>
    <t>6.9.8</t>
  </si>
  <si>
    <t>6.9.8.1</t>
  </si>
  <si>
    <t>6.9.8.2</t>
  </si>
  <si>
    <t>6.9.8.3</t>
  </si>
  <si>
    <t>6.9.8.4</t>
  </si>
  <si>
    <t>6.9.8.5</t>
  </si>
  <si>
    <t>6.9.8.6</t>
  </si>
  <si>
    <t>6.9.8.7</t>
  </si>
  <si>
    <t>6.9.8.8</t>
  </si>
  <si>
    <t>6.9.8.9</t>
  </si>
  <si>
    <t>6.9.8.10</t>
  </si>
  <si>
    <t>6.9.8.11</t>
  </si>
  <si>
    <t>6.9.8.12</t>
  </si>
  <si>
    <t>6.9.9</t>
  </si>
  <si>
    <t>6.9.9.1</t>
  </si>
  <si>
    <t>6.9.9.2</t>
  </si>
  <si>
    <t>6.9.9.3</t>
  </si>
  <si>
    <t>6.9.9.4</t>
  </si>
  <si>
    <t>6.9.9.5</t>
  </si>
  <si>
    <t>7.1.1</t>
  </si>
  <si>
    <t>7.1.2</t>
  </si>
  <si>
    <t>7.1.3</t>
  </si>
  <si>
    <t>7.1.4</t>
  </si>
  <si>
    <t>7.1.5</t>
  </si>
  <si>
    <t>7.1.6</t>
  </si>
  <si>
    <t>7.1.7</t>
  </si>
  <si>
    <t>7.1.8</t>
  </si>
  <si>
    <t>7.1.9</t>
  </si>
  <si>
    <t>7.1.10</t>
  </si>
  <si>
    <t>7.2.1</t>
  </si>
  <si>
    <t>7.2.2</t>
  </si>
  <si>
    <t>7.2.3</t>
  </si>
  <si>
    <t>7.2.4</t>
  </si>
  <si>
    <t>7.2.5</t>
  </si>
  <si>
    <t>7.2.6</t>
  </si>
  <si>
    <t>7.2.7</t>
  </si>
  <si>
    <t>7.2.8</t>
  </si>
  <si>
    <t>7.2.9</t>
  </si>
  <si>
    <t>7.2.10</t>
  </si>
  <si>
    <t>OBRAS PROVISIONALES, TRABAJOS PRELIMINARES, SEGURIDAD Y SALUD</t>
  </si>
  <si>
    <t>Obras Provisionales y Trabajos Preliminares</t>
  </si>
  <si>
    <t>Construcciones Provisionales</t>
  </si>
  <si>
    <t>ALMACEN, OFICINA Y CASETA DE GUARDIANIA</t>
  </si>
  <si>
    <t>CARTEL DE OBRA 2.40x3.60 m.</t>
  </si>
  <si>
    <t>SERVICIOS HIGIENICOS</t>
  </si>
  <si>
    <t>CERCO PROVISIONAL DE TRIPLAY DE 6.0 mm</t>
  </si>
  <si>
    <t>Instalaciones Provisionales</t>
  </si>
  <si>
    <t>AGUA PARA LA CONSTRUCCIÓN</t>
  </si>
  <si>
    <t>ENERGIA ELÉCTRICA PARA LA CONSTRUCCIÓN</t>
  </si>
  <si>
    <t>Demoliciones</t>
  </si>
  <si>
    <t>DEMOLICION DE ESTRUCTURA EXISTENTE</t>
  </si>
  <si>
    <t>Transporte de Equipo y Maquinaria</t>
  </si>
  <si>
    <t>MOVILIZACION DE EQUIPO Y MAQUINARIA</t>
  </si>
  <si>
    <t>Trazo, Niveles y Replanteo</t>
  </si>
  <si>
    <t>TRAZO Y REPLANTEO PRELIMINAR</t>
  </si>
  <si>
    <t>REPLANTEO DURANTE EL PROCESO</t>
  </si>
  <si>
    <t>Seguridad y Salud</t>
  </si>
  <si>
    <t>ELABORACIÓN, IMPLEMENTACIÓN Y ADMINISTRACIÓN DEL PLAN DE SEGURIDAD Y SALUD EN EL TRABAJO</t>
  </si>
  <si>
    <t>EQUIPOS DE PROTECCIÓN INDIVIDUAL</t>
  </si>
  <si>
    <t>EQUIPOS DE PROTECCIÓN COLECTIVA</t>
  </si>
  <si>
    <t>SEÑALIZACIÓN TEMPORAL DE SEGURIDAD</t>
  </si>
  <si>
    <t>CAPACITACIÓN EN SEGURIDAD Y SALUD</t>
  </si>
  <si>
    <t>RECURSOS PARA RESPUESTAS ANTE EMERGENCIAS EN SEGURIDAD Y SALUD EN EL TRABAJO</t>
  </si>
  <si>
    <t>ESTRUCTURAS</t>
  </si>
  <si>
    <t>Movimiento de Tierras</t>
  </si>
  <si>
    <t>Cortes</t>
  </si>
  <si>
    <t>CORTE MASIVO DE TERRENO CON MAQUINARIA</t>
  </si>
  <si>
    <t>Eliminacion de Material Excedente</t>
  </si>
  <si>
    <t>ELIMINACION DE MATERIAL EXCEDENTE CON MAQUINARIA</t>
  </si>
  <si>
    <t>Obras de Concreto Armado</t>
  </si>
  <si>
    <t>Losa de cimentación</t>
  </si>
  <si>
    <t>LOSA DE CIMENTACION - CONCRETO f'c=280 kg/cm2</t>
  </si>
  <si>
    <t>LOSA DE CIMENTACION - ENCOFRADO Y DESENCOFRADO</t>
  </si>
  <si>
    <t>LOSA DE CIMENTACION - ACERO fy=4200 kg/cm2</t>
  </si>
  <si>
    <t>Vigas de Cimentación</t>
  </si>
  <si>
    <t>VIGAS DE CIMENTACIÓN - CONCRETO f'c=280 kg/cm2</t>
  </si>
  <si>
    <t>VIGAS DE CIMENTACION - ENCOFRADO Y DESENCOFRADO</t>
  </si>
  <si>
    <t>VIGAS DE CIMENTACIÓN - ACERO fy=4200 kg/cm2</t>
  </si>
  <si>
    <t>Placas</t>
  </si>
  <si>
    <t>PLACAS - CONCRETO f'c=280 kg/cm2</t>
  </si>
  <si>
    <t>PLACAS - ENCOFRADO Y DESENCOFRADO</t>
  </si>
  <si>
    <t>PLACAS - ACERO fy=4200 kg/cm2</t>
  </si>
  <si>
    <t>Columnas</t>
  </si>
  <si>
    <t>COLUMNAS - CONCRETO f'c=280 kg/cm2</t>
  </si>
  <si>
    <t>COLUMNAS - ENCOFRADO Y DESENCOFRADO</t>
  </si>
  <si>
    <t>COLUMNAS - ACERO fy=4200 kg/cm2</t>
  </si>
  <si>
    <t>Vigas</t>
  </si>
  <si>
    <t>VIGAS - CONCRETO f'c=280 kg/cm2</t>
  </si>
  <si>
    <t>VIGAS - ENCOFRADO Y DESENCOFRADO</t>
  </si>
  <si>
    <t>VIGAS - ACERO fy=4200 kg/cm2</t>
  </si>
  <si>
    <t>Losas Macizas</t>
  </si>
  <si>
    <t>LOSAS MACIZAS - CONCRETO f'c=280 kg/cm2</t>
  </si>
  <si>
    <t>LOSAS MACIZAS - ENCOFRADO Y DESENCOFRADO</t>
  </si>
  <si>
    <t>LOSAS MACIZAS - ACERO fy=4200 kg/cm2</t>
  </si>
  <si>
    <t>Losa Aligerada</t>
  </si>
  <si>
    <t>LOSA ALIGERADA - CONCRETO f'c=280 kg/cm2</t>
  </si>
  <si>
    <t>LOSA ALIGERADA - ENCOFRADO Y DESENCOFRADO</t>
  </si>
  <si>
    <t>LOSA ALIGERADA - ACERO fy=4200 kg/cm2</t>
  </si>
  <si>
    <t>Escaleras</t>
  </si>
  <si>
    <t>ESCALERAS - ENCOFRADO Y DESENCOFRADO</t>
  </si>
  <si>
    <t>ESCALERAS - ACERO fy=4200 kg/cm2</t>
  </si>
  <si>
    <t>Estructuras Metálicas y Coberturas</t>
  </si>
  <si>
    <t>ESTRUCTURA METÁLICA ASTM A36 HABILITADO</t>
  </si>
  <si>
    <t>MONTAJE DE ESTRUCTURA METALICA</t>
  </si>
  <si>
    <t>ARQUITECTURA</t>
  </si>
  <si>
    <t>Muros y Tabiques de Albañilería</t>
  </si>
  <si>
    <t>MURO DE LADRILLO KK TIPO IV SOGA M:1:1:4 e=1.5cm</t>
  </si>
  <si>
    <t>MURO DE LADRILLO KK TIPO IV CABEZA M:1:1:4 e=1.5cm</t>
  </si>
  <si>
    <t>Vidrios, Cristales y Similares</t>
  </si>
  <si>
    <t>PUERTA DE VIDRIO TEMPLADO INCOLORO DE 8mm</t>
  </si>
  <si>
    <t>VIDRIO CRISTAL CRUDO INCOLORO 8mm PARA VENTANAS</t>
  </si>
  <si>
    <t xml:space="preserve"> MAMPARA DE VIDRIO TEMPLADO INCOLORO DE 10mm</t>
  </si>
  <si>
    <t>Revoques, Enlucidos y Molduras</t>
  </si>
  <si>
    <t>TARRAJEO PRIMARIO, MORTERO C:A 1:5</t>
  </si>
  <si>
    <t>TARRAJEO DE MURO: INTERIOR Y EXTERIOR</t>
  </si>
  <si>
    <t>TARRAJEO EN MUROS DE CONCRETO (1:5)</t>
  </si>
  <si>
    <t>TARRAJEO EN COLUMNAS</t>
  </si>
  <si>
    <t>TARRAJEO EN VIGAS</t>
  </si>
  <si>
    <t>VESTIDURA EN DERRAMES (1:5)</t>
  </si>
  <si>
    <t>TAPAJUNTA METALICA ENTRE MODULOS EN TECHO</t>
  </si>
  <si>
    <t>TARRAJEO EN FONDO DE ESCALERAS C:A 1:5</t>
  </si>
  <si>
    <t>REVESTIMIENTO DE ESCALERA PASO Y CONTRAPASO C:A 1:5</t>
  </si>
  <si>
    <t xml:space="preserve">REVESTIDO EN ESCALERA </t>
  </si>
  <si>
    <t>FORJADO Y REVESTIMIENTO DE DESCANSO</t>
  </si>
  <si>
    <t>Cielo Rasos</t>
  </si>
  <si>
    <t>CIELO RASO CON YESO CON CINTAS</t>
  </si>
  <si>
    <t>Carpintería Metálica y Herrería</t>
  </si>
  <si>
    <t>BARANDA DE TUBO DE Fo.Go. 2" LARGUEROS 1 1/2"</t>
  </si>
  <si>
    <t>PASAMANOS ESCALERA TUBO Fo.Go. 2"</t>
  </si>
  <si>
    <t>CANTONERA DE ALUMINIO 35x25mm EN PASOS DE ESCALERA</t>
  </si>
  <si>
    <t>Pisos y Pavimentos</t>
  </si>
  <si>
    <t xml:space="preserve">FALSO PISO DE 4" DE CONCRETO </t>
  </si>
  <si>
    <t>CONTRAPISO DE 50mm, PARA RECIBIR BALDOZA DE CERÁMICO</t>
  </si>
  <si>
    <t>PISO PORCELANATO 60 X 60 ANTIDESLIZANTE</t>
  </si>
  <si>
    <t xml:space="preserve">PISO CERÁMICO EN BAÑO 45 x 45 </t>
  </si>
  <si>
    <t>PISOS DE CONCRETO PULIDO Y BRUÑADO e=2" S/COLOREAR</t>
  </si>
  <si>
    <t xml:space="preserve">PISO PIEDRA LAJA </t>
  </si>
  <si>
    <t>RAMPAS DE CONCRETO 175 kg/cm2 e=5" BRUÑADO S/DISEÑO</t>
  </si>
  <si>
    <t>TIERRA AGRICOLA TRATADA E=10CM</t>
  </si>
  <si>
    <t>Carpintería de Madera</t>
  </si>
  <si>
    <t>PUERTA DE MADERA TABLERO REBAJADO DE 4.5mm CEDRO</t>
  </si>
  <si>
    <t>PUERTA DE GARAJE AUTOMATICA SECCIONALES</t>
  </si>
  <si>
    <t>Contrazócalos</t>
  </si>
  <si>
    <t>CONTRAZÓCALO S/COLOREAR H=10cm MEZCLA 1:2 e=2.0 cm</t>
  </si>
  <si>
    <t>Zócalos</t>
  </si>
  <si>
    <t>ZÓCALO CON CERÁMICO BLANCO DE 45 x 45 cm</t>
  </si>
  <si>
    <t>Pintura</t>
  </si>
  <si>
    <t>PINTURA LATEX 2 MANOS EN CIELO RASO Y VIGAS</t>
  </si>
  <si>
    <t>PINTURA LATEX 2 MANOS EN MURO Y COLUMNA</t>
  </si>
  <si>
    <t>PINTURA ESMALTE, DOS MANOS EN DERRAMES BOLEADOS</t>
  </si>
  <si>
    <t>PINTURA BARNIZ EN CARPINTERIA DE MADERA</t>
  </si>
  <si>
    <t>PINT.ANTICOR.Y ESMALTE 2 MANOS-PTA/VENT.</t>
  </si>
  <si>
    <t>INSTALACIONES SANITARIAS</t>
  </si>
  <si>
    <t>Movimiento de tierras</t>
  </si>
  <si>
    <t>EXCAVACION DE ZANJAS PARA REDES EXT.SANIT.ELECT.</t>
  </si>
  <si>
    <t>REFINE Y NIVELACION DE ZANJA PARA TUBERIA</t>
  </si>
  <si>
    <t>CAMA DE APOYO (e=0.10m) - ARENA GRUESA</t>
  </si>
  <si>
    <t>RELLENO COMPACTADO C/MATERIAL PROPIO, C/PLANCHA COMPACTADORA</t>
  </si>
  <si>
    <t>ELIMINACION MATERIAL EXCEDENTE</t>
  </si>
  <si>
    <t>Desagüe y Ventilación</t>
  </si>
  <si>
    <t>Salida de Desagüe y Ventilación</t>
  </si>
  <si>
    <t>SALIDA DE DESAGUE EN PVC SAP Ø DE 2"</t>
  </si>
  <si>
    <t>SALIDA DE DESAGUE EN PVC SAP Ø DE 4"</t>
  </si>
  <si>
    <t>SALIDA DE VENTILACIÓN EN PVC SAP Ø DE 3"</t>
  </si>
  <si>
    <t>Redes de Distribución</t>
  </si>
  <si>
    <t>TUBERIA PVC CP P/DESAGUE Ø4"</t>
  </si>
  <si>
    <t>TUBERIA PVC CP P/DESAGUE  Ø2"</t>
  </si>
  <si>
    <t>TUBERIA PVC CP P/VENTILACION Ø3"</t>
  </si>
  <si>
    <t>Redes Colectoras Desagüe</t>
  </si>
  <si>
    <t>RED COLECTORA CON TUBERIA PVC-SAP Ø6"</t>
  </si>
  <si>
    <t xml:space="preserve">Accesorios de Redes  </t>
  </si>
  <si>
    <t>REGISTRO  ROSCADO DE BRONCE 4" PROVISION Y COLOCACION</t>
  </si>
  <si>
    <t>SUMIDERO DE BRONCE 2" PROVISION Y COLOCACION</t>
  </si>
  <si>
    <t>SOMBRERO DE VENTILACION 3"</t>
  </si>
  <si>
    <t xml:space="preserve">CODO PVC-CP  2"x90° </t>
  </si>
  <si>
    <t xml:space="preserve">CODO PVC-CP  4"x45° </t>
  </si>
  <si>
    <t xml:space="preserve">CODO PVC-CP  4"x90° </t>
  </si>
  <si>
    <t>YEE SIMPLE PVC-CP  2"</t>
  </si>
  <si>
    <t>YEE SIMPLE PVC-CP  4"</t>
  </si>
  <si>
    <t>YEE SIMPLE PVC-CP C/REDUCCION 4" A 2"</t>
  </si>
  <si>
    <t>Camaras de Inspección</t>
  </si>
  <si>
    <t>CAJA DE REG.30"x60" C/TAPA, CONCRETO REFORZADO</t>
  </si>
  <si>
    <t>Empalmes y Pruebas Hidraúlicas</t>
  </si>
  <si>
    <t>PRUEBA HIDRAULICA DE ESCORRENTIA DE TUBERIAS DE DESAGUE</t>
  </si>
  <si>
    <t>PRUEBA HIDRAULICA Y DESINFECCION</t>
  </si>
  <si>
    <t>Aparatos Sanitarios y Accesorios</t>
  </si>
  <si>
    <t>Aparatos Sanitarios</t>
  </si>
  <si>
    <t>INODORO CON TANQUE BAJO DE LOSA 1RA. CALIDAD ADULTO(NAC. BLANCO)</t>
  </si>
  <si>
    <t>URINARIO DE LOSA BLANCO TIPO CADET O SIMILAR</t>
  </si>
  <si>
    <t>LAVATORIO DE LOSA BLANCA DE PRIMERA C/GRIFERIA PERILLA</t>
  </si>
  <si>
    <t>COLOCACION DE APARATOS SANITARIOS</t>
  </si>
  <si>
    <t>Accesorios Sanitarios</t>
  </si>
  <si>
    <t>PAPELERA DE LOSA Y BARRA PLASTICA</t>
  </si>
  <si>
    <t>GANCHO DE ACERO INOX. INC. ACCESORIOS DE FIJACION</t>
  </si>
  <si>
    <t>JABONERA METALICA DE SOBREPONER</t>
  </si>
  <si>
    <t>BARRA ACERO INOXIDABLE  D=1 1/2" P/DISCAPACITADOS</t>
  </si>
  <si>
    <t>SECADORA AUTOMATICA DE MANOS WORLD DRYER</t>
  </si>
  <si>
    <t xml:space="preserve">Sistema de Agua Fría </t>
  </si>
  <si>
    <t>Salida de Agua Fría</t>
  </si>
  <si>
    <t>SALIDA DE AGUA FRIA CON TUBERIA DE PVC DE 3/4"</t>
  </si>
  <si>
    <t xml:space="preserve">Redes de Alimentación de Agua
</t>
  </si>
  <si>
    <t>RED DE ALIMENTACION TUBERIA PVC CLASE 10 DE 3/4"</t>
  </si>
  <si>
    <t>RED DE ALIMENTACION TUBERIA PVC CLASE 10 DE 1"</t>
  </si>
  <si>
    <t>RED DE ALIMENTACION TUBERIA PVC CLASE 10 DE 2"</t>
  </si>
  <si>
    <t>CODO PVC-SAP CLASE 10 R 2" x 90°</t>
  </si>
  <si>
    <t>CODO PVC-SAP CLASE 10 R 1 1/2" x 90°</t>
  </si>
  <si>
    <t>CODO PVC-SAP CLASE 10 R 3/4" x 90°</t>
  </si>
  <si>
    <t>TEE PVC-SAP CLASE 10 R DE Ø 2"</t>
  </si>
  <si>
    <t>TEE PVC-SAP CLASE 10 R Ø 1 1/2"</t>
  </si>
  <si>
    <t>TEE PVC-SAP CLASE 10 R DE 3/4"</t>
  </si>
  <si>
    <t>REDUCCION PVC-SAP CLASE 10 R DE 2" A 1 1/2"</t>
  </si>
  <si>
    <t>REDUCCION PVC-SAP CLASE 10 R DE 2" A 1"</t>
  </si>
  <si>
    <t>REDUCCION PVC-SAP CLASE 10 R DE 2" A 3/4"</t>
  </si>
  <si>
    <t>REDUCCION PVC-SAP CLASE 10 R DE 1 1/2" A 3/4"</t>
  </si>
  <si>
    <t>Válvulas y Llaves</t>
  </si>
  <si>
    <t>VALVULA ESFERICA  DE BRONCE 3/4"</t>
  </si>
  <si>
    <t>VALVULA ESFERICA  DE BRONCE 2"</t>
  </si>
  <si>
    <t>VALVULA FLOTADOR  1"</t>
  </si>
  <si>
    <t xml:space="preserve">EQUIPOS Y PTRAS INSTALACIONES </t>
  </si>
  <si>
    <t>ELECTROBOMBAS DE 10 HP, HDT=47.92 m  de VELOC. VARIABLE Y PRESION CONSTANTE (INCLUYE ACCESORIOS)</t>
  </si>
  <si>
    <t>TANQUE PULMON DE 100 GALONES (INCLUYE ACCESORIOS)</t>
  </si>
  <si>
    <t>CAJAS DE VÁLVULAS COMPUERTA EN PARED</t>
  </si>
  <si>
    <t xml:space="preserve">SISTEMA DE CONTRA INCENDIO </t>
  </si>
  <si>
    <t xml:space="preserve">REDES DE ALIMENTACION </t>
  </si>
  <si>
    <t>SUMINISTRO E INST. TUBERIA DE ACERO SCH-40 DE 1" (ADOSADA EN MURO)</t>
  </si>
  <si>
    <t>SUMINISTRO E INST. TUBERIA DE ACERO SCH-40 DE 2 1/2" (ADOSADA EN MURO)</t>
  </si>
  <si>
    <t>SUMINISTRO E INST .TUBERIA DE ACERO SCH-40 DE 4" (ADOSADA EN MURO)</t>
  </si>
  <si>
    <t xml:space="preserve">ACCESORIOS </t>
  </si>
  <si>
    <t>CODO DE ACERO SCH-40 DE 1"x90°</t>
  </si>
  <si>
    <t>CODO DE ACERO SCH-40 DE 2 1/2"x90°</t>
  </si>
  <si>
    <t>CODO DE ACERO SCH-40 DE 4"x90°</t>
  </si>
  <si>
    <t>REDUCCION CONCENTRICA ACERO SCH-40 DE 2 1/2" a 1"</t>
  </si>
  <si>
    <t>REDUCCION CONCENTRICA ACERO SCH-40 DE 4" a 2 1/2"</t>
  </si>
  <si>
    <t>TEE REDUCCION ACERO SCH-40 DE 2 1/2" a 1" x 90°</t>
  </si>
  <si>
    <t>TEE REDUCCION ACERO SCH-40 DE 4" a 21/2" x 90°</t>
  </si>
  <si>
    <t>TEE DE ACERO SCH-40 DE 1"</t>
  </si>
  <si>
    <t>TEE DE ACERO SCH-40 DE 2 1/2"</t>
  </si>
  <si>
    <t>TEE DE ACERO SCH-40 DE 4"</t>
  </si>
  <si>
    <t>COLGADORES Y ANCLAJE DE TUBERIA</t>
  </si>
  <si>
    <t xml:space="preserve">ROCIADORES CONTRA INCENDIO </t>
  </si>
  <si>
    <t>ROCIADORES TIPO PARANTE DE 1/2"</t>
  </si>
  <si>
    <t xml:space="preserve">SUMINISTRO E INSTALACION DE GABINETES CONTRA INCENDIO </t>
  </si>
  <si>
    <t>GABINETE C. INC. 85X100X20 cm C/MANGUERA POLYESTER 1 1/2" x30m</t>
  </si>
  <si>
    <t xml:space="preserve">VALVULAS DE SISTEMA CONTRA INCENDIO </t>
  </si>
  <si>
    <t>VALVULA DE COMPUERTA DE BRONCE  1"</t>
  </si>
  <si>
    <t>VALVULA COMPUERTA DE BRONCE DE 2 1/2"</t>
  </si>
  <si>
    <t xml:space="preserve">EQUIPOS </t>
  </si>
  <si>
    <t>ELECTROBOMBA CONTRA INCENDIO, 100 PSI DE HDT Y POTENCIA APROXIMADA DE 30 HP INC. TABLEROS ELECTRICOS</t>
  </si>
  <si>
    <t>ELECTROBOMBA JOCKEY, 120 PSI DE HDT Y POTENCIA APROX. 5HP INC. TABLERO ELECTRICO</t>
  </si>
  <si>
    <t>Sistema de Drenaje Pluvial</t>
  </si>
  <si>
    <t xml:space="preserve">Red de Recoleccion </t>
  </si>
  <si>
    <t>TUBERIA DE PVC-SAP d=1 1/2" PLUVIAL</t>
  </si>
  <si>
    <t>EMPALME A RED EXISTENTE DE AGUA</t>
  </si>
  <si>
    <t>INSTALACIONES ELECTRICAS</t>
  </si>
  <si>
    <t xml:space="preserve">MOVIMIENTO DE TIERRAS </t>
  </si>
  <si>
    <t>EXCAVACION MANUAL EN TERRENO NORMAL PARA INSTALACIONES ELECTRICAS</t>
  </si>
  <si>
    <t>RELLENO Y COMPACTADO CON MATERIAL PROPIO SELECCIONADO PARA BASE 0.05 cm</t>
  </si>
  <si>
    <t>RELLENO Y COMPACTADO CON LECHO DE ARENA PARA SUB BASE 0.10cm</t>
  </si>
  <si>
    <t>RELLENO Y COMPACTADO CON MATERIAL PROPIO SELECCIONADO</t>
  </si>
  <si>
    <t>CONCRETO SIMPLE</t>
  </si>
  <si>
    <t>BUZON ELECTRICO ( SEGÚN DISEÑO)</t>
  </si>
  <si>
    <t>EMPALME SUBTERRANEO EN BUZON ELECTRICO EN CABLE THW DE CALIBRE AWG DE 4mm</t>
  </si>
  <si>
    <t xml:space="preserve">INSTALACION DE POZO A TIERRA </t>
  </si>
  <si>
    <t>POZO A TIERRA</t>
  </si>
  <si>
    <t>CAJA DE REGISTRO PARA POZO A TIERRA CON TAPA DE C°( SEGÚN DISEÑO)</t>
  </si>
  <si>
    <t>ALIMENTADORES</t>
  </si>
  <si>
    <t>TABLEROS</t>
  </si>
  <si>
    <t>TABLERO GENERAL TG</t>
  </si>
  <si>
    <t>TABLERO DISTRIBUCION TD ASC</t>
  </si>
  <si>
    <t>TABLERO GENERAL TD 1</t>
  </si>
  <si>
    <t>TABLERO GENERAL TD 2</t>
  </si>
  <si>
    <t>TABLERO GENERAL TD 101</t>
  </si>
  <si>
    <t>TABLERO GENERAL TD 102</t>
  </si>
  <si>
    <t>TABLERO GENERAL TD 201</t>
  </si>
  <si>
    <t>TABLERO GENERAL TD 202</t>
  </si>
  <si>
    <t>TABLERO GENERAL TD 301</t>
  </si>
  <si>
    <t>TABLERO GENERAL TD 302</t>
  </si>
  <si>
    <t>TABLERO GENERAL TD 401</t>
  </si>
  <si>
    <t>TABLERO GENERAL TD 402</t>
  </si>
  <si>
    <t>TABLERO GENERAL TD 501</t>
  </si>
  <si>
    <t>TABLERO GENERAL TD 502</t>
  </si>
  <si>
    <t>TABLERO GENERAL TD 601</t>
  </si>
  <si>
    <t>TABLERO GENERAL TD 602</t>
  </si>
  <si>
    <t>TABLERO GENERAL TD 701</t>
  </si>
  <si>
    <t>TABLERO GENERAL TD 702</t>
  </si>
  <si>
    <t>TABLERO GENERAL TD EST 00</t>
  </si>
  <si>
    <t>TABLERO GENERAL TD EST 10</t>
  </si>
  <si>
    <t>TABLERO GENERAL TD EST 20</t>
  </si>
  <si>
    <t>TABLERO GENERAL TD EST 30</t>
  </si>
  <si>
    <t>TABLERO GENERAL TD EST 40</t>
  </si>
  <si>
    <t>TABLERO GENERAL TD EST 50</t>
  </si>
  <si>
    <t>TABLERO GENERAL TD EST 60</t>
  </si>
  <si>
    <t>INTERRUPTOR TERMOMAGNÉTICO</t>
  </si>
  <si>
    <t>INTERRUPTOR TERMOMAGNETICO DE 3x100 A. 220V</t>
  </si>
  <si>
    <t>INTERRUPTOR TERMOMAGNETICO DE 3x160A, 220V</t>
  </si>
  <si>
    <t>INTERRUPTOR TERMOMAGNETICO DE 3x50 A, 220V</t>
  </si>
  <si>
    <t>INTERRUPTOR TERMOMAGNETICO DE 3x40 A, 220V</t>
  </si>
  <si>
    <t>INTERRUPTOR TERMOMAGNETICO DE 3x32A, 220V</t>
  </si>
  <si>
    <t>INTERRUPTOR TERMOMAGNETICO DE 3x25 A, 220V</t>
  </si>
  <si>
    <t>INTERRUPTOR TERMOMAGNETICO DE 2x25 A, 220V</t>
  </si>
  <si>
    <t>INTERRUPTOR TERMOMAGNETICO DE 2x16 A, 220V</t>
  </si>
  <si>
    <t>INTERRUPTOR DIFERENCIAL DE 2x25 A, 220V</t>
  </si>
  <si>
    <t xml:space="preserve">DUCTOS Y TUBERIAS </t>
  </si>
  <si>
    <t>TUBERIA PVC SAP-P Ø80mm</t>
  </si>
  <si>
    <t>TUBERIA PVC SAP-P Ø65mm</t>
  </si>
  <si>
    <t>TUBERIA PVC SAP-P Ø35mm</t>
  </si>
  <si>
    <t>TUBERIA PVC SAP-P Ø25mm</t>
  </si>
  <si>
    <t>CONDUCTORES Y/O CABLES</t>
  </si>
  <si>
    <t>TENDIDO DE CABLE N2XOH DE 4x120mm²</t>
  </si>
  <si>
    <t>TENDIDO DE CABLE N2XOH DE 4x70mm²+50mm²</t>
  </si>
  <si>
    <t>TENDIDO DE CABLE N2XOH DE 4x25mm²+16mm²</t>
  </si>
  <si>
    <t>TENDIDO DE CABLE N2XOH DE 4x16mm²+10mm²</t>
  </si>
  <si>
    <t>TENDIDO DE CABLE CU DESNUDO 1X50mm²</t>
  </si>
  <si>
    <t xml:space="preserve">ALUMBRADO - TOMACORRIENTES </t>
  </si>
  <si>
    <t>TUBERIA PVC SAP-P Ø 20mm</t>
  </si>
  <si>
    <t xml:space="preserve">CONDUCTORES Y CABLES </t>
  </si>
  <si>
    <t>TENDIDO DE CABLE LSOHX-90 DE  2x2.5mm²</t>
  </si>
  <si>
    <t>TENDIDO DE CABLE LSOHX-90 DE  2x4mm² + 4mm²(T)</t>
  </si>
  <si>
    <t xml:space="preserve">SALIDA PARA CENTRO DE LUZ </t>
  </si>
  <si>
    <t>SALIDA A TECHO (CENTRO DE LUZ)</t>
  </si>
  <si>
    <t>SALIDA PARA INTERRUPTOR SIMPLE, INCLUYE INSTALACION DE INTERRUPTOR</t>
  </si>
  <si>
    <t>SALIDA PARA INTERRUPTOR DOBLE, INCLUYE INSTALACION DE INTERRUPTOR</t>
  </si>
  <si>
    <t>SALIDA PARA TOMACORRIENTE DOBLE CON LINEA A TIERRA 16A (sin interrumpido)</t>
  </si>
  <si>
    <t>SALIDA PARA TOMACORRIENTE DOBLE CON LINEA A TIERRA 16A (en piso) (sin interrumpido)</t>
  </si>
  <si>
    <t>SALIDA PARA TOMACORRIENTE DOBLE CON LINEA A TIERRA 16A</t>
  </si>
  <si>
    <t>SALIDA PARA TOMACORRIENTE DOBLE CON LINEA A TIERRA 16A (1.2m 2.4m)</t>
  </si>
  <si>
    <t>SALIDA PARA TOMACORRIENTE DOBLE CON LINEA A TIERRA 16A (en piso)</t>
  </si>
  <si>
    <t>SALIDA DE LUZ DE EMERGENCIA</t>
  </si>
  <si>
    <t xml:space="preserve">ARTEFACTOS DE ILUMINACION </t>
  </si>
  <si>
    <t>LUMINARIA PARA SOBREPONER TIPO PANEL LED 40W DE 120X30cm 6500°K 50000 hrs</t>
  </si>
  <si>
    <t>LUMINARIA PARA SOBREPONER TIPO PANEL LED 40W DE 60X60cm 6500°K 50000 hrs</t>
  </si>
  <si>
    <t>LUMINARIA PARA SOBREPONER TIPO PANEL LED 24W CIRCULAR 6500°K 50000 hrs</t>
  </si>
  <si>
    <t>LUMINARIA PARA SOBREPONER TIPO PANEL LED 12W CIRCULAR 6500°K 50000 hrs</t>
  </si>
  <si>
    <t>ARTEFACTO DE ILUMINACION DE EMERGENCIA CON DOS LAMPARAS DE 20W, CON 2HORAS DE AUTONOMIA</t>
  </si>
  <si>
    <t xml:space="preserve">SISTEMA DE MEDIA TENSION Y RESPALDO </t>
  </si>
  <si>
    <t>SISTEMA DE RESPALDO ININTERRUMPIDO DE 50 KVA TIPO REDUNDANTE</t>
  </si>
  <si>
    <t>SISTEMA DE RESPALDO GRUPO ELECTROGENO DE 100KVA</t>
  </si>
  <si>
    <t>SOLUCIONES DE TECNOLOGÍA DE INFORMACIÓN Y COMUNICACIONES (TIC)</t>
  </si>
  <si>
    <t>SISTEMA DE TELEFONÍA.</t>
  </si>
  <si>
    <t>CENTRAL DE TELEFONIA IP</t>
  </si>
  <si>
    <t>OPERADORA TELEFONICA</t>
  </si>
  <si>
    <t>TELÉFONO IP DE MESA USO GERENCIAL</t>
  </si>
  <si>
    <t>TELÉFONO IP DE MESA USO GENERAL</t>
  </si>
  <si>
    <t>SERVICIO DE INSTALACIÓN Y PUESTA EN OPERACIÓN DE LA SOLUCIÓN DE TELEFONÍA IP</t>
  </si>
  <si>
    <t>SISTEMA DE SONIDO AMBIENTAL Y PERIFONEO.</t>
  </si>
  <si>
    <t>CABLES EN TUBERIAS</t>
  </si>
  <si>
    <t>CABLE F/UTP CAT 6A</t>
  </si>
  <si>
    <t>CABLE DE AUDIO STEREO 2X16 AWG</t>
  </si>
  <si>
    <t>CANALETAS, CONDUCTOS Y/O TUBERIAS</t>
  </si>
  <si>
    <t>TUBO PVC-SAP 25 mm Ø (1") P/INST. ELECTRICAS</t>
  </si>
  <si>
    <t>CURVA PVC-SAP 25 mm Ø (1") P/INST. ELECTRICAS</t>
  </si>
  <si>
    <t>ADAPTADOR TUBO CAJA PVC-SAP 25 mm Ø (1") P/INST. ELECTRICAS</t>
  </si>
  <si>
    <t>TUBO CONDUIT EMT Ø 25mm. (1")</t>
  </si>
  <si>
    <t>CURVA 90° CONDUIT EMT Ø 25MM. (1")</t>
  </si>
  <si>
    <t>CONECTOR CONDUIT EMT Ø 25mm. (1")</t>
  </si>
  <si>
    <t>CAJA DE PASE PARA TELECOMUNICACIONES</t>
  </si>
  <si>
    <t>CAJA DE PASE CUADRADA DE F°G° CON TAPA BISELADA DE 150x150x100 mm.</t>
  </si>
  <si>
    <t>ACCESORIO SALIDA BANDEJA</t>
  </si>
  <si>
    <t>SALIDA DE SISTEMA DE EVACUACIÓN</t>
  </si>
  <si>
    <t>SALIDA ESTACION PAVA</t>
  </si>
  <si>
    <t>SALIDA PARA AMPLIFICADOR</t>
  </si>
  <si>
    <t>SALIDA PARA PARLANTE ADOSADO</t>
  </si>
  <si>
    <t>ACCESORIOS DE SALIDA DE SISTEMA DE EVACUACION</t>
  </si>
  <si>
    <t>PLACA SALIDA SIMPLE RJ45 PARA ESTACIÓN</t>
  </si>
  <si>
    <t>APARATOS/DISPOSITIVOS DE SISTEMA DE NOTIFICACIÓN DE EMERGENCIAS Y AUDIO EVACUACIÓN</t>
  </si>
  <si>
    <t>UNIDAD DE CONTROL MAESTRO</t>
  </si>
  <si>
    <t>ESTACIÓN DE LLAMADA</t>
  </si>
  <si>
    <t>AMPLIFICADOR DE 500W CLASE D</t>
  </si>
  <si>
    <t>PARLANTES EN TECHO</t>
  </si>
  <si>
    <t>SISTEMA DE SONIDO PARA AUDITORIO</t>
  </si>
  <si>
    <t>MIXER 16 MONO + 3 ESTEREO C/EFECTOS</t>
  </si>
  <si>
    <t>MEZCLADOR REPRODUCTOR AUDIO DIGITAL USB/SD Y ENLACE BLUETOOTH DISPOSITIVOS MÓVILES</t>
  </si>
  <si>
    <t>TURBOSOUND ARRAY PORTÁTIL DE 2 VÍAS</t>
  </si>
  <si>
    <t>DOBLE MICRO INALÁMBRICO DE MANO EN UHF CON SISTEMA DE ANTENA DIVERSITY</t>
  </si>
  <si>
    <t>MICRÓFONO CONDENSADOR CON FLEXO CON BASE DE SOBREMESA Y SWITCH DE ENCENDIDO</t>
  </si>
  <si>
    <t>MUEBLE TIPO RACK FABRICADO EN MELAMINA, PUERTA TRASERA Y DELANTERA CON CIERRE Y CRISTAL</t>
  </si>
  <si>
    <t>PARANTE DE MICRÓFONO STAND ATRIL PEDESTAL MICRO</t>
  </si>
  <si>
    <t>AMPLIFICADOR PARA LINEA 100V/180W 240W MAX. CON REPRODUCTOR USB-SD-FM.</t>
  </si>
  <si>
    <t>PARLANTE DE TECHO PARA EMPOTRAR 6 1/2'' DOBLE CONO TRANSF. LINEA 100V/6W-24W MAX.</t>
  </si>
  <si>
    <t>SERVICIO PARA SISTEMA DE NOTIFICACIÓN DE EMERGENCIAS Y AUDIO EVACUACIÓN</t>
  </si>
  <si>
    <t>SERVICIO DE CABLEADO, INSTALACIÓN, INGENIERÍA Y PROGRAMACIÓN DE COMPONENTES DE CAMPO, INCLUYE MATERIALES DE INSTALACIÓN, PRUEBAS Y PUESTA EN MARCHA DEL SISTEMA PAVA</t>
  </si>
  <si>
    <t>SISTEMA DE CONTROL ACCESOS Y SEGURIDAD.</t>
  </si>
  <si>
    <t>SALIDAS PARA CONTROL DE ACCESO Y SEGURIDAD</t>
  </si>
  <si>
    <t>SALIDA PARA BOTON DE SALIDA</t>
  </si>
  <si>
    <t>SALIDA PARA CONTROL DE PRESENCIA</t>
  </si>
  <si>
    <t>SALIDA PARA CONTROL DE ACCESO</t>
  </si>
  <si>
    <t>SALIDA PARA CERRADURA ELECTRÓNICA</t>
  </si>
  <si>
    <t>PLACAS Y ACCESORIOS PARA SALIDAS DE CONTROL DE ACCESO Y SEGURIDAD</t>
  </si>
  <si>
    <t>CONECTOR RJ45 DE CAMPO CAT.6A</t>
  </si>
  <si>
    <t>APARATOS/DISPOSITIVOS DE SISTEMA DE CONTROL DE ACCESO Y SEGURIDAD</t>
  </si>
  <si>
    <t>CONTROL DE ASISTENCIA CON LECTOR DE HUELLA DIGITAL + PIN + TARJETA DE</t>
  </si>
  <si>
    <t>LECTOR DE HUELLAS DIGITALES Y RFID</t>
  </si>
  <si>
    <t>CERRADURA ELECTROMAGNETICA DE 300 LB</t>
  </si>
  <si>
    <t>BOTON DE SALIDA</t>
  </si>
  <si>
    <t>PANEL IP PARA CONTROL DE ACCESO</t>
  </si>
  <si>
    <t>PATCH PANEL</t>
  </si>
  <si>
    <t>JACK CAT 6A</t>
  </si>
  <si>
    <t>SERVICIO PARA SISTEMA DE CONTROL DE ACCESO Y SEGURIDAD</t>
  </si>
  <si>
    <t>SERVICIO DE INSTALACION Y PUESTA EN MARCHA DEL SISTEMA DE CONTROL DE ACCESO Y SEGURIDAD</t>
  </si>
  <si>
    <t>SISTEMA DETECCIÓN Y ALARMA DE INCENDIOS</t>
  </si>
  <si>
    <t>CABLE FPLR 2X16, LSZH</t>
  </si>
  <si>
    <t>CABLE FPLR 2X14, LSZH</t>
  </si>
  <si>
    <t>TUBO PVC-SAP 50 mm Ø (2") P/INST. ELECTRICAS</t>
  </si>
  <si>
    <t>ADAPTADOR TUBO CAJA PVC-SAP 50 mm Ø (2") P/INST. ELECTRICAS</t>
  </si>
  <si>
    <t>CAJA DE PASE CUADRADA DE F°G° CON TAPA BISELADA DE 200x200x100 mm.</t>
  </si>
  <si>
    <t>SALIDA DE TELECOMUNICACIONES</t>
  </si>
  <si>
    <t>SALIDA PARA ESTACION MANUAL/BOCINA ESTROBOSCOPICA</t>
  </si>
  <si>
    <t>SALIDA PARA MODULO DE MONITOREO/CONTROL/AISLAMIENTO ADOSAR EMT</t>
  </si>
  <si>
    <t>SALIDA PARA DETECTOR DE HUMO/TEMPERATURA ADOSAR EMT</t>
  </si>
  <si>
    <t>SALIDA PARA DETECTOR DE HUMO/TEMPERATURA</t>
  </si>
  <si>
    <t>SALIDA PARA DETECTOR DE ANIEGO</t>
  </si>
  <si>
    <t>APARATOS/DISPOSITIVOS DE SISTEMA DE DETECCIÓN Y ALARME DE INCENDIOS</t>
  </si>
  <si>
    <t>PANEL</t>
  </si>
  <si>
    <t>PANEL DE INCENDIO DIRECCIONABLE EN ESPAÑOL DE UN LAZO PARA 159 DETECTORES / 159 MÓDULOS. CERTIFICADO UL, FM. ALIMENTACIÓN 220VAC.</t>
  </si>
  <si>
    <t>FUENTES DE ALIMENTACION DE CORNETAS, LUCES ESTROBOSCOPICAS Y CAMPANAS</t>
  </si>
  <si>
    <t>PACK DE 2 BATERÍAS 12V,26AH.</t>
  </si>
  <si>
    <t>COMPONENTES DE CAMPO</t>
  </si>
  <si>
    <t>DETECTOR DE HUMO FOTOELÉCTRICO DIRECCIONABLE, INTELIGENTE, CERTIFICACIÓN UL, FM, COLOR BLANCO.</t>
  </si>
  <si>
    <t>DETECTOR DE HUMO/TEMPERATURA DIRECCIONABLE, CERTIFICACIÓN UL, FM, COLOR BLANCO.</t>
  </si>
  <si>
    <t>DETECTOR DE ANIEGO</t>
  </si>
  <si>
    <t>ESTACIÓN MANUAL DIRECCIONABLE DE DOBLE ACCIÓN. CERTIFICACIÓN UL, FM. EN ESPAÑOL.</t>
  </si>
  <si>
    <t>SIRENA CON LUZ ESTROBOSCÓPICA DE PARED, COLOR ROJO. EN ESPAÑOL.</t>
  </si>
  <si>
    <t>MÓDULO DE MONITOREO DIRECCIONABLE. CERTIFICACIÓN UL, FM.</t>
  </si>
  <si>
    <t>MÓDULO DE CONTROL DIRECCIONABLE. CERTIFICACIÓN UL, FM.</t>
  </si>
  <si>
    <t>MÓDULO DE AISLAMIENTO. CERTIFICACIÓN UL, FM.</t>
  </si>
  <si>
    <t>SERVICIO PARA SISTEMA DE DETECCIÓN Y ALARMA DE INCENDIOS</t>
  </si>
  <si>
    <t>SERVICIO DE CABLEADO, INSTALACIÓN, INGENIERÍA Y PROGRAMACIÓN DECOMPONENTES DE CAMPO EN PANEL, INCLUYE MATERIALES DE INSTALACIÓN, PRUEBAS YPUESTA EN MARCHA DEL SISTEMA</t>
  </si>
  <si>
    <t>SISTEMA DE PROCESAMIENTO Y ALMACENAMIENTO CENTRALIZADO</t>
  </si>
  <si>
    <t>SERVIDOR HIPERCONVERGENTE</t>
  </si>
  <si>
    <t>SERV INSTALACIÓN, CONFIG., PUESTA EN MARCHA Y CAPACITACIÓN DEL SERVIDOR DE APLICACIONES</t>
  </si>
  <si>
    <t>SISTEMA DE CONECTIVIDAD Y SEGURIDAD INFORMÁTICA</t>
  </si>
  <si>
    <t>EQUIPO DE SEGURIDAD PERIMETRAL (FIREWALL)</t>
  </si>
  <si>
    <t>SWITCH TIPO CORE 24 PUERTOS DE FIBRA 10GBPS</t>
  </si>
  <si>
    <t>SWITCH TIPO BORDE 48 PUERTOS POE+</t>
  </si>
  <si>
    <t>PUNTO DE ACCESO INALAMBRICO</t>
  </si>
  <si>
    <t>TRANSCEIVER 10 GB MULTIMODO</t>
  </si>
  <si>
    <t>TRANSCEIVER 1 GB COBRE</t>
  </si>
  <si>
    <t>SERVICIO INSTALACIÓN SISTEMA DE CONECTIVIDAD Y SEGURIDAD INFORMÁTICA</t>
  </si>
  <si>
    <t>ACOMETIDA DE LOS SERVICIOS DE TELECOMUNICACIONES.</t>
  </si>
  <si>
    <t>TRONCAL DE DATOS</t>
  </si>
  <si>
    <t>CABLEADO ESTRUCTURADO TRONCAL DE DATOS</t>
  </si>
  <si>
    <t>TUBO CONDUIT EMT Ø 50mm. (2")</t>
  </si>
  <si>
    <t>CONECTOR CONDUIT EMT Ø 50mm. (2")</t>
  </si>
  <si>
    <t>CAJA DE PASE CUADRADA DE F°G° CON TAPA BISELADA DE 200x200x100 mm. ADOSAR EMT</t>
  </si>
  <si>
    <t>LICENCIAS DE SOFTWARE</t>
  </si>
  <si>
    <t>SOFTWARE DE MONITOREO DE LA RED</t>
  </si>
  <si>
    <t>SOFTWARE DE VIRTUALIZACION</t>
  </si>
  <si>
    <t>SOFTWARE DE ADMINISTRACIÓN DE VIRTUALIZACIÓN</t>
  </si>
  <si>
    <t xml:space="preserve">SISTEMA OPERATIVO WINDOWS SERVER 2022 STANDARD </t>
  </si>
  <si>
    <t>LICENCIAS DE ACCESO CLIENTE (CAL) PARA SERVIDOR 10 USUARIOS</t>
  </si>
  <si>
    <t>SOFTWARE DE VIDEO CONFERENCIA</t>
  </si>
  <si>
    <t>SISTEMA DE CABLEADO ESTRUCTURADO Y CENTRO DE DATOS</t>
  </si>
  <si>
    <t>CABLE FO INDOOR / OUTDOOR (TIGHT BUFFER), OM4 X 06F, LSZH</t>
  </si>
  <si>
    <t>CURVA 90° CONDUIT EMT Ø 50MM. (2")</t>
  </si>
  <si>
    <t>CANALETAS, CONDUCTOS Y/O TUBERIAS - BANDEJA PORTA CABLES</t>
  </si>
  <si>
    <t>BANDEJA/REJILLA 100 MM ALTO X 300 MM ANCHO X 3 METROS DE ANCHO TERMINADO ELECTRO ZINC</t>
  </si>
  <si>
    <t>SOPORTE BANDEJA/REJILLA 100 MM ALTO X 300 MM ANCHO</t>
  </si>
  <si>
    <t>ACCESORIOS PARA CURVAS Y DERIVACIONES DE  BANDEJA/REJILLA 100 MM ALTO X 300 MM ANCHO X 3 METROS DE ANCHO TERMINADO ELECTRO ZINC</t>
  </si>
  <si>
    <t>BANDEJA/REJILLA 100 MM ALTO X 200 MM ANCHO X 3 METROS DE ANCHO TERMINADO ELECTRO ZINC</t>
  </si>
  <si>
    <t>SOPORTE BANDEJA/REJILLA 100 MM ALTO X 200 MM ANCHO</t>
  </si>
  <si>
    <t>ACCESORIOS PARA CURVAS Y DERIVACIONES DE  BANDEJA/REJILLA 100 MM ALTO X 200 MM ANCHO X 3 METROS DE ANCHO TERMINADO ELECTRO ZINC</t>
  </si>
  <si>
    <t>ADAPTADOR TUBO CAJA PVC-SAP 100 mm Ø (4") P/INST. ELECTRICAS</t>
  </si>
  <si>
    <t>SALIDA DE DATA</t>
  </si>
  <si>
    <t>SALIDA DE DATA PISO</t>
  </si>
  <si>
    <t>SALIDA DE DATA PARA ADOSAR</t>
  </si>
  <si>
    <t>ACCESORIOS DE SALIDA DE TELECOMUNICACIONES</t>
  </si>
  <si>
    <t>PLACA SALIDA SIMPLE DE DATA</t>
  </si>
  <si>
    <t>PLACA SALIDA DOBLE DE DATA</t>
  </si>
  <si>
    <t>PLACA SALIDA SIMPLE DE DATA PISO</t>
  </si>
  <si>
    <t>PLACA SALIDA DOBLE DE DATA PISO</t>
  </si>
  <si>
    <t>RACK/GABINETE DE TELECOMUNICACIONES</t>
  </si>
  <si>
    <t>GABINETE PRINCIPAL DE COMUNICACIONES (GDP)</t>
  </si>
  <si>
    <t>GABINETE SECUNDARIO DE COMUNICACIONES (GDS)</t>
  </si>
  <si>
    <t>PATCH PANEL DE FIBRA OPTICA 08 HILOS</t>
  </si>
  <si>
    <t>PATCH PANEL DE FIBRA OPTICA 4 HILOS</t>
  </si>
  <si>
    <t>PATCH PANEL MODULAR DE 24 PUERTOS</t>
  </si>
  <si>
    <t>PATCH PANEL MODULAR DE 48 PUERTOS</t>
  </si>
  <si>
    <t>ORGANIZADOR DE CABLES HORIZONTAL, 2U.</t>
  </si>
  <si>
    <t>PATCH CORD CAT 6A LSZH, 3 PIES</t>
  </si>
  <si>
    <t>PATCH CORD DE F.O. LC-LC 2MT MULTIMODO OM4</t>
  </si>
  <si>
    <t>PLACA PARA ESPACIOS VACIOS PK X 10</t>
  </si>
  <si>
    <t>CINTA DE FIJACION 22.9 M. "VELCRO"</t>
  </si>
  <si>
    <t>TERMOCONTRACTIL PARA FUSION X 50 UND</t>
  </si>
  <si>
    <t>PIGTAIL DE F.O.</t>
  </si>
  <si>
    <t>SERVICIO PARA CABLEADO ESTRUCTURADO</t>
  </si>
  <si>
    <t>SERVICIO DE CERTIFICACIÓN DE PUNTO DE RED CAT6A.</t>
  </si>
  <si>
    <t>SERVICIO DE INSTALACIÓN DE JACK EN PATCH PANEL</t>
  </si>
  <si>
    <t>SERVICIO DE FUSION DE HILOS DE CABLE DE FIBRA OPTICA EN MUFA Y PIGTAILS</t>
  </si>
  <si>
    <t>CERTIFICACION DE HILOS DE FIBRA OPTICA</t>
  </si>
  <si>
    <t xml:space="preserve">SERVICIO DE MIGRACION DE SISTEMAS ADMINISTRATIVOS </t>
  </si>
  <si>
    <t>MOBILIARIO Y EQUIPAMIENTO</t>
  </si>
  <si>
    <t>EQUIPAMIENTO</t>
  </si>
  <si>
    <t>LAPTOP DE INGENIERIA</t>
  </si>
  <si>
    <t>LAPTOP BASICA</t>
  </si>
  <si>
    <t>IMPRESORA MULTIFUNCIONAL, COPIADORA</t>
  </si>
  <si>
    <t>ESTABILIZADOR</t>
  </si>
  <si>
    <t>FOTOCOPIADORA EN GENERAL</t>
  </si>
  <si>
    <t>ACUMULADOR DE ENERGIA - EQUIPO DE UPS</t>
  </si>
  <si>
    <t>COMPUTADOR DE INGENIERIA</t>
  </si>
  <si>
    <t>COMPUTADORA BASICA</t>
  </si>
  <si>
    <t>MICROONDAS</t>
  </si>
  <si>
    <t>FRIGOBAR</t>
  </si>
  <si>
    <t>MOBILIARIO</t>
  </si>
  <si>
    <t>SILLA PUBLICO</t>
  </si>
  <si>
    <t>JUEGO DE SILLAS SALA DE ESPERA</t>
  </si>
  <si>
    <t>SILLA PARA ORIENTACION AL PUBLICO</t>
  </si>
  <si>
    <t>MODULO DE ATENCION AL PUBLICO</t>
  </si>
  <si>
    <t>ESCRITORIO DE OFICINA</t>
  </si>
  <si>
    <t>ESCRITORIO DE GERENCIA</t>
  </si>
  <si>
    <t>SILLA DE OFICINA</t>
  </si>
  <si>
    <t>SILLA DE GERENCIA</t>
  </si>
  <si>
    <t>MESA DE REUNIONES -20 PERS.</t>
  </si>
  <si>
    <t>SILLA PARA MESA DE REUNIONES</t>
  </si>
  <si>
    <t>pza</t>
  </si>
  <si>
    <t>gbl</t>
  </si>
  <si>
    <t>m²</t>
  </si>
  <si>
    <t>m³</t>
  </si>
  <si>
    <t>tm</t>
  </si>
  <si>
    <t>MEJORAMIENTO DE LA GESTION MUNICIPAL Y SERVICIO ADMINISTRATIVO DE LA MUNICIPALIDAD PROVINCIAL DE ABANCAY</t>
  </si>
  <si>
    <t>Gastos de Gestion</t>
  </si>
  <si>
    <t>Gastos Covid - 19</t>
  </si>
  <si>
    <t>ESTRUCTUTRAS</t>
  </si>
  <si>
    <t>NIVELACIÓN Y COMPACTACION DE TERRENO</t>
  </si>
  <si>
    <t>NIVELACIÓN  Y COMPACTACIÓN DE SUB RASANTE</t>
  </si>
  <si>
    <t>RELLENO Y COMPACTACIÓN CON MATERIAL DE PRÉSTAMO EN BASE EN CIMENTACIÓN</t>
  </si>
  <si>
    <t>RELLENO, NIVELACIÓN Y APISONADO</t>
  </si>
  <si>
    <t>RELLENO, NIVELACION Y COMPACTACION CON MATERIAL DE PRÉSTAMO  H=1.65m EN INTERIOR</t>
  </si>
  <si>
    <t>RELLENO Y COMPACTACION CON MATERIAL DE PRÉSTAMO ALREDEDOR DE PLACAS</t>
  </si>
  <si>
    <t>ELIMINACIÓN DE MATERIAL EXCEDENTE</t>
  </si>
  <si>
    <t>ACARREO INTERNO MATERIAL PROCEDENTE DE EXCAVACIONES Dmax=50m</t>
  </si>
  <si>
    <t>ELIMINACION DE MATERIAL EXCEDENTE C/MAQUINARIA</t>
  </si>
  <si>
    <t>OBRAS DE CONCRETO SIMPLE</t>
  </si>
  <si>
    <t>SOLADOS</t>
  </si>
  <si>
    <t>SOLADO f'c = 140 kg/cm2, E=0.075 m</t>
  </si>
  <si>
    <t>CIMIENTOS CORRIDOS</t>
  </si>
  <si>
    <t>SOBRECIMIENTOS</t>
  </si>
  <si>
    <t>SOBRECIMIENTO - CONCRETO F'c=175 kg/cm2</t>
  </si>
  <si>
    <t>SOBRECIMIENTO - ENCOFRADO Y DESENCOFRADO</t>
  </si>
  <si>
    <t>Costo Directo Expediente Tecnico</t>
  </si>
  <si>
    <t>Costo Directo partidas nuevas</t>
  </si>
  <si>
    <t>VOLADURA DE ROCA FIJA</t>
  </si>
  <si>
    <t>Puntos</t>
  </si>
  <si>
    <t>PLANEAMIENTO,GESTION Y RESERVA DE CONTINGENCIA</t>
  </si>
  <si>
    <t>06</t>
  </si>
  <si>
    <t>GESTION</t>
  </si>
  <si>
    <t>INFRAESTRUCTURA Y EQUIPAMIENTO</t>
  </si>
  <si>
    <t>PROFESIONALES ESPECIALISTAS Y TECNICOS</t>
  </si>
  <si>
    <t>ARQUITECTO</t>
  </si>
  <si>
    <t>INGENIERO DE SEGURIDAD Y SALUD OCUPACIONAL SSOMA</t>
  </si>
  <si>
    <t>CONTROL DE CALIDAD</t>
  </si>
  <si>
    <t xml:space="preserve">ENSAYO DE DENSIDAD DE CAMPO </t>
  </si>
  <si>
    <t xml:space="preserve">PRUEBA DE RESISTENCIA AL CONCRETO  
 </t>
  </si>
  <si>
    <t xml:space="preserve">ESTUDIO DE SUELOS CON FINES DE CIMENTACION </t>
  </si>
  <si>
    <t>IMPRIMADO CON EMULSION ASFALTICA EN PLACAS</t>
  </si>
  <si>
    <t>1.2.7</t>
  </si>
  <si>
    <t>1.2.8</t>
  </si>
  <si>
    <t xml:space="preserve">IMPRIMADO CON EMULSION ASFALTICA EN PLACAS </t>
  </si>
  <si>
    <t>1.2.9</t>
  </si>
  <si>
    <t>1.2.10</t>
  </si>
  <si>
    <t>VI.- PANEL FOTOGRAFICO</t>
  </si>
  <si>
    <t>2.6.22.13</t>
  </si>
  <si>
    <t>2.6.22.14</t>
  </si>
  <si>
    <t>2.6.22.15</t>
  </si>
  <si>
    <t>ELECTRICIDAD Y ELECTRONICA</t>
  </si>
  <si>
    <t xml:space="preserve">EQUIPOS E INSTRUMENTOS </t>
  </si>
  <si>
    <t>MAQUINARIA Y EQUIPOS</t>
  </si>
  <si>
    <t>2.6.3 2.9 4</t>
  </si>
  <si>
    <t>2.6.3 2.9 5</t>
  </si>
  <si>
    <t>2.6.3 2.9 99</t>
  </si>
  <si>
    <t>2.6.2 2.4 4</t>
  </si>
  <si>
    <t>2.6.2 2.1 3</t>
  </si>
  <si>
    <t>2.6.2 2.1 5</t>
  </si>
  <si>
    <t>2.6.2 2.1 4</t>
  </si>
  <si>
    <t>2.6.3 2. 1 2</t>
  </si>
  <si>
    <t>2.6.3 2.3 1</t>
  </si>
  <si>
    <t xml:space="preserve">EQUIPOS COMPUTACIONALES </t>
  </si>
  <si>
    <t>}</t>
  </si>
  <si>
    <t>1.3.1</t>
  </si>
  <si>
    <t>1.3.2</t>
  </si>
  <si>
    <t>OBRAS DE CONCRETO ARMADO</t>
  </si>
  <si>
    <t>1.3.1.1</t>
  </si>
  <si>
    <t>1.3.1.2</t>
  </si>
  <si>
    <t>1.3.1.3</t>
  </si>
  <si>
    <t>CIMIENTO CORRIDO - CONCRETO F'c=175 kg/cm2 + 30%PG</t>
  </si>
  <si>
    <t>1.2.1.1</t>
  </si>
  <si>
    <t>1.2.1.1.1</t>
  </si>
  <si>
    <t>1.2.1.1.2</t>
  </si>
  <si>
    <t>COLUMNETA - ENCOFRADO Y DESENCOFRADO</t>
  </si>
  <si>
    <t>COLUMNETA - ACERO fy=4200 kg/cm2</t>
  </si>
  <si>
    <t>1.3.2.1</t>
  </si>
  <si>
    <t>1.3.2.2</t>
  </si>
  <si>
    <t>1.3.2.3</t>
  </si>
  <si>
    <t>VIGUETA - ENCOFRADO Y DESENCOFRADO</t>
  </si>
  <si>
    <t>VIGUETA - ACERO fy=4200 kg/cm2</t>
  </si>
  <si>
    <t>COLUMNETA DE CONFINAMIENTO</t>
  </si>
  <si>
    <t>VIGUETA DE CONFINAMIENTO</t>
  </si>
  <si>
    <t xml:space="preserve">TARRAJEO DE CIELO RASO </t>
  </si>
  <si>
    <t>LOSA ALIGERADA - LADR. HUECO 20x30x30cm</t>
  </si>
  <si>
    <t>COLUMNETA - CONCRETO f'c=175 kg/cm2</t>
  </si>
  <si>
    <t>VIGUETA - CONCRETO f'c=175 kg/cm2</t>
  </si>
  <si>
    <t>2.6.2.3.2.8</t>
  </si>
  <si>
    <t>2.6.2.2.4.4</t>
  </si>
  <si>
    <t>GASTO-COMPRA DE EQUIPOS</t>
  </si>
  <si>
    <t>2.6.3.2.4.1</t>
  </si>
  <si>
    <t>GASTO-MAQ  EQUIPOS</t>
  </si>
  <si>
    <t>2.6.2.3.2.99</t>
  </si>
  <si>
    <t>GASTOS DE GESTION</t>
  </si>
  <si>
    <t>GASTO-BIENES</t>
  </si>
  <si>
    <t>2.6.22.16</t>
  </si>
  <si>
    <t>GASTO-SERVICIOS</t>
  </si>
  <si>
    <t>CORRESPONDIENTE AL MES DE JULIO DEL 2022</t>
  </si>
  <si>
    <t>VALORIZACION DE PARTIDAS NUEVAS N° 05</t>
  </si>
  <si>
    <t>ASISTENTE ADMINISTRATIVO I</t>
  </si>
  <si>
    <t>ASISTENTE ADMINISTRATIVO II</t>
  </si>
  <si>
    <t>JARDINERIA</t>
  </si>
  <si>
    <t>LAVADERO</t>
  </si>
  <si>
    <t>JARDINERIA - CONCRETO f'c=175 kg/cm2</t>
  </si>
  <si>
    <t>JARDINERIA - ENCOFRADO Y DESENCOFRADO</t>
  </si>
  <si>
    <t>JARDINERIA - ACERO fy=4200 kg/cm2</t>
  </si>
  <si>
    <t>LAVADERO - CONCRETO f'c=175 kg/cm2</t>
  </si>
  <si>
    <t>LAVADERO - ENCOFRADO Y DESENCOFRADO</t>
  </si>
  <si>
    <t>LAVADERO - ACERO fy=4200 kg/cm2</t>
  </si>
  <si>
    <t>PISO FROTACHADO - CONCRETO F´C=175 KG/CM2</t>
  </si>
  <si>
    <t>ESCALERAS - CONCRETO f'c=2800 kg/cm2</t>
  </si>
  <si>
    <t>2.6.32.41</t>
  </si>
  <si>
    <t>COSTO ADMI. DIRECTA - EQUIPOS</t>
  </si>
  <si>
    <t>ASISTENTE TECNICO I</t>
  </si>
  <si>
    <t>2.6.2 2.4 5</t>
  </si>
  <si>
    <t>COSTO ADMI.DIRECTA -MOBILIARIO</t>
  </si>
  <si>
    <t xml:space="preserve"> (RESOLUCION DE GERENCIA MUNICIPAL N°0297-2022-GM-MPA)</t>
  </si>
  <si>
    <t>VALORIZACION DE ADICIONAL DE OBRA N°01 - DEDUCTIVOS</t>
  </si>
  <si>
    <t>Vidrios, Laminados</t>
  </si>
  <si>
    <t>VENTANA TIPO I VENTANA DE VIDRIO LAMINADO CON PVB INCOLORO DE 6mm,SISTEMA NOVA CON DOBLE PUENTE</t>
  </si>
  <si>
    <t xml:space="preserve">VENTANA TIPO II VENTANA DE VIDRIO LAMINADO CON PVB INCOLORO DE 6mm,SISTEMA NOVA </t>
  </si>
  <si>
    <t>VENTANA TIPO III VENTANA DE VIDRIO LAMINADO DE 6mm</t>
  </si>
  <si>
    <t>VENTANA TIPO IV VENTANA DE VIDRIO LAMINADO DE 6mm</t>
  </si>
  <si>
    <t>VENTANA FIJA  DE VIDRIO LAMINADO CON PVB INCOLORO DE  6mm</t>
  </si>
  <si>
    <t>VENTANA CON SISTEMA PIVOTANTE DE VIDRIO LAMINADO CON PVB INCOLORO DE  6mm</t>
  </si>
  <si>
    <t>PUERTA BATIENTE DE UNA HOJA Y DOS HOJAS CON VIDRIO LAMINADO INCOLORO DE 6mm</t>
  </si>
  <si>
    <t>PUERTA VENTANA CON HOJA BATIENTE DE VIDRIO LAMINADO INCOLORO DE 6mm</t>
  </si>
  <si>
    <t>MAMPARAS CORREDIZA DE VIDRIO LAMINADO INCOLORO DE 8 mm</t>
  </si>
  <si>
    <t>Puerta de servicio</t>
  </si>
  <si>
    <t>PUERTA BATIENTE DE UNA HOJA CON POLICARBONATO TRANSPARENTE DE  6mm</t>
  </si>
  <si>
    <t>PUERTA VENTANA CON POLICARBONATO TRANSPARENTE DE  6mm</t>
  </si>
  <si>
    <t>Bloques de vidrio</t>
  </si>
  <si>
    <t>VENTANAS CON VITROBLOCK 0.19 m X0.19 MX 0.08 m.</t>
  </si>
  <si>
    <t>VITROBLOCK 0.30 m X0.30 MX 0.10 m PARA LOSA DE C°A°.</t>
  </si>
  <si>
    <t>Espejos</t>
  </si>
  <si>
    <t>ESPEJOS BISELADOS DE 6mm.</t>
  </si>
  <si>
    <t>Vidrio templado</t>
  </si>
  <si>
    <t>MURO CORTINA</t>
  </si>
  <si>
    <t>VENTANA PROYECTANTE-TIPO MURO CORTINA</t>
  </si>
  <si>
    <t>VENTANA FIJA TIPO MURO CORTINA</t>
  </si>
  <si>
    <t>PUERTA BATIENTE DE DOS HOJAS (INGRESO PRINCIPAL) INCLUYE FRENOS HIDRAULICOS, CERRADURA, JALADORES Y OTROS</t>
  </si>
  <si>
    <t>VALORIZACION DE ADICIONAL DE OBRA N°01-PARTIDAS NUEVAS</t>
  </si>
  <si>
    <t xml:space="preserve">PROGRAMADO </t>
  </si>
  <si>
    <t>ADICIONAL DE OBRA N°01-RESOLUCION DE GERENCIA MUNICIPAL N°0297-2022-GM-MPA</t>
  </si>
  <si>
    <t>PARTIDA NUEVA</t>
  </si>
  <si>
    <t>DEDUCTIVO</t>
  </si>
  <si>
    <t>1.1.6</t>
  </si>
  <si>
    <t>1.1.7</t>
  </si>
  <si>
    <t>1.1.8</t>
  </si>
  <si>
    <t>1.1.9</t>
  </si>
  <si>
    <t>1.4.1</t>
  </si>
  <si>
    <t>1.5.1</t>
  </si>
  <si>
    <t>1.5.2</t>
  </si>
  <si>
    <t>1.5.3</t>
  </si>
  <si>
    <t>1.5.4</t>
  </si>
  <si>
    <t>TRANSPORTE VERTICAL</t>
  </si>
  <si>
    <t>SUMINISTRO, INSTALACION Y PUESTA EN MARCHA DE 01 ASCENSOR ECOLOGICO PARA 7 PARADAS Y 10 PERSONAS DE CAPACIDAD</t>
  </si>
  <si>
    <t>PARTIDAS NUEVAS</t>
  </si>
  <si>
    <t>DEDUCTIVOS</t>
  </si>
  <si>
    <t xml:space="preserve">PRESUPUESTO </t>
  </si>
  <si>
    <t>ADICIONAL DE OBRA N°01 -RESOLUCION DE GERENCIA MUNICIPAL N°0297-2022-GM-MPA</t>
  </si>
  <si>
    <t xml:space="preserve">VALORIZACION FISICA EJECUTADA </t>
  </si>
  <si>
    <t>VALORIZACION FISICA EJECUTADA EXP. TECNICO -RESOLUCION DE GERENCIA MUNICIPAL N°455-2021-GM-MPA</t>
  </si>
  <si>
    <t>Adicional de obra N°01</t>
  </si>
  <si>
    <t>ADICIONAL DE OBRA N°01</t>
  </si>
  <si>
    <t>MONTO APROBADO EXPEDIENTE TECNICO</t>
  </si>
  <si>
    <t>115-2021</t>
  </si>
  <si>
    <t>0010</t>
  </si>
  <si>
    <t>EXPEDIENTE TECNICO ORIGINAL</t>
  </si>
  <si>
    <t xml:space="preserve">PARTIDAS NUEVAS </t>
  </si>
  <si>
    <t>RESOLUCION DE GERENCIA MUNICIPAL N°455-2021-GM-MPA</t>
  </si>
  <si>
    <t xml:space="preserve">APROBACION DE EXPEDIENTE TECNICO </t>
  </si>
  <si>
    <t>APROBACION DE ADICIONAL DE OBRA N°01</t>
  </si>
  <si>
    <t xml:space="preserve"> RESOLUCION DE GERENCIA MUNICIPAL N°0297-2022-GM-MPA</t>
  </si>
  <si>
    <t>CANON SOBRECANON REGALÍAS RENTA DE ADUANAS Y PARTICIPACIONES</t>
  </si>
  <si>
    <t>Peon</t>
  </si>
  <si>
    <t>INFORME TECNICO MENSUAL  N°12</t>
  </si>
  <si>
    <t>VALORIZACION DE ADICIONAL DE OBRA N°02-PARTIDAS NUEVAS</t>
  </si>
  <si>
    <t>VALORIZACION DE ADICIONAL DE OBRA N°02 - MAYORES METRADOS</t>
  </si>
  <si>
    <t>VALORIZACION DE ADICIONAL DE OBRA N°02 - DEDUCTIVOS</t>
  </si>
  <si>
    <t>MES DE DICIEMBRE - 2022</t>
  </si>
  <si>
    <t>ALMACEN DE OBRA A</t>
  </si>
  <si>
    <t>CONSTRUCCIÓN PROVISIONAL DE MÓDULOS DE SS.HH</t>
  </si>
  <si>
    <t>AMBIENTES DE CONTINGENCIA</t>
  </si>
  <si>
    <t>ALMACEN DE OBRA B</t>
  </si>
  <si>
    <t>SERVICIO AGUA Y DESAGUE PARA LA CONSTRUCCIÓN</t>
  </si>
  <si>
    <t>SERVICIO DE ENERGÍA ELÉCTRICA PARA LA CONSTRUCCIÓN</t>
  </si>
  <si>
    <t>ELIMINACIÓN DE MATERIAL DE DEMOLICIONES</t>
  </si>
  <si>
    <t>CARGUÍO, DESCARGUÍO DE TRANSPORTE DE MATERIALES DE ALMACEN "B" HACIA OBRA</t>
  </si>
  <si>
    <t>CONTROL DE NIVELES DURANTE LA CONSTRUCCIÓN</t>
  </si>
  <si>
    <t>MATERIALES PARA SEGREGACIÓN DE RESIDUOS SÓLIDOS</t>
  </si>
  <si>
    <t>LIMPIEZA DE OFICINAS, ALMACENES Y SS.HH</t>
  </si>
  <si>
    <t>IMPLEMENTOS MÉDICOS</t>
  </si>
  <si>
    <t>CORTE DE ZANJAS PARA CIMIENTOS CORRIDOS EN TERRENO COMPACTO</t>
  </si>
  <si>
    <t>PERFORACIÓN Y DISPARO EN ROCA</t>
  </si>
  <si>
    <t>2.1.3</t>
  </si>
  <si>
    <t>Nivelación y Compactación de terreno</t>
  </si>
  <si>
    <t>RELLENO Y COMPACTACIÓN CON MATERIAL DE PRÉSTAMO EN SUB BASE H=0.20m EN ACCESOS</t>
  </si>
  <si>
    <t>2.1.4</t>
  </si>
  <si>
    <t>Relleno, Nivelación y Apisonado</t>
  </si>
  <si>
    <t>2.2a</t>
  </si>
  <si>
    <t>Obras de Concreto Simple</t>
  </si>
  <si>
    <t>2.2a.1</t>
  </si>
  <si>
    <t>Solados</t>
  </si>
  <si>
    <t>CONCRETO  F'C=140 kg/cm2 - SOLADO</t>
  </si>
  <si>
    <t>2.2a.2</t>
  </si>
  <si>
    <t>Cimientos Corridos</t>
  </si>
  <si>
    <t>CIMIENTO CORRITO - CONCRETO F'c=175 kg/cm2 + 30%PG</t>
  </si>
  <si>
    <t>2.2a.3</t>
  </si>
  <si>
    <t>Sobrecimientos</t>
  </si>
  <si>
    <t>CONCRETO F'c=175 kg/cm2 - SOBRECIMIENTO</t>
  </si>
  <si>
    <t xml:space="preserve">ENCOFRADO Y DESENCOFRADO - SOBRECIMIENTO </t>
  </si>
  <si>
    <t>2.2a.4</t>
  </si>
  <si>
    <t>Gradas y Rampas</t>
  </si>
  <si>
    <t>CONCRETO F'c=210 kg/cm2</t>
  </si>
  <si>
    <t>CONCRETO  F'C=280 kg/cm2 - RAMPAS</t>
  </si>
  <si>
    <t>ENCOFRADO Y DESENCOFRADO - GRADAS Y RAMPAS</t>
  </si>
  <si>
    <t>2.2a.6</t>
  </si>
  <si>
    <t>Bases de Concreto</t>
  </si>
  <si>
    <t>ENCOFRADO Y DESENCOFRADO - BASE DE CONCRETO</t>
  </si>
  <si>
    <t>CONCRETO AUTOCOMPACTANTE E=0.05m</t>
  </si>
  <si>
    <t>2.2.10</t>
  </si>
  <si>
    <t>Cisternas Subterráneas</t>
  </si>
  <si>
    <t>ACERO Fy=4200 kg/cm2 - CISTERNA SUBTERRÁNEA</t>
  </si>
  <si>
    <t>ENCOFRADO Y DESENCOFRADO - CISTERNA SUBTERRÁNEA</t>
  </si>
  <si>
    <t>CONCRETO F'C=280 kg/cm2 - CISTERNA SUBTERRÁNEA</t>
  </si>
  <si>
    <t>2.2.11</t>
  </si>
  <si>
    <t>Tanques Elevados</t>
  </si>
  <si>
    <t>ACERO Fy=4200 kg/cm2 - TANQUE ELEVADO</t>
  </si>
  <si>
    <t>ENCOFRADO Y DESENCOFRADO - TANQUE ELEVADO</t>
  </si>
  <si>
    <t>CONCRETO PRE-MEZCLADO F'C=280 kg/cm2 - TANQUE ELEVADO</t>
  </si>
  <si>
    <t>2.2.12</t>
  </si>
  <si>
    <t>Columnas de confinamiento</t>
  </si>
  <si>
    <t>ACERO Fy=4200 kg/cm2 - COLUMNAS DE CONFINAMIENTO</t>
  </si>
  <si>
    <t>ENCOFRADO Y DESENCOFRADO - COLUMNAS DE CONFINAMIENTO</t>
  </si>
  <si>
    <t>CONCRETO F'c=175 kg/cm2 - COLUMNAS DE CONFINAMIENTO</t>
  </si>
  <si>
    <t>2.2.13</t>
  </si>
  <si>
    <t>Vigas de Confinamiento</t>
  </si>
  <si>
    <t>ACERO Fy=4200 kg/cm2 - VIGAS DE CONFINAMIENTO</t>
  </si>
  <si>
    <t>ENCOFRADO Y DESENCOFRADO - VIGAS DE CONFINAMIENTO</t>
  </si>
  <si>
    <t>CONCRETO F'c=175 kg/cm2 - VIGAS DE CONFINAMIENTO</t>
  </si>
  <si>
    <t>ACARREO DE MATERIALES PARA ENCOFRADO Y DESENCOFRADO DESDE EL SÓTANO AL 5TO NIVEL</t>
  </si>
  <si>
    <t>p²</t>
  </si>
  <si>
    <t>Varios</t>
  </si>
  <si>
    <t>IMPERMEABILIZACION DE SUPERFICIES DE CONCRETO CON ASFALTO</t>
  </si>
  <si>
    <t>ALQUILER DE ANDAMIOS Y PLATAFORMAS</t>
  </si>
  <si>
    <t>BRUÑAS e=1.0cm</t>
  </si>
  <si>
    <t>BRUÑAS e=2.0cm</t>
  </si>
  <si>
    <t>TARRAJEO MEZ.C:A 1:3 E=2CM C/IMPERM. A:I 1:10, 3% BLS.CEM</t>
  </si>
  <si>
    <t>HABILITADO DE SUPERFICIE PICADO DE MUROS, VIGAS Y COLUMNAS</t>
  </si>
  <si>
    <t>CIELORRASO CON MEZCLA DE C:A 1:5, E=1.5 CM</t>
  </si>
  <si>
    <t>03.05.1</t>
  </si>
  <si>
    <t>CONTRAPISOS</t>
  </si>
  <si>
    <t xml:space="preserve">HABILITACIÓN DE SUPERFICIE PICADO DE PISOS Y PAVIMENTOS </t>
  </si>
  <si>
    <t>SISTEMA DE DESAGÜE Y VENTILACIÓN</t>
  </si>
  <si>
    <t>04.06.2</t>
  </si>
  <si>
    <t>REDES DE DERIVACIÓN</t>
  </si>
  <si>
    <t>CODO PVC-SAL P/ DESAGUE ø2'' x 45°</t>
  </si>
  <si>
    <t>REDUCCIÓN SANITARIA PVC-SAL ø4'' x 2''</t>
  </si>
  <si>
    <t>TRAMPA DE 2'' PARA LAVATORIO</t>
  </si>
  <si>
    <t>TEE SANITARIA PVC-SAL ø2''</t>
  </si>
  <si>
    <t>TEE SANITARIA PVC-SAL ø4''</t>
  </si>
  <si>
    <t>TEE DOBLE SANITARIA PVC-SAL ø4''</t>
  </si>
  <si>
    <t>TEE REDUCIDA SANITARIA PVC-SAL ø4'' x 4'' x 2''</t>
  </si>
  <si>
    <t>YEE DOBLE REDUCIDA SANITARIA PVC-SAL ø4'' x 4'' x 2'' x 2''</t>
  </si>
  <si>
    <t>YEE DOBLE SANITARIA PVC-SAL ø2''</t>
  </si>
  <si>
    <t>TENDIDO DE CABLE N2XOH DE 3x120mm²</t>
  </si>
  <si>
    <t>TENDIDO DE CABLE N2XOH DE 3x70mm²+35mm²</t>
  </si>
  <si>
    <t>TENDIDO DE CABLE N2XOH DE 3x25mm²+16mm²</t>
  </si>
  <si>
    <t>TENDIDO DE CABLE N2XOH DE 3x16mm²+10mm²</t>
  </si>
  <si>
    <t>CURVA PVC-SAP 26.5 mm Ø (3/4") P/INST. ELECTRICAS</t>
  </si>
  <si>
    <t>UNIÓN PVC-SAP 26.5mm  Ø (3/4") P/INST. ELECTRICAS</t>
  </si>
  <si>
    <t>CONECTOR PVC-SAP 26.5mm Ø (3/4") P/INST. ELECTRICAS</t>
  </si>
  <si>
    <t>TENDIDO DE CABLE LSOHX-90 DE  2x2.5mm131</t>
  </si>
  <si>
    <t>SALIDA PARA INTERRUPTOR TRIPLE, INCLUYE INSTALACIÓN DE INTERRUPTOR</t>
  </si>
  <si>
    <t>SALIDA PARA INTERRUPTOR CONMUTADO SIMPLE, INCLUYE INSTALACIÓN DE INTERRUPTOR</t>
  </si>
  <si>
    <t>SALIDA PARA INTERRUPTOR CONMUTADO DOBLE, INCLUYE INSTALACIÓN DE INTERRUPTOR</t>
  </si>
  <si>
    <t>LUMINARIA PARA SOBREPONER TIPO PANEL LED 18W CIRCULAR 6500°K 50000 hrs</t>
  </si>
  <si>
    <t>LUMINARIA PARA EMPOTRAR TIPO PANEL LED 24W CIRCULAR 6500°K 50000 hrs</t>
  </si>
  <si>
    <t>LUMINARIA PARA EMPOTRAR TIPO PANEL LED 18W CIRCULAR 6500°K 50000 hrs</t>
  </si>
  <si>
    <t>LUMINARIA EMPOTRABLE LED COB CIRCULAR DE 20W</t>
  </si>
  <si>
    <t>LUMINARIA EMPOTRABLE LED COB CIRCULAR DE 15W</t>
  </si>
  <si>
    <t>LUMINARIA SUSPENDIDA TIPO COLGANTE CILINDRICA DE 10W</t>
  </si>
  <si>
    <t>SPOT PLANO PARA DICROICO INCLUYE LUMINARIA DE 10W</t>
  </si>
  <si>
    <t>LUMINARIA TIRA LED CALIDA DE 15 MTS</t>
  </si>
  <si>
    <t>LUMINARIA TIPO REFLECTOR LED IMPERMEABLE DE 12 W</t>
  </si>
  <si>
    <t>LUMINARIA REFLECTOR LED DE PISO ORIENTABLE DE 6.5W</t>
  </si>
  <si>
    <t>LUMINARIA REFLECTOR LED DE PISO ORIENTABLE DE 18W</t>
  </si>
  <si>
    <t>LUMINARIA ESTARLED EMPOTRABLE EN PARED DE 3 W</t>
  </si>
  <si>
    <t>LUMINARIA CAMPANA LED COB DE 30W</t>
  </si>
  <si>
    <t>MARCO PARA LUMINARIA TIPO PANEL LED DE 120x30cm</t>
  </si>
  <si>
    <t>MARCO PARA LUMINARIA TIPO PANEL LED DE 60x60cm</t>
  </si>
  <si>
    <t>CAJAS DE DERIVACIÓN</t>
  </si>
  <si>
    <t>CAJA DE PASE CUADRADA DE F°G° CON TAPA BISELADA DE 400x400x100 mm.</t>
  </si>
  <si>
    <t>CAJA DE PASE CUADRADA DE F°G° CON TAPA BISELADA DE 300x300x8 mm.</t>
  </si>
  <si>
    <t>CAJA DE PASE CUADRADA DE F°G° CON TAPA BISELADA DE 200x200x80 mm.</t>
  </si>
  <si>
    <t>CAJA DE PASE CUADRADA DE F°G° CON TAPA BISELADA DE 150x150x80 mm.</t>
  </si>
  <si>
    <t>CAJA DE PASE CUADRADA DE F°G° CON TAPA BISELADA DE 100x100x80 mm.</t>
  </si>
  <si>
    <t>TUBO PVC-SAP 26.5 mm Ø (3/4") P/INST. ELECTRICAS</t>
  </si>
  <si>
    <t>TUBO PVC-SAP 35 mm Ø (1 1/4") P/INST. ELECTRICAS</t>
  </si>
  <si>
    <t>CURVA PVC-SAP 35 mm Ø (1 1/4") P/INST. ELECTRICAS</t>
  </si>
  <si>
    <t>ADAPTADOR TUBO CAJA PVC-SAP 35 mm Ø (1 1/4") P/INST. ELÉCTRICAS</t>
  </si>
  <si>
    <t>ADAPTADOR TUBO CAJA PVC-SAP 26.5 mm Ø (3/4") P/INST. ELÉCTRICAS</t>
  </si>
  <si>
    <t>CAJA CON TAPA GANG DE F°G° PESADO 100 X 100 X 55 mm</t>
  </si>
  <si>
    <t>CAJA GANG DE F°G° PESADO 100 X 100 X 55 mm</t>
  </si>
  <si>
    <t>TAPA GANG DE F°G° PESADO 100 X 100 mm</t>
  </si>
  <si>
    <t>PRUEBAS DE CONTROL DE CALIDAD</t>
  </si>
  <si>
    <t>Pruebas de control de calidad</t>
  </si>
  <si>
    <t>ENSAYO DE DENSIDAD DE CAMPO</t>
  </si>
  <si>
    <t>ESTUDIO DE MECANICA DE SUELOS</t>
  </si>
  <si>
    <t>ENSAYO DE COMPRESIÓN AXIAL</t>
  </si>
  <si>
    <t>04.06.2.5</t>
  </si>
  <si>
    <t>CODO PVC-SAL P/ DESAGUE ø4'' x 90°</t>
  </si>
  <si>
    <t>04.06.2.6</t>
  </si>
  <si>
    <t>CODO PVC-SAL P/ DESAGUE ø4'' x 45°</t>
  </si>
  <si>
    <t>MAYORES METRADOS</t>
  </si>
  <si>
    <t>ADICIONAL DE OBRA N°02 -RESOLUCION DE GERENCIA MUNICIPAL N°0297-2022-GM-MPA</t>
  </si>
  <si>
    <t>APROBACION DE ADICIONAL DE OBRA N°02</t>
  </si>
  <si>
    <t>ADICIONAL DE OBRA N°02</t>
  </si>
  <si>
    <t>Partidas Nuevas</t>
  </si>
  <si>
    <t>* EL COSTOS DEL EXPEDIENTE ORIGINAL FUE APROBADO CON RESOLUCION DE GERENCIA MUNICIPAL N°455-2021-GM-MPA, POR EL MONTO DE S/.13 550 641.68 Y CON LA RESOLUCION DE GERENCIA MUNICIPAL N°0297-2022-GM-MPA, SE APRUEBA EL ADICIONAL DE OBRA N°01 EL 03 DE OCTUBRE DEL 2022, POR UN MONTO TOTAL DE  S/.591 841.70 SOLES, LO QUE MODIFICA EL COSTO DIRECTO, A SI MISMO LOS COSTOS EN GASTOS GENERALES, GASTOS DE SUPERVISION, GASTOS DE LIQUIDACION DE OBRA, A SI MISMO SE SOLICITO LA APROBACION DEL ADICIONAL DE OBRA N°02 EN UN MONTO TOTAL DE s/.458476.78 ACTUALIZANDOSE A UN MONTO DE s/.16,700,048.35</t>
  </si>
  <si>
    <t>ING. IVES BUSTHER GUTIERREZ ARENAS</t>
  </si>
  <si>
    <t>MONTO ACTUALIZADO APROBADO</t>
  </si>
  <si>
    <t>MONTO ASIGNADO 2023</t>
  </si>
  <si>
    <t>Fecha de reinicio de obra</t>
  </si>
  <si>
    <t>ADICIONAL DE OBRA N°02-RESOLUCION DE GERENCIA MUNICIPAL N° 518 -2021-GM-MPA</t>
  </si>
  <si>
    <t xml:space="preserve"> RESOLUCION DE GERENCIA MUNICIPAL N° 518 -2021-GM-MPA</t>
  </si>
  <si>
    <t xml:space="preserve"> (RESOLUCION DE GERENCIA MUNICIPAL N°518-2021-GM-MPA)</t>
  </si>
  <si>
    <t>CUI:</t>
  </si>
  <si>
    <t>Adicional de obra N°02</t>
  </si>
  <si>
    <t>Año 2023</t>
  </si>
  <si>
    <t>Acutalizado al: /02/2023</t>
  </si>
  <si>
    <t>RAÚL PEÑA</t>
  </si>
  <si>
    <t>PIM 2023</t>
  </si>
  <si>
    <t>038-2023</t>
  </si>
  <si>
    <t>38-2023</t>
  </si>
  <si>
    <t>N°01-RESOLUCION N°0297-2022-GM-MPA</t>
  </si>
  <si>
    <t>N°02-RESOLUCION N° 518 -2021-GM-MPA</t>
  </si>
  <si>
    <t>042-2022</t>
  </si>
  <si>
    <t>LIC. ADM. XIUMY C.AIQUIPA ARBIETO</t>
  </si>
  <si>
    <t>ENTIDAD</t>
  </si>
  <si>
    <t>RESIDENTE;</t>
  </si>
  <si>
    <t>SUPERVISOR;</t>
  </si>
  <si>
    <t>CUI</t>
  </si>
  <si>
    <t>UND.</t>
  </si>
  <si>
    <t>PARCIAL (S/.)</t>
  </si>
  <si>
    <t>P/E</t>
  </si>
  <si>
    <t>Del 24 al 31</t>
  </si>
  <si>
    <t xml:space="preserve">Del 01 al 28 </t>
  </si>
  <si>
    <t>Del 01 al 31</t>
  </si>
  <si>
    <t xml:space="preserve">Del 01 al 30 </t>
  </si>
  <si>
    <t>P</t>
  </si>
  <si>
    <t>E</t>
  </si>
  <si>
    <t>COSTO DIRECTO MENSUAL</t>
  </si>
  <si>
    <t>PORCENTAJE MENSUAL</t>
  </si>
  <si>
    <t>COSTO DIRECTO ACUMULADO</t>
  </si>
  <si>
    <t>PORCENTAJE  ACUMULADO</t>
  </si>
  <si>
    <t>PRESUPUESTO TOTAL MENSUAL</t>
  </si>
  <si>
    <t>PRESUPUESTO TOTAL ACUMULADO</t>
  </si>
  <si>
    <t>PORCENTAJE ACUMULADO</t>
  </si>
  <si>
    <t>Deductivos</t>
  </si>
  <si>
    <t>EXP. TECNICO</t>
  </si>
  <si>
    <t>ADICIONAL N°1</t>
  </si>
  <si>
    <t>ADICIONAL N°2</t>
  </si>
  <si>
    <t>Mayores Metrados</t>
  </si>
  <si>
    <t xml:space="preserve">INFORMACIÓN FISICA A NIVEL DE EXPEDIENTE MODIDICADO </t>
  </si>
  <si>
    <t>VALORIZACION DE ADICIONAL DE OBRA N°03-PARTIDAS NUEVAS</t>
  </si>
  <si>
    <t>TRAZO Y REPLANTEO</t>
  </si>
  <si>
    <t>01.01.01.01</t>
  </si>
  <si>
    <t>TRAZO Y REPLANTEO DE ESTRUCTURAS METALICAS</t>
  </si>
  <si>
    <t>ESTRUCTURA METALICA</t>
  </si>
  <si>
    <t>LIMPIEZA DE TUBOS</t>
  </si>
  <si>
    <t>01.02.01.01</t>
  </si>
  <si>
    <t>LIMPIEZA DE TUBOS METALICOS</t>
  </si>
  <si>
    <t>01.02.02</t>
  </si>
  <si>
    <t>FABRICACION DE ESTRUCTURA METALICAS</t>
  </si>
  <si>
    <t>01.02.02.01</t>
  </si>
  <si>
    <t>FABRICACION DE ANCLAJES PARA AUDITORIO</t>
  </si>
  <si>
    <t>01.02.02.02</t>
  </si>
  <si>
    <t>CERCHAS PARA TECHO EN AUDITORIO</t>
  </si>
  <si>
    <t>01.02.02.03</t>
  </si>
  <si>
    <t>FABRICACIÓN DE CORREAS PARA TECHO EN AUDITORIO</t>
  </si>
  <si>
    <t>01.02.02.04</t>
  </si>
  <si>
    <t>FABRICACION DE ANCLAJES PARA TECHO EN DUCTO DE ESCALERAS</t>
  </si>
  <si>
    <t>01.02.02.05</t>
  </si>
  <si>
    <t>TIJERALES PARA TECHO EN DUCTO DE ESCALERAS</t>
  </si>
  <si>
    <t>01.02.02.06</t>
  </si>
  <si>
    <t>FABRICACION DE CORREAS PARA TECHO DE ESCALERAS</t>
  </si>
  <si>
    <t>01.02.02.07</t>
  </si>
  <si>
    <t>CANALETA PARA COBERTURA</t>
  </si>
  <si>
    <t>01.02.02.08</t>
  </si>
  <si>
    <t>FABRICACIÓN DE ESTRUCTURA METÁLICA PARA TECHO DE DUCTOS</t>
  </si>
  <si>
    <t>01.02.03</t>
  </si>
  <si>
    <t>INSTALACION Y MONTAJE</t>
  </si>
  <si>
    <t>01.02.03.01</t>
  </si>
  <si>
    <t>INSTALACION DE ANCLAJE DE CERCHA EN AUDITORIO</t>
  </si>
  <si>
    <t>01.02.03.02</t>
  </si>
  <si>
    <t>INSTALACIÓN DE ANCLAJES EN TECHO DE ESCALERAS</t>
  </si>
  <si>
    <t>01.02.03.03</t>
  </si>
  <si>
    <t>MONTAJE DE CERCHAS EN AUDITORIO</t>
  </si>
  <si>
    <t>01.02.03.04</t>
  </si>
  <si>
    <t>MONTAJE DE TIJERALES EN TECHO DE DUCTO DE ESCALERAS</t>
  </si>
  <si>
    <t>01.02.03.05</t>
  </si>
  <si>
    <t>MONTAJE DE ESTRUCTURA METÁLICA EN TECHO DE DUCTOS</t>
  </si>
  <si>
    <t>01.02.04</t>
  </si>
  <si>
    <t>PRUEBAS DE LABORATORIO</t>
  </si>
  <si>
    <t>01.02.04.01</t>
  </si>
  <si>
    <t>ENSAYOS NO DESTRUCTIVOS</t>
  </si>
  <si>
    <t>01.02.05</t>
  </si>
  <si>
    <t>PINTURAS</t>
  </si>
  <si>
    <t>01.02.05.01</t>
  </si>
  <si>
    <t>PINTURA EN CERCHA DE AUDITORIO</t>
  </si>
  <si>
    <t>01.02.05.02</t>
  </si>
  <si>
    <t>PINTURA EN CERCHA DE DUCTO DE ESCALERAS</t>
  </si>
  <si>
    <t>01.02.05.03</t>
  </si>
  <si>
    <t>PINTURA EN PLANCHAS METÁLICAS, RIGIDIZADORES Y CARTELAS</t>
  </si>
  <si>
    <t>01.02.06</t>
  </si>
  <si>
    <t>TECHOS Y COBERTURAS</t>
  </si>
  <si>
    <t>01.02.06.01</t>
  </si>
  <si>
    <t>COBERTURA CON PLANCHAS FIBROCEMENTO TIPO TEJA ANDINA SOBRE ESTRUCTURA METÁLICA</t>
  </si>
  <si>
    <t>01.02.06.02</t>
  </si>
  <si>
    <t>COBERTURA CON PANELES DE POLICARBONATO ALVEOLAR E=10mm, EN DUCTO DE JARDINERAS</t>
  </si>
  <si>
    <t>01.02.06.03</t>
  </si>
  <si>
    <t>COBERTURA CON PANELES DE POLICARBONATO ALVEOLAR E=10mm INCL. ESTRUCTURA METÁLICA, EN DUCTOS P/INSTALACIONES SANITARIAS</t>
  </si>
  <si>
    <t xml:space="preserve">   MUROS DE TABIQUERIA SECA</t>
  </si>
  <si>
    <t xml:space="preserve">      TABIQUE DE DRYWALL - AMBAS CARAS CON PLACA DE FIBROCEMENTO ESPESOR DE 8mm</t>
  </si>
  <si>
    <t xml:space="preserve">      TABIQUE DE DRYWALL - AMBAS CARAS CON PLACA DE DE GYPLAC DE 12.7 mm</t>
  </si>
  <si>
    <t xml:space="preserve">   REVOQUES Y REVESTIMIENTOS</t>
  </si>
  <si>
    <t xml:space="preserve">      ACABADOS ESPECIALES C/MICROCEMENTO EN EXTERIORES</t>
  </si>
  <si>
    <t xml:space="preserve">      ACABADOS ESPECIALES C/MICROGRANALLA</t>
  </si>
  <si>
    <t xml:space="preserve">      VESTIDURAS EN DERRAMES CON MICROCEMENTO</t>
  </si>
  <si>
    <t xml:space="preserve">   FALSO CIELO RASO</t>
  </si>
  <si>
    <t xml:space="preserve">      FALSO CIELORRASO CON BALDOSA ACUSTICA DE FIBRA MINERAL IGNIFUGAS DE 61cm x 61 cm</t>
  </si>
  <si>
    <t xml:space="preserve">      FALSO CIELORRASO DE DRYWALL CON FIBROCEMENTO DE 6mm, ALTURA VARIABLE DE 50 A 90CM</t>
  </si>
  <si>
    <t>02.03.03</t>
  </si>
  <si>
    <t xml:space="preserve">      FALSO CIELORRASO DE DRYWALL DE GYPLAC DE 12.7 mm, EN AMBIENTES DE OFICINAS</t>
  </si>
  <si>
    <t>02.03.04</t>
  </si>
  <si>
    <t xml:space="preserve">      FALSO CIELORRASO DE DRYWALL CON PLACAS GYPLAC DE 12.7 mm EN AUDITORIO</t>
  </si>
  <si>
    <t>02.03.05</t>
  </si>
  <si>
    <t xml:space="preserve">      DINTEL DE DRYWALL CON SOPORTE DE MADERA E=120mm, AMBAS CARAS CON PLACA DE FIBROCEMENTO DE 6mm, ALTURA VARIABLE DE 0.50m a 1.20m</t>
  </si>
  <si>
    <t>02.03.06</t>
  </si>
  <si>
    <t xml:space="preserve">      DINTEL DE DRYWALL CON SOPORTE DE MADERA E=120mm, AMBAS CARAS CON GYPLAC DE 12.7mm, ALTURA VARIABLE DE 0.18 A 1.20M.</t>
  </si>
  <si>
    <t>02.03.07</t>
  </si>
  <si>
    <t xml:space="preserve">      DINTEL DE DRYWALL E=120mm, AMBAS CARAS CON GYPLAC DE 12.7mm, ALTURA VARAIBLE 0.43 A 0.78M</t>
  </si>
  <si>
    <t>02.03.08</t>
  </si>
  <si>
    <t xml:space="preserve">      DINTEL DE DRYWALL E=250mm, AMBAS CARAS CON GYPLAC DE 12.7mm DE 0.18 A 0.52 M</t>
  </si>
  <si>
    <t xml:space="preserve">   PISOS Y PAVIMENTOS</t>
  </si>
  <si>
    <t xml:space="preserve">   PISO PORCELANATO RECTIFICADO DE ALTO TRÁNSITODE 0.60x0.60m, EN PASO Y CONTRAPASO DE      ESCALERAS</t>
  </si>
  <si>
    <t>02.04.02</t>
  </si>
  <si>
    <t xml:space="preserve">      PISO PORCELANATO DE 0.19x0.89m</t>
  </si>
  <si>
    <t>02.04.03</t>
  </si>
  <si>
    <t xml:space="preserve">      PISO DE MICROCEMENTO EN EXTERIORES</t>
  </si>
  <si>
    <t>02.04.04</t>
  </si>
  <si>
    <t xml:space="preserve">      PISO DE PIEDRA LAJA EN EXTERIORES PASO Y CONTRAPASO</t>
  </si>
  <si>
    <t>02.04.05</t>
  </si>
  <si>
    <t xml:space="preserve">      PISO DE PIEDRA LAJA EN EXTERIORES</t>
  </si>
  <si>
    <t>02.04.06</t>
  </si>
  <si>
    <t xml:space="preserve">      PISO SOLIDO DE MADERA MACHIMBRADO 4 LADOS</t>
  </si>
  <si>
    <t>02.04.07</t>
  </si>
  <si>
    <t xml:space="preserve">      ACABADO DE PASO Y CONTRAPASO EN MADERA MACHIMBRADO 4 LADOS</t>
  </si>
  <si>
    <t>02.04.09</t>
  </si>
  <si>
    <t xml:space="preserve">      PAVIMENTO RÍGIDO EN SÓTANO</t>
  </si>
  <si>
    <t>02.04.09.01</t>
  </si>
  <si>
    <t xml:space="preserve">         BASE GRANULAR PARA PISO EN ESTACIONAMIENTO Y RAMPA</t>
  </si>
  <si>
    <t>02.04.09.02</t>
  </si>
  <si>
    <t xml:space="preserve">         CONCRETO 210 KG/CM2 PARA PISO EN ESTACIONAMIENTO Y RAMPA</t>
  </si>
  <si>
    <t>02.05</t>
  </si>
  <si>
    <t>02.05.01</t>
  </si>
  <si>
    <t xml:space="preserve">      ENCOFRADO Y DESENCOFRADO - SARDINELES</t>
  </si>
  <si>
    <t>02.05.02</t>
  </si>
  <si>
    <t xml:space="preserve">      CONCRETO F'c=175 kg/cm2 - SARDINELES</t>
  </si>
  <si>
    <t>02.06</t>
  </si>
  <si>
    <t>02.06.01</t>
  </si>
  <si>
    <t xml:space="preserve">      BASE GRANULAR PARA VEREDAS</t>
  </si>
  <si>
    <t>02.06.02</t>
  </si>
  <si>
    <t xml:space="preserve">      CONCRETO f'c=175 kg/cm2 - VEREDA</t>
  </si>
  <si>
    <t>02.06.03</t>
  </si>
  <si>
    <t xml:space="preserve">      VEREDA EXTERIOR CON ADOQUINES DE CONCRETO</t>
  </si>
  <si>
    <t>02.07</t>
  </si>
  <si>
    <t xml:space="preserve">   ZOCALOS Y CONTAZOCALOS</t>
  </si>
  <si>
    <t>02.07.01</t>
  </si>
  <si>
    <t xml:space="preserve">      ZOCALOS</t>
  </si>
  <si>
    <t>02.07.01.01</t>
  </si>
  <si>
    <t xml:space="preserve">         ZÓCALO CON PORCELANATO DE 0.60x0.60m</t>
  </si>
  <si>
    <t>02.07.01.02</t>
  </si>
  <si>
    <t xml:space="preserve">         ZÓCALO CON PINTURA ESMALTE H=1.40m</t>
  </si>
  <si>
    <t>02.07.01.03</t>
  </si>
  <si>
    <t xml:space="preserve">         ZÓCALO DE MADERA MACHIMBRADO 4 LADOS</t>
  </si>
  <si>
    <t>02.07.02</t>
  </si>
  <si>
    <t xml:space="preserve">      CONTRAZOCALOS</t>
  </si>
  <si>
    <t>02.07.02.01</t>
  </si>
  <si>
    <t xml:space="preserve">         CONTRAZÓCALO SANITARIO CON TERRAZO PRE-MEZCLADO</t>
  </si>
  <si>
    <t>02.07.02.02</t>
  </si>
  <si>
    <t xml:space="preserve">         CONTRAZÓCALO CON PORCELANATO ANTIDEZLIZANTE 0.60 x 0.10 m</t>
  </si>
  <si>
    <t>02.07.02.03</t>
  </si>
  <si>
    <t xml:space="preserve">         CONTRAZÓCALO CON PORCELANATO ANTIDEZLIZANTE 0.89 x 0.10 m</t>
  </si>
  <si>
    <t>02.07.02.04</t>
  </si>
  <si>
    <t xml:space="preserve">         CONTRAZOCALO DE CEMENTO PULIDO h=0.30 m</t>
  </si>
  <si>
    <t>02.07.02.05</t>
  </si>
  <si>
    <t xml:space="preserve">         CONTRAZÓCALO DE MADERA H=0.10m</t>
  </si>
  <si>
    <t>02.08</t>
  </si>
  <si>
    <t xml:space="preserve">   CARPINTERIA METALICA Y HERRERÍA</t>
  </si>
  <si>
    <t>02.08.01</t>
  </si>
  <si>
    <t xml:space="preserve">      BARANDAS Y SIMILARES</t>
  </si>
  <si>
    <t>02.08.01.01</t>
  </si>
  <si>
    <t xml:space="preserve">         SUM. E INT. DE BARANDA TIPO I  (ESCALERA ALCALDIA) INOX</t>
  </si>
  <si>
    <t>02.08.01.02</t>
  </si>
  <si>
    <t xml:space="preserve">         SUM. E INT. DE BARANDA TIPO II (ESCALERA 2, 3, 4) INOX</t>
  </si>
  <si>
    <t>02.08.01.03</t>
  </si>
  <si>
    <t xml:space="preserve">         SUM. E INT. DE BARANDA TIPO III (RAMPA) INOX</t>
  </si>
  <si>
    <t>02.08.01.04</t>
  </si>
  <si>
    <t xml:space="preserve">         PASAMANOS ESCALERA DE ACERO INOX 2"</t>
  </si>
  <si>
    <t>02.08.01.05</t>
  </si>
  <si>
    <t xml:space="preserve">         BARRAS ABATIBLE DE ACERO</t>
  </si>
  <si>
    <t xml:space="preserve">         BARRAS DE APOYO DE ACERO INOXIDABLE</t>
  </si>
  <si>
    <t>02.09</t>
  </si>
  <si>
    <t xml:space="preserve">   PINTURAS</t>
  </si>
  <si>
    <t>02.09.01</t>
  </si>
  <si>
    <t xml:space="preserve">      PINTURA LATEX ACABADO MATE EN MUROS INTERIORES</t>
  </si>
  <si>
    <t>02.09.02</t>
  </si>
  <si>
    <t xml:space="preserve">      PINTURA LÁTEX ACABADO MATE EN COLUMNAS INTERIORES</t>
  </si>
  <si>
    <t>02.09.03</t>
  </si>
  <si>
    <t xml:space="preserve">      PINTURA LÁTEX ACABADO MATE EN VIGAS INTERIORES</t>
  </si>
  <si>
    <t>02.09.04</t>
  </si>
  <si>
    <t xml:space="preserve">      PINTURA LÁTEX ACABADO MATE EN MUROS DE CONCRETO</t>
  </si>
  <si>
    <t>02.09.05</t>
  </si>
  <si>
    <t xml:space="preserve">      PINTURA LÁTEX ACABADO MATE EN CIELORRASO Y FONDO DE ESCALERAS</t>
  </si>
  <si>
    <t>02.09.06</t>
  </si>
  <si>
    <t xml:space="preserve">      PINTURA LÁTEX ACABADO MATE EN PARAPETO</t>
  </si>
  <si>
    <t>02.09.07</t>
  </si>
  <si>
    <t xml:space="preserve">      PINTURA LÁTEX ACABADO MATE EN MUROS EXTERIORES</t>
  </si>
  <si>
    <t>02.09.08</t>
  </si>
  <si>
    <t xml:space="preserve">      PINTURA LÁTEX ACABADO SATINADO EN MUROS INTERIORES</t>
  </si>
  <si>
    <t>02.09.09</t>
  </si>
  <si>
    <t xml:space="preserve">      PINTURA LÁTEX ACABADO SATINADO EN COLUMNAS INTERIORES</t>
  </si>
  <si>
    <t>02.09.10</t>
  </si>
  <si>
    <t xml:space="preserve">      PINTURA EN CIELO RASO C/DRYWALL</t>
  </si>
  <si>
    <t>02.09.11</t>
  </si>
  <si>
    <t xml:space="preserve">      PINTURA EN MUROS C/DRYWALL</t>
  </si>
  <si>
    <t>02.09.12</t>
  </si>
  <si>
    <t xml:space="preserve">      PINTURA EN DINTELES C/DRYWALL</t>
  </si>
  <si>
    <t>VALORIZACION DE ADICIONAL DE OBRA N°03 - MAYORES METRADOS</t>
  </si>
  <si>
    <t>2.2.1.2.1</t>
  </si>
  <si>
    <t>2.2.1.3.2</t>
  </si>
  <si>
    <t>3.2.4</t>
  </si>
  <si>
    <t>VALORIZACION DE ADICIONAL DE OBRA N°03 - DEDUCTIVOS</t>
  </si>
  <si>
    <t>ADICIONAL N°3</t>
  </si>
  <si>
    <t>ADICIONAL DE OBRA N°03-RESOLUCION DE GERENCIA MUNICIPAL N° 092-2023-GM-MPA</t>
  </si>
  <si>
    <t>ADICIONAL DE OBRA N°03 -RESOLUCION DE GERENCIA MUNICIPAL N°092-2023-GM-MPA</t>
  </si>
  <si>
    <t>ADICIONAL DE OBRA N°03</t>
  </si>
  <si>
    <t>CURVA "S" - 14va VALORIZACION</t>
  </si>
  <si>
    <t>N°03-RESOLUCION N° 092 -2023-GM-MPA</t>
  </si>
  <si>
    <t xml:space="preserve"> (RESOLUCION DE GERENCIA MUNICIPAL N°092-2023-GM-MPA)</t>
  </si>
  <si>
    <t>APROBACION DE ADICIONAL DE OBRA N°03</t>
  </si>
  <si>
    <t xml:space="preserve"> RESOLUCION DE GERENCIA MUNICIPAL N° 092 -2023-GM-MPA</t>
  </si>
  <si>
    <t>Asientos N°</t>
  </si>
  <si>
    <t>Fecha de Término Real</t>
  </si>
  <si>
    <t>AMPLIACIÓN DE PLAZO N°1</t>
  </si>
  <si>
    <t>117-2023-GM.MPA</t>
  </si>
  <si>
    <t>Plazo TOTAL APROBADO</t>
  </si>
  <si>
    <t>Plazo de Ejec. REAL</t>
  </si>
  <si>
    <t>días</t>
  </si>
  <si>
    <t>CONTRAZÓCALO CON PORCELANATO ANTIDEZLIZANTE 0.60 x 0.10 m</t>
  </si>
  <si>
    <t>CONTRAZÓCALO CON PORCELANATO ANTIDEZLIZANTE 0.89 x 0.10 m</t>
  </si>
  <si>
    <t>PINTURA LATEX ACABADO MATE EN MUROS INTERIORES</t>
  </si>
  <si>
    <t>PINTURA LÁTEX ACABADO MATE EN COLUMNAS INTERIORES</t>
  </si>
  <si>
    <t>PINTURA LÁTEX ACABADO MATE EN VIGAS INTERIORES</t>
  </si>
  <si>
    <t>PINTURA LÁTEX ACABADO MATE EN MUROS DE CONCRETO</t>
  </si>
  <si>
    <t>PINTURA LÁTEX ACABADO MATE EN CIELORRASO Y FONDO DE ESCALERAS</t>
  </si>
  <si>
    <t>ENCOFRADO Y DESENCOFRADO - SARDINELES</t>
  </si>
  <si>
    <t>CONCRETO F'c=175 kg/cm2 - SARDINELES</t>
  </si>
  <si>
    <t>Recursos ordinarios</t>
  </si>
  <si>
    <t>00</t>
  </si>
  <si>
    <t>PLANEAMIENTO, GESTIÓN Y RESERVA DE CONTIGENCIA</t>
  </si>
  <si>
    <t>GESTIÓN</t>
  </si>
  <si>
    <t>FORMATO FE - 14</t>
  </si>
  <si>
    <t>Sistema de Agua Fría</t>
  </si>
  <si>
    <t>Redes de Alimentación de Agua</t>
  </si>
  <si>
    <t>REVOQUES Y REVESTIMIENTOS</t>
  </si>
  <si>
    <t>ACABADOS ESPECIALES C/MICROGRANALLA</t>
  </si>
  <si>
    <t>FALSO CIELO RASO</t>
  </si>
  <si>
    <t>PAVIMENTO RÍGIDO EN SÓTANO</t>
  </si>
  <si>
    <t>BASE GRANULAR PARA PISO EN ESTACIONAMIENTO Y RAMPA</t>
  </si>
  <si>
    <t>CONCRETO 210 KG/CM2 PARA PISO EN ESTACIONAMIENTO Y RAMPA</t>
  </si>
  <si>
    <t>BASE GRANULAR PARA VEREDAS</t>
  </si>
  <si>
    <t>CONCRETO f'c=175 kg/cm2 - VEREDA</t>
  </si>
  <si>
    <t>VEREDA EXTERIOR CON ADOQUINES DE CONCRETO</t>
  </si>
  <si>
    <t xml:space="preserve">El proyecto “MEJORAMIENTO DE LA GESTIÓN MUNICIPAL Y SERVICIO ADMINISTRATIVO DE LA MUNICIPALIDAD PROVINCIAL DE ABANCAY, DISTRITO DE ABANCAY - PROVINCIA DE ABANCAY - DEPARTAMENTO DE APURIMAC”. tiene como obejtivo principal brindar: ESPACIOS PÚBLICOS PARA LA INTEGRACIÓN y  del publico en general. </t>
  </si>
  <si>
    <r>
      <rPr>
        <b/>
        <sz val="12"/>
        <rFont val="Times New Roman"/>
        <family val="1"/>
      </rPr>
      <t xml:space="preserve">PROYECTO:  </t>
    </r>
    <r>
      <rPr>
        <sz val="12"/>
        <rFont val="Times New Roman"/>
        <family val="1"/>
      </rPr>
      <t xml:space="preserve">                    </t>
    </r>
  </si>
  <si>
    <t>Del 01 al 30</t>
  </si>
  <si>
    <t xml:space="preserve">ACERO Fy=4200 kg/cm2 </t>
  </si>
  <si>
    <t xml:space="preserve">CONCRETO PRE-MEZCLADO F'C=280 kg/cm2 </t>
  </si>
  <si>
    <t xml:space="preserve">ENCOFRADO Y DESENCOFRADO </t>
  </si>
  <si>
    <t>ACARREO DE MATERIALES PARA ENCOFRADO Y DESENCOFRADO</t>
  </si>
  <si>
    <t>HABILITACIÓN DE SUPERFICIE PICADO DE PISOS Y PAVIMENTOS</t>
  </si>
  <si>
    <t>MAYORES METRADOS DEL ADICIONAL N°2</t>
  </si>
  <si>
    <t>MUROS DE TABIQUERÍA SECA</t>
  </si>
  <si>
    <t>TABIQUE DE DRYWALL - AMBAS CARAS CON PLACA DE FIBROCEMENTO ESPESOR DE 8mm</t>
  </si>
  <si>
    <t>TABIQUE DE DRYWALL - AMBAS CARAS CON PLACA DE DE GYPLAC DE 12.7 mm</t>
  </si>
  <si>
    <t>ACABADOS ESPECIALES C/MICROCEMENTO EN EXTERIORES</t>
  </si>
  <si>
    <t>VESTIDURAS EN DERRAMES CON MICROCEMENTO</t>
  </si>
  <si>
    <t xml:space="preserve"> FALSO CIELORRASO CON BALDOSA ACUSTICA DE FIBRA MINERAL IGNIFUGAS DE 61cm x 61 cm</t>
  </si>
  <si>
    <t xml:space="preserve"> FALSO CIELORRASO DE DRYWALL CON FIBROCEMENTO DE 6mm, ALTURA VARIABLE DE 50 A 90CM</t>
  </si>
  <si>
    <t xml:space="preserve"> FALSO CIELORRASO DE DRYWALL DE GYPLAC DE 12.7 mm, EN AMBIENTES DE OFICINAS</t>
  </si>
  <si>
    <t xml:space="preserve"> FALSO CIELORRASO DE DRYWALL CON PLACAS GYPLAC DE 12.7 mm EN AUDITORIO</t>
  </si>
  <si>
    <t xml:space="preserve"> DINTEL DE DRYWALL CON SOPORTE DE MADERA E=120mm, AMBAS CARAS CON PLACA DE FIBROCEMENTO DE 6mm, ALTURA VARIABLE DE 0.50m a 1.20m</t>
  </si>
  <si>
    <t xml:space="preserve"> DINTEL DE DRYWALL CON SOPORTE DE MADERA E=120mm, AMBAS CARAS CON GYPLAC DE 12.7mm, ALTURA VARIABLE DE 0.18 A 1.20M.</t>
  </si>
  <si>
    <t xml:space="preserve"> DINTEL DE DRYWALL E=120mm, AMBAS CARAS CON GYPLAC DE 12.7mm, ALTURA VARAIBLE 0.43 A 0.78M</t>
  </si>
  <si>
    <t xml:space="preserve"> DINTEL DE DRYWALL E=250mm, AMBAS CARAS CON GYPLAC DE 12.7mm DE 0.18 A 0.52 M</t>
  </si>
  <si>
    <t>PISO PORCELANATO RECTIFICADO DE ALTO TRÁNSITODE 0.60x0.60m, EN PASO Y CONTRAPASO DE      ESCALERAS</t>
  </si>
  <si>
    <t>PISO PORCELANATO DE 0.19x0.89m</t>
  </si>
  <si>
    <t>PISO DE MICROCEMENTO EN EXTERIORES</t>
  </si>
  <si>
    <t>PISO DE PIEDRA LAJA EN EXTERIORES PASO Y CONTRAPASO</t>
  </si>
  <si>
    <t>PISO DE PIEDRA LAJA EN EXTERIORES</t>
  </si>
  <si>
    <t>PISO SOLIDO DE MADERA MACHIMBRADO 4 LADOS</t>
  </si>
  <si>
    <t>ACABADO DE PASO Y CONTRAPASO EN MADERA MACHIMBRADO 4 LADOS</t>
  </si>
  <si>
    <t>ZÓCALOS</t>
  </si>
  <si>
    <t>ZÓCALO CON PORCELANATO DE 0.60x0.60m</t>
  </si>
  <si>
    <t>ZÓCALO CON PINTURA ESMALTE H=1.40m</t>
  </si>
  <si>
    <t>ZÓCALO DE MADERA MACHIMBRADO 4 LADOS</t>
  </si>
  <si>
    <t>CONTRAZOCALOS</t>
  </si>
  <si>
    <t>CONTRAZÓCALO SANITARIO CON TERRAZO PRE-MEZCLADO</t>
  </si>
  <si>
    <t>02.05.03</t>
  </si>
  <si>
    <t>02.05.04</t>
  </si>
  <si>
    <t>CONTRAZOCALO DE CEMENTO PULIDO h=0.30 m</t>
  </si>
  <si>
    <t>02.05.05</t>
  </si>
  <si>
    <t>CONTRAZÓCALO DE MADERA H=0.10m</t>
  </si>
  <si>
    <t>BARANDAS Y SIMILARES</t>
  </si>
  <si>
    <t>SUM. E INT. DE BARANDA TIPO I  (ESCALERA ALCALDIA) INOX</t>
  </si>
  <si>
    <t>SUM. E INT. DE BARANDA TIPO II (ESCALERA 2, 3, 4) INOX</t>
  </si>
  <si>
    <t xml:space="preserve"> SUM. E INT. DE BARANDA TIPO III (RAMPA) INOX</t>
  </si>
  <si>
    <t>PASAMANOS ESCALERA DE ACERO INOX 2"</t>
  </si>
  <si>
    <t>BARRAS ABATIBLE DE ACERO</t>
  </si>
  <si>
    <t>02.08.01.06</t>
  </si>
  <si>
    <t>BARRAS DE APOYO DE ACERO INOXIDABLE</t>
  </si>
  <si>
    <t>PINTURA LÁTEX ACABADO MATE EN PARAPETO</t>
  </si>
  <si>
    <t>PINTURA LÁTEX ACABADO MATE EN MUROS EXTERIORES</t>
  </si>
  <si>
    <t>PINTURA LÁTEX ACABADO SATINADO EN MUROS INTERIORES</t>
  </si>
  <si>
    <t>PINTURA LÁTEX ACABADO SATINADO EN COLUMNAS INTERIORES</t>
  </si>
  <si>
    <t>PINTURA EN CIELO RASO C/DRYWALL</t>
  </si>
  <si>
    <t>PINTURA EN MUROS C/DRYWALL</t>
  </si>
  <si>
    <t>PINTURA EN DINTELES C/DRYWALL</t>
  </si>
  <si>
    <t>MAYORES METRADOS DEL ADICIONAL N°3</t>
  </si>
  <si>
    <t>MONTO ASIGNADO 2021</t>
  </si>
  <si>
    <t>MONTO ASIGNADO 2022</t>
  </si>
  <si>
    <t>MONTO ASIGNADO PIM-2021</t>
  </si>
  <si>
    <t>MONTO ASIGNADO PIM -2022</t>
  </si>
  <si>
    <t>MONTO ASIGNADO PIM- 2023</t>
  </si>
  <si>
    <t>TRAZO Y REPLANTEO DE ESTRUCTURAS METÁLICAS EN ESCENARIOS</t>
  </si>
  <si>
    <t>CISTERNA SUBTERRANEA</t>
  </si>
  <si>
    <t>TANQUE CISTERNA</t>
  </si>
  <si>
    <t>ENCOFRADO TANQUE CISTERNA</t>
  </si>
  <si>
    <t>01.02.01.02</t>
  </si>
  <si>
    <t>CONCRETO F'C = 210 KG/CM2 EN TANQUE CISTERNA</t>
  </si>
  <si>
    <t>01.02.01.03</t>
  </si>
  <si>
    <t>ACERO F'Y= 4200 KG/CM2 TANQUE CISTERNA</t>
  </si>
  <si>
    <t>BUZÓN DE DESAGUE</t>
  </si>
  <si>
    <t>BUZÓN DE DESAGUE TIPO I</t>
  </si>
  <si>
    <t>01.03.02</t>
  </si>
  <si>
    <t xml:space="preserve">      ENCOFRADO METÁLICO BUZÓN TIPO I</t>
  </si>
  <si>
    <t>01.03.03</t>
  </si>
  <si>
    <t xml:space="preserve">      ACERO F'Y= 4200 KG/CM2 BUZÓN TIPO I</t>
  </si>
  <si>
    <t>01.03.04</t>
  </si>
  <si>
    <t xml:space="preserve">      CONCRETO F'C = 210 KG/CM2 EN BUZÓN TIPO I</t>
  </si>
  <si>
    <t>01.03.05</t>
  </si>
  <si>
    <t xml:space="preserve">      BUZÓN DE DESAGUE TIPO II</t>
  </si>
  <si>
    <t>01.03.06</t>
  </si>
  <si>
    <t xml:space="preserve">      ENCOFRADO METÁLICO BUZÓN TIPO II</t>
  </si>
  <si>
    <t>01.03.07</t>
  </si>
  <si>
    <t xml:space="preserve">      ACERO F'Y= 4200 KG/CM2 BUZÓN TIPO II</t>
  </si>
  <si>
    <t>01.03.08</t>
  </si>
  <si>
    <t xml:space="preserve">      CONCRETO F'C = 210 KG/CM2 EN BUZÓN TIPO II</t>
  </si>
  <si>
    <t xml:space="preserve">   ESTRUCTURAS METÁLICAS DE ESCENARIO</t>
  </si>
  <si>
    <t xml:space="preserve">      LIMPIEZA DE TUBOS</t>
  </si>
  <si>
    <t>01.04.01.01</t>
  </si>
  <si>
    <t xml:space="preserve">         LIMPIEZA DE TUBOS METALICOS</t>
  </si>
  <si>
    <t xml:space="preserve">      FABRICACION DE ESTRUCTURA METALICAS</t>
  </si>
  <si>
    <t>01.04.02.01</t>
  </si>
  <si>
    <t xml:space="preserve">         FABRICACIÓN DE ANCLAJES PARA ESCENARIO DE AUDITORIO</t>
  </si>
  <si>
    <t>01.04.02.02</t>
  </si>
  <si>
    <t xml:space="preserve">         FABRICACION DE ANCLAJES PARA ESCENARIO DE SALA MULTIUSO</t>
  </si>
  <si>
    <t>01.04.02.03</t>
  </si>
  <si>
    <t xml:space="preserve">         FABRICACIÓN DE ESTRUCTURA METÁLICA EN ESCENARIO DE SALA MULTIUSO</t>
  </si>
  <si>
    <t>01.04.02.04</t>
  </si>
  <si>
    <t xml:space="preserve">         FABRICACION DE ESTRUCTURA METÁLICA EN ESCENARIO DE AUDITORIO</t>
  </si>
  <si>
    <t>01.04.02.05</t>
  </si>
  <si>
    <t xml:space="preserve">         FABRICACIÓN DE PLATAFORMA EN ESCENARIO DE SALA MULTIUSO</t>
  </si>
  <si>
    <t>01.04.02.06</t>
  </si>
  <si>
    <t xml:space="preserve">         FABRICACIÓN DE PLATAFORMA EN ESCENARIO DE AUDITORIO</t>
  </si>
  <si>
    <t xml:space="preserve">      INSTALACIÓN ESTRUCTURAS METÁLICAS</t>
  </si>
  <si>
    <t>01.04.03.01</t>
  </si>
  <si>
    <t xml:space="preserve">         INSTALACIÓN DE ESTRUCTURA METÁLICA EN ESCENARIO DE SALA MULTIUSO</t>
  </si>
  <si>
    <t>01.04.03.02</t>
  </si>
  <si>
    <t xml:space="preserve">         INSTALACIÓN DE ESTRUCTURA METÁLICA EN ESCENARIO DE AUDITORIO</t>
  </si>
  <si>
    <t>01.04.04</t>
  </si>
  <si>
    <t xml:space="preserve">      PINTURAS EN ESTRUCTURA METÁLICA</t>
  </si>
  <si>
    <t>01.04.04.01</t>
  </si>
  <si>
    <t xml:space="preserve">         PINTURA EN ESTRUCTURA DE ESCENARIO</t>
  </si>
  <si>
    <t xml:space="preserve">   JARDINERAS</t>
  </si>
  <si>
    <t xml:space="preserve">      JARDINERAS EN INTERIORES</t>
  </si>
  <si>
    <t xml:space="preserve">         SOLADO E=4" f'c= 140 kg/cm2 CON IMPERMEABILIZANTE</t>
  </si>
  <si>
    <t>01.05.01.02</t>
  </si>
  <si>
    <t xml:space="preserve">         ENCOFRADO EN JARDINERAS</t>
  </si>
  <si>
    <t>01.05.01.03</t>
  </si>
  <si>
    <t xml:space="preserve">         CONCRETO PARA JARDINERAS CON ADITIVO f'c=210 kg/cm2</t>
  </si>
  <si>
    <t>01.05.01.04</t>
  </si>
  <si>
    <t xml:space="preserve">         ACERO CORRUGADO FY=4200 kg/cm2 EN JARDINERAS</t>
  </si>
  <si>
    <t>01.05.01.05</t>
  </si>
  <si>
    <t xml:space="preserve">         TIERRA AGRÍCOLA EN JARDINES</t>
  </si>
  <si>
    <t xml:space="preserve">      JARDINERAS EN EXTERIORES</t>
  </si>
  <si>
    <t xml:space="preserve">         SOLADO f'c = 140 kg/cm2 CON IMPERMEABILIZANTE</t>
  </si>
  <si>
    <t>01.05.02.04</t>
  </si>
  <si>
    <t>01.05.02.05</t>
  </si>
  <si>
    <t xml:space="preserve">   MESAS DE CONCRETO</t>
  </si>
  <si>
    <t xml:space="preserve">      MESAS DE CONCRETO EN COCINA TIPO I</t>
  </si>
  <si>
    <t xml:space="preserve">         ENCOFRADO Y DESENCOFRADO - MESAS DE CONCRETO</t>
  </si>
  <si>
    <t>01.06.01.02</t>
  </si>
  <si>
    <t xml:space="preserve">         ACERO CORRUGADO F'C=4200 kg/cm2 - MESAS DE CONCRETO</t>
  </si>
  <si>
    <t>01.06.01.03</t>
  </si>
  <si>
    <t xml:space="preserve">         CONCRETO f'c=175 kg/cm2 - MESAS DE CONCRETO</t>
  </si>
  <si>
    <t xml:space="preserve">      MESAS DE CONCRETO EN COCINA TIPO II</t>
  </si>
  <si>
    <t xml:space="preserve">      MESAS DE CONCRETO EN COCINA TIPO III</t>
  </si>
  <si>
    <t>01.06.03.02</t>
  </si>
  <si>
    <t>01.06.03.03</t>
  </si>
  <si>
    <t xml:space="preserve">      MESAS DE CONCRETO EN COCINA TIPO IV</t>
  </si>
  <si>
    <t>01.06.04.02</t>
  </si>
  <si>
    <t>01.06.04.03</t>
  </si>
  <si>
    <t xml:space="preserve">      TABLEROS DE CONCRETO</t>
  </si>
  <si>
    <t xml:space="preserve">         TABLEROS DE CONCRETO TIPO I (BAÑOS INDIVIDUALES)</t>
  </si>
  <si>
    <t>01.06.05.01.01</t>
  </si>
  <si>
    <t xml:space="preserve">            ENCOFRADO Y DESENCOFRADO - TABLEROS DE CONCRETO</t>
  </si>
  <si>
    <t>01.06.05.01.02</t>
  </si>
  <si>
    <t xml:space="preserve">            ACERO CORRUGADO F'C=4200 kg/cm2 PARA TABLEROS DE CONCRETO</t>
  </si>
  <si>
    <t>01.06.05.01.03</t>
  </si>
  <si>
    <t xml:space="preserve">            CONCRETO f'c=175 kg/cm2 - PARA TABLEROS DE CONCRETO</t>
  </si>
  <si>
    <t xml:space="preserve">         TABLEROS DE CONCRETO TIPO II (SÓTANO)</t>
  </si>
  <si>
    <t>01.06.05.02.01</t>
  </si>
  <si>
    <t>01.06.05.02.02</t>
  </si>
  <si>
    <t>01.06.05.02.03</t>
  </si>
  <si>
    <t xml:space="preserve">         TABLEROS DE CONCRETO TIPO III (GENERALES)</t>
  </si>
  <si>
    <t>01.06.05.03.01</t>
  </si>
  <si>
    <t>01.06.05.03.02</t>
  </si>
  <si>
    <t>01.06.05.03.03</t>
  </si>
  <si>
    <t xml:space="preserve">   DINTELES EN ASCENSOR</t>
  </si>
  <si>
    <t xml:space="preserve">      DINTELES EN ASCENSOR</t>
  </si>
  <si>
    <t xml:space="preserve">   DESENCOFRADO</t>
  </si>
  <si>
    <t xml:space="preserve">      DESENCOFRADO DE ELEMENTOS DE CONFINAMINETO EN FACHADA</t>
  </si>
  <si>
    <t xml:space="preserve">   JUNTAS</t>
  </si>
  <si>
    <t xml:space="preserve">      JUNTA ASFÁLTICA EN VEREDAS</t>
  </si>
  <si>
    <t xml:space="preserve">      JUNTA ASFÁLTICA EN ESTACIONAMIENTO</t>
  </si>
  <si>
    <t xml:space="preserve">      SOLAQUEO DE MUROS FACHADA LATERAL</t>
  </si>
  <si>
    <t xml:space="preserve">      TARRAJEO EN LAVADEROS DE C°A°</t>
  </si>
  <si>
    <t>02.01.03</t>
  </si>
  <si>
    <t xml:space="preserve">      TARRAJEO CON IMPERMEABILIZANTE EN JARDINERAS</t>
  </si>
  <si>
    <t>02.01.04</t>
  </si>
  <si>
    <t xml:space="preserve">      SELLADO ANTISALITRE DE MUROS INTERNOS DE JARDINERIA</t>
  </si>
  <si>
    <t>02.01.05</t>
  </si>
  <si>
    <t xml:space="preserve">      REVESTIMIENTO CON MICROCEMENTO</t>
  </si>
  <si>
    <t>02.01.05.01</t>
  </si>
  <si>
    <t xml:space="preserve">         ACABADOS ESPECIALES C/MICROCEMENTO EN MESADAS TIPO I</t>
  </si>
  <si>
    <t>02.01.05.02</t>
  </si>
  <si>
    <t xml:space="preserve">         ACABADOS ESPECIALES C/MICROCEMENTO EN MESADAS TIPO II</t>
  </si>
  <si>
    <t>02.01.05.03</t>
  </si>
  <si>
    <t xml:space="preserve">         ACABADOS ESPECIALES C/MICROCEMENTO EN MESADAS TIPO III</t>
  </si>
  <si>
    <t>02.01.05.04</t>
  </si>
  <si>
    <t xml:space="preserve">         ACABADOS ESPECIALES C/MICROCEMENTO EN MESADAS TIPO IV</t>
  </si>
  <si>
    <t>02.01.05.05</t>
  </si>
  <si>
    <t xml:space="preserve">         ACABADOS ESPECIALES C/MICROCEMENTO EN MESADAS SH INDIVIDUALES</t>
  </si>
  <si>
    <t>02.01.06</t>
  </si>
  <si>
    <t xml:space="preserve">      REVESTIMIENTO ESPECIALES</t>
  </si>
  <si>
    <t>02.01.06.01</t>
  </si>
  <si>
    <t xml:space="preserve">         RECUBRIMIENTO CON ALFOMBRADO EN PAREDES</t>
  </si>
  <si>
    <t>02.01.07</t>
  </si>
  <si>
    <t xml:space="preserve">      ACABADOS EN PORCELANATO</t>
  </si>
  <si>
    <t>02.01.07.01</t>
  </si>
  <si>
    <t xml:space="preserve">         ENCHAPADO DE PORCELANATO EN TABLEROS DE BAÑOS</t>
  </si>
  <si>
    <t>02.01.07.02</t>
  </si>
  <si>
    <t xml:space="preserve">         ENCHAPADO DE PORCELANATO EN ZÓCALOS H=1.20M</t>
  </si>
  <si>
    <t xml:space="preserve">      PISO DE CONCRETO PULIDO CON OCRE Y BRUÑADO e=1"</t>
  </si>
  <si>
    <t xml:space="preserve">      PISO DE MICROCEMENTO</t>
  </si>
  <si>
    <t xml:space="preserve">   CONTRAZÓCALO</t>
  </si>
  <si>
    <t xml:space="preserve">      CONTRAZÓCALO DE ACERO INOXIDABLE h=0.10m, e=1.5 mm</t>
  </si>
  <si>
    <t xml:space="preserve">   CARPINTERIA DE MADERA</t>
  </si>
  <si>
    <t xml:space="preserve">      PUERTAS DE MADERA DE TABLERO REBAJADO</t>
  </si>
  <si>
    <t xml:space="preserve">      FABRICACIÓN DE CELOSÍAS DE MADERA CON MARCO METÁLICO</t>
  </si>
  <si>
    <t xml:space="preserve">      INSTALACIÓN DE PERSIANAS DE MADERA CON MARCO METÁLICO</t>
  </si>
  <si>
    <t xml:space="preserve">      ENCHAPADO DE MADERA EN MESA DE CAJA</t>
  </si>
  <si>
    <t xml:space="preserve">   CARPINTERIA DE MADERA Y OTROS</t>
  </si>
  <si>
    <t xml:space="preserve">      DIVISIONES DE MELAMINE</t>
  </si>
  <si>
    <t>02.05.01.01</t>
  </si>
  <si>
    <t xml:space="preserve">         DIVISIÓN PARA SS.HH EN MELAMINE TIPO I</t>
  </si>
  <si>
    <t>02.05.01.02</t>
  </si>
  <si>
    <t xml:space="preserve">         DIVISIÓN PARA SS.HH EN MELAMINE TIPO II</t>
  </si>
  <si>
    <t>02.05.01.03</t>
  </si>
  <si>
    <t xml:space="preserve">         DIVISIÓN PARA URINARIOS</t>
  </si>
  <si>
    <t xml:space="preserve">      CARPINTERIA DE MELAMINE</t>
  </si>
  <si>
    <t>02.05.02.01</t>
  </si>
  <si>
    <t xml:space="preserve">         MÓDULO RECEPCIÓN INGRESO PRINCIPAL</t>
  </si>
  <si>
    <t>02.05.02.02</t>
  </si>
  <si>
    <t xml:space="preserve">         MÓDULO PARA CAFETERÍA</t>
  </si>
  <si>
    <t>02.05.02.03</t>
  </si>
  <si>
    <t xml:space="preserve">         MUEBLE DE MELAMINE RH PARA COCINETA TIPO 1</t>
  </si>
  <si>
    <t>02.05.02.04</t>
  </si>
  <si>
    <t xml:space="preserve">         MUEBLE DE MELAMINE RH PARA COCINETA TIPO 2</t>
  </si>
  <si>
    <t>02.05.02.05</t>
  </si>
  <si>
    <t xml:space="preserve">         MUEBLE DE MELAMINE RH PARA COCINETA TIPO 3</t>
  </si>
  <si>
    <t xml:space="preserve">   CARPINTERIA METÁLICA</t>
  </si>
  <si>
    <t xml:space="preserve">      PUERTAS METÁLICAS</t>
  </si>
  <si>
    <t>02.06.01.01</t>
  </si>
  <si>
    <t xml:space="preserve">         PUERTA BATIENTE DOS HOJAS P-02</t>
  </si>
  <si>
    <t>02.06.01.02</t>
  </si>
  <si>
    <t xml:space="preserve">         PUERTA BATIENTE UNA HOJA. (P-20)</t>
  </si>
  <si>
    <t>02.06.01.03</t>
  </si>
  <si>
    <t xml:space="preserve">         PUERTA BATIENTE DOS HOJAS, INCL. VENTA C/MALLA GALVANIZADA APERTURA 180 ° (P-15)</t>
  </si>
  <si>
    <t>02.06.01.04</t>
  </si>
  <si>
    <t xml:space="preserve">         PUERTA BATIENTE DOS HOJAS ASIMETRICO , INCL. VENTA C/MALLA GALVANIZADA (P-14)</t>
  </si>
  <si>
    <t>02.06.01.05</t>
  </si>
  <si>
    <t xml:space="preserve">         PUERTA PLEGABLE 04 HOJAS, INCL. VENTANA C/MALLA METÁLICA GALVANIZADA P-16</t>
  </si>
  <si>
    <t>02.06.01.06</t>
  </si>
  <si>
    <t xml:space="preserve">         PUERTA METÁLICA BATIENTE DOS HOJAS ESTACIONAMIENTO (P-18)</t>
  </si>
  <si>
    <t>02.06.01.07</t>
  </si>
  <si>
    <t xml:space="preserve">         PUERTA METÁLICA BATIENTE UNA HOJA INGRESO AREA DE SERVICIO (P-17)</t>
  </si>
  <si>
    <t>02.06.01.08</t>
  </si>
  <si>
    <t xml:space="preserve">         PUERTA METÁLICA BATIENTE UNA HOJA CAJA FUERTE (P-04)</t>
  </si>
  <si>
    <t>02.06.01.09</t>
  </si>
  <si>
    <t xml:space="preserve">         PUERTA METÁLICA MODELO TIPO PERSIANA-CUARTO DE MAQUINAS ASCENSOR (P-5)</t>
  </si>
  <si>
    <t>02.06.01.10</t>
  </si>
  <si>
    <t xml:space="preserve">         VENTANA  METÁLICA MODELO TIPO PERSIANA-CUARTO DE MAQUINAS ASCENSOR</t>
  </si>
  <si>
    <t>02.06.01.11</t>
  </si>
  <si>
    <t xml:space="preserve">         REJILLAS CIRCULARES PARA VENTILACIÓN</t>
  </si>
  <si>
    <t xml:space="preserve">      PARASOL METÁLICO</t>
  </si>
  <si>
    <t>02.06.02.01</t>
  </si>
  <si>
    <t xml:space="preserve">         PARASOL METÁLICO EN QUINTO NIVEL</t>
  </si>
  <si>
    <t xml:space="preserve">   ESCALERAS METÁLICAS</t>
  </si>
  <si>
    <t xml:space="preserve">      ESCALERA GATO</t>
  </si>
  <si>
    <t xml:space="preserve">         ESCALERA GATO TIPO I</t>
  </si>
  <si>
    <t xml:space="preserve">         ESCALERA GATO TIPO II</t>
  </si>
  <si>
    <t xml:space="preserve">         ESCALERA GATO TIPO III</t>
  </si>
  <si>
    <t>02.07.01.04</t>
  </si>
  <si>
    <t xml:space="preserve">         ESCALERA GATO TIPO IV</t>
  </si>
  <si>
    <t>02.07.01.05</t>
  </si>
  <si>
    <t xml:space="preserve">         ESCALERA GATO TIPO V</t>
  </si>
  <si>
    <t xml:space="preserve">      ESCALERAS MOVIL</t>
  </si>
  <si>
    <t xml:space="preserve">         ESCALERA METÁLICA MOVIL TIPO I</t>
  </si>
  <si>
    <t xml:space="preserve">         ESCALERA METÁLICA MOVIL TIPO II</t>
  </si>
  <si>
    <t xml:space="preserve">         ESCALERA METÁLICA MOVIL TIPO III</t>
  </si>
  <si>
    <t>02.07.03</t>
  </si>
  <si>
    <t xml:space="preserve">      TAPAJUNTAS DE ACERO GALVANIZADO</t>
  </si>
  <si>
    <t>02.07.03.01</t>
  </si>
  <si>
    <t xml:space="preserve">         TAPAJUNTAS DE ACERO  GALVANIZADO  22 CM, E=1.5mm  PISO-PARED-TECHO</t>
  </si>
  <si>
    <t>02.07.03.02</t>
  </si>
  <si>
    <t xml:space="preserve">         TAPAJUNTAS DE ACERO GALVANIZADO 6CM-17CM, E=1.5MM MODELO "L" PISO-PARED-TECHO</t>
  </si>
  <si>
    <t>02.07.03.03</t>
  </si>
  <si>
    <t xml:space="preserve">         TAPAJUNTAS DE ACERO GALVANIZADO 6CM-27CM, E=1.5MM MODELO "L" PARED</t>
  </si>
  <si>
    <t xml:space="preserve">   PLATAFORMA  METÁLICA  AZOTEA</t>
  </si>
  <si>
    <t xml:space="preserve">      PLATAFORMA AZOTEA</t>
  </si>
  <si>
    <t xml:space="preserve">   BARANDA DE ACERO GALVANIZADO</t>
  </si>
  <si>
    <t xml:space="preserve">      BARANDA DE ACERO GALVANIZADO</t>
  </si>
  <si>
    <t>02.10</t>
  </si>
  <si>
    <t xml:space="preserve">   CARPINTERIA EN ACERO INOXIDABLE</t>
  </si>
  <si>
    <t>02.10.01</t>
  </si>
  <si>
    <t xml:space="preserve">      TAPAJUNTAS EN ACERO INOXIDABLE</t>
  </si>
  <si>
    <t>02.10.01.01</t>
  </si>
  <si>
    <t xml:space="preserve">         TAPAJUNTAS DE ACERO INOXIDABLE DE 22 CM, E=2MM PISO</t>
  </si>
  <si>
    <t>02.10.01.02</t>
  </si>
  <si>
    <t xml:space="preserve">         TAPAJUNTAS DE ACERO INOXIDABLE DE 22 CM, E=1.5MM PARED Y TECHO</t>
  </si>
  <si>
    <t>02.10.01.03</t>
  </si>
  <si>
    <t xml:space="preserve">         TAPAJUNTAS DE ACERO INOXIDABLE 6CM-27CM, E=1.5MM MODELO "L" PARED</t>
  </si>
  <si>
    <t>02.10.01.04</t>
  </si>
  <si>
    <t xml:space="preserve">         TAPAJUNTAS ACERO INOX  22 CM RECTO FACHADA</t>
  </si>
  <si>
    <t>02.10.01.05</t>
  </si>
  <si>
    <t xml:space="preserve">         TAPAJUNTAS ACERO INOX 6CM-.17 CM MODELO L FACHADA</t>
  </si>
  <si>
    <t>02.10.02</t>
  </si>
  <si>
    <t xml:space="preserve">      BARANDAS EN ACERO INOXIDABLE</t>
  </si>
  <si>
    <t>02.10.02.01</t>
  </si>
  <si>
    <t xml:space="preserve">         BARANDA TIPO IV</t>
  </si>
  <si>
    <t>02.10.02.02</t>
  </si>
  <si>
    <t xml:space="preserve">         PASAMANO CENTRAL</t>
  </si>
  <si>
    <t>02.10.03</t>
  </si>
  <si>
    <t xml:space="preserve">      PLATINA DE INOX EN PISO ANCHO=0.10m, e=2.00 mm</t>
  </si>
  <si>
    <t>02.10.03.01</t>
  </si>
  <si>
    <t xml:space="preserve">         PLATINA DE INOX EN PISO ANCHO=0.10m, e=2.00 mm</t>
  </si>
  <si>
    <t>02.11</t>
  </si>
  <si>
    <t xml:space="preserve">   PUERTAS ESPECIALES</t>
  </si>
  <si>
    <t>02.11.01</t>
  </si>
  <si>
    <t xml:space="preserve">      PUERTA ESPECIAL CORTAFUEGO A=1.00 H=2.20</t>
  </si>
  <si>
    <t>02.11.02</t>
  </si>
  <si>
    <t xml:space="preserve">      PUERTA ESPECIAL CORTAFUEGO A =1.00 H=2.40M</t>
  </si>
  <si>
    <t>02.11.03</t>
  </si>
  <si>
    <t xml:space="preserve">      PUERTA ESPECIAL CORTAFUEGO A=0.95M H=2.40M</t>
  </si>
  <si>
    <t>02.12</t>
  </si>
  <si>
    <t xml:space="preserve">   CERRAJERÍA</t>
  </si>
  <si>
    <t>02.12.01</t>
  </si>
  <si>
    <t xml:space="preserve">      CERRADURAS</t>
  </si>
  <si>
    <t>02.12.01.01</t>
  </si>
  <si>
    <t xml:space="preserve">         CERRADURA DE EMBUTIR DE ACERO, CON MANIJA RECTA Y JALADOR EXTERIOR DE ACERO INOX PARA INTERIORES</t>
  </si>
  <si>
    <t>02.12.01.02</t>
  </si>
  <si>
    <t xml:space="preserve">         CERRADURA PARA INTERIORES DE MANIJA SEMIRECTA CON LLAVE CIEGA POR FUERA PARA SERVICIOS HIGIENICOS, VESTIDORES</t>
  </si>
  <si>
    <t>02.12.01.03</t>
  </si>
  <si>
    <t xml:space="preserve">         CERRADURA PARA EMBUTIR PUERTA DE MADERA DE AUDITORIO Y SALA DE USO MULTIPLE DE ONDA DERECHA</t>
  </si>
  <si>
    <t>02.12.01.04</t>
  </si>
  <si>
    <t xml:space="preserve">         CERRADURA PARA EMBUTIR PUERTA DE MADERA DE AUDITORIO Y SALA DE USO MULTIPLE DE ONDA IZQUIERDA</t>
  </si>
  <si>
    <t>02.12.02</t>
  </si>
  <si>
    <t xml:space="preserve">      BISAGRAS</t>
  </si>
  <si>
    <t>02.12.02.01</t>
  </si>
  <si>
    <t xml:space="preserve">         BISAGRA ALUMINIZADA PESADA 3 1/2'' x 3 1/2''</t>
  </si>
  <si>
    <t>02.12.02.02</t>
  </si>
  <si>
    <t xml:space="preserve">         BISAGRA ALUMINIZADA PESADA 4" X 3"</t>
  </si>
  <si>
    <t>02.12.03</t>
  </si>
  <si>
    <t xml:space="preserve">      ACCESORIOS DE PUERTAS</t>
  </si>
  <si>
    <t>02.12.03.01</t>
  </si>
  <si>
    <t xml:space="preserve">         BARRA ANTIPÁNICO</t>
  </si>
  <si>
    <t>02.12.03.02</t>
  </si>
  <si>
    <t xml:space="preserve">         BRAZO HIDRAÚLICO</t>
  </si>
  <si>
    <t>02.12.03.03</t>
  </si>
  <si>
    <t xml:space="preserve">         JALADOR DE ACERO INOXIDABLE</t>
  </si>
  <si>
    <t>02.12.04</t>
  </si>
  <si>
    <t xml:space="preserve">      JUNTAS DE DILATACIÓN</t>
  </si>
  <si>
    <t>02.12.04.01</t>
  </si>
  <si>
    <t xml:space="preserve">         JUNTA DE DILATACION EN ZÓCALO DE PORCELANATO</t>
  </si>
  <si>
    <t>02.13</t>
  </si>
  <si>
    <t xml:space="preserve">   PINTURA</t>
  </si>
  <si>
    <t>02.13.01</t>
  </si>
  <si>
    <t xml:space="preserve">      PINTURA LATEX</t>
  </si>
  <si>
    <t>02.13.01.01</t>
  </si>
  <si>
    <t xml:space="preserve">         PINTURA LÁTEX ACABADO MATE EN DERRAMES</t>
  </si>
  <si>
    <t>02.13.02</t>
  </si>
  <si>
    <t xml:space="preserve">      PINTURA EN PUERTAS</t>
  </si>
  <si>
    <t>02.13.02.01</t>
  </si>
  <si>
    <t xml:space="preserve">         PINTURA  ACABADO AL BARNIZ EN PUERTAS CONTRAPLACADAS</t>
  </si>
  <si>
    <t>02.13.02.02</t>
  </si>
  <si>
    <t xml:space="preserve">         PINTURA ACABADO AL BARNIZ DD EN PUERTAS DE TABLERO REBAJADO</t>
  </si>
  <si>
    <t>02.13.03</t>
  </si>
  <si>
    <t xml:space="preserve">      PINTURA ESMALTE</t>
  </si>
  <si>
    <t>02.13.03.01</t>
  </si>
  <si>
    <t xml:space="preserve">         PINTURA ESMALTE EN MUROS EXTERIORES</t>
  </si>
  <si>
    <t>02.13.04</t>
  </si>
  <si>
    <t xml:space="preserve">      PINTURA PARA PISO RAMPAS</t>
  </si>
  <si>
    <t>02.13.04.01</t>
  </si>
  <si>
    <t xml:space="preserve">         RAMPA JIRÓN LIMA</t>
  </si>
  <si>
    <t>02.13.05</t>
  </si>
  <si>
    <t xml:space="preserve">      PINTURA DE TRÁFICO</t>
  </si>
  <si>
    <t>02.13.05.01</t>
  </si>
  <si>
    <t xml:space="preserve">         PINTURA DE ALTO TRÁFICO</t>
  </si>
  <si>
    <t>02.14</t>
  </si>
  <si>
    <t xml:space="preserve">   VARIOS, LIMPIEZA Y JARDINES</t>
  </si>
  <si>
    <t>02.14.01</t>
  </si>
  <si>
    <t xml:space="preserve">      LIMPIEZA VIDRIOS Y MURO</t>
  </si>
  <si>
    <t>02.14.01.01</t>
  </si>
  <si>
    <t xml:space="preserve">         LIMPIEZA DE VIDRIOS</t>
  </si>
  <si>
    <t>02.14.01.02</t>
  </si>
  <si>
    <t xml:space="preserve">         LIMPIEZA DE MUROS DE FACHADA</t>
  </si>
  <si>
    <t>02.14.02</t>
  </si>
  <si>
    <t xml:space="preserve">      PLANTAS ORNAMENTALES</t>
  </si>
  <si>
    <t>02.14.02.01</t>
  </si>
  <si>
    <t xml:space="preserve">         LIRIO DE LA PAZ  O CUNA DE MOISES FRONDOSA  DE 2 A 3 TALLOS  H=0.50M</t>
  </si>
  <si>
    <t>02.14.02.02</t>
  </si>
  <si>
    <t xml:space="preserve">         PALMERA RAFIS FRONDOSA  DE 5 A 10 TALLOS H=1.00M</t>
  </si>
  <si>
    <t>02.14.02.03</t>
  </si>
  <si>
    <t xml:space="preserve">         BIFENBAQUIA BARIEGATA FRONDOSA 2 TALLOS H=0.70M</t>
  </si>
  <si>
    <t>02.14.02.04</t>
  </si>
  <si>
    <t xml:space="preserve">         HELECHO ANGORA FRONDOSA  20 CM DE RADIO H=50CM</t>
  </si>
  <si>
    <t>02.14.02.05</t>
  </si>
  <si>
    <t xml:space="preserve">         DURANTA LIMON H = 20 CM</t>
  </si>
  <si>
    <t>02.14.02.06</t>
  </si>
  <si>
    <t xml:space="preserve">         CROTOS BARIEGATA  H=0.70M</t>
  </si>
  <si>
    <t>02.14.02.07</t>
  </si>
  <si>
    <t xml:space="preserve">         CROTOS ROJO  H=0.70M</t>
  </si>
  <si>
    <t>02.14.02.08</t>
  </si>
  <si>
    <t xml:space="preserve">         CIPRES THUJA DE 1M</t>
  </si>
  <si>
    <t>02.14.02.09</t>
  </si>
  <si>
    <t xml:space="preserve">         PALMERA RUBELINA  2 A 3 TALLOS H: 1.00M</t>
  </si>
  <si>
    <t>02.14.02.10</t>
  </si>
  <si>
    <t xml:space="preserve">         FICUS REPES H=30 CM</t>
  </si>
  <si>
    <t>02.14.03</t>
  </si>
  <si>
    <t xml:space="preserve">      MATERIAL PREPARADO PARA PLANTAS ORNAMENTALES</t>
  </si>
  <si>
    <t>02.14.03.01</t>
  </si>
  <si>
    <t xml:space="preserve">         MATERIAL PARA PLANTAS ORNAMENTALES</t>
  </si>
  <si>
    <t>02.14.04</t>
  </si>
  <si>
    <t xml:space="preserve">      IMPLEMENTACIÓN DE AREAS VERDES Y PLANTAS ORNAMENTALES</t>
  </si>
  <si>
    <t>02.14.04.01</t>
  </si>
  <si>
    <t xml:space="preserve">         IMPLEMENTACIÓN DE AREAS VERDES Y PLANTAS ORNAMENTALES</t>
  </si>
  <si>
    <t>02.14.04.02</t>
  </si>
  <si>
    <t xml:space="preserve">         INSTALACION DE PLANTAS, LIMPIESA CON JABON POTASICO, FUMIGACION</t>
  </si>
  <si>
    <t>02.15</t>
  </si>
  <si>
    <t xml:space="preserve">   OBRAS DE ARTE Y OTROS</t>
  </si>
  <si>
    <t>02.15.01</t>
  </si>
  <si>
    <t xml:space="preserve">      OBRA DE ARTE</t>
  </si>
  <si>
    <t>02.15.01.01</t>
  </si>
  <si>
    <t xml:space="preserve">         LETRAS ACERO ACABDO COLOR NEGRO ALT=40.0 CM (32 CARACTERES)</t>
  </si>
  <si>
    <t>02.15.01.02</t>
  </si>
  <si>
    <t xml:space="preserve">         LETRAS CORPOREAS ALT.  20 CM (32 CARACTÉRES)</t>
  </si>
  <si>
    <t>02.15.01.03</t>
  </si>
  <si>
    <t xml:space="preserve">         ESCUDO DE ALTO RELIEVE DE FIBRA DE VIDRIO ACABADO EN COLORES DE1.50MX1.50M</t>
  </si>
  <si>
    <t>02.15.01.04</t>
  </si>
  <si>
    <t xml:space="preserve">         PINTURA MURAL A TODO COSTO DE 15.58MX1.50M</t>
  </si>
  <si>
    <t xml:space="preserve">   Desague y ventilación</t>
  </si>
  <si>
    <t xml:space="preserve">      Salida de desague y ventilación</t>
  </si>
  <si>
    <t>03.01.01.01</t>
  </si>
  <si>
    <t xml:space="preserve">         SALIDA VENTILACION DE PVC-SAL 2"</t>
  </si>
  <si>
    <t xml:space="preserve">      Redes de distribución</t>
  </si>
  <si>
    <t>03.01.02.01</t>
  </si>
  <si>
    <t xml:space="preserve">         TUBERIA PVC CP P/VENTILACION Ø2"</t>
  </si>
  <si>
    <t>03.01.03</t>
  </si>
  <si>
    <t xml:space="preserve">      Accesorios de Redes</t>
  </si>
  <si>
    <t>03.01.03.01</t>
  </si>
  <si>
    <t xml:space="preserve">         SUMIDERO DE ACERO INOX. 4" PROVISIÓN Y COLOCACIÓN</t>
  </si>
  <si>
    <t>03.01.03.02</t>
  </si>
  <si>
    <t xml:space="preserve">         REGISTRO DE ACERO INOX. DE  4"</t>
  </si>
  <si>
    <t>03.01.03.03</t>
  </si>
  <si>
    <t xml:space="preserve">         SOMBRERO DE VENTILACION 4"</t>
  </si>
  <si>
    <t>03.01.03.04</t>
  </si>
  <si>
    <t xml:space="preserve">         TEE PVC-CP DE 2"</t>
  </si>
  <si>
    <t>03.01.04</t>
  </si>
  <si>
    <t xml:space="preserve">      Redes Colectoras Desagüe</t>
  </si>
  <si>
    <t>03.01.04.01</t>
  </si>
  <si>
    <t xml:space="preserve">         TUBO DE PVC-UF C-10 DN 160mm x 6m</t>
  </si>
  <si>
    <t>03.01.05</t>
  </si>
  <si>
    <t xml:space="preserve">      Camaras de Inspección</t>
  </si>
  <si>
    <t>03.01.05.01</t>
  </si>
  <si>
    <t xml:space="preserve">         CAJA DE REGISTRO CON TAPA</t>
  </si>
  <si>
    <t>03.01.06</t>
  </si>
  <si>
    <t xml:space="preserve">      ACCESORIOS</t>
  </si>
  <si>
    <t>03.01.06.01</t>
  </si>
  <si>
    <t xml:space="preserve">         COLGADOR TIPO GOTA DE 2"</t>
  </si>
  <si>
    <t>03.01.06.02</t>
  </si>
  <si>
    <t xml:space="preserve">         COLGADOR TIPO GOTA DE 4"</t>
  </si>
  <si>
    <t>03.01.06.03</t>
  </si>
  <si>
    <t xml:space="preserve">         ABRAZADERA TIPO OMEGA DE 2"</t>
  </si>
  <si>
    <t>03.01.06.04</t>
  </si>
  <si>
    <t xml:space="preserve">         ABRAZADERA TIPO OMEGA DE 4"</t>
  </si>
  <si>
    <t>03.01.07</t>
  </si>
  <si>
    <t xml:space="preserve">      REJILLAS DE ACERO</t>
  </si>
  <si>
    <t>03.01.07.01</t>
  </si>
  <si>
    <t xml:space="preserve">         REJILLAS DE DRENAJE</t>
  </si>
  <si>
    <t xml:space="preserve">   Sistema de Agua Fría</t>
  </si>
  <si>
    <t xml:space="preserve">      Salida de Agua Fría</t>
  </si>
  <si>
    <t>03.02.01.01</t>
  </si>
  <si>
    <t xml:space="preserve">         SALIDA DE AGUA FRIA CON TUBERIA DE PVC DE 1/2"</t>
  </si>
  <si>
    <t xml:space="preserve">      Redes de Alimentación de Agua</t>
  </si>
  <si>
    <t>03.02.02.01</t>
  </si>
  <si>
    <t xml:space="preserve">         RED DE ALIMENTACION TUBERIA PVC CLASE 10 DE 1/2"</t>
  </si>
  <si>
    <t>03.02.02.02</t>
  </si>
  <si>
    <t xml:space="preserve">         RED DE ALIMENTACION TUBERIA PVC CLASE 10 DE 1 1/4"</t>
  </si>
  <si>
    <t>03.02.02.03</t>
  </si>
  <si>
    <t xml:space="preserve">         RED DE ALIMENTACION TUBERIA PVC CLASE 10 DE 1 1/2"</t>
  </si>
  <si>
    <t>03.02.02.04</t>
  </si>
  <si>
    <t xml:space="preserve">         CODO PVC-SAP CLASE 10 R 1/2" x 90°</t>
  </si>
  <si>
    <t>03.02.02.05</t>
  </si>
  <si>
    <t xml:space="preserve">         CODO PVC-SAP CLASE 10 R 1" x 90°</t>
  </si>
  <si>
    <t>03.02.02.06</t>
  </si>
  <si>
    <t xml:space="preserve">         CODO PVC-SAP CLASE 10 R 1 1/4" x 90°</t>
  </si>
  <si>
    <t>03.02.02.07</t>
  </si>
  <si>
    <t xml:space="preserve">         TEE PVC-SAP CLASE 10 R 1/2"</t>
  </si>
  <si>
    <t>03.02.02.08</t>
  </si>
  <si>
    <t xml:space="preserve">         TEE PVC-SAP CLASE 10 R 1"</t>
  </si>
  <si>
    <t>03.02.02.09</t>
  </si>
  <si>
    <t xml:space="preserve">         TEE PVC-SAP CLASE 10 R 1 1/4"</t>
  </si>
  <si>
    <t>03.02.02.10</t>
  </si>
  <si>
    <t xml:space="preserve">         REDUCCION PVC-SAP CLASE 10 R DE 3/4" A 1/2"</t>
  </si>
  <si>
    <t>03.02.02.11</t>
  </si>
  <si>
    <t xml:space="preserve">         REDUCCION PVC-SAP CLASE 10 R DE 1 1/2" A 1 1/4"</t>
  </si>
  <si>
    <t>03.02.02.12</t>
  </si>
  <si>
    <t xml:space="preserve">         REDUCCION PVC-SAP CLASE 10 R DE 1 1/2" A 1"</t>
  </si>
  <si>
    <t>03.02.02.13</t>
  </si>
  <si>
    <t xml:space="preserve">         REDUCCION PVC-SAP CLASE 10 R DE 1 1/4" A 1"</t>
  </si>
  <si>
    <t>03.02.02.14</t>
  </si>
  <si>
    <t xml:space="preserve">         REDUCCION PVC-SAP CLASE 10 R DE 1" A 1/2"</t>
  </si>
  <si>
    <t>03.02.02.15</t>
  </si>
  <si>
    <t xml:space="preserve">         REDUCCION PVC-SAP CLASE 10 R DE 1" A 3/4"</t>
  </si>
  <si>
    <t xml:space="preserve">      Válvulas y Llaves</t>
  </si>
  <si>
    <t>03.02.03.01</t>
  </si>
  <si>
    <t xml:space="preserve">         VALVULA ESFERICA DE ACERO 1/2"</t>
  </si>
  <si>
    <t>03.02.03.02</t>
  </si>
  <si>
    <t xml:space="preserve">         VALVULA ESFERICA DE ACERO 3/4"</t>
  </si>
  <si>
    <t>03.02.03.03</t>
  </si>
  <si>
    <t xml:space="preserve">         VALVULA ESFERICA DE ACERO 1"</t>
  </si>
  <si>
    <t>03.02.03.04</t>
  </si>
  <si>
    <t xml:space="preserve">         VALVULA ESFERICA DE ACERO 1 1/4"</t>
  </si>
  <si>
    <t>03.02.04.01</t>
  </si>
  <si>
    <t xml:space="preserve">         COLGADOR TIPO GOTA DE 1/2"</t>
  </si>
  <si>
    <t>03.02.04.02</t>
  </si>
  <si>
    <t xml:space="preserve">         COLGADOR TIPO GOTA DE 3/4"</t>
  </si>
  <si>
    <t>03.02.04.03</t>
  </si>
  <si>
    <t xml:space="preserve">         COLGADOR TIPO GOTA DE 1"</t>
  </si>
  <si>
    <t>03.02.04.04</t>
  </si>
  <si>
    <t xml:space="preserve">         COLGADOR TIPO GOTA DE 1 1/4"</t>
  </si>
  <si>
    <t>03.02.04.05</t>
  </si>
  <si>
    <t xml:space="preserve">         COLGADOR TIPO GOTA DE 1 1/2"</t>
  </si>
  <si>
    <t>03.02.04.06</t>
  </si>
  <si>
    <t xml:space="preserve">         ABRAZADERA TIPO OMEGA DE 1/2"</t>
  </si>
  <si>
    <t>03.02.04.07</t>
  </si>
  <si>
    <t xml:space="preserve">         ABRAZADERA TIPO OMEGA DE 3/4"</t>
  </si>
  <si>
    <t>03.02.04.08</t>
  </si>
  <si>
    <t xml:space="preserve">         ABRAZADERA TIPO OMEGA DE 1"</t>
  </si>
  <si>
    <t>03.02.04.09</t>
  </si>
  <si>
    <t xml:space="preserve">         ABRAZADERA TIPO OMEGA DE 1 1/2"</t>
  </si>
  <si>
    <t>03.02.05</t>
  </si>
  <si>
    <t xml:space="preserve">      EQUIPOS Y OTRAS INSTALACIONES</t>
  </si>
  <si>
    <t>03.02.05.01</t>
  </si>
  <si>
    <t xml:space="preserve">         ELECTROBOMBA DE 3 HP (INCLUYE ACCESORIOS)_x000D_
</t>
  </si>
  <si>
    <t>03.02.05.02</t>
  </si>
  <si>
    <t xml:space="preserve">         TANQUE ELEVADO (INSTALACIÓN Y ACCESORIOS)</t>
  </si>
  <si>
    <t>03.03</t>
  </si>
  <si>
    <t xml:space="preserve">   SISTEMA CONTRA INCENDIO</t>
  </si>
  <si>
    <t>03.03.01</t>
  </si>
  <si>
    <t xml:space="preserve">      REDES DE ALIMENTACIÓN</t>
  </si>
  <si>
    <t>03.03.01.01</t>
  </si>
  <si>
    <t xml:space="preserve">         SUMINISTRO E INST. TUBERIA DE ACERO SCH-40 DE 1 1/2" (ADOSADA )</t>
  </si>
  <si>
    <t>03.03.01.02</t>
  </si>
  <si>
    <t xml:space="preserve">         SUMINISTRO E INST. TUBERIA DE ACERO SCH-40 DE 2" (ADOSADA )</t>
  </si>
  <si>
    <t>03.03.01.03</t>
  </si>
  <si>
    <t xml:space="preserve">         SUMINISTRO E INST. TUBERIA DE ACERO SCH-40 DE 3" (ADOSADA )</t>
  </si>
  <si>
    <t>03.03.02</t>
  </si>
  <si>
    <t>03.03.02.01</t>
  </si>
  <si>
    <t xml:space="preserve">         CODO DE ACERO SCH-40 DE 2 "x90°</t>
  </si>
  <si>
    <t>03.03.02.02</t>
  </si>
  <si>
    <t xml:space="preserve">         REDUCCION CONCENTRICA ACERO SCH-40 DE 2 1/2" a 2"</t>
  </si>
  <si>
    <t>03.03.02.03</t>
  </si>
  <si>
    <t xml:space="preserve">         REDUCCION CONCENTRICA ACERO SCH-40 DE 4" a 3"</t>
  </si>
  <si>
    <t>03.03.02.04</t>
  </si>
  <si>
    <t xml:space="preserve">         REDUCCION CONCENTRICA ACERO SCH-40 DE 3" a 2 1/2"</t>
  </si>
  <si>
    <t>03.03.02.05</t>
  </si>
  <si>
    <t xml:space="preserve">         REDUCCION CONCENTRICA ACERO SCH-40 DE 3" a 2"</t>
  </si>
  <si>
    <t>03.03.02.06</t>
  </si>
  <si>
    <t xml:space="preserve">         REDUCCION CONCENTRICA ACERO SCH-40 DE 4" a 2"</t>
  </si>
  <si>
    <t>03.03.02.07</t>
  </si>
  <si>
    <t xml:space="preserve">         TEE REDUCCION  ACERO SCH-40 DE 2" a 1 1/2"</t>
  </si>
  <si>
    <t>03.03.02.08</t>
  </si>
  <si>
    <t xml:space="preserve">         TEE REDUCCION ACERO SCH-40 DE 2 1/2" a 1 1/2 "</t>
  </si>
  <si>
    <t>03.03.02.09</t>
  </si>
  <si>
    <t xml:space="preserve">         TEE REDUCCION  ACERO SCH-40 DE 1 1/2 " a 1"</t>
  </si>
  <si>
    <t>03.03.02.10</t>
  </si>
  <si>
    <t xml:space="preserve">         TEE REDUCCION ACERO SCH-40 DE 2  1/2 " a 2"</t>
  </si>
  <si>
    <t>03.03.02.11</t>
  </si>
  <si>
    <t xml:space="preserve">         TEE REDUCCION  ACERO SCH-40 DE 3 " a 1"</t>
  </si>
  <si>
    <t xml:space="preserve">          COLGADOR TIPO GOTA DE 4"</t>
  </si>
  <si>
    <t xml:space="preserve">          COLGADOR TIPO GOTA DE 3"</t>
  </si>
  <si>
    <t xml:space="preserve">          COLGADOR TIPO GOTA DE 2 1/2"</t>
  </si>
  <si>
    <t xml:space="preserve">          COLGADOR TIPO GOTA DE 2"</t>
  </si>
  <si>
    <t xml:space="preserve">          COLGADOR TIPO GOTA DE 1 1/2"</t>
  </si>
  <si>
    <t xml:space="preserve">          COLGADOR TIPO GOTA DE 1"</t>
  </si>
  <si>
    <t>03.03.03</t>
  </si>
  <si>
    <t xml:space="preserve">      SUMINISTRO E INSTALACIÓN DE GABINETES CONTRA INCENDIO</t>
  </si>
  <si>
    <t>03.03.03.01</t>
  </si>
  <si>
    <t xml:space="preserve">         GABINETE C. INC. 66X77X18 cm C/MANGUERA POLYESTER 1 1/2" x100 pies Y  PITON DE 1 1/2</t>
  </si>
  <si>
    <t>03.03.04</t>
  </si>
  <si>
    <t xml:space="preserve">      VALVULAS DE SISTEMA CONTRA INCENDIO</t>
  </si>
  <si>
    <t>03.03.04.01</t>
  </si>
  <si>
    <t xml:space="preserve">         VALVULA ANGULAR DE 1 1/2</t>
  </si>
  <si>
    <t>03.03.04.02</t>
  </si>
  <si>
    <t xml:space="preserve">         VALVULA DE DRENAJE Y PRUEBA CON VISOR 2"</t>
  </si>
  <si>
    <t>03.03.04.03</t>
  </si>
  <si>
    <t xml:space="preserve">         VALVULA MARIPOSA RANURADA 4"</t>
  </si>
  <si>
    <t>03.03.04.04</t>
  </si>
  <si>
    <t xml:space="preserve">         VALVULA BOLA1"</t>
  </si>
  <si>
    <t>03.03.04.05</t>
  </si>
  <si>
    <t xml:space="preserve">         VALVULA TRES VIAS 1/4"</t>
  </si>
  <si>
    <t>03.03.05</t>
  </si>
  <si>
    <t xml:space="preserve">      EQUIPOS</t>
  </si>
  <si>
    <t>03.03.05.01</t>
  </si>
  <si>
    <t xml:space="preserve">         ELECTROBOMBA CONTRA INCENDIO,  PSI 111.4 DE HDT 78.5 m Y POTENCIA APROXIMADA DE 20 HP INC. </t>
  </si>
  <si>
    <t>03.03.05.02</t>
  </si>
  <si>
    <t xml:space="preserve">         ELECTROBOMBA JOCKEY, 121.4 PSI DE HDT 105 m Y POTENCIA APROX. 2HP INC. TABLERO ELECTRICO</t>
  </si>
  <si>
    <t>03.03.06</t>
  </si>
  <si>
    <t xml:space="preserve">      CONEXIÓN SIAMESA</t>
  </si>
  <si>
    <t>03.03.06.01</t>
  </si>
  <si>
    <t xml:space="preserve">         CONEXIÓN SIAMESA DE PARED/ POSTE CON DOS SALIDAS (INCLUYE ACCESORIOS)</t>
  </si>
  <si>
    <t>03.03.07</t>
  </si>
  <si>
    <t xml:space="preserve">      UNION FLEXIBLE</t>
  </si>
  <si>
    <t>03.03.07.01</t>
  </si>
  <si>
    <t xml:space="preserve">         UNION FLEXIBLE TIPO METAFLEX</t>
  </si>
  <si>
    <t>04.01</t>
  </si>
  <si>
    <t xml:space="preserve">   INSTALACIÓN DE PARARRAYO</t>
  </si>
  <si>
    <t xml:space="preserve">      PARARRAYO</t>
  </si>
  <si>
    <t>04.02</t>
  </si>
  <si>
    <t xml:space="preserve">   INSTALACION DE POZO A TIERRA</t>
  </si>
  <si>
    <t>04.02.01</t>
  </si>
  <si>
    <t xml:space="preserve">      EXCAVACION PARA POZO A TIERRA</t>
  </si>
  <si>
    <t>04.02.02</t>
  </si>
  <si>
    <t xml:space="preserve">      POZO A TIERRA</t>
  </si>
  <si>
    <t>04.03</t>
  </si>
  <si>
    <t xml:space="preserve">   ALIMENTADORES</t>
  </si>
  <si>
    <t>04.03.01</t>
  </si>
  <si>
    <t xml:space="preserve">      TABLEROS</t>
  </si>
  <si>
    <t>04.03.01.01</t>
  </si>
  <si>
    <t xml:space="preserve">         TABLERO GENERAL TD EST 00</t>
  </si>
  <si>
    <t>04.03.01.02</t>
  </si>
  <si>
    <t xml:space="preserve">         TABLERO GENERAL TD EST 10</t>
  </si>
  <si>
    <t>04.03.01.03</t>
  </si>
  <si>
    <t xml:space="preserve">         TABLERO GENERAL TD EST 20</t>
  </si>
  <si>
    <t>04.03.01.04</t>
  </si>
  <si>
    <t xml:space="preserve">         TABLERO GENERAL TD EST 30</t>
  </si>
  <si>
    <t>04.03.01.05</t>
  </si>
  <si>
    <t xml:space="preserve">         TABLERO GENERAL TD EST 40</t>
  </si>
  <si>
    <t>04.03.01.06</t>
  </si>
  <si>
    <t xml:space="preserve">         TABLERO GENERAL TD EST 50</t>
  </si>
  <si>
    <t>04.03.01.07</t>
  </si>
  <si>
    <t xml:space="preserve">         TABLERO GENERAL TD EST 60</t>
  </si>
  <si>
    <t>04.03.01.08</t>
  </si>
  <si>
    <t xml:space="preserve">         TABLERO AUTOMATIZADO PARA ELECTROBOMBA</t>
  </si>
  <si>
    <t>04.03.01.09</t>
  </si>
  <si>
    <t xml:space="preserve">         TABLERO DE CONTROL HERMETICO DE 50HP</t>
  </si>
  <si>
    <t>04.03.01.10</t>
  </si>
  <si>
    <t xml:space="preserve">         TABLERO DE CONTROL Y FUERZA PARA ELECTROBOMBA JOCKEY 1.5HP</t>
  </si>
  <si>
    <t>04.03.01.11</t>
  </si>
  <si>
    <t xml:space="preserve">         TABLERO PVC 3 POLOS TIPO RIEL</t>
  </si>
  <si>
    <t>04.03.02</t>
  </si>
  <si>
    <t xml:space="preserve">      INTERRUPTOR TERMOMAGNÉTICO</t>
  </si>
  <si>
    <t>04.03.02.01</t>
  </si>
  <si>
    <t xml:space="preserve">         INTERRUPTOR TERMOMAGNETIGO CAJA MOLDEADA 3X600Amp</t>
  </si>
  <si>
    <t>04.03.02.02</t>
  </si>
  <si>
    <t xml:space="preserve">         INTERRUPTOR TERMOMAGNETIGO CAJA MOLDEADA 3X125Amp</t>
  </si>
  <si>
    <t>04.03.02.03</t>
  </si>
  <si>
    <t xml:space="preserve">         INTERRUPTOR TERMOMAGNETIGO caja moldeada 3X100 Amp</t>
  </si>
  <si>
    <t>04.03.02.04</t>
  </si>
  <si>
    <t xml:space="preserve">         INTERRUPTOR TERMOMAGNETIGO caja moldeada 3X60Amp</t>
  </si>
  <si>
    <t>04.03.02.05</t>
  </si>
  <si>
    <t xml:space="preserve">         CONTACTOR MODULAR MONOFASICO DE 2X25 Amp</t>
  </si>
  <si>
    <t>04.03.02.06</t>
  </si>
  <si>
    <t xml:space="preserve">         INTERRUPTOR HORARIO DIGITAL 30 Amp</t>
  </si>
  <si>
    <t>04.03.03</t>
  </si>
  <si>
    <t xml:space="preserve">      DUCTOS Y TUBERIAS</t>
  </si>
  <si>
    <t>04.03.03.01</t>
  </si>
  <si>
    <t xml:space="preserve">         TUBO CONDUIT ACERO GALVANIZADO EMT 3/4" X 3 mts</t>
  </si>
  <si>
    <t>04.03.03.02</t>
  </si>
  <si>
    <t xml:space="preserve">         CURVA CONDUIT EMT 3/4"</t>
  </si>
  <si>
    <t>04.03.03.03</t>
  </si>
  <si>
    <t xml:space="preserve">         UNION CONDUIT EMT 3/4"</t>
  </si>
  <si>
    <t>04.03.03.04</t>
  </si>
  <si>
    <t xml:space="preserve">         CONECTOR CONDUIT EMT 3/4”</t>
  </si>
  <si>
    <t>04.03.04</t>
  </si>
  <si>
    <t xml:space="preserve">      SALIDA PARA CENTRO DE LUZ</t>
  </si>
  <si>
    <t>04.03.04.01</t>
  </si>
  <si>
    <t xml:space="preserve">         SALIDA PARA INTERRUPTOR TRIPLE, INCLUYE INSTALACIÓN DE INTERRUPTOR</t>
  </si>
  <si>
    <t>04.03.04.02</t>
  </si>
  <si>
    <t xml:space="preserve">         SALIDA PARA INTERRUPTOR CONMUTABLE SIMPLE</t>
  </si>
  <si>
    <t>04.03.04.03</t>
  </si>
  <si>
    <t xml:space="preserve">         SALIDA PARA INTERRUPTOR CONMUTABLE DOBLE</t>
  </si>
  <si>
    <t>04.03.04.04</t>
  </si>
  <si>
    <t xml:space="preserve">         SENSOR DE MOVIMIENTO T220V</t>
  </si>
  <si>
    <t>04.03.05</t>
  </si>
  <si>
    <t xml:space="preserve">      CONDUCTORES Y/O CABLES</t>
  </si>
  <si>
    <t>04.03.05.01</t>
  </si>
  <si>
    <t xml:space="preserve">         TENDIDO DE CABLE CU DESNUDO 1X50mm²</t>
  </si>
  <si>
    <t>04.03.05.02</t>
  </si>
  <si>
    <t xml:space="preserve">         TENDIDO DE CABLE N2XOH DE 3x120mm²</t>
  </si>
  <si>
    <t>04.03.05.03</t>
  </si>
  <si>
    <t xml:space="preserve">         TENDIDO DE CABLE N2XOH DE 3x70mm²+35mm²</t>
  </si>
  <si>
    <t>04.03.05.04</t>
  </si>
  <si>
    <t xml:space="preserve">         TENDIDO DE CABLE N2XOH DE 3x25mm²+16mm²</t>
  </si>
  <si>
    <t>04.03.05.05</t>
  </si>
  <si>
    <t xml:space="preserve">         TENDIDO DE CABLE N2XOH DE 3x16mm²+10mm²</t>
  </si>
  <si>
    <t>04.03.05.06</t>
  </si>
  <si>
    <t xml:space="preserve">         TENDIDO DE CABLE N2XOH DE 3x10mm²</t>
  </si>
  <si>
    <t>04.03.05.07</t>
  </si>
  <si>
    <t xml:space="preserve">         CONDUCTOR LSOHX-90 4 mm2</t>
  </si>
  <si>
    <t>04.03.05.08</t>
  </si>
  <si>
    <t xml:space="preserve">         CONDUCTOR LSOHX-90 2.5mm2</t>
  </si>
  <si>
    <t>04.03.05.09</t>
  </si>
  <si>
    <t xml:space="preserve">         CONDUCTOR TIPO CPT 4 mm2</t>
  </si>
  <si>
    <t>04.03.06</t>
  </si>
  <si>
    <t xml:space="preserve">      ARTEFACTOS DE ILUMINACION</t>
  </si>
  <si>
    <t>04.03.06.01</t>
  </si>
  <si>
    <t xml:space="preserve">         LUMINARIA PARA SOBREPONER TIPO PANEL LED 18W CIRCULAR 6500°K 50000 hrs</t>
  </si>
  <si>
    <t>04.03.06.02</t>
  </si>
  <si>
    <t xml:space="preserve">         LUMINARIA PARA EMPOTRAR TIPO PANEL LED 24W CIRCULAR 6500°K 50000 hrs</t>
  </si>
  <si>
    <t>04.03.06.03</t>
  </si>
  <si>
    <t xml:space="preserve">         LUMINARIA PARA EMPOTRAR TIPO PANEL LED 18W CIRCULAR 6500°K 50000 hrs</t>
  </si>
  <si>
    <t>04.03.06.04</t>
  </si>
  <si>
    <t xml:space="preserve">         LUMINARIA EMPOTRABLE LED COB CIRCULAR DE 20W</t>
  </si>
  <si>
    <t>04.03.06.05</t>
  </si>
  <si>
    <t xml:space="preserve">         LUMINARIA EMPOTRABLE LED COB CIRCULAR DE 15W</t>
  </si>
  <si>
    <t>04.03.06.06</t>
  </si>
  <si>
    <t xml:space="preserve">         LUMINARIA SUSPENDIDA TIPO COLGANTE CILINDRICA DE 10W</t>
  </si>
  <si>
    <t>04.03.06.07</t>
  </si>
  <si>
    <t xml:space="preserve">         LUMINARIA TIRA LED CALIDA DE 15 MTS</t>
  </si>
  <si>
    <t>04.03.06.08</t>
  </si>
  <si>
    <t xml:space="preserve">         LUMINARIA TIPO REFLECTOR LED IMPERMEABLE DE 12 W</t>
  </si>
  <si>
    <t>04.03.06.09</t>
  </si>
  <si>
    <t xml:space="preserve">         LUMINARIA REFLECTOR LED DE PISO ORIENTABLE DE 6.5W</t>
  </si>
  <si>
    <t>04.03.06.10</t>
  </si>
  <si>
    <t xml:space="preserve">         LUMINARIA REFLECTOR LED DE PISO ORIENTABLE DE 18W</t>
  </si>
  <si>
    <t>04.03.06.11</t>
  </si>
  <si>
    <t xml:space="preserve">         LUMINARIA ESTARLED EMPOTRABLE EN PARED DE 3 W</t>
  </si>
  <si>
    <t>04.03.06.12</t>
  </si>
  <si>
    <t xml:space="preserve">         LUMINARIA CAMPANA LED COB DE 30W</t>
  </si>
  <si>
    <t>04.03.06.13</t>
  </si>
  <si>
    <t xml:space="preserve">         SPOT PLANO PARA DICROICO INCLUYE LUMINARIA DE 10W</t>
  </si>
  <si>
    <t>04.03.06.14</t>
  </si>
  <si>
    <t xml:space="preserve">         LUMINARIA DE PARED TIPO BRAKET 70W</t>
  </si>
  <si>
    <t>04.04</t>
  </si>
  <si>
    <t xml:space="preserve">   SISTEMA DE RESPALDO</t>
  </si>
  <si>
    <t>04.04.01</t>
  </si>
  <si>
    <t xml:space="preserve">      GRUPO ELECTROGENO DE 100KVA</t>
  </si>
  <si>
    <t>04.04.02</t>
  </si>
  <si>
    <t xml:space="preserve">      SISTEMA DE RESPALDO INTERRUMPIDO DE 50KVA TIPO REDUNDANTE</t>
  </si>
  <si>
    <t>04.05</t>
  </si>
  <si>
    <t xml:space="preserve">   REJILLAS DE ACERO</t>
  </si>
  <si>
    <t>04.05.01</t>
  </si>
  <si>
    <t xml:space="preserve">      REJILLAS PARA CANALETA</t>
  </si>
  <si>
    <t>04.06</t>
  </si>
  <si>
    <t xml:space="preserve">   SISTEMA DE UTILIZACIÓN EN MEDIA TENSIÓN</t>
  </si>
  <si>
    <t>04.06.01</t>
  </si>
  <si>
    <t xml:space="preserve">      SUMINISTRO DE MATERIALES</t>
  </si>
  <si>
    <t>04.06.01.01</t>
  </si>
  <si>
    <t xml:space="preserve">         POSTES Y ACCESORIOS DE CONCRETO ARMADO</t>
  </si>
  <si>
    <t>04.06.01.02</t>
  </si>
  <si>
    <t xml:space="preserve">         AISLADORES</t>
  </si>
  <si>
    <t>04.06.01.03</t>
  </si>
  <si>
    <t xml:space="preserve">         CONDUCTORES</t>
  </si>
  <si>
    <t>04.06.01.04</t>
  </si>
  <si>
    <t xml:space="preserve">         FERRETERIA Y SUMINISTRO VARIOS</t>
  </si>
  <si>
    <t>04.06.01.05</t>
  </si>
  <si>
    <t xml:space="preserve">         RETENIDAS</t>
  </si>
  <si>
    <t>04.06.01.06</t>
  </si>
  <si>
    <t xml:space="preserve">         PUESTA A TIERRA</t>
  </si>
  <si>
    <t>04.06.01.07</t>
  </si>
  <si>
    <t xml:space="preserve">         TRANSFORMADORES</t>
  </si>
  <si>
    <t>04.06.01.08</t>
  </si>
  <si>
    <t xml:space="preserve">         CELDA MODULAR DE REMONTE (LLEGADA)  Y PROTECCION)</t>
  </si>
  <si>
    <t>04.06.01.09</t>
  </si>
  <si>
    <t xml:space="preserve">         ACCESORIOS DE INSTALACION SUBTERRANEA</t>
  </si>
  <si>
    <t>04.06.01.10</t>
  </si>
  <si>
    <t xml:space="preserve">         SECCIONADORES PARARRAYOS, TERMINACIONES Y ACCESORIOS</t>
  </si>
  <si>
    <t>04.06.02</t>
  </si>
  <si>
    <t xml:space="preserve">      MONTAJE ELECTROMECANICO DE REDES</t>
  </si>
  <si>
    <t>04.06.02.01</t>
  </si>
  <si>
    <t>04.06.02.01.01</t>
  </si>
  <si>
    <t xml:space="preserve">            Izaje Poste de C.A.C. de 13/300 KG y  13/400. (Hoyos de 1.90x0.90x0.90m) Con camion grua, en cualquier tipo de terreno</t>
  </si>
  <si>
    <t>04.06.02.02</t>
  </si>
  <si>
    <t>04.06.02.02.01</t>
  </si>
  <si>
    <t xml:space="preserve">            Instalación de Aislador Tipo PIN 56-3 Con Accesorios</t>
  </si>
  <si>
    <t>04.06.02.02.02</t>
  </si>
  <si>
    <t xml:space="preserve">            Instalación de Aislador Polimérico, Incl. Accesorios (RPP 25)</t>
  </si>
  <si>
    <t>04.06.02.03</t>
  </si>
  <si>
    <t xml:space="preserve">         INSTALACION DE CONDUCTORES</t>
  </si>
  <si>
    <t>04.06.02.03.01</t>
  </si>
  <si>
    <t xml:space="preserve">             CONDUCTOR AAAC -35 mm2</t>
  </si>
  <si>
    <t>04.06.02.03.02</t>
  </si>
  <si>
    <t xml:space="preserve">             CONDUCTOR NA2XS2AY-S QUE COMPRENDE: TENDIDO DEL CONDUCTOR, TEMPLADO, CALIBRACION DE LA FLECHA</t>
  </si>
  <si>
    <t>04.06.02.03.03</t>
  </si>
  <si>
    <t xml:space="preserve">            Conductor cable seco tipo N2XSY de 35 mm2, 12/20 kv (24 Kv)</t>
  </si>
  <si>
    <t>04.06.02.03.04</t>
  </si>
  <si>
    <t xml:space="preserve">            Conductor Tipo N2XOH de 3-1x120 mm2 +1x120mm2,  220V  ( Del TTA al TG)</t>
  </si>
  <si>
    <t>04.06.02.03.05</t>
  </si>
  <si>
    <t xml:space="preserve">            INSTALACION DE TERMINACION  UNIPOLAR TIPO  AUTOCONTRAIBLE USO INTERIOR Y EXTERIOR</t>
  </si>
  <si>
    <t>kit</t>
  </si>
  <si>
    <t>04.06.02.03.06</t>
  </si>
  <si>
    <t xml:space="preserve">            Conductor de cobre desnudo  temple blando de 25 mm2</t>
  </si>
  <si>
    <t>04.06.02.04</t>
  </si>
  <si>
    <t xml:space="preserve">         MONTAJE DE ARMADOS</t>
  </si>
  <si>
    <t>04.06.02.04.01</t>
  </si>
  <si>
    <t xml:space="preserve">            ARMADO DE DERVACION TRIFASICO DS-3</t>
  </si>
  <si>
    <t>Cjto</t>
  </si>
  <si>
    <t>04.06.02.04.02</t>
  </si>
  <si>
    <t xml:space="preserve">            ARMADO ATPB6+SECC</t>
  </si>
  <si>
    <t>04.06.02.04.03</t>
  </si>
  <si>
    <t xml:space="preserve">            ARMADO ATPB1</t>
  </si>
  <si>
    <t>04.06.02.04.04</t>
  </si>
  <si>
    <t xml:space="preserve">            ARMADO ATPB3 Y ATPB6</t>
  </si>
  <si>
    <t>04.06.02.04.05</t>
  </si>
  <si>
    <t xml:space="preserve">            ARMADO ATPB5+TRAFORMIX</t>
  </si>
  <si>
    <t>04.06.02.05</t>
  </si>
  <si>
    <t xml:space="preserve">         INSTALACIÓN DE RETENIDAS</t>
  </si>
  <si>
    <t>04.06.02.05.01</t>
  </si>
  <si>
    <t xml:space="preserve">            INSTALACIÓN DE RETENIDAS RETENIDA VERTICAL TIPO Y INCLUYE EXCAVACIÓN DE HOYO DE 0.9 x 0.8 x  2.4 m, ARMADO DE LA RETENIDA, COMPACTACIÓN, SUMINISTRO DE MATERIAL AGREGADO Y CIMENTACION</t>
  </si>
  <si>
    <t>04.06.02.06</t>
  </si>
  <si>
    <t xml:space="preserve">         INSTALACIÓN DE PUESTA A TIERRA</t>
  </si>
  <si>
    <t>04.06.02.06.01</t>
  </si>
  <si>
    <t xml:space="preserve">            Puesta a Tierra en Terreno Normal (PAT-1)</t>
  </si>
  <si>
    <t>04.06.02.07</t>
  </si>
  <si>
    <t xml:space="preserve">         MONTAJE DE TRANSFORMADOR TIPO SECO Y TRAFOMIX</t>
  </si>
  <si>
    <t>04.06.02.07.01</t>
  </si>
  <si>
    <t xml:space="preserve">            Transformador trifasico tipo seco de 160 KVA,  conexionado, pruebas y otros en caseta</t>
  </si>
  <si>
    <t>eq</t>
  </si>
  <si>
    <t>04.06.02.07.02</t>
  </si>
  <si>
    <t xml:space="preserve">            TRAFOMIX - TRANSFORMADOR DE MEDIDA MIXTO DE TENSIÓN 230 VAC DE 30 VA, Y CORRIENTE 15 VA ARMADOS, CONEXIONADO ACABADOS Y PRUEBAS</t>
  </si>
  <si>
    <t>04.06.02.08</t>
  </si>
  <si>
    <t xml:space="preserve">         MONTAJE DE CELDA DE REMONTE - PROTECCION   DENTRO DE LA CASETA, CONEXIONADO Y PRUEBAS</t>
  </si>
  <si>
    <t>04.06.02.08.01</t>
  </si>
  <si>
    <t xml:space="preserve">            Celda de llegada, seccionamiento y Proteccion</t>
  </si>
  <si>
    <t>04.06.02.09</t>
  </si>
  <si>
    <t xml:space="preserve">         MONTAJE DE ACCESORIOS DE INSTALACION SUBTERRANEA</t>
  </si>
  <si>
    <t>04.06.02.09.01</t>
  </si>
  <si>
    <t xml:space="preserve">            Instalación de ductos de concreto y/o tubos de PVC SAP de 100mm , ladrillos y cinta señalizadora</t>
  </si>
  <si>
    <t>04.06.02.09.02</t>
  </si>
  <si>
    <t xml:space="preserve">            Apertura de zanja de 1.0 x1.0 (Ancho x altura ) en terreno normal, incluye instalacion de materiales de proteccion(arena y tierra cernida)</t>
  </si>
  <si>
    <t>04.06.02.10</t>
  </si>
  <si>
    <t xml:space="preserve">         MONTAJE DE SECCIONADORES Y PARARRAYOS</t>
  </si>
  <si>
    <t>04.06.02.10.01</t>
  </si>
  <si>
    <t xml:space="preserve">            Instalación al Poste del Seccionador CUT-OUT, 27 KV, 110 BIL.con Fusibles Tipo Chicote incluye el Conexionado a la Red, el Suministro de Cinta Autofundente y Vinilica(arena y tierra cernida)</t>
  </si>
  <si>
    <t>04.06.02.10.02</t>
  </si>
  <si>
    <t xml:space="preserve">            Instalación de Pararrayos 15  KV.</t>
  </si>
  <si>
    <t>04.06.02.11</t>
  </si>
  <si>
    <t xml:space="preserve">         CONSTRUCCION DE BUZONES DE CONCRETO</t>
  </si>
  <si>
    <t>04.06.02.11.01</t>
  </si>
  <si>
    <t xml:space="preserve">            BUZON DE CONCRETO DE 1x1x1.20 m TIPO 1 (BZ1)</t>
  </si>
  <si>
    <t>04.06.02.11.01.01</t>
  </si>
  <si>
    <t xml:space="preserve">               EXCAVACION MANUAL DE ZANJAS EN TERRENO NORMAL</t>
  </si>
  <si>
    <t>04.06.02.11.01.02</t>
  </si>
  <si>
    <t xml:space="preserve">               REFINE Y NIVELACION DE ZANJAS EN TERRENO NORMAL</t>
  </si>
  <si>
    <t>04.06.02.11.01.03</t>
  </si>
  <si>
    <t xml:space="preserve">               RELLENO Y COMPACTACION DE ZANJAS MANUAL</t>
  </si>
  <si>
    <t>04.06.02.11.01.04</t>
  </si>
  <si>
    <t xml:space="preserve">               ELIMINACION DE MATERIAL EXCEDENTE</t>
  </si>
  <si>
    <t>04.06.02.11.01.05</t>
  </si>
  <si>
    <t xml:space="preserve">               SOLADOS CONCRETO f'c=100 kg/cm2 h=2"</t>
  </si>
  <si>
    <t>04.06.02.11.01.06</t>
  </si>
  <si>
    <t xml:space="preserve">               ENCOFRADO Y DESENCOFRADO NORMAL</t>
  </si>
  <si>
    <t>04.06.02.11.01.07</t>
  </si>
  <si>
    <t xml:space="preserve">               ACERO fy=4200 kg/cm2 GRADO 60 en COLUMNAS</t>
  </si>
  <si>
    <t>04.06.02.11.01.08</t>
  </si>
  <si>
    <t xml:space="preserve">               CONCRETO  f'c=210 kg/cm2</t>
  </si>
  <si>
    <t>04.06.02.11.01.09</t>
  </si>
  <si>
    <t xml:space="preserve">               TARRAJEO MUROS INTERIORES</t>
  </si>
  <si>
    <t>04.06.02.11.01.10</t>
  </si>
  <si>
    <t xml:space="preserve">               PINTURA EN EXTERIORES</t>
  </si>
  <si>
    <t>04.06.02.11.01.11</t>
  </si>
  <si>
    <t xml:space="preserve">               TAPAS DE CONCRETO PARA  INSPECCION  0.7X0.7X0.07m.</t>
  </si>
  <si>
    <t>04.06.02.11.01.12</t>
  </si>
  <si>
    <t xml:space="preserve">               SUMIDERO EN BUZONES</t>
  </si>
  <si>
    <t>04.06.02.11.01.13</t>
  </si>
  <si>
    <t xml:space="preserve">               VARILLA DE FIERRO CON RECUBRIMIENTO DE TUBO DE PVC DE 3/4"</t>
  </si>
  <si>
    <t>04.06.02.11.01.14</t>
  </si>
  <si>
    <t xml:space="preserve">               COLOCACION DE ESPUMA EXPANDIBLE PARA SELLADO DE DUCTOS EN BUZONES.</t>
  </si>
  <si>
    <t>04.06.02.11.02</t>
  </si>
  <si>
    <t xml:space="preserve">            BUZON DE CONCRETO DE 1x1x2m TIPO 2 (BZ2)</t>
  </si>
  <si>
    <t>04.06.02.11.02.01</t>
  </si>
  <si>
    <t>04.06.02.11.02.02</t>
  </si>
  <si>
    <t>04.06.02.11.02.03</t>
  </si>
  <si>
    <t>04.06.02.11.02.04</t>
  </si>
  <si>
    <t>04.06.02.11.02.05</t>
  </si>
  <si>
    <t>04.06.02.11.02.06</t>
  </si>
  <si>
    <t>04.06.02.11.02.07</t>
  </si>
  <si>
    <t>04.06.02.11.02.08</t>
  </si>
  <si>
    <t>04.06.02.11.02.09</t>
  </si>
  <si>
    <t>04.06.02.11.02.10</t>
  </si>
  <si>
    <t>04.06.02.11.02.11</t>
  </si>
  <si>
    <t>04.06.02.11.02.12</t>
  </si>
  <si>
    <t>04.06.02.11.02.13</t>
  </si>
  <si>
    <t>04.06.02.11.02.14</t>
  </si>
  <si>
    <t>04.06.02.11.02.15</t>
  </si>
  <si>
    <t xml:space="preserve">               ESCALERA METALICA TIPO GATO DE FIERRO CORRUGADO DE 3/4" Ø, H= 1.50  m</t>
  </si>
  <si>
    <t>04.06.02.11.03</t>
  </si>
  <si>
    <t xml:space="preserve">            OBRAS PRELIMINARES</t>
  </si>
  <si>
    <t>04.06.02.11.03.01</t>
  </si>
  <si>
    <t xml:space="preserve">               Trazo, Replanteo Ubicación de estructuras, Inventario de materiales a desmontar e Ingenieria de detalle para su ejecucion de obra y debe ser aprobado por el supervisor, la entidad y el visto de la concesionaria de electricidad</t>
  </si>
  <si>
    <t>km</t>
  </si>
  <si>
    <t>04.06.02.11.03.02</t>
  </si>
  <si>
    <t xml:space="preserve">                Cartel de Obra de (3.6 x 7.2) m</t>
  </si>
  <si>
    <t>04.06.02.11.03.03</t>
  </si>
  <si>
    <t xml:space="preserve">               Elaboración, Gestión de Aprobación y Ejecución del Plan de Monitoreo Arqueologico de obras de proyecto bajo la supervision de INC</t>
  </si>
  <si>
    <t>04.06.02.11.03.04</t>
  </si>
  <si>
    <t xml:space="preserve">               GESTION Y EJECUCION DEL EXPEDIENTE DE DECLARACION DE IMPACTO AMBIENTAL (DIA) Y PLAN MONITOREO AMBIENTAL</t>
  </si>
  <si>
    <t>04.06.02.11.03.05</t>
  </si>
  <si>
    <t xml:space="preserve">               EJECUCION Y MONITOREO DEL PLAN DE VIGILANCIA, Y PROTOCOLOS PARA    PREVENCIÓN Y CONTROL DE COVID-19 PARA LA OBRA</t>
  </si>
  <si>
    <t>04.06.02.11.03.06</t>
  </si>
  <si>
    <t xml:space="preserve">               Gestión  y Ejecución del Plan de Gestion de Riesgos de conformidad a la DIRECTIVA ACTUALCOVID-19 PARA LA OBRA</t>
  </si>
  <si>
    <t>04.06.02.11.04</t>
  </si>
  <si>
    <t xml:space="preserve">            TRABAJOS COMPLEMENTARIOS</t>
  </si>
  <si>
    <t>04.06.02.11.04.01</t>
  </si>
  <si>
    <t xml:space="preserve">               Revision y pruebas electricas , con todos los instrumentos de medicion y otros según sea el caso</t>
  </si>
  <si>
    <t>04.06.02.11.04.02</t>
  </si>
  <si>
    <t xml:space="preserve">               Gestion de Cortes de Servicio Electrico para conexionado y para Energizacion del Sistema de Utilizacion, incluye el pago por derecho a corte de Energia</t>
  </si>
  <si>
    <t>04.06.02.11.04.03</t>
  </si>
  <si>
    <t xml:space="preserve">               Señalizacion de estructuras, pintado de  simbologias, Codigos, Toma de imagenes de cada uno de ellos, (numeración otorgada por ELSE, de acuerdo al instructivo del SID)</t>
  </si>
  <si>
    <t>04.06.02.11.04.04</t>
  </si>
  <si>
    <t xml:space="preserve">               Expediente Técnico Finales Conforme a Obra (1 Original + 3 Copias) de Redes Primarias, Incluye la Presentación Digitalizada del Expediente en un CD</t>
  </si>
  <si>
    <t>04.06.02.11.04.05</t>
  </si>
  <si>
    <t xml:space="preserve">               Tramite de Instalación de medidor, como cliente Mayor a costos regulados por OSINERGMIN, incluye Medidor multifuncion, instalacion de caja metalica para alojamiento del medidor, cables de interconexion tablero de traformix- medidor mul</t>
  </si>
  <si>
    <t>04.06.02.11.05</t>
  </si>
  <si>
    <t xml:space="preserve">            DESMONTAJE DE REDES PRIMARIAS Y SECUNDARIAS</t>
  </si>
  <si>
    <t>04.06.02.11.05.01</t>
  </si>
  <si>
    <t xml:space="preserve">               RETIRO DE POSTE DE C.A.C de 12 m</t>
  </si>
  <si>
    <t>04.06.02.11.05.02</t>
  </si>
  <si>
    <t xml:space="preserve">               RETIRO DE POSTE DE C.A.C de 9 m</t>
  </si>
  <si>
    <t>04.06.02.11.05.03</t>
  </si>
  <si>
    <t xml:space="preserve">               DESMONTAJE DE LOS CONDUCTORES DE ALUMINIO Y/O COBRE HASTA  70MM2</t>
  </si>
  <si>
    <t>04.06.02.11.05.04</t>
  </si>
  <si>
    <t xml:space="preserve">               DESMONTAJE DE RETENIDA VERTICAL Y OBLICUA EXTERIOR</t>
  </si>
  <si>
    <t>04.06.02.11.05.05</t>
  </si>
  <si>
    <t xml:space="preserve">               DESMONTAJE DE ARMADOS DE M.T EXISTENTES INCLUYE AISLADOR TIPO PIN, RPP 15 KV Y ACCESORIOS</t>
  </si>
  <si>
    <t>04.06.02.11.05.06</t>
  </si>
  <si>
    <t xml:space="preserve">               DESMONTAJE Y MONTAJE DE ARMADOS EN REDES SECUNDARIAS EXISTENTES A POSTE NUEVO (C.A.C 13m)</t>
  </si>
  <si>
    <t>04.06.02.11.05.07</t>
  </si>
  <si>
    <t xml:space="preserve">               DESMONTAJE   MONTAJE DE ARMADOS DE RED DIGITAL. COMUNICACIONES, INTERNET, CABLE DE POSTE EXISTENTE A  POSTE NUEVO (C.A.C 13m)</t>
  </si>
  <si>
    <t>04.06.02.11.05.08</t>
  </si>
  <si>
    <t xml:space="preserve">               DESMONTAJE Y MONTAJE DE PASTORALES Y EQUIPOS DE ALUMBRADO PÚBLICO Y CONEXIONADO</t>
  </si>
  <si>
    <t>04.06.02.11.05.09</t>
  </si>
  <si>
    <t xml:space="preserve">               ROTURA Y RESANE DE VEREDA  DE CONCRETO PARA APERTURA DE HOYOS PARA IZAJE  DE POSTE Y/O INSTALACION DE PUESTA A TIERRA, RETENIDA</t>
  </si>
  <si>
    <t>04.06.02.11.05.10</t>
  </si>
  <si>
    <t xml:space="preserve">               ROTURA Y RESANE DE VEREDA DE ADOQUINES DE CONCRETO  DE 10x20x6 cm; PARA APERTURA DE HOYOS PARA IZAJE  DE POSTE, INSTALACIÓN DE PUESTA A TIERRA Y/O INSTALACIÓN DE  RETENIDAS</t>
  </si>
  <si>
    <t>SOLUCIONES DE TECNOLOGÍA DE INFORMACIÓN Y COMUNICACIÓN (TIC)</t>
  </si>
  <si>
    <t>05.01</t>
  </si>
  <si>
    <t xml:space="preserve">   SISTEMA DE TELEFONIA</t>
  </si>
  <si>
    <t>05.01.01</t>
  </si>
  <si>
    <t xml:space="preserve">      PATCH CORD CAT 6A LSZH, 7 PIES</t>
  </si>
  <si>
    <t>05.02</t>
  </si>
  <si>
    <t xml:space="preserve">   SISTEMA DE SONIDO AMBIENTAL Y PERIFONEO</t>
  </si>
  <si>
    <t>05.02.01</t>
  </si>
  <si>
    <t xml:space="preserve">      CABLES EN TUBERIAS</t>
  </si>
  <si>
    <t>05.02.01.01</t>
  </si>
  <si>
    <t xml:space="preserve">         CABLE F/UTP CAT 6A PARA SONIDO AMBIENTAL Y PERIFONEO</t>
  </si>
  <si>
    <t>05.02.01.02</t>
  </si>
  <si>
    <t xml:space="preserve">         CABLE DE AUDIO STEREO 2X16 AWG</t>
  </si>
  <si>
    <t>05.02.02</t>
  </si>
  <si>
    <t xml:space="preserve">      CANALETAS, CONDUCTOS Y/O TUBERIAS</t>
  </si>
  <si>
    <t>05.02.02.01</t>
  </si>
  <si>
    <t xml:space="preserve">         ADAPTADOR DE AUDIO ESTÉREO EN RED IP</t>
  </si>
  <si>
    <t>05.02.02.02</t>
  </si>
  <si>
    <t xml:space="preserve">         FUENTE DE ALIMENTACION DE EMERGENCIA</t>
  </si>
  <si>
    <t>05.02.02.03</t>
  </si>
  <si>
    <t xml:space="preserve">         MODULO DE FIN DE LINEA</t>
  </si>
  <si>
    <t>05.03</t>
  </si>
  <si>
    <t xml:space="preserve">   SISTEMA DE CONTROL ACCESOS Y SEGURIDAD</t>
  </si>
  <si>
    <t>05.03.01</t>
  </si>
  <si>
    <t>05.03.01.01</t>
  </si>
  <si>
    <t xml:space="preserve">         CABLE F/UTP CAT 6A PARA CONTROL Y ACCESO</t>
  </si>
  <si>
    <t>05.04</t>
  </si>
  <si>
    <t xml:space="preserve">   SISTEMA DETECCIÓN Y ALARMA DE INCENDIOS</t>
  </si>
  <si>
    <t>05.04.01</t>
  </si>
  <si>
    <t xml:space="preserve">         CABLE FPLR 2X16, LSZH</t>
  </si>
  <si>
    <t>05.04.01.02</t>
  </si>
  <si>
    <t xml:space="preserve">         CABLE FPLR 2X14, LSZH</t>
  </si>
  <si>
    <t>05.05</t>
  </si>
  <si>
    <t xml:space="preserve">   SISTEMA DE PROCESAMIENTO Y ALMACENAMIENTO CENTRALIZADO</t>
  </si>
  <si>
    <t>05.05.01</t>
  </si>
  <si>
    <t xml:space="preserve">      SERVIDOR HIPERCONVERGENTE</t>
  </si>
  <si>
    <t>05.05.02</t>
  </si>
  <si>
    <t xml:space="preserve">      SERVICIO INSTALACIÓN, CONFIGURACION, PUESTA EN MARCHA Y CAPACITACIÓN DEL SERVIDOR DE APLICACIONES</t>
  </si>
  <si>
    <t>05.06</t>
  </si>
  <si>
    <t xml:space="preserve">   SISTEMA DE CONECTIVIDAD Y SEGURIDAD INFORMÁTICA</t>
  </si>
  <si>
    <t>05.06.01</t>
  </si>
  <si>
    <t xml:space="preserve">      SWITCH CORE 24 PUERTOS DE FIBRA 10GBPS</t>
  </si>
  <si>
    <t>05.06.02</t>
  </si>
  <si>
    <t xml:space="preserve">      PUNTO DE ACCESO INALAMBRICO (AP)</t>
  </si>
  <si>
    <t>05.06.03</t>
  </si>
  <si>
    <t xml:space="preserve">      SWITCH BORDE 24 PUERTOS POE+</t>
  </si>
  <si>
    <t>05.06.04</t>
  </si>
  <si>
    <t xml:space="preserve">      SWITCH BORDE 48 PUERTOS</t>
  </si>
  <si>
    <t>05.07</t>
  </si>
  <si>
    <t xml:space="preserve">   ACABADOS DE LOS SERVICIOS DE TELECOMUNICACIONES</t>
  </si>
  <si>
    <t>05.07.01</t>
  </si>
  <si>
    <t xml:space="preserve">      TUBO PVC-SAP 50 mm Ø (2")</t>
  </si>
  <si>
    <t>05.08</t>
  </si>
  <si>
    <t xml:space="preserve">   LICENCIAS DE SOFTWARE</t>
  </si>
  <si>
    <t>05.08.01</t>
  </si>
  <si>
    <t xml:space="preserve">      SOFTWARE DE MONITOREO DE RED</t>
  </si>
  <si>
    <t>05.08.02</t>
  </si>
  <si>
    <t xml:space="preserve">      SOFTWARE DE VIRTUALIZACION</t>
  </si>
  <si>
    <t>05.08.03</t>
  </si>
  <si>
    <t xml:space="preserve">      SOFTWARE DE ADMINISTRACIÓN DE VIRTUALIZACIÓN</t>
  </si>
  <si>
    <t>05.09</t>
  </si>
  <si>
    <t xml:space="preserve">   SISTEMA DE CABLEADO ESTRUCTURADO Y CENTRO DE DATOS</t>
  </si>
  <si>
    <t>05.09.01</t>
  </si>
  <si>
    <t>05.09.01.01</t>
  </si>
  <si>
    <t xml:space="preserve">         CABLE F/UTP CAT 6A PARA CABLEADO ESTRUCTURA Y CENTRO DE DATOS</t>
  </si>
  <si>
    <t>05.09.02</t>
  </si>
  <si>
    <t xml:space="preserve">      RACK/GABINETE DE TELECOMUNICACIONES</t>
  </si>
  <si>
    <t>05.09.02.01</t>
  </si>
  <si>
    <t xml:space="preserve">         GABINETE PRINCIPAL DE COMUNICACIONES (DATA CENTER)</t>
  </si>
  <si>
    <t>05.09.02.02</t>
  </si>
  <si>
    <t xml:space="preserve">         GABINETE DE COMUNICACIONES</t>
  </si>
  <si>
    <t>05.09.03</t>
  </si>
  <si>
    <t xml:space="preserve">      PATCH PANEL</t>
  </si>
  <si>
    <t>05.09.03.01</t>
  </si>
  <si>
    <t xml:space="preserve">         PATCH CORD CAT 6A LSZH, 14 PIES</t>
  </si>
  <si>
    <t>05.09.03.02</t>
  </si>
  <si>
    <t xml:space="preserve">         ETIQUETA IDENTIFICADORA PARA PUNTO DE RED</t>
  </si>
  <si>
    <t>05.09.03.03</t>
  </si>
  <si>
    <t xml:space="preserve">         FACEPLATE ICONEABLE DE DOS SALIDAS</t>
  </si>
  <si>
    <t>05.09.03.04</t>
  </si>
  <si>
    <t xml:space="preserve">         PATCH CORD CAT 6A LSZH, 7 PIES</t>
  </si>
  <si>
    <t>05.10</t>
  </si>
  <si>
    <t xml:space="preserve">   SISTEMA DE VIDEO VIGILANCIA</t>
  </si>
  <si>
    <t>05.10.01</t>
  </si>
  <si>
    <t xml:space="preserve">      CAMARA IP TIPO TORRETA PARA INTERIORES_x000D_
</t>
  </si>
  <si>
    <t>05.10.02</t>
  </si>
  <si>
    <t xml:space="preserve">      CAMARA PTZ IP DOMO PARA EXTERIORES
</t>
  </si>
  <si>
    <t>05.10.03</t>
  </si>
  <si>
    <t xml:space="preserve">      GRABADOR NVR 64CH 
</t>
  </si>
  <si>
    <t>05.10.04</t>
  </si>
  <si>
    <t xml:space="preserve">      ARREGLO DE DISCOS ESATA  16 HDD  MÁX. 8TB X DISCO  1 MINI SAS
</t>
  </si>
  <si>
    <t>05.10.05</t>
  </si>
  <si>
    <t xml:space="preserve">      ESTACION DE TRABAJO PARA MONITOREO
</t>
  </si>
  <si>
    <t>05.10.06</t>
  </si>
  <si>
    <t xml:space="preserve">      MONITOR LCD FHD DE 55''
</t>
  </si>
  <si>
    <t>05.10.07</t>
  </si>
  <si>
    <t xml:space="preserve">      JOYSTICK IP - PARA CAMARAS PTZ
</t>
  </si>
  <si>
    <t>05.10.08</t>
  </si>
  <si>
    <t xml:space="preserve">      TARJETA DECODIFICADORA H.265 DE 6 CANALES
</t>
  </si>
  <si>
    <t>05.10.09</t>
  </si>
  <si>
    <t xml:space="preserve">      CABLE HDMI DE 5 METROS 4K 
</t>
  </si>
  <si>
    <t>05.10.10</t>
  </si>
  <si>
    <t xml:space="preserve">      RACK PARA MONITOR
</t>
  </si>
  <si>
    <t>05.10.11</t>
  </si>
  <si>
    <t xml:space="preserve">      PATCH CORD CAT 6A LSZH, 3 PIES
</t>
  </si>
  <si>
    <t>05.11</t>
  </si>
  <si>
    <t xml:space="preserve">   SISTEMA DE ENERGÍA ELÉCTRICA</t>
  </si>
  <si>
    <t>05.11.01</t>
  </si>
  <si>
    <t xml:space="preserve">      TABLERO GENERAL ADOSADO (ARMADO)_x000D_
</t>
  </si>
  <si>
    <t>05.11.02</t>
  </si>
  <si>
    <t xml:space="preserve">      CABLE ELECTRICO DE 3x4mm2 _x000D_
</t>
  </si>
  <si>
    <t>05.11.03</t>
  </si>
  <si>
    <t xml:space="preserve">      CABLE LSOHX-90 DE 6 mm2
</t>
  </si>
  <si>
    <t>05.11.04</t>
  </si>
  <si>
    <t xml:space="preserve">      CABLE N2XOH 3-1X16 mm2
</t>
  </si>
  <si>
    <t>05.11.05</t>
  </si>
  <si>
    <t xml:space="preserve">      CONDUCTOR DESNUDO DE COBRE DE 25 mm2_x000D_
</t>
  </si>
  <si>
    <t>05.11.06</t>
  </si>
  <si>
    <t xml:space="preserve">      CONDUCTOR DESNUDO DE COBRE DE 10 mm2_x000D_
</t>
  </si>
  <si>
    <t>05.11.07</t>
  </si>
  <si>
    <t xml:space="preserve">      INTERRUPTOR TERMOMAGNETICO DE CAJA MOLDEADA DE 3X63 Amp
DE PROGRAMACION Y CONTROL</t>
  </si>
  <si>
    <t>05.11.08</t>
  </si>
  <si>
    <t xml:space="preserve">      INTERRUPTOR TERMOMAGNETICO DE CAJA MOLDEADA DE 2X50 Amp
DE PROGRAMACION Y CONTROL</t>
  </si>
  <si>
    <t>05.11.09</t>
  </si>
  <si>
    <t xml:space="preserve">      ENCHUFE/TOMACORRIENTE INDUSTRIAL_x000D_
</t>
  </si>
  <si>
    <t>05.11.10</t>
  </si>
  <si>
    <t xml:space="preserve">      TERMINAL TIPO PIN PARA CABLE DE 4 mm2</t>
  </si>
  <si>
    <t>05.11.11</t>
  </si>
  <si>
    <t xml:space="preserve">      TERMINAL TIPO OJAL PARA CABLE DE 4 mm2</t>
  </si>
  <si>
    <t>05.11.12</t>
  </si>
  <si>
    <t xml:space="preserve">      TERMINAL TIPO PIN PARA CABLE DE 6 mm2
</t>
  </si>
  <si>
    <t>05.11.13</t>
  </si>
  <si>
    <t xml:space="preserve">      TERMINAL TIPO OJAL PARA CABLE DE 16 mm2
</t>
  </si>
  <si>
    <t>05.11.14</t>
  </si>
  <si>
    <t xml:space="preserve">      TERMINAL TIPO OJAL PARA CABLE DE 25 mm2
</t>
  </si>
  <si>
    <t>05.11.15</t>
  </si>
  <si>
    <t xml:space="preserve">      INTERRUPTOR DIFERENCIAL DE 25A
</t>
  </si>
  <si>
    <t>05.12</t>
  </si>
  <si>
    <t xml:space="preserve">   SISTEMA DE PROTECCION ANTIESTATICA</t>
  </si>
  <si>
    <t>05.12.01</t>
  </si>
  <si>
    <t xml:space="preserve">      PINTURA EPOXICA</t>
  </si>
  <si>
    <t xml:space="preserve">   SERVICIO DE PRUEBAS DE RED DE DATOS</t>
  </si>
  <si>
    <t>05.13.01</t>
  </si>
  <si>
    <t xml:space="preserve">    SERVICIO DE INTERNET 500 Mbps</t>
  </si>
  <si>
    <t>REPARACIÓN DE DAÑOS OCACIONADOS POR LA EJECUCIÓN DEL PROYECTO</t>
  </si>
  <si>
    <t>COBERTURAS</t>
  </si>
  <si>
    <t>COBERTURA DE ALUZINC PARA TECHO</t>
  </si>
  <si>
    <t>PINTADO Y REPARACIÓN DE MUROS</t>
  </si>
  <si>
    <t>PINTURA PARA INTERIRORES</t>
  </si>
  <si>
    <t>ENCOFRADO Y DESENCOFRADO - SOBRECIMIENTO</t>
  </si>
  <si>
    <t>MUROS DE TABIQUERIA SECA</t>
  </si>
  <si>
    <t xml:space="preserve">EQUIPOS Y OTRAS INSTALACIONES </t>
  </si>
  <si>
    <t>SUMINISTRO E INST. TUBERIA DE ACERO SCH-40 DE 1" (ADOSADA )</t>
  </si>
  <si>
    <t>SUMINISTRO E INST .TUBERIA DE ACERO SCH-40 DE 4" (ADOSADA )</t>
  </si>
  <si>
    <t>SISTEMA DE CONTROL ACCESOS Y SEGURIDAD</t>
  </si>
  <si>
    <t>PRESUPUESTO</t>
  </si>
  <si>
    <t>Montos</t>
  </si>
  <si>
    <t>ADICIONAL DE OBRA N°04 -RESOLUCION DE GERENCIA MUNICIPAL N°092-2023-GM-MPA</t>
  </si>
  <si>
    <t>ADICIONAL DE OBRA N°04</t>
  </si>
  <si>
    <t>ADICIONAL N°4</t>
  </si>
  <si>
    <t>N°04-RESOLUCION N° 303 -2023-GM-MPA</t>
  </si>
  <si>
    <t>ADICIONAL DE OBRA N°04-RESOLUCION DE GERENCIA MUNICIPAL N° 0303-2023-GM-MPA</t>
  </si>
  <si>
    <t>VALORIZACIÓN DE LA MODIFICACIÓN PRESUPUESTAL N°04-PARTIDAS NUEVAS</t>
  </si>
  <si>
    <t>VALORIZACIÓN DE LA MODIFICACIÓN PRESUPUESTAL N°04-MAYORES METRADOS</t>
  </si>
  <si>
    <t>VALORIZACIÓN DE LA MODIFICACIÓN PRESUPUESTAL N°04-DEDUCTIVOS</t>
  </si>
  <si>
    <t>APROBACION DE LA MODIFICACIÓN PRESUPUESTAL N°4</t>
  </si>
  <si>
    <t>CRONOGRAMA VALORIZADO REPROGRAMADO DE AMPLIACIÓN DE OBRA- 2023</t>
  </si>
  <si>
    <t>Octb-23</t>
  </si>
  <si>
    <t>ENCOFRADO METÁLICO BUZÓN TIPO I</t>
  </si>
  <si>
    <t>ACERO F'Y= 4200 KG/CM2 BUZÓN TIPO I</t>
  </si>
  <si>
    <t>CONCRETO F'C = 210 KG/CM2 EN BUZÓN TIPO I</t>
  </si>
  <si>
    <t>BUZÓN DE DESAGUE TIPO II</t>
  </si>
  <si>
    <t xml:space="preserve"> ENCOFRADO METÁLICO BUZÓN TIPO II</t>
  </si>
  <si>
    <t>ACERO F'Y= 4200 KG/CM2 BUZÓN TIPO II</t>
  </si>
  <si>
    <t>CONCRETO F'C = 210 KG/CM2 EN BUZÓN TIPO II</t>
  </si>
  <si>
    <t>ESTRUCTURAS METÁLICAS DE ESCENARIO</t>
  </si>
  <si>
    <t xml:space="preserve"> FABRICACIÓN DE ANCLAJES PARA ESCENARIO DE AUDITORIO</t>
  </si>
  <si>
    <t xml:space="preserve"> FABRICACION DE ANCLAJES PARA ESCENARIO DE SALA MULTIUSO</t>
  </si>
  <si>
    <t xml:space="preserve"> FABRICACIÓN DE ESTRUCTURA METÁLICA EN ESCENARIO DE SALA MULTIUSO</t>
  </si>
  <si>
    <t>FABRICACION DE ESTRUCTURA METÁLICA EN ESCENARIO DE AUDITORIO</t>
  </si>
  <si>
    <t>FABRICACIÓN DE PLATAFORMA EN ESCENARIO DE SALA MULTIUSO</t>
  </si>
  <si>
    <t>FABRICACIÓN DE PLATAFORMA EN ESCENARIO DE AUDITORIO</t>
  </si>
  <si>
    <t>INSTALACIÓN ESTRUCTURAS METÁLICAS</t>
  </si>
  <si>
    <t>INSTALACIÓN DE ESTRUCTURA METÁLICA EN ESCENARIO DE SALA MULTIUSO</t>
  </si>
  <si>
    <t>INSTALACIÓN DE ESTRUCTURA METÁLICA EN ESCENARIO DE AUDITORIO</t>
  </si>
  <si>
    <t>PINTURAS EN ESTRUCTURA METÁLICA</t>
  </si>
  <si>
    <t xml:space="preserve"> PINTURA EN ESTRUCTURA DE ESCENARIO</t>
  </si>
  <si>
    <t>JARDINERAS</t>
  </si>
  <si>
    <t>JARDINERAS EN INTERIORES</t>
  </si>
  <si>
    <t>SOLADO E=4" f'c= 140 kg/cm2 CON IMPERMEABILIZANTE</t>
  </si>
  <si>
    <t>ENCOFRADO EN JARDINERAS</t>
  </si>
  <si>
    <t>CONCRETO PARA JARDINERAS CON ADITIVO f'c=210 kg/cm2</t>
  </si>
  <si>
    <t>ACERO CORRUGADO FY=4200 kg/cm2 EN JARDINERAS</t>
  </si>
  <si>
    <t>TIERRA AGRÍCOLA EN JARDINES</t>
  </si>
  <si>
    <t>JARDINERAS EN EXTERIORES</t>
  </si>
  <si>
    <t>SOLADO f'c = 140 kg/cm2 CON IMPERMEABILIZANTE</t>
  </si>
  <si>
    <t>MESAS DE CONCRETO</t>
  </si>
  <si>
    <t>MESAS DE CONCRETO EN COCINA TIPO I</t>
  </si>
  <si>
    <t>ENCOFRADO Y DESENCOFRADO - MESAS DE CONCRETO</t>
  </si>
  <si>
    <t>ACERO CORRUGADO F'C=4200 kg/cm2 - MESAS DE CONCRETO</t>
  </si>
  <si>
    <t>CONCRETO f'c=175 kg/cm2 - MESAS DE CONCRETO</t>
  </si>
  <si>
    <t>MESAS DE CONCRETO EN COCINA TIPO II</t>
  </si>
  <si>
    <t>MESAS DE CONCRETO EN COCINA TIPO III</t>
  </si>
  <si>
    <t>MESAS DE CONCRETO EN COCINA TIPO IV</t>
  </si>
  <si>
    <t>TABLEROS DE CONCRETO</t>
  </si>
  <si>
    <t>TABLEROS DE CONCRETO TIPO I (BAÑOS INDIVIDUALES)</t>
  </si>
  <si>
    <t>ENCOFRADO Y DESENCOFRADO - TABLEROS DE CONCRETO</t>
  </si>
  <si>
    <t>ACERO CORRUGADO F'C=4200 kg/cm2 PARA TABLEROS DE CONCRETO</t>
  </si>
  <si>
    <t>CONCRETO f'c=175 kg/cm2 - PARA TABLEROS DE CONCRETO</t>
  </si>
  <si>
    <t>TABLEROS DE CONCRETO TIPO II (SÓTANO)</t>
  </si>
  <si>
    <t xml:space="preserve"> TABLEROS DE CONCRETO TIPO III (GENERALES)</t>
  </si>
  <si>
    <t>DINTELES EN ASCENSOR</t>
  </si>
  <si>
    <t>DESENCOFRADO</t>
  </si>
  <si>
    <t>DESENCOFRADO DE ELEMENTOS DE CONFINAMINETO EN FACHADA</t>
  </si>
  <si>
    <t>JUNTAS</t>
  </si>
  <si>
    <t>JUNTA ASFÁLTICA EN VEREDAS</t>
  </si>
  <si>
    <t>JUNTA ASFÁLTICA EN ESTACIONAMIENTO</t>
  </si>
  <si>
    <t>SOLAQUEO DE MUROS FACHADA LATERAL</t>
  </si>
  <si>
    <t>TARRAJEO EN LAVADEROS DE C°A°</t>
  </si>
  <si>
    <t>TARRAJEO CON IMPERMEABILIZANTE EN JARDINERAS</t>
  </si>
  <si>
    <t>SELLADO ANTISALITRE DE MUROS INTERNOS DE JARDINERIA</t>
  </si>
  <si>
    <t>REVESTIMIENTO CON MICROCEMENTO</t>
  </si>
  <si>
    <t>ACABADOS ESPECIALES C/MICROCEMENTO EN MESADAS TIPO I</t>
  </si>
  <si>
    <t>ACABADOS ESPECIALES C/MICROCEMENTO EN MESADAS TIPO II</t>
  </si>
  <si>
    <t>ACABADOS ESPECIALES C/MICROCEMENTO EN MESADAS TIPO III</t>
  </si>
  <si>
    <t>ACABADOS ESPECIALES C/MICROCEMENTO EN MESADAS TIPO IV</t>
  </si>
  <si>
    <t>ACABADOS ESPECIALES C/MICROCEMENTO EN MESADAS SH INDIVIDUALES</t>
  </si>
  <si>
    <t>REVESTIMIENTO ESPECIALES</t>
  </si>
  <si>
    <t>RECUBRIMIENTO CON ALFOMBRADO EN PAREDES</t>
  </si>
  <si>
    <t>ACABADOS EN PORCELANATO</t>
  </si>
  <si>
    <t>ENCHAPADO DE PORCELANATO EN TABLEROS DE BAÑOS</t>
  </si>
  <si>
    <t>ENCHAPADO DE PORCELANATO EN ZÓCALOS H=1.20M</t>
  </si>
  <si>
    <t>PISO DE CONCRETO PULIDO CON OCRE Y BRUÑADO e=1"</t>
  </si>
  <si>
    <t>PISO DE MICROCEMENTO</t>
  </si>
  <si>
    <t>CONTRAZÓCALO</t>
  </si>
  <si>
    <t>CONTRAZÓCALO DE ACERO INOXIDABLE h=0.10m, e=1.5 mm</t>
  </si>
  <si>
    <t>CARPINTERIA DE MADERA</t>
  </si>
  <si>
    <t>PUERTAS DE MADERA DE TABLERO REBAJADO</t>
  </si>
  <si>
    <t>FABRICACIÓN DE CELOSÍAS DE MADERA CON MARCO METÁLICO</t>
  </si>
  <si>
    <t>INSTALACIÓN DE PERSIANAS DE MADERA CON MARCO METÁLICO</t>
  </si>
  <si>
    <t>ENCHAPADO DE MADERA EN MESA DE CAJA</t>
  </si>
  <si>
    <t>CARPINTERIA DE MADERA Y OTROS</t>
  </si>
  <si>
    <t>DIVISIONES DE MELAMINE</t>
  </si>
  <si>
    <t>DIVISIÓN PARA SS.HH EN MELAMINE TIPO I</t>
  </si>
  <si>
    <t>DIVISIÓN PARA SS.HH EN MELAMINE TIPO II</t>
  </si>
  <si>
    <t>DIVISIÓN PARA URINARIOS</t>
  </si>
  <si>
    <t>CARPINTERIA DE MELAMINE</t>
  </si>
  <si>
    <t>MÓDULO RECEPCIÓN INGRESO PRINCIPAL</t>
  </si>
  <si>
    <t>MÓDULO PARA CAFETERÍA</t>
  </si>
  <si>
    <t>MUEBLE DE MELAMINE RH PARA COCINETA TIPO 1</t>
  </si>
  <si>
    <t>MUEBLE DE MELAMINE RH PARA COCINETA TIPO 2</t>
  </si>
  <si>
    <t>MUEBLE DE MELAMINE RH PARA COCINETA TIPO 3</t>
  </si>
  <si>
    <t>CARPINTERIA METÁLICA</t>
  </si>
  <si>
    <t>PUERTAS METÁLICAS</t>
  </si>
  <si>
    <t>PUERTA BATIENTE DOS HOJAS P-02</t>
  </si>
  <si>
    <t>PUERTA BATIENTE UNA HOJA. (P-20)</t>
  </si>
  <si>
    <t>PUERTA BATIENTE DOS HOJAS, INCL. VENTA C/MALLA GALVANIZADA APERTURA 180 ° (P-15)</t>
  </si>
  <si>
    <t>PUERTA BATIENTE DOS HOJAS ASIMETRICO , INCL. VENTA C/MALLA GALVANIZADA (P-14)</t>
  </si>
  <si>
    <t>PUERTA PLEGABLE 04 HOJAS, INCL. VENTANA C/MALLA METÁLICA GALVANIZADA P-16</t>
  </si>
  <si>
    <t>PUERTA METÁLICA BATIENTE DOS HOJAS ESTACIONAMIENTO (P-18)</t>
  </si>
  <si>
    <t>PUERTA METÁLICA BATIENTE UNA HOJA INGRESO AREA DE SERVICIO (P-17)</t>
  </si>
  <si>
    <t>PUERTA METÁLICA BATIENTE UNA HOJA CAJA FUERTE (P-04)</t>
  </si>
  <si>
    <t>PUERTA METÁLICA MODELO TIPO PERSIANA-CUARTO DE MAQUINAS ASCENSOR (P-5)</t>
  </si>
  <si>
    <t>VENTANA  METÁLICA MODELO TIPO PERSIANA-CUARTO DE MAQUINAS ASCENSOR</t>
  </si>
  <si>
    <t>REJILLAS CIRCULARES PARA VENTILACIÓN</t>
  </si>
  <si>
    <t>PARASOL METÁLICO</t>
  </si>
  <si>
    <t>PARASOL METÁLICO EN QUINTO NIVEL</t>
  </si>
  <si>
    <t>ESCALERAS METÁLICAS</t>
  </si>
  <si>
    <t>ESCALERA GATO</t>
  </si>
  <si>
    <t>ESCALERA GATO TIPO I</t>
  </si>
  <si>
    <t>ESCALERA GATO TIPO II</t>
  </si>
  <si>
    <t>ESCALERA GATO TIPO III</t>
  </si>
  <si>
    <t>ESCALERA GATO TIPO IV</t>
  </si>
  <si>
    <t>ESCALERA GATO TIPO V</t>
  </si>
  <si>
    <t>ESCALERAS MOVIL</t>
  </si>
  <si>
    <t>ESCALERA METÁLICA MOVIL TIPO I</t>
  </si>
  <si>
    <t>ESCALERA METÁLICA MOVIL TIPO II</t>
  </si>
  <si>
    <t>ESCALERA METÁLICA MOVIL TIPO III</t>
  </si>
  <si>
    <t>TAPAJUNTAS DE ACERO GALVANIZADO</t>
  </si>
  <si>
    <t>TAPAJUNTAS DE ACERO  GALVANIZADO  22 CM, E=1.5mm  PISO-PARED-TECHO</t>
  </si>
  <si>
    <t>TAPAJUNTAS DE ACERO GALVANIZADO 6CM-17CM, E=1.5MM MODELO "L" PISO-PARED-TECHO</t>
  </si>
  <si>
    <t>TAPAJUNTAS DE ACERO GALVANIZADO 6CM-27CM, E=1.5MM MODELO "L" PARED</t>
  </si>
  <si>
    <t>PLATAFORMA  METÁLICA  AZOTEA</t>
  </si>
  <si>
    <t>PLATAFORMA AZOTEA</t>
  </si>
  <si>
    <t>BARANDA DE ACERO GALVANIZADO</t>
  </si>
  <si>
    <t>CARPINTERIA EN ACERO INOXIDABLE</t>
  </si>
  <si>
    <t>TAPAJUNTAS EN ACERO INOXIDABLE</t>
  </si>
  <si>
    <t>TAPAJUNTAS DE ACERO INOXIDABLE DE 22 CM, E=2MM PISO</t>
  </si>
  <si>
    <t>TAPAJUNTAS DE ACERO INOXIDABLE DE 22 CM, E=1.5MM PARED Y TECHO</t>
  </si>
  <si>
    <t>TAPAJUNTAS DE ACERO INOXIDABLE 6CM-27CM, E=1.5MM MODELO "L" PARED</t>
  </si>
  <si>
    <t>TAPAJUNTAS ACERO INOX  22 CM RECTO FACHADA</t>
  </si>
  <si>
    <t>TAPAJUNTAS ACERO INOX 6CM-.17 CM MODELO L FACHADA</t>
  </si>
  <si>
    <t>BARANDAS EN ACERO INOXIDABLE</t>
  </si>
  <si>
    <t>BARANDA TIPO IV</t>
  </si>
  <si>
    <t>PASAMANO CENTRAL</t>
  </si>
  <si>
    <t>PLATINA DE INOX EN PISO ANCHO=0.10m, e=2.00 mm</t>
  </si>
  <si>
    <t>PUERTAS ESPECIALES</t>
  </si>
  <si>
    <t>PUERTA ESPECIAL CORTAFUEGO A=1.00 H=2.20</t>
  </si>
  <si>
    <t>PUERTA ESPECIAL CORTAFUEGO A =1.00 H=2.40M</t>
  </si>
  <si>
    <t>PUERTA ESPECIAL CORTAFUEGO A=0.95M H=2.40M</t>
  </si>
  <si>
    <t>CERRAJERÍA</t>
  </si>
  <si>
    <t>CERRADURAS</t>
  </si>
  <si>
    <t>CERRADURA DE EMBUTIR DE ACERO, CON MANIJA RECTA Y JALADOR EXTERIOR DE ACERO INOX PARA INTERIORES</t>
  </si>
  <si>
    <t>CERRADURA PARA INTERIORES DE MANIJA SEMIRECTA CON LLAVE CIEGA POR FUERA PARA SERVICIOS HIGIENICOS, VESTIDORES</t>
  </si>
  <si>
    <t>CERRADURA PARA EMBUTIR PUERTA DE MADERA DE AUDITORIO Y SALA DE USO MULTIPLE DE ONDA DERECHA</t>
  </si>
  <si>
    <t>CERRADURA PARA EMBUTIR PUERTA DE MADERA DE AUDITORIO Y SALA DE USO MULTIPLE DE ONDA IZQUIERDA</t>
  </si>
  <si>
    <t>BISAGRAS</t>
  </si>
  <si>
    <t>BISAGRA ALUMINIZADA PESADA 3 1/2'' x 3 1/2''</t>
  </si>
  <si>
    <t>BISAGRA ALUMINIZADA PESADA 4" X 3"</t>
  </si>
  <si>
    <t>ACCESORIOS DE PUERTAS</t>
  </si>
  <si>
    <t>BARRA ANTIPÁNICO</t>
  </si>
  <si>
    <t>BRAZO HIDRAÚLICO</t>
  </si>
  <si>
    <t>JALADOR DE ACERO INOXIDABLE</t>
  </si>
  <si>
    <t>JUNTAS DE DILATACIÓN</t>
  </si>
  <si>
    <t>JUNTA DE DILATACION EN ZÓCALO DE PORCELANATO</t>
  </si>
  <si>
    <t>PINTURA</t>
  </si>
  <si>
    <t>PINTURA LATEX</t>
  </si>
  <si>
    <t>PINTURA LÁTEX ACABADO MATE EN DERRAMES</t>
  </si>
  <si>
    <t>PINTURA EN PUERTAS</t>
  </si>
  <si>
    <t>PINTURA  ACABADO AL BARNIZ EN PUERTAS CONTRAPLACADAS</t>
  </si>
  <si>
    <t>PINTURA ACABADO AL BARNIZ DD EN PUERTAS DE TABLERO REBAJADO</t>
  </si>
  <si>
    <t>PINTURA ESMALTE</t>
  </si>
  <si>
    <t>PINTURA ESMALTE EN MUROS EXTERIORES</t>
  </si>
  <si>
    <t>PINTURA PARA PISO RAMPAS</t>
  </si>
  <si>
    <t>RAMPA JIRÓN LIMA</t>
  </si>
  <si>
    <t>PINTURA DE TRÁFICO</t>
  </si>
  <si>
    <t>PINTURA DE ALTO TRÁFICO</t>
  </si>
  <si>
    <t>VARIOS, LIMPIEZA Y JARDINES</t>
  </si>
  <si>
    <t>LIMPIEZA VIDRIOS Y MURO</t>
  </si>
  <si>
    <t>LIMPIEZA DE VIDRIOS</t>
  </si>
  <si>
    <t>LIMPIEZA DE MUROS DE FACHADA</t>
  </si>
  <si>
    <t>PLANTAS ORNAMENTALES</t>
  </si>
  <si>
    <t>LIRIO DE LA PAZ  O CUNA DE MOISES FRONDOSA  DE 2 A 3 TALLOS  H=0.50M</t>
  </si>
  <si>
    <t>PALMERA RAFIS FRONDOSA  DE 5 A 10 TALLOS H=1.00M</t>
  </si>
  <si>
    <t>BIFENBAQUIA BARIEGATA FRONDOSA 2 TALLOS H=0.70M</t>
  </si>
  <si>
    <t>HELECHO ANGORA FRONDOSA  20 CM DE RADIO H=50CM</t>
  </si>
  <si>
    <t>DURANTA LIMON H = 20 CM</t>
  </si>
  <si>
    <t>CROTOS BARIEGATA  H=0.70M</t>
  </si>
  <si>
    <t>CROTOS ROJO  H=0.70M</t>
  </si>
  <si>
    <t>CIPRES THUJA DE 1M</t>
  </si>
  <si>
    <t>PALMERA RUBELINA  2 A 3 TALLOS H: 1.00M</t>
  </si>
  <si>
    <t>FICUS REPES H=30 CM</t>
  </si>
  <si>
    <t>MATERIAL PREPARADO PARA PLANTAS ORNAMENTALES</t>
  </si>
  <si>
    <t>MATERIAL PARA PLANTAS ORNAMENTALES</t>
  </si>
  <si>
    <t>IMPLEMENTACIÓN DE AREAS VERDES Y PLANTAS ORNAMENTALES</t>
  </si>
  <si>
    <t>INSTALACION DE PLANTAS, LIMPIESA CON JABON POTASICO, FUMIGACION</t>
  </si>
  <si>
    <t>OBRAS DE ARTE Y OTROS</t>
  </si>
  <si>
    <t>OBRA DE ARTE</t>
  </si>
  <si>
    <t>LETRAS ACERO ACABDO COLOR NEGRO ALT=40.0 CM (32 CARACTERES)</t>
  </si>
  <si>
    <t>LETRAS CORPOREAS ALT.  20 CM (32 CARACTÉRES)</t>
  </si>
  <si>
    <t>ESCUDO DE ALTO RELIEVE DE FIBRA DE VIDRIO ACABADO EN COLORES DE1.50MX1.50M</t>
  </si>
  <si>
    <t>PINTURA MURAL A TODO COSTO DE 15.58MX1.50M</t>
  </si>
  <si>
    <t>Desague y ventilación</t>
  </si>
  <si>
    <t>Salida de desague y ventilación</t>
  </si>
  <si>
    <t>SALIDA VENTILACION DE PVC-SAL 2"</t>
  </si>
  <si>
    <t>Redes de distribución</t>
  </si>
  <si>
    <t>TUBERIA PVC CP P/VENTILACION Ø2"</t>
  </si>
  <si>
    <t>Accesorios de Redes</t>
  </si>
  <si>
    <t>SUMIDERO DE ACERO INOX. 4" PROVISIÓN Y COLOCACIÓN</t>
  </si>
  <si>
    <t>REGISTRO DE ACERO INOX. DE  4"</t>
  </si>
  <si>
    <t>SOMBRERO DE VENTILACION 4"</t>
  </si>
  <si>
    <t>TEE PVC-CP DE 2"</t>
  </si>
  <si>
    <t>TUBO DE PVC-UF C-10 DN 160mm x 6m</t>
  </si>
  <si>
    <t>CAJA DE REGISTRO CON TAPA</t>
  </si>
  <si>
    <t>ACCESORIOS</t>
  </si>
  <si>
    <t>COLGADOR TIPO GOTA DE 2"</t>
  </si>
  <si>
    <t>COLGADOR TIPO GOTA DE 4"</t>
  </si>
  <si>
    <t>ABRAZADERA TIPO OMEGA DE 2"</t>
  </si>
  <si>
    <t>ABRAZADERA TIPO OMEGA DE 4"</t>
  </si>
  <si>
    <t>REJILLAS DE ACERO</t>
  </si>
  <si>
    <t>REJILLAS DE DRENAJE</t>
  </si>
  <si>
    <t>SALIDA DE AGUA FRIA CON TUBERIA DE PVC DE 1/2"</t>
  </si>
  <si>
    <t>RED DE ALIMENTACION TUBERIA PVC CLASE 10 DE 1/2"</t>
  </si>
  <si>
    <t>RED DE ALIMENTACION TUBERIA PVC CLASE 10 DE 1 1/4"</t>
  </si>
  <si>
    <t>RED DE ALIMENTACION TUBERIA PVC CLASE 10 DE 1 1/2"</t>
  </si>
  <si>
    <t>CODO PVC-SAP CLASE 10 R 1/2" x 90°</t>
  </si>
  <si>
    <t>CODO PVC-SAP CLASE 10 R 1" x 90°</t>
  </si>
  <si>
    <t>CODO PVC-SAP CLASE 10 R 1 1/4" x 90°</t>
  </si>
  <si>
    <t>TEE PVC-SAP CLASE 10 R 1/2"</t>
  </si>
  <si>
    <t>TEE PVC-SAP CLASE 10 R 1"</t>
  </si>
  <si>
    <t>TEE PVC-SAP CLASE 10 R 1 1/4"</t>
  </si>
  <si>
    <t>REDUCCION PVC-SAP CLASE 10 R DE 3/4" A 1/2"</t>
  </si>
  <si>
    <t>REDUCCION PVC-SAP CLASE 10 R DE 1 1/2" A 1 1/4"</t>
  </si>
  <si>
    <t>REDUCCION PVC-SAP CLASE 10 R DE 1 1/2" A 1"</t>
  </si>
  <si>
    <t>REDUCCION PVC-SAP CLASE 10 R DE 1 1/4" A 1"</t>
  </si>
  <si>
    <t>REDUCCION PVC-SAP CLASE 10 R DE 1" A 1/2"</t>
  </si>
  <si>
    <t>REDUCCION PVC-SAP CLASE 10 R DE 1" A 3/4"</t>
  </si>
  <si>
    <t>VALVULA ESFERICA DE ACERO 1/2"</t>
  </si>
  <si>
    <t>VALVULA ESFERICA DE ACERO 3/4"</t>
  </si>
  <si>
    <t>VALVULA ESFERICA DE ACERO 1"</t>
  </si>
  <si>
    <t>VALVULA ESFERICA DE ACERO 1 1/4"</t>
  </si>
  <si>
    <t>COLGADOR TIPO GOTA DE 1/2"</t>
  </si>
  <si>
    <t>COLGADOR TIPO GOTA DE 3/4"</t>
  </si>
  <si>
    <t>COLGADOR TIPO GOTA DE 1"</t>
  </si>
  <si>
    <t>COLGADOR TIPO GOTA DE 1 1/4"</t>
  </si>
  <si>
    <t>COLGADOR TIPO GOTA DE 1 1/2"</t>
  </si>
  <si>
    <t>ABRAZADERA TIPO OMEGA DE 1/2"</t>
  </si>
  <si>
    <t>ABRAZADERA TIPO OMEGA DE 3/4"</t>
  </si>
  <si>
    <t>ABRAZADERA TIPO OMEGA DE 1"</t>
  </si>
  <si>
    <t>ABRAZADERA TIPO OMEGA DE 1 1/2"</t>
  </si>
  <si>
    <t>EQUIPOS Y OTRAS INSTALACIONES</t>
  </si>
  <si>
    <t xml:space="preserve">ELECTROBOMBA DE 3 HP (INCLUYE ACCESORIOS)_x000D_
</t>
  </si>
  <si>
    <t>TANQUE ELEVADO (INSTALACIÓN Y ACCESORIOS)</t>
  </si>
  <si>
    <t>SISTEMA CONTRA INCENDIO</t>
  </si>
  <si>
    <t>REDES DE ALIMENTACIÓN</t>
  </si>
  <si>
    <t>SUMINISTRO E INST. TUBERIA DE ACERO SCH-40 DE 1 1/2" (ADOSADA )</t>
  </si>
  <si>
    <t>SUMINISTRO E INST. TUBERIA DE ACERO SCH-40 DE 2" (ADOSADA )</t>
  </si>
  <si>
    <t>SUMINISTRO E INST. TUBERIA DE ACERO SCH-40 DE 3" (ADOSADA )</t>
  </si>
  <si>
    <t>CODO DE ACERO SCH-40 DE 2 "x90°</t>
  </si>
  <si>
    <t>REDUCCION CONCENTRICA ACERO SCH-40 DE 2 1/2" a 2"</t>
  </si>
  <si>
    <t>REDUCCION CONCENTRICA ACERO SCH-40 DE 4" a 3"</t>
  </si>
  <si>
    <t>REDUCCION CONCENTRICA ACERO SCH-40 DE 3" a 2 1/2"</t>
  </si>
  <si>
    <t>REDUCCION CONCENTRICA ACERO SCH-40 DE 3" a 2"</t>
  </si>
  <si>
    <t>REDUCCION CONCENTRICA ACERO SCH-40 DE 4" a 2"</t>
  </si>
  <si>
    <t>TEE REDUCCION  ACERO SCH-40 DE 2" a 1 1/2"</t>
  </si>
  <si>
    <t>TEE REDUCCION ACERO SCH-40 DE 2 1/2" a 1 1/2 "</t>
  </si>
  <si>
    <t>TEE REDUCCION  ACERO SCH-40 DE 1 1/2 " a 1"</t>
  </si>
  <si>
    <t>TEE REDUCCION ACERO SCH-40 DE 2  1/2 " a 2"</t>
  </si>
  <si>
    <t>TEE REDUCCION  ACERO SCH-40 DE 3 " a 1"</t>
  </si>
  <si>
    <t>03.03.02.12</t>
  </si>
  <si>
    <t>03.03.02.13</t>
  </si>
  <si>
    <t>COLGADOR TIPO GOTA DE 3"</t>
  </si>
  <si>
    <t>03.03.02.14</t>
  </si>
  <si>
    <t>COLGADOR TIPO GOTA DE 2 1/2"</t>
  </si>
  <si>
    <t>03.03.02.15</t>
  </si>
  <si>
    <t>03.03.02.16</t>
  </si>
  <si>
    <t>03.03.02.17</t>
  </si>
  <si>
    <t>SUMINISTRO E INSTALACIÓN DE GABINETES CONTRA INCENDIO</t>
  </si>
  <si>
    <t>GABINETE C. INC. 66X77X18 cm C/MANGUERA POLYESTER 1 1/2" x100 pies Y  PITON DE 1 1/2</t>
  </si>
  <si>
    <t>VALVULAS DE SISTEMA CONTRA INCENDIO</t>
  </si>
  <si>
    <t>VALVULA ANGULAR DE 1 1/2</t>
  </si>
  <si>
    <t>VALVULA DE DRENAJE Y PRUEBA CON VISOR 2"</t>
  </si>
  <si>
    <t>VALVULA MARIPOSA RANURADA 4"</t>
  </si>
  <si>
    <t>VALVULA BOLA1"</t>
  </si>
  <si>
    <t>VALVULA TRES VIAS 1/4"</t>
  </si>
  <si>
    <t>EQUIPOS</t>
  </si>
  <si>
    <t xml:space="preserve">ELECTROBOMBA CONTRA INCENDIO,  PSI 111.4 DE HDT 78.5 m Y POTENCIA APROXIMADA DE 20 HP INC. </t>
  </si>
  <si>
    <t>ELECTROBOMBA JOCKEY, 121.4 PSI DE HDT 105 m Y POTENCIA APROX. 2HP INC. TABLERO ELECTRICO</t>
  </si>
  <si>
    <t>CONEXIÓN SIAMESA</t>
  </si>
  <si>
    <t>CONEXIÓN SIAMESA DE PARED/ POSTE CON DOS SALIDAS (INCLUYE ACCESORIOS)</t>
  </si>
  <si>
    <t>UNION FLEXIBLE</t>
  </si>
  <si>
    <t>UNION FLEXIBLE TIPO METAFLEX</t>
  </si>
  <si>
    <t>INSTALACIÓN DE PARARRAYO</t>
  </si>
  <si>
    <t>PARARRAYO</t>
  </si>
  <si>
    <t>INSTALACION DE POZO A TIERRA</t>
  </si>
  <si>
    <t>EXCAVACION PARA POZO A TIERRA</t>
  </si>
  <si>
    <t xml:space="preserve"> TABLERO GENERAL TD EST 30</t>
  </si>
  <si>
    <t>TABLERO AUTOMATIZADO PARA ELECTROBOMBA</t>
  </si>
  <si>
    <t>TABLERO DE CONTROL HERMETICO DE 50HP</t>
  </si>
  <si>
    <t>TABLERO PVC 3 POLOS TIPO RIEL</t>
  </si>
  <si>
    <t>INTERRUPTOR TERMOMAGNETIGO CAJA MOLDEADA 3X600Amp</t>
  </si>
  <si>
    <t>INTERRUPTOR TERMOMAGNETIGO CAJA MOLDEADA 3X125Amp</t>
  </si>
  <si>
    <t>INTERRUPTOR TERMOMAGNETIGO caja moldeada 3X100 Amp</t>
  </si>
  <si>
    <t>INTERRUPTOR TERMOMAGNETIGO caja moldeada 3X60Amp</t>
  </si>
  <si>
    <t>CONTACTOR MODULAR MONOFASICO DE 2X25 Amp</t>
  </si>
  <si>
    <t>INTERRUPTOR HORARIO DIGITAL 30 Amp</t>
  </si>
  <si>
    <t>DUCTOS Y TUBERIAS</t>
  </si>
  <si>
    <t>TUBO CONDUIT ACERO GALVANIZADO EMT 3/4" X 3 mts</t>
  </si>
  <si>
    <t>CURVA CONDUIT EMT 3/4"</t>
  </si>
  <si>
    <t>UNION CONDUIT EMT 3/4"</t>
  </si>
  <si>
    <t>CONECTOR CONDUIT EMT 3/4”</t>
  </si>
  <si>
    <t>SALIDA PARA CENTRO DE LUZ</t>
  </si>
  <si>
    <t>SALIDA PARA INTERRUPTOR CONMUTABLE SIMPLE</t>
  </si>
  <si>
    <t>SALIDA PARA INTERRUPTOR CONMUTABLE DOBLE</t>
  </si>
  <si>
    <t>SENSOR DE MOVIMIENTO T220V</t>
  </si>
  <si>
    <t xml:space="preserve"> TENDIDO DE CABLE N2XOH DE 3x16mm²+10mm²</t>
  </si>
  <si>
    <t>TENDIDO DE CABLE N2XOH DE 3x10mm²</t>
  </si>
  <si>
    <t>CONDUCTOR LSOHX-90 4 mm2</t>
  </si>
  <si>
    <t>CONDUCTOR LSOHX-90 2.5mm2</t>
  </si>
  <si>
    <t>CONDUCTOR TIPO CPT 4 mm2</t>
  </si>
  <si>
    <t>ARTEFACTOS DE ILUMINACION</t>
  </si>
  <si>
    <t>LUMINARIA DE PARED TIPO BRAKET 70W</t>
  </si>
  <si>
    <t>SISTEMA DE RESPALDO</t>
  </si>
  <si>
    <t>GRUPO ELECTROGENO DE 100KVA</t>
  </si>
  <si>
    <t>SISTEMA DE RESPALDO INTERRUMPIDO DE 50KVA TIPO REDUNDANTE</t>
  </si>
  <si>
    <t>REJILLAS PARA CANALETA</t>
  </si>
  <si>
    <t>SISTEMA DE UTILIZACIÓN EN MEDIA TENSIÓN</t>
  </si>
  <si>
    <t>SUMINISTRO DE MATERIALES</t>
  </si>
  <si>
    <t>POSTES Y ACCESORIOS DE CONCRETO ARMADO</t>
  </si>
  <si>
    <t>AISLADORES</t>
  </si>
  <si>
    <t>CONDUCTORES</t>
  </si>
  <si>
    <t>FERRETERIA Y SUMINISTRO VARIOS</t>
  </si>
  <si>
    <t>RETENIDAS</t>
  </si>
  <si>
    <t>PUESTA A TIERRA</t>
  </si>
  <si>
    <t>TRANSFORMADORES</t>
  </si>
  <si>
    <t>CELDA MODULAR DE REMONTE (LLEGADA)  Y PROTECCION)</t>
  </si>
  <si>
    <t>ACCESORIOS DE INSTALACION SUBTERRANEA</t>
  </si>
  <si>
    <t>SECCIONADORES PARARRAYOS, TERMINACIONES Y ACCESORIOS</t>
  </si>
  <si>
    <t>MONTAJE ELECTROMECANICO DE REDES</t>
  </si>
  <si>
    <t>Izaje Poste de C.A.C. de 13/300 KG y  13/400. (Hoyos de 1.90x0.90x0.90m) Con camion grua, en cualquier tipo de terreno</t>
  </si>
  <si>
    <t>Instalación de Aislador Tipo PIN 56-3 Con Accesorios</t>
  </si>
  <si>
    <t>Instalación de Aislador Polimérico, Incl. Accesorios (RPP 25)</t>
  </si>
  <si>
    <t>INSTALACION DE CONDUCTORES</t>
  </si>
  <si>
    <t>CONDUCTOR AAAC -35 mm2</t>
  </si>
  <si>
    <t>CONDUCTOR NA2XS2AY-S QUE COMPRENDE: TENDIDO DEL CONDUCTOR, TEMPLADO, CALIBRACION DE LA FLECHA</t>
  </si>
  <si>
    <t>Conductor cable seco tipo N2XSY de 35 mm2, 12/20 kv (24 Kv)</t>
  </si>
  <si>
    <t>Conductor Tipo N2XOH de 3-1x120 mm2 +1x120mm2,  220V  ( Del TTA al TG)</t>
  </si>
  <si>
    <t>INSTALACION DE TERMINACION  UNIPOLAR TIPO  AUTOCONTRAIBLE USO INTERIOR Y EXTERIOR</t>
  </si>
  <si>
    <t>Conductor de cobre desnudo  temple blando de 25 mm2</t>
  </si>
  <si>
    <t>MONTAJE DE ARMADOS</t>
  </si>
  <si>
    <t>ARMADO DE DERVACION TRIFASICO DS-3</t>
  </si>
  <si>
    <t>ARMADO ATPB6+SECC</t>
  </si>
  <si>
    <t>ARMADO ATPB1</t>
  </si>
  <si>
    <t>ARMADO ATPB3 Y ATPB6</t>
  </si>
  <si>
    <t>ARMADO ATPB5+TRAFORMIX</t>
  </si>
  <si>
    <t>INSTALACIÓN DE RETENIDAS</t>
  </si>
  <si>
    <t>INSTALACIÓN DE PUESTA A TIERRA</t>
  </si>
  <si>
    <t>Puesta a Tierra en Terreno Normal (PAT-1)</t>
  </si>
  <si>
    <t>MONTAJE DE TRANSFORMADOR TIPO SECO Y TRAFOMIX</t>
  </si>
  <si>
    <t>Transformador trifasico tipo seco de 160 KVA,  conexionado, pruebas y otros en caseta</t>
  </si>
  <si>
    <t>TRAFOMIX - TRANSFORMADOR DE MEDIDA MIXTO DE TENSIÓN 230 VAC DE 30 VA, Y CORRIENTE 15 VA ARMADOS, CONEXIONADO ACABADOS Y PRUEBAS</t>
  </si>
  <si>
    <t>MONTAJE DE CELDA DE REMONTE - PROTECCION   DENTRO DE LA CASETA, CONEXIONADO Y PRUEBAS</t>
  </si>
  <si>
    <t>Celda de llegada, seccionamiento y Proteccion</t>
  </si>
  <si>
    <t>MONTAJE DE ACCESORIOS DE INSTALACION SUBTERRANEA</t>
  </si>
  <si>
    <t>Instalación de ductos de concreto y/o tubos de PVC SAP de 100mm , ladrillos y cinta señalizadora</t>
  </si>
  <si>
    <t>Apertura de zanja de 1.0 x1.0 (Ancho x altura ) en terreno normal, incluye instalacion de materiales de proteccion(arena y tierra cernida)</t>
  </si>
  <si>
    <t>MONTAJE DE SECCIONADORES Y PARARRAYOS</t>
  </si>
  <si>
    <t>Instalación al Poste del Seccionador CUT-OUT, 27 KV, 110 BIL.con Fusibles Tipo Chicote incluye el Conexionado a la Red, el Suministro de Cinta Autofundente y Vinilica(arena y tierra cernida)</t>
  </si>
  <si>
    <t>Instalación de Pararrayos 15  KV.</t>
  </si>
  <si>
    <t>CONSTRUCCION DE BUZONES DE CONCRETO</t>
  </si>
  <si>
    <t>BUZON DE CONCRETO DE 1x1x1.20 m TIPO 1 (BZ1)</t>
  </si>
  <si>
    <t>EXCAVACION MANUAL DE ZANJAS EN TERRENO NORMAL</t>
  </si>
  <si>
    <t>REFINE Y NIVELACION DE ZANJAS EN TERRENO NORMAL</t>
  </si>
  <si>
    <t>RELLENO Y COMPACTACION DE ZANJAS MANUAL</t>
  </si>
  <si>
    <t>SOLADOS CONCRETO f'c=100 kg/cm2 h=2"</t>
  </si>
  <si>
    <t>ENCOFRADO Y DESENCOFRADO NORMAL</t>
  </si>
  <si>
    <t>ACERO fy=4200 kg/cm2 GRADO 60 en COLUMNAS</t>
  </si>
  <si>
    <t>CONCRETO  f'c=210 kg/cm2</t>
  </si>
  <si>
    <t>TARRAJEO MUROS INTERIORES</t>
  </si>
  <si>
    <t>PINTURA EN EXTERIORES</t>
  </si>
  <si>
    <t>TAPAS DE CONCRETO PARA  INSPECCION  0.7X0.7X0.07m.</t>
  </si>
  <si>
    <t>SUMIDERO EN BUZONES</t>
  </si>
  <si>
    <t>VARILLA DE FIERRO CON RECUBRIMIENTO DE TUBO DE PVC DE 3/4"</t>
  </si>
  <si>
    <t>COLOCACION DE ESPUMA EXPANDIBLE PARA SELLADO DE DUCTOS EN BUZONES.</t>
  </si>
  <si>
    <t xml:space="preserve"> BUZON DE CONCRETO DE 1x1x2m TIPO 2 (BZ2)</t>
  </si>
  <si>
    <t xml:space="preserve"> COLOCACION DE ESPUMA EXPANDIBLE PARA SELLADO DE DUCTOS EN BUZONES.</t>
  </si>
  <si>
    <t xml:space="preserve"> ESCALERA METALICA TIPO GATO DE FIERRO CORRUGADO DE 3/4" Ø, H= 1.50  m</t>
  </si>
  <si>
    <t>Trazo, Replanteo Ubicación de estructuras, Inventario de materiales a desmontar e Ingenieria de detalle para su ejecucion de obra y debe ser aprobado por el supervisor, la entidad y el visto de la concesionaria de electricidad</t>
  </si>
  <si>
    <t>Cartel de Obra de (3.6 x 7.2) m</t>
  </si>
  <si>
    <t>Elaboración, Gestión de Aprobación y Ejecución del Plan de Monitoreo Arqueologico de obras de proyecto bajo la supervision de INC</t>
  </si>
  <si>
    <t>GESTION Y EJECUCION DEL EXPEDIENTE DE DECLARACION DE IMPACTO AMBIENTAL (DIA) Y PLAN MONITOREO AMBIENTAL</t>
  </si>
  <si>
    <t>EJECUCION Y MONITOREO DEL PLAN DE VIGILANCIA, Y PROTOCOLOS PARA    PREVENCIÓN Y CONTROL DE COVID-19 PARA LA OBRA</t>
  </si>
  <si>
    <t>Gestión  y Ejecución del Plan de Gestion de Riesgos de conformidad a la DIRECTIVA ACTUALCOVID-19 PARA LA OBRA</t>
  </si>
  <si>
    <t>TRABAJOS COMPLEMENTARIOS</t>
  </si>
  <si>
    <t>Revision y pruebas electricas , con todos los instrumentos de medicion y otros según sea el caso</t>
  </si>
  <si>
    <t>Gestion de Cortes de Servicio Electrico para conexionado y para Energizacion del Sistema de Utilizacion, incluye el pago por derecho a corte de Energia</t>
  </si>
  <si>
    <t>Señalizacion de estructuras, pintado de  simbologias, Codigos, Toma de imagenes de cada uno de ellos, (numeración otorgada por ELSE, de acuerdo al instructivo del SID)</t>
  </si>
  <si>
    <t>Expediente Técnico Finales Conforme a Obra (1 Original + 3 Copias) de Redes Primarias, Incluye la Presentación Digitalizada del Expediente en un CD</t>
  </si>
  <si>
    <t>Tramite de Instalación de medidor, como cliente Mayor a costos regulados por OSINERGMIN, incluye Medidor multifuncion, instalacion de caja metalica para alojamiento del medidor, cables de interconexion tablero de traformix- medidor mul</t>
  </si>
  <si>
    <t>DESMONTAJE DE REDES PRIMARIAS Y SECUNDARIAS</t>
  </si>
  <si>
    <t>RETIRO DE POSTE DE C.A.C de 12 m</t>
  </si>
  <si>
    <t xml:space="preserve"> RETIRO DE POSTE DE C.A.C de 9 m</t>
  </si>
  <si>
    <t>DESMONTAJE DE LOS CONDUCTORES DE ALUMINIO Y/O COBRE HASTA  70MM2</t>
  </si>
  <si>
    <t>DESMONTAJE DE RETENIDA VERTICAL Y OBLICUA EXTERIOR</t>
  </si>
  <si>
    <t xml:space="preserve"> DESMONTAJE DE ARMADOS DE M.T EXISTENTES INCLUYE AISLADOR TIPO PIN, RPP 15 KV Y ACCESORIOS</t>
  </si>
  <si>
    <t xml:space="preserve"> DESMONTAJE Y MONTAJE DE ARMADOS EN REDES SECUNDARIAS EXISTENTES A POSTE NUEVO (C.A.C 13m)</t>
  </si>
  <si>
    <t>DESMONTAJE   MONTAJE DE ARMADOS DE RED DIGITAL. COMUNICACIONES, INTERNET, CABLE DE POSTE EXISTENTE A  POSTE NUEVO (C.A.C 13m)</t>
  </si>
  <si>
    <t>DESMONTAJE Y MONTAJE DE PASTORALES Y EQUIPOS DE ALUMBRADO PÚBLICO Y CONEXIONADO</t>
  </si>
  <si>
    <t xml:space="preserve"> ROTURA Y RESANE DE VEREDA  DE CONCRETO PARA APERTURA DE HOYOS PARA IZAJE  DE POSTE Y/O INSTALACION DE PUESTA A TIERRA, RETENIDA</t>
  </si>
  <si>
    <t xml:space="preserve"> ROTURA Y RESANE DE VEREDA DE ADOQUINES DE CONCRETO  DE 10x20x6 cm; PARA APERTURA DE HOYOS PARA IZAJE  DE POSTE, INSTALACIÓN DE PUESTA A TIERRA Y/O INSTALACIÓN DE  RETENIDAS</t>
  </si>
  <si>
    <t>SISTEMA DE TELEFONIA</t>
  </si>
  <si>
    <t>PATCH CORD CAT 6A LSZH, 7 PIES</t>
  </si>
  <si>
    <t>SISTEMA DE SONIDO AMBIENTAL Y PERIFONEO</t>
  </si>
  <si>
    <t>CABLE F/UTP CAT 6A PARA SONIDO AMBIENTAL Y PERIFONEO</t>
  </si>
  <si>
    <t>ADAPTADOR DE AUDIO ESTÉREO EN RED IP</t>
  </si>
  <si>
    <t>FUENTE DE ALIMENTACION DE EMERGENCIA</t>
  </si>
  <si>
    <t>MODULO DE FIN DE LINEA</t>
  </si>
  <si>
    <t>CABLE F/UTP CAT 6A PARA CONTROL Y ACCESO</t>
  </si>
  <si>
    <t>SERVICIO INSTALACIÓN, CONFIGURACION, PUESTA EN MARCHA Y CAPACITACIÓN DEL SERVIDOR DE APLICACIONES</t>
  </si>
  <si>
    <t>SWITCH CORE 24 PUERTOS DE FIBRA 10GBPS</t>
  </si>
  <si>
    <t>PUNTO DE ACCESO INALAMBRICO (AP)</t>
  </si>
  <si>
    <t>SWITCH BORDE 24 PUERTOS POE+</t>
  </si>
  <si>
    <t>SWITCH BORDE 48 PUERTOS</t>
  </si>
  <si>
    <t>ACABADOS DE LOS SERVICIOS DE TELECOMUNICACIONES</t>
  </si>
  <si>
    <t>TUBO PVC-SAP 50 mm Ø (2")</t>
  </si>
  <si>
    <t>SOFTWARE DE MONITOREO DE RED</t>
  </si>
  <si>
    <t>CABLE F/UTP CAT 6A PARA CABLEADO ESTRUCTURA Y CENTRO DE DATOS</t>
  </si>
  <si>
    <t>GABINETE PRINCIPAL DE COMUNICACIONES (DATA CENTER)</t>
  </si>
  <si>
    <t>GABINETE DE COMUNICACIONES</t>
  </si>
  <si>
    <t>PATCH CORD CAT 6A LSZH, 14 PIES</t>
  </si>
  <si>
    <t>ETIQUETA IDENTIFICADORA PARA PUNTO DE RED</t>
  </si>
  <si>
    <t>FACEPLATE ICONEABLE DE DOS SALIDAS</t>
  </si>
  <si>
    <t>SISTEMA DE VIDEO VIGILANCIA</t>
  </si>
  <si>
    <t xml:space="preserve">CAMARA IP TIPO TORRETA PARA INTERIORES
</t>
  </si>
  <si>
    <t xml:space="preserve">CAMARA PTZ IP DOMO PARA EXTERIORES
</t>
  </si>
  <si>
    <t xml:space="preserve">GRABADOR NVR 64CH 
</t>
  </si>
  <si>
    <t xml:space="preserve">ARREGLO DE DISCOS ESATA  16 HDD  MÁX. 8TB X DISCO  1 MINI SAS
</t>
  </si>
  <si>
    <t>ESTACION DE TRABAJO PARA MONITOREO</t>
  </si>
  <si>
    <t xml:space="preserve">MONITOR LCD FHD DE 55"
</t>
  </si>
  <si>
    <t>JOYSTICK IP - PARA CAMARAS PTZ</t>
  </si>
  <si>
    <t>TARJETA DECODIFICADORA H.265 DE 6 CANALES</t>
  </si>
  <si>
    <t xml:space="preserve">CABLE HDMI DE 5 METROS 4K </t>
  </si>
  <si>
    <t>RACK PARA MONITOR</t>
  </si>
  <si>
    <t>SISTEMA DE ENERGÍA ELÉCTRICA</t>
  </si>
  <si>
    <t xml:space="preserve">TABLERO GENERAL ADOSADO (ARMADO)
</t>
  </si>
  <si>
    <t xml:space="preserve">CABLE ELECTRICO DE 3x4mm2 
</t>
  </si>
  <si>
    <t xml:space="preserve">CABLE LSOHX-90 DE 6 mm2
</t>
  </si>
  <si>
    <t>CABLE N2XOH 3-1X16 mm2</t>
  </si>
  <si>
    <t>CONDUCTOR DESNUDO DE COBRE DE 25 mm2</t>
  </si>
  <si>
    <t xml:space="preserve">CONDUCTOR DESNUDO DE COBRE DE 10 mm2
</t>
  </si>
  <si>
    <t>INTERRUPTOR TERMOMAGNETICO DE CAJA MOLDEADA DE 3X63 Amp
DE PROGRAMACION Y CONTROL</t>
  </si>
  <si>
    <t>INTERRUPTOR TERMOMAGNETICO DE CAJA MOLDEADA DE 2X50 Amp
DE PROGRAMACION Y CONTROL</t>
  </si>
  <si>
    <t xml:space="preserve">ENCHUFE/TOMACORRIENTE INDUSTRIAL
</t>
  </si>
  <si>
    <t>TERMINAL TIPO PIN PARA CABLE DE 4 mm2</t>
  </si>
  <si>
    <t>TERMINAL TIPO OJAL PARA CABLE DE 4 mm2</t>
  </si>
  <si>
    <t>TERMINAL TIPO PIN PARA CABLE DE 6 mm2</t>
  </si>
  <si>
    <t xml:space="preserve">TERMINAL TIPO OJAL PARA CABLE DE 16 mm2
</t>
  </si>
  <si>
    <t>TERMINAL TIPO OJAL PARA CABLE DE 25 mm2</t>
  </si>
  <si>
    <t xml:space="preserve">INTERRUPTOR DIFERENCIAL DE 25A
</t>
  </si>
  <si>
    <t>SISTEMA DE PROTECCION ANTIESTATICA</t>
  </si>
  <si>
    <t>PINTURA EPOXICA</t>
  </si>
  <si>
    <t>SERVICIO DE PRUEBAS DE RED DE DATOS</t>
  </si>
  <si>
    <t>SERVICIO DE INTERNET 500 Mbps</t>
  </si>
  <si>
    <t>MAYORES METRADOS DEL ADICIONAL N°4</t>
  </si>
  <si>
    <t xml:space="preserve"> (RESOLUCION DE GERENCIA MUNICIPAL N° 303 -2023-GM-MPA)</t>
  </si>
  <si>
    <t xml:space="preserve"> RESOLUCION DE GERENCIA MUNICIPAL N° 303 -2023-GM-MPA</t>
  </si>
  <si>
    <t>ING. RICHARD ERWIN MONTALVO ALVARO</t>
  </si>
  <si>
    <t>AMPLIACIÓN DE PLAZO N°2</t>
  </si>
  <si>
    <t>dias</t>
  </si>
  <si>
    <t>309-2023-GM.MPA</t>
  </si>
  <si>
    <t>Fecha de inicio</t>
  </si>
  <si>
    <t>dias de ampliación</t>
  </si>
  <si>
    <t xml:space="preserve">FECHA DE CULMINACION </t>
  </si>
  <si>
    <t>PLAZO TOTAL APROBADO EXPEDIENTE (DIAS)</t>
  </si>
  <si>
    <t>PLAZO DE EJECUCION DE REAL (DIAS)</t>
  </si>
  <si>
    <t xml:space="preserve"> Ampliación de plazo N°02 </t>
  </si>
  <si>
    <t xml:space="preserve">PLAZO TOTAL APROBADO </t>
  </si>
  <si>
    <t xml:space="preserve"> Ampliación de plazo N°01</t>
  </si>
  <si>
    <t>(TOMO ) : XVI</t>
  </si>
  <si>
    <t>CORRESPONDIENTE AL MES DE NOVIEMBRE DEL 2023</t>
  </si>
  <si>
    <t>CORRESPONDIENTE AL MES DE NOVIEMBRE  DEL 2023</t>
  </si>
  <si>
    <t>AVANCE DE OBRA VALORIZADO N° 22</t>
  </si>
  <si>
    <t>SUB GERENCIA DE EJECUCION DE INVERSIONES</t>
  </si>
  <si>
    <t>h</t>
  </si>
  <si>
    <t>GASTOS SUPERVISION</t>
  </si>
  <si>
    <t>RESUMEN ACTIVIDADES PRINCIPALES DE EXPEDIENTE TECNICO</t>
  </si>
  <si>
    <t>(TOMO ) : XVII</t>
  </si>
  <si>
    <t>CORRESPONDIENTE AL MES DE DICIEMBRE DEL 2023</t>
  </si>
  <si>
    <t>707 DIAS CALENDARIOS</t>
  </si>
  <si>
    <t>DICIEMBRE DEL 2023</t>
  </si>
  <si>
    <t>23</t>
  </si>
  <si>
    <t>RESUMEN DE AVANCE DE OBRA VALORIZADO N° 23</t>
  </si>
  <si>
    <t>INFORMACION MENSUAL/FINAL DE OBRA N° 23</t>
  </si>
  <si>
    <t>INFORME MENSUAL N°23</t>
  </si>
  <si>
    <t>AVANCE   FINANCIERO MES DE DICIEMBRE</t>
  </si>
  <si>
    <t>|</t>
  </si>
  <si>
    <t>RESUMEN ACTIVIDADES PRINCIPALES ADICIONAL Nº1</t>
  </si>
  <si>
    <t>Descripcion</t>
  </si>
  <si>
    <t>% Avance</t>
  </si>
  <si>
    <t>RESUMEN ACTIVIDADES PRINCIPALES ADICIONAL Nº4</t>
  </si>
  <si>
    <r>
      <rPr>
        <b/>
        <sz val="10"/>
        <rFont val="Calibri"/>
        <family val="2"/>
        <scheme val="minor"/>
      </rPr>
      <t>Observaciones  y/o comentarios:</t>
    </r>
    <r>
      <rPr>
        <sz val="10"/>
        <rFont val="Calibri"/>
        <family val="2"/>
        <scheme val="minor"/>
      </rPr>
      <t xml:space="preserve"> En este mes se ejecutaron las partidas  del adicional n°1 se continua con la instalacion de vidrios.. También partidas de la modificación presupuestal n°4, tales como instalación de muebles de melamine, intalacion de puertas contrafuego, parasol, adicional de barandas de seguridad para las esacleras de ingreso y otros </t>
    </r>
  </si>
  <si>
    <r>
      <rPr>
        <b/>
        <sz val="10"/>
        <rFont val="Calibri"/>
        <family val="2"/>
        <scheme val="minor"/>
      </rPr>
      <t xml:space="preserve">Observaciones  y/o comentarios: </t>
    </r>
    <r>
      <rPr>
        <sz val="10"/>
        <rFont val="Calibri"/>
        <family val="2"/>
        <scheme val="minor"/>
      </rPr>
      <t>Este mes de diciembre se sigue con los trabajos de las actividades programadas siendo el acontecimiemto más importante la continuacion de los trabajos de instalacion de vidrios. El personal tecnico conjunto con el personal del servicio de instalacion de vidrios realizaron la verificación de los metrados en campo. Tambien, mencionar  que se ejecutaron servicios tales como intalacion de puertas contra fuego, intalacion de parasol y intalacion de planchas colaborantespara escenarios, por otro lado se culmino con  el desencofrado de la fachada posterior y la reparacion del techo del auditorio guidini.</t>
    </r>
  </si>
  <si>
    <t>MES DE DICIEMBRE</t>
  </si>
  <si>
    <t>MES DE DICIEMBRE  DEL 2023</t>
  </si>
  <si>
    <t>GASTO- PERSONAL</t>
  </si>
  <si>
    <t>CARPINTERIA METALICA</t>
  </si>
  <si>
    <t xml:space="preserve">MAYORES METRADOS </t>
  </si>
  <si>
    <t>Mes de: DICIEMBRE</t>
  </si>
  <si>
    <t>DEL 01 AL 31 DE DICIEMBRE DEL 2023</t>
  </si>
  <si>
    <t>CURVA "S" - 23va VALORIZACION</t>
  </si>
  <si>
    <t>falta</t>
  </si>
  <si>
    <t>en campo puesto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</si>
</sst>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8" formatCode="&quot;S/&quot;\ #,##0.00;[Red]\-&quot;S/&quot;\ #,##0.00"/>
    <numFmt numFmtId="44" formatCode="_-&quot;S/&quot;\ * #,##0.00_-;\-&quot;S/&quot;\ * #,##0.00_-;_-&quot;S/&quot;\ * &quot;-&quot;??_-;_-@_-"/>
    <numFmt numFmtId="43" formatCode="_-* #,##0.00_-;\-* #,##0.00_-;_-* &quot;-&quot;??_-;_-@_-"/>
    <numFmt numFmtId="164" formatCode="_ * #,##0_ ;_ * \-#,##0_ ;_ * &quot;-&quot;_ ;_ @_ "/>
    <numFmt numFmtId="165" formatCode="_ &quot;S/.&quot;\ * #,##0.00_ ;_ &quot;S/.&quot;\ * \-#,##0.00_ ;_ &quot;S/.&quot;\ * &quot;-&quot;??_ ;_ @_ "/>
    <numFmt numFmtId="166" formatCode="_ * #,##0.00_ ;_ * \-#,##0.00_ ;_ * &quot;-&quot;??_ ;_ @_ "/>
    <numFmt numFmtId="167" formatCode="_-* #,##0.00\ _$_-;\-* #,##0.00\ _$_-;_-* &quot;-&quot;??\ _$_-;_-@_-"/>
    <numFmt numFmtId="168" formatCode="_([$€-2]\ * #,##0.00_);_([$€-2]\ * \(#,##0.00\);_([$€-2]\ * &quot;-&quot;??_)"/>
    <numFmt numFmtId="169" formatCode="&quot;S/.&quot;\ #,##0.00"/>
    <numFmt numFmtId="170" formatCode="#,##0.0"/>
    <numFmt numFmtId="171" formatCode="_(* #,##0.00_);_(* \(#,##0.00\);_(* &quot;-&quot;??_);_(@_)"/>
    <numFmt numFmtId="172" formatCode="_-[$€]* #,##0.00_-;\-[$€]* #,##0.00_-;_-[$€]* &quot;-&quot;??_-;_-@_-"/>
    <numFmt numFmtId="173" formatCode="[$-280A]ddd\,\ dd&quot; de &quot;mmm&quot; de &quot;yy"/>
    <numFmt numFmtId="174" formatCode="&quot;$&quot;#.00"/>
    <numFmt numFmtId="175" formatCode="#.00"/>
    <numFmt numFmtId="176" formatCode="\$#.00"/>
    <numFmt numFmtId="177" formatCode="%#.00"/>
    <numFmt numFmtId="178" formatCode="_(* #,##0_);_(* \(#,##0\);_(* &quot;-&quot;??_);_(@_)"/>
    <numFmt numFmtId="179" formatCode="_-* #,##0.00\ _€_-;\-* #,##0.00\ _€_-;_-* &quot;-&quot;??\ _€_-;_-@_-"/>
    <numFmt numFmtId="180" formatCode="#,##0.00;[Red]#,##0.00"/>
    <numFmt numFmtId="181" formatCode="#,##0.000"/>
    <numFmt numFmtId="182" formatCode="#,##0.00_);\-#,##0.00"/>
    <numFmt numFmtId="183" formatCode="0.000%"/>
    <numFmt numFmtId="184" formatCode="_ * #,##0_ ;_ * \-#,##0_ ;_ * &quot;-&quot;??_ ;_ @_ "/>
    <numFmt numFmtId="185" formatCode="_ [$S/.-280A]\ * #,##0.00_ ;_ [$S/.-280A]\ * \-#,##0.00_ ;_ [$S/.-280A]\ * &quot;-&quot;??_ ;_ @_ "/>
    <numFmt numFmtId="186" formatCode="_-[$S/-280A]* #,##0.00_-;\-[$S/-280A]* #,##0.00_-;_-[$S/-280A]* &quot;-&quot;??_-;_-@_-"/>
    <numFmt numFmtId="187" formatCode="&quot;S/.&quot;#,##0.00"/>
    <numFmt numFmtId="188" formatCode="&quot;S/&quot;\ #,##0.00"/>
    <numFmt numFmtId="189" formatCode="_(* #,##0.000_);_(* \(#,##0.000\);_(* &quot;-&quot;??_);_(@_)"/>
    <numFmt numFmtId="190" formatCode="&quot;S/&quot;#,##0.00"/>
    <numFmt numFmtId="191" formatCode="###,###,###,##0.00"/>
    <numFmt numFmtId="192" formatCode="0.0%"/>
    <numFmt numFmtId="193" formatCode="0.0"/>
    <numFmt numFmtId="194" formatCode="_(&quot;S/&quot;* #,##0.00_);_(&quot;S/&quot;* \(#,##0.00\);_(&quot;S/&quot;* &quot;-&quot;??_);_(@_)"/>
    <numFmt numFmtId="195" formatCode="#,##0.00000000"/>
    <numFmt numFmtId="196" formatCode="#,##0.0000000"/>
  </numFmts>
  <fonts count="273">
    <font>
      <sz val="11"/>
      <color theme="1"/>
      <name val="Calibri"/>
      <family val="2"/>
      <scheme val="minor"/>
    </font>
    <font>
      <sz val="11"/>
      <color theme="1"/>
      <name val="Calibri"/>
      <family val="2"/>
      <scheme val="minor"/>
    </font>
    <font>
      <sz val="10"/>
      <name val="Arial"/>
      <family val="2"/>
    </font>
    <font>
      <b/>
      <sz val="14"/>
      <name val="Arial Narrow"/>
      <family val="2"/>
    </font>
    <font>
      <sz val="14"/>
      <name val="Arial Narrow"/>
      <family val="2"/>
    </font>
    <font>
      <b/>
      <sz val="10"/>
      <name val="Arial Narrow"/>
      <family val="2"/>
    </font>
    <font>
      <b/>
      <sz val="12"/>
      <name val="Arial Narrow"/>
      <family val="2"/>
    </font>
    <font>
      <sz val="10"/>
      <name val="Arial Narrow"/>
      <family val="2"/>
    </font>
    <font>
      <sz val="10"/>
      <name val="Arial"/>
      <family val="2"/>
    </font>
    <font>
      <b/>
      <sz val="14"/>
      <name val="Calibri"/>
      <family val="2"/>
      <scheme val="minor"/>
    </font>
    <font>
      <sz val="10"/>
      <name val="Calibri"/>
      <family val="2"/>
      <scheme val="minor"/>
    </font>
    <font>
      <b/>
      <sz val="18"/>
      <name val="Calibri"/>
      <family val="2"/>
      <scheme val="minor"/>
    </font>
    <font>
      <b/>
      <sz val="8"/>
      <name val="Calibri"/>
      <family val="2"/>
      <scheme val="minor"/>
    </font>
    <font>
      <b/>
      <sz val="10"/>
      <name val="Calibri"/>
      <family val="2"/>
      <scheme val="minor"/>
    </font>
    <font>
      <sz val="10"/>
      <name val="Arial"/>
      <family val="2"/>
    </font>
    <font>
      <b/>
      <sz val="11"/>
      <color theme="1"/>
      <name val="Calibri"/>
      <family val="2"/>
      <scheme val="minor"/>
    </font>
    <font>
      <b/>
      <sz val="7"/>
      <name val="Calibri"/>
      <family val="2"/>
      <scheme val="minor"/>
    </font>
    <font>
      <b/>
      <sz val="11"/>
      <name val="Calibri"/>
      <family val="2"/>
      <scheme val="minor"/>
    </font>
    <font>
      <sz val="14"/>
      <name val="Helv"/>
    </font>
    <font>
      <sz val="1"/>
      <color indexed="8"/>
      <name val="Courier"/>
      <family val="3"/>
    </font>
    <font>
      <b/>
      <sz val="1"/>
      <color indexed="8"/>
      <name val="Courier"/>
      <family val="3"/>
    </font>
    <font>
      <i/>
      <sz val="1"/>
      <color indexed="8"/>
      <name val="Courier"/>
      <family val="3"/>
    </font>
    <font>
      <sz val="8"/>
      <name val="Arial"/>
      <family val="2"/>
    </font>
    <font>
      <b/>
      <sz val="8"/>
      <name val="Arial"/>
      <family val="2"/>
    </font>
    <font>
      <sz val="11"/>
      <name val="Trebuchet MS"/>
      <family val="2"/>
    </font>
    <font>
      <b/>
      <sz val="9"/>
      <name val="Arial"/>
      <family val="2"/>
    </font>
    <font>
      <sz val="9"/>
      <name val="Arial"/>
      <family val="2"/>
    </font>
    <font>
      <b/>
      <sz val="10"/>
      <name val="Arial"/>
      <family val="2"/>
    </font>
    <font>
      <b/>
      <sz val="12"/>
      <name val="Arial"/>
      <family val="2"/>
    </font>
    <font>
      <b/>
      <sz val="7"/>
      <name val="Arial"/>
      <family val="2"/>
    </font>
    <font>
      <b/>
      <u/>
      <sz val="10"/>
      <name val="Arial"/>
      <family val="2"/>
    </font>
    <font>
      <sz val="7"/>
      <name val="Arial"/>
      <family val="2"/>
    </font>
    <font>
      <b/>
      <sz val="10"/>
      <color indexed="8"/>
      <name val="Arial Narrow"/>
      <family val="2"/>
    </font>
    <font>
      <sz val="10"/>
      <color indexed="8"/>
      <name val="Arial Narrow"/>
      <family val="2"/>
    </font>
    <font>
      <sz val="9"/>
      <name val="Arial Narrow"/>
      <family val="2"/>
    </font>
    <font>
      <b/>
      <sz val="9"/>
      <name val="Arial Narrow"/>
      <family val="2"/>
    </font>
    <font>
      <b/>
      <sz val="11"/>
      <name val="Arial"/>
      <family val="2"/>
    </font>
    <font>
      <sz val="8"/>
      <name val="Arial Narrow"/>
      <family val="2"/>
    </font>
    <font>
      <sz val="12"/>
      <name val="Century Gothic"/>
      <family val="2"/>
    </font>
    <font>
      <b/>
      <u/>
      <sz val="16"/>
      <name val="Arial"/>
      <family val="2"/>
    </font>
    <font>
      <sz val="10"/>
      <color indexed="8"/>
      <name val="MS Sans Serif"/>
      <family val="2"/>
    </font>
    <font>
      <sz val="11"/>
      <color indexed="8"/>
      <name val="Calibri"/>
      <family val="2"/>
    </font>
    <font>
      <b/>
      <sz val="9"/>
      <color indexed="10"/>
      <name val="Arial"/>
      <family val="2"/>
    </font>
    <font>
      <sz val="12"/>
      <color indexed="8"/>
      <name val="Arial Narrow"/>
      <family val="2"/>
    </font>
    <font>
      <sz val="10"/>
      <color theme="1"/>
      <name val="Calibri"/>
      <family val="2"/>
      <scheme val="minor"/>
    </font>
    <font>
      <sz val="11"/>
      <name val="Calibri"/>
      <family val="2"/>
      <scheme val="minor"/>
    </font>
    <font>
      <sz val="12"/>
      <name val="Arial"/>
      <family val="2"/>
    </font>
    <font>
      <sz val="11"/>
      <color theme="1"/>
      <name val="Arial"/>
      <family val="2"/>
    </font>
    <font>
      <sz val="11"/>
      <name val="Arial"/>
      <family val="2"/>
    </font>
    <font>
      <b/>
      <i/>
      <sz val="8"/>
      <name val="Arial"/>
      <family val="2"/>
    </font>
    <font>
      <sz val="7"/>
      <name val="Times New Roman"/>
      <family val="1"/>
    </font>
    <font>
      <b/>
      <u/>
      <sz val="11"/>
      <name val="Arial"/>
      <family val="2"/>
    </font>
    <font>
      <b/>
      <sz val="11"/>
      <color theme="1"/>
      <name val="Arial"/>
      <family val="2"/>
    </font>
    <font>
      <sz val="12"/>
      <color theme="1"/>
      <name val="Arial Narrow"/>
      <family val="2"/>
    </font>
    <font>
      <sz val="11"/>
      <name val="Arial Narrow"/>
      <family val="2"/>
    </font>
    <font>
      <b/>
      <sz val="16"/>
      <name val="Arial Narrow"/>
      <family val="2"/>
    </font>
    <font>
      <b/>
      <sz val="11"/>
      <color theme="1"/>
      <name val="Arial Narrow"/>
      <family val="2"/>
    </font>
    <font>
      <sz val="11"/>
      <color theme="1"/>
      <name val="Arial Narrow"/>
      <family val="2"/>
    </font>
    <font>
      <sz val="9"/>
      <color theme="1"/>
      <name val="Arial"/>
      <family val="2"/>
    </font>
    <font>
      <b/>
      <sz val="14"/>
      <name val="Century Gothic"/>
      <family val="2"/>
    </font>
    <font>
      <b/>
      <sz val="11"/>
      <name val="Arial Narrow"/>
      <family val="2"/>
    </font>
    <font>
      <b/>
      <sz val="10"/>
      <color theme="1"/>
      <name val="Arial Narrow"/>
      <family val="2"/>
    </font>
    <font>
      <sz val="10"/>
      <color theme="1"/>
      <name val="Arial Narrow"/>
      <family val="2"/>
    </font>
    <font>
      <sz val="14"/>
      <name val="Century Gothic"/>
      <family val="2"/>
    </font>
    <font>
      <b/>
      <sz val="11"/>
      <name val="Century Gothic"/>
      <family val="2"/>
    </font>
    <font>
      <sz val="10"/>
      <name val="Century Gothic"/>
      <family val="2"/>
    </font>
    <font>
      <b/>
      <sz val="12"/>
      <name val="Century Gothic"/>
      <family val="2"/>
    </font>
    <font>
      <b/>
      <sz val="12"/>
      <color theme="1"/>
      <name val="Arial Narrow"/>
      <family val="2"/>
    </font>
    <font>
      <sz val="12"/>
      <color theme="1"/>
      <name val="Century Gothic"/>
      <family val="2"/>
    </font>
    <font>
      <sz val="11"/>
      <color indexed="9"/>
      <name val="Arial Narrow"/>
      <family val="2"/>
    </font>
    <font>
      <i/>
      <sz val="11"/>
      <color indexed="10"/>
      <name val="Arial Narrow"/>
      <family val="2"/>
    </font>
    <font>
      <sz val="10"/>
      <color rgb="FF000000"/>
      <name val="Times New Roman"/>
      <family val="1"/>
    </font>
    <font>
      <b/>
      <sz val="16"/>
      <color theme="1"/>
      <name val="Calibri"/>
      <family val="2"/>
      <scheme val="minor"/>
    </font>
    <font>
      <b/>
      <sz val="8"/>
      <name val="Arial Narrow"/>
      <family val="2"/>
    </font>
    <font>
      <b/>
      <u/>
      <sz val="20"/>
      <name val="Arial Narrow"/>
      <family val="2"/>
    </font>
    <font>
      <u/>
      <sz val="14"/>
      <name val="Arial Narrow"/>
      <family val="2"/>
    </font>
    <font>
      <u/>
      <sz val="11"/>
      <name val="Arial Narrow"/>
      <family val="2"/>
    </font>
    <font>
      <sz val="11"/>
      <color theme="0"/>
      <name val="Arial Narrow"/>
      <family val="2"/>
    </font>
    <font>
      <b/>
      <sz val="11"/>
      <color theme="0"/>
      <name val="Arial Narrow"/>
      <family val="2"/>
    </font>
    <font>
      <b/>
      <u/>
      <sz val="11"/>
      <name val="Arial Narrow"/>
      <family val="2"/>
    </font>
    <font>
      <b/>
      <u/>
      <sz val="10"/>
      <color indexed="8"/>
      <name val="Arial Narrow"/>
      <family val="2"/>
    </font>
    <font>
      <sz val="12"/>
      <color theme="1"/>
      <name val="Arial"/>
      <family val="2"/>
    </font>
    <font>
      <b/>
      <sz val="14"/>
      <color theme="1" tint="0.34998626667073579"/>
      <name val="Arial"/>
      <family val="2"/>
    </font>
    <font>
      <b/>
      <u/>
      <sz val="16"/>
      <color theme="1" tint="0.34998626667073579"/>
      <name val="Arial"/>
      <family val="2"/>
    </font>
    <font>
      <sz val="8"/>
      <name val="Arial"/>
      <family val="2"/>
    </font>
    <font>
      <b/>
      <sz val="12"/>
      <name val="Calibri"/>
      <family val="2"/>
      <scheme val="minor"/>
    </font>
    <font>
      <u/>
      <sz val="13"/>
      <name val="Calibri"/>
      <family val="2"/>
      <scheme val="minor"/>
    </font>
    <font>
      <b/>
      <u/>
      <sz val="14"/>
      <name val="Calibri"/>
      <family val="2"/>
      <scheme val="minor"/>
    </font>
    <font>
      <sz val="8"/>
      <name val="Calibri"/>
      <family val="2"/>
      <scheme val="minor"/>
    </font>
    <font>
      <b/>
      <u/>
      <sz val="11"/>
      <name val="Calibri"/>
      <family val="2"/>
      <scheme val="minor"/>
    </font>
    <font>
      <b/>
      <sz val="9"/>
      <name val="Calibri"/>
      <family val="2"/>
      <scheme val="minor"/>
    </font>
    <font>
      <sz val="12"/>
      <name val="Calibri"/>
      <family val="2"/>
      <scheme val="minor"/>
    </font>
    <font>
      <sz val="9"/>
      <name val="Calibri"/>
      <family val="2"/>
      <scheme val="minor"/>
    </font>
    <font>
      <sz val="10"/>
      <color theme="0"/>
      <name val="Calibri"/>
      <family val="2"/>
      <scheme val="minor"/>
    </font>
    <font>
      <sz val="9"/>
      <color rgb="FFFF0000"/>
      <name val="Calibri"/>
      <family val="2"/>
      <scheme val="minor"/>
    </font>
    <font>
      <b/>
      <u/>
      <sz val="10"/>
      <name val="Calibri"/>
      <family val="2"/>
      <scheme val="minor"/>
    </font>
    <font>
      <sz val="9"/>
      <color indexed="12"/>
      <name val="Calibri"/>
      <family val="2"/>
      <scheme val="minor"/>
    </font>
    <font>
      <sz val="12"/>
      <color rgb="FF000000"/>
      <name val="Arial"/>
      <family val="2"/>
    </font>
    <font>
      <sz val="12"/>
      <color rgb="FFFF0000"/>
      <name val="Arial"/>
      <family val="2"/>
    </font>
    <font>
      <b/>
      <sz val="12"/>
      <color indexed="8"/>
      <name val="Arial"/>
      <family val="2"/>
    </font>
    <font>
      <b/>
      <sz val="12"/>
      <color indexed="10"/>
      <name val="Arial"/>
      <family val="2"/>
    </font>
    <font>
      <b/>
      <sz val="12"/>
      <color indexed="12"/>
      <name val="Arial"/>
      <family val="2"/>
    </font>
    <font>
      <sz val="12"/>
      <color indexed="8"/>
      <name val="Arial"/>
      <family val="2"/>
    </font>
    <font>
      <sz val="12"/>
      <color theme="1" tint="0.34998626667073579"/>
      <name val="Arial"/>
      <family val="2"/>
    </font>
    <font>
      <b/>
      <sz val="14"/>
      <color theme="1"/>
      <name val="Arial"/>
      <family val="2"/>
    </font>
    <font>
      <b/>
      <sz val="14"/>
      <color indexed="8"/>
      <name val="Arial"/>
      <family val="2"/>
    </font>
    <font>
      <sz val="14"/>
      <color theme="1" tint="0.34998626667073579"/>
      <name val="Arial"/>
      <family val="2"/>
    </font>
    <font>
      <sz val="11"/>
      <color indexed="8"/>
      <name val="Arial"/>
      <family val="2"/>
    </font>
    <font>
      <sz val="14"/>
      <color theme="1"/>
      <name val="Arial"/>
      <family val="2"/>
    </font>
    <font>
      <b/>
      <sz val="10"/>
      <color theme="1" tint="0.34998626667073579"/>
      <name val="Arial"/>
      <family val="2"/>
    </font>
    <font>
      <sz val="11"/>
      <color theme="4"/>
      <name val="Arial"/>
      <family val="2"/>
    </font>
    <font>
      <sz val="12"/>
      <color theme="4"/>
      <name val="Arial"/>
      <family val="2"/>
    </font>
    <font>
      <sz val="23"/>
      <color theme="1"/>
      <name val="Arial"/>
      <family val="2"/>
    </font>
    <font>
      <sz val="23"/>
      <name val="Arial"/>
      <family val="2"/>
    </font>
    <font>
      <b/>
      <u/>
      <sz val="23"/>
      <name val="Arial"/>
      <family val="2"/>
    </font>
    <font>
      <sz val="16"/>
      <color theme="1"/>
      <name val="Arial"/>
      <family val="2"/>
    </font>
    <font>
      <sz val="16"/>
      <color indexed="8"/>
      <name val="Arial"/>
      <family val="2"/>
    </font>
    <font>
      <b/>
      <sz val="16"/>
      <color theme="1"/>
      <name val="Arial"/>
      <family val="2"/>
    </font>
    <font>
      <b/>
      <sz val="16"/>
      <name val="Arial"/>
      <family val="2"/>
    </font>
    <font>
      <sz val="14"/>
      <color indexed="8"/>
      <name val="Arial"/>
      <family val="2"/>
    </font>
    <font>
      <b/>
      <sz val="14"/>
      <name val="Arial"/>
      <family val="2"/>
    </font>
    <font>
      <sz val="14"/>
      <name val="Arial"/>
      <family val="2"/>
    </font>
    <font>
      <sz val="13"/>
      <name val="Arial"/>
      <family val="2"/>
    </font>
    <font>
      <sz val="8"/>
      <color theme="0"/>
      <name val="Arial"/>
      <family val="2"/>
    </font>
    <font>
      <b/>
      <sz val="11"/>
      <color indexed="9"/>
      <name val="Arial Narrow"/>
      <family val="2"/>
    </font>
    <font>
      <sz val="16"/>
      <name val="Arial"/>
      <family val="2"/>
    </font>
    <font>
      <sz val="12"/>
      <color indexed="10"/>
      <name val="Arial"/>
      <family val="2"/>
    </font>
    <font>
      <sz val="8"/>
      <name val="Times New Roman"/>
      <family val="1"/>
    </font>
    <font>
      <sz val="11"/>
      <color theme="0"/>
      <name val="Times New Roman"/>
      <family val="1"/>
    </font>
    <font>
      <sz val="12"/>
      <color theme="0"/>
      <name val="Times New Roman"/>
      <family val="1"/>
    </font>
    <font>
      <sz val="10"/>
      <color theme="0"/>
      <name val="Times New Roman"/>
      <family val="1"/>
    </font>
    <font>
      <sz val="9"/>
      <color indexed="10"/>
      <name val="Arial"/>
      <family val="2"/>
    </font>
    <font>
      <b/>
      <sz val="9"/>
      <color rgb="FFFF0000"/>
      <name val="Times New Roman"/>
      <family val="1"/>
    </font>
    <font>
      <sz val="9"/>
      <color indexed="57"/>
      <name val="Arial"/>
      <family val="2"/>
    </font>
    <font>
      <sz val="9"/>
      <color indexed="72"/>
      <name val="Arial"/>
      <family val="2"/>
    </font>
    <font>
      <sz val="9"/>
      <color indexed="48"/>
      <name val="Arial"/>
      <family val="2"/>
    </font>
    <font>
      <sz val="9"/>
      <color indexed="14"/>
      <name val="Arial"/>
      <family val="2"/>
    </font>
    <font>
      <sz val="8"/>
      <color indexed="72"/>
      <name val="Arial"/>
      <family val="2"/>
    </font>
    <font>
      <b/>
      <sz val="10"/>
      <color indexed="8"/>
      <name val="Arial"/>
      <family val="2"/>
    </font>
    <font>
      <b/>
      <sz val="10"/>
      <color rgb="FFFF0000"/>
      <name val="Arial"/>
      <family val="2"/>
    </font>
    <font>
      <b/>
      <u/>
      <sz val="11"/>
      <color theme="1"/>
      <name val="Calibri"/>
      <family val="2"/>
      <scheme val="minor"/>
    </font>
    <font>
      <sz val="11"/>
      <color rgb="FFFF0000"/>
      <name val="Calibri"/>
      <family val="2"/>
      <scheme val="minor"/>
    </font>
    <font>
      <b/>
      <sz val="8"/>
      <name val="Times New Roman"/>
      <family val="1"/>
    </font>
    <font>
      <sz val="11"/>
      <color theme="3" tint="0.39997558519241921"/>
      <name val="Calibri"/>
      <family val="2"/>
      <scheme val="minor"/>
    </font>
    <font>
      <b/>
      <u/>
      <sz val="14"/>
      <name val="Arial"/>
      <family val="2"/>
    </font>
    <font>
      <b/>
      <sz val="12"/>
      <color indexed="8"/>
      <name val="Arial Narrow"/>
      <family val="2"/>
    </font>
    <font>
      <sz val="12"/>
      <name val="Arial Narrow"/>
      <family val="2"/>
    </font>
    <font>
      <sz val="12"/>
      <color rgb="FF00CC99"/>
      <name val="Arial"/>
      <family val="2"/>
    </font>
    <font>
      <sz val="8"/>
      <color rgb="FF000000"/>
      <name val="Arial"/>
      <family val="2"/>
    </font>
    <font>
      <sz val="8"/>
      <name val="Arial"/>
      <family val="2"/>
    </font>
    <font>
      <b/>
      <sz val="26"/>
      <name val="Century Gothic"/>
      <family val="2"/>
    </font>
    <font>
      <b/>
      <sz val="18"/>
      <name val="Century Gothic"/>
      <family val="2"/>
    </font>
    <font>
      <b/>
      <sz val="10"/>
      <name val="Century Gothic"/>
      <family val="2"/>
    </font>
    <font>
      <b/>
      <u/>
      <sz val="10"/>
      <name val="Century Gothic"/>
      <family val="2"/>
    </font>
    <font>
      <b/>
      <sz val="9"/>
      <name val="Century Gothic"/>
      <family val="2"/>
    </font>
    <font>
      <b/>
      <u/>
      <sz val="16"/>
      <name val="Century Gothic"/>
      <family val="2"/>
    </font>
    <font>
      <b/>
      <sz val="10"/>
      <color indexed="8"/>
      <name val="Century Gothic"/>
      <family val="2"/>
    </font>
    <font>
      <b/>
      <sz val="11"/>
      <color indexed="8"/>
      <name val="Century Gothic"/>
      <family val="2"/>
    </font>
    <font>
      <b/>
      <sz val="9"/>
      <color indexed="8"/>
      <name val="Century Gothic"/>
      <family val="2"/>
    </font>
    <font>
      <sz val="11"/>
      <name val="Century Gothic"/>
      <family val="2"/>
    </font>
    <font>
      <b/>
      <u/>
      <sz val="12"/>
      <name val="Arial"/>
      <family val="2"/>
    </font>
    <font>
      <sz val="12"/>
      <color theme="1"/>
      <name val="Calibri"/>
      <family val="2"/>
      <scheme val="minor"/>
    </font>
    <font>
      <b/>
      <sz val="11"/>
      <color rgb="FFFF0000"/>
      <name val="Arial Narrow"/>
      <family val="2"/>
    </font>
    <font>
      <b/>
      <sz val="12"/>
      <color rgb="FF002060"/>
      <name val="Arial"/>
      <family val="2"/>
    </font>
    <font>
      <b/>
      <u/>
      <sz val="12"/>
      <color rgb="FF3F3F3F"/>
      <name val="Arial"/>
      <family val="2"/>
    </font>
    <font>
      <b/>
      <sz val="12"/>
      <color rgb="FF0070C0"/>
      <name val="Arial"/>
      <family val="2"/>
    </font>
    <font>
      <u/>
      <sz val="12"/>
      <color rgb="FF000000"/>
      <name val="Arial"/>
      <family val="2"/>
    </font>
    <font>
      <b/>
      <sz val="12"/>
      <color rgb="FF000000"/>
      <name val="Arial"/>
      <family val="2"/>
    </font>
    <font>
      <b/>
      <u/>
      <sz val="12"/>
      <color rgb="FF000000"/>
      <name val="Arial"/>
      <family val="2"/>
    </font>
    <font>
      <u/>
      <sz val="10"/>
      <color rgb="FF000000"/>
      <name val="Arial"/>
      <family val="2"/>
    </font>
    <font>
      <sz val="10"/>
      <color rgb="FF00CC99"/>
      <name val="Arial"/>
      <family val="2"/>
    </font>
    <font>
      <sz val="10"/>
      <color rgb="FF002060"/>
      <name val="Arial"/>
      <family val="2"/>
    </font>
    <font>
      <sz val="10"/>
      <color indexed="10"/>
      <name val="Arial"/>
      <family val="2"/>
    </font>
    <font>
      <sz val="8"/>
      <color theme="1"/>
      <name val="Arial"/>
      <family val="2"/>
    </font>
    <font>
      <sz val="9"/>
      <color rgb="FF000000"/>
      <name val="Arial"/>
      <family val="2"/>
    </font>
    <font>
      <u/>
      <sz val="10"/>
      <name val="Century Gothic"/>
      <family val="2"/>
    </font>
    <font>
      <sz val="11"/>
      <color indexed="8"/>
      <name val="Century Gothic"/>
      <family val="2"/>
    </font>
    <font>
      <b/>
      <u/>
      <sz val="12"/>
      <name val="Arial Narrow"/>
      <family val="2"/>
    </font>
    <font>
      <b/>
      <sz val="12"/>
      <color rgb="FF3F3F3F"/>
      <name val="Arial Narrow"/>
      <family val="2"/>
    </font>
    <font>
      <b/>
      <u/>
      <sz val="12"/>
      <color rgb="FF3F3F3F"/>
      <name val="Arial Narrow"/>
      <family val="2"/>
    </font>
    <font>
      <sz val="12"/>
      <color theme="0"/>
      <name val="Arial Narrow"/>
      <family val="2"/>
    </font>
    <font>
      <b/>
      <sz val="12"/>
      <color rgb="FF0070C0"/>
      <name val="Arial Narrow"/>
      <family val="2"/>
    </font>
    <font>
      <sz val="12"/>
      <color rgb="FF000000"/>
      <name val="Arial Narrow"/>
      <family val="2"/>
    </font>
    <font>
      <u/>
      <sz val="12"/>
      <color rgb="FF000000"/>
      <name val="Arial Narrow"/>
      <family val="2"/>
    </font>
    <font>
      <b/>
      <sz val="12"/>
      <color rgb="FF000000"/>
      <name val="Arial Narrow"/>
      <family val="2"/>
    </font>
    <font>
      <b/>
      <u/>
      <sz val="12"/>
      <color rgb="FF000000"/>
      <name val="Arial Narrow"/>
      <family val="2"/>
    </font>
    <font>
      <sz val="12"/>
      <color rgb="FF228B22"/>
      <name val="Arial Narrow"/>
      <family val="2"/>
    </font>
    <font>
      <u/>
      <sz val="12"/>
      <color rgb="FF228B22"/>
      <name val="Arial Narrow"/>
      <family val="2"/>
    </font>
    <font>
      <sz val="12"/>
      <color rgb="FF0070C0"/>
      <name val="Arial Narrow"/>
      <family val="2"/>
    </font>
    <font>
      <sz val="12"/>
      <color rgb="FFFF0000"/>
      <name val="Arial Narrow"/>
      <family val="2"/>
    </font>
    <font>
      <b/>
      <sz val="9"/>
      <color rgb="FF000000"/>
      <name val="Arial"/>
      <family val="2"/>
    </font>
    <font>
      <b/>
      <sz val="11"/>
      <color rgb="FFFF0000"/>
      <name val="Calibri"/>
      <family val="2"/>
      <scheme val="minor"/>
    </font>
    <font>
      <b/>
      <sz val="12"/>
      <color rgb="FFFF0000"/>
      <name val="Arial"/>
      <family val="2"/>
    </font>
    <font>
      <sz val="10"/>
      <color theme="1"/>
      <name val="Calibri  "/>
    </font>
    <font>
      <sz val="11"/>
      <color rgb="FF000000"/>
      <name val="Calibri"/>
      <family val="2"/>
    </font>
    <font>
      <b/>
      <sz val="9"/>
      <color theme="3"/>
      <name val="Calibri"/>
      <family val="2"/>
      <scheme val="minor"/>
    </font>
    <font>
      <u/>
      <sz val="16"/>
      <name val="Century Gothic"/>
      <family val="2"/>
    </font>
    <font>
      <b/>
      <sz val="12"/>
      <color rgb="FF00B050"/>
      <name val="Arial Narrow"/>
      <family val="2"/>
    </font>
    <font>
      <b/>
      <sz val="12"/>
      <color theme="1"/>
      <name val="Arial"/>
      <family val="2"/>
    </font>
    <font>
      <b/>
      <sz val="12"/>
      <name val="Times New Roman"/>
      <family val="1"/>
    </font>
    <font>
      <sz val="12"/>
      <color theme="1"/>
      <name val="Times New Roman"/>
      <family val="1"/>
    </font>
    <font>
      <sz val="12"/>
      <name val="Times New Roman"/>
      <family val="1"/>
    </font>
    <font>
      <b/>
      <sz val="12"/>
      <color theme="1"/>
      <name val="Times New Roman"/>
      <family val="1"/>
    </font>
    <font>
      <sz val="12"/>
      <color rgb="FF000000"/>
      <name val="Times New Roman"/>
      <family val="1"/>
    </font>
    <font>
      <b/>
      <sz val="12"/>
      <color rgb="FF002060"/>
      <name val="Times New Roman"/>
      <family val="1"/>
    </font>
    <font>
      <sz val="12"/>
      <color rgb="FF002060"/>
      <name val="Times New Roman"/>
      <family val="1"/>
    </font>
    <font>
      <b/>
      <sz val="12"/>
      <color theme="3" tint="0.39997558519241921"/>
      <name val="Times New Roman"/>
      <family val="1"/>
    </font>
    <font>
      <b/>
      <sz val="12"/>
      <color rgb="FF0070C0"/>
      <name val="Times New Roman"/>
      <family val="1"/>
    </font>
    <font>
      <sz val="12"/>
      <color rgb="FF0070C0"/>
      <name val="Times New Roman"/>
      <family val="1"/>
    </font>
    <font>
      <b/>
      <u/>
      <sz val="12"/>
      <name val="Times New Roman"/>
      <family val="1"/>
    </font>
    <font>
      <u/>
      <sz val="12"/>
      <name val="Times New Roman"/>
      <family val="1"/>
    </font>
    <font>
      <b/>
      <u/>
      <sz val="12"/>
      <color rgb="FF000000"/>
      <name val="Times New Roman"/>
      <family val="1"/>
    </font>
    <font>
      <b/>
      <sz val="12"/>
      <color rgb="FF000000"/>
      <name val="Times New Roman"/>
      <family val="1"/>
    </font>
    <font>
      <sz val="12"/>
      <color rgb="FFFF0000"/>
      <name val="Times New Roman"/>
      <family val="1"/>
    </font>
    <font>
      <b/>
      <u/>
      <sz val="12"/>
      <color rgb="FF00CC99"/>
      <name val="Times New Roman"/>
      <family val="1"/>
    </font>
    <font>
      <b/>
      <sz val="12"/>
      <color rgb="FFFF0000"/>
      <name val="Times New Roman"/>
      <family val="1"/>
    </font>
    <font>
      <b/>
      <sz val="12"/>
      <color rgb="FF3F3F3F"/>
      <name val="Times New Roman"/>
      <family val="1"/>
    </font>
    <font>
      <b/>
      <u/>
      <sz val="12"/>
      <color rgb="FF3F3F3F"/>
      <name val="Times New Roman"/>
      <family val="1"/>
    </font>
    <font>
      <u/>
      <sz val="12"/>
      <color rgb="FF000000"/>
      <name val="Times New Roman"/>
      <family val="1"/>
    </font>
    <font>
      <b/>
      <i/>
      <sz val="12"/>
      <color rgb="FF000000"/>
      <name val="Times New Roman"/>
      <family val="1"/>
    </font>
    <font>
      <sz val="12"/>
      <color rgb="FF228B22"/>
      <name val="Times New Roman"/>
      <family val="1"/>
    </font>
    <font>
      <u/>
      <sz val="12"/>
      <color rgb="FF228B22"/>
      <name val="Times New Roman"/>
      <family val="1"/>
    </font>
    <font>
      <b/>
      <sz val="10"/>
      <color theme="3" tint="0.39997558519241921"/>
      <name val="Times New Roman"/>
      <family val="1"/>
    </font>
    <font>
      <b/>
      <i/>
      <sz val="12"/>
      <name val="Times New Roman"/>
      <family val="1"/>
    </font>
    <font>
      <sz val="12"/>
      <color theme="0" tint="-0.249977111117893"/>
      <name val="Times New Roman"/>
      <family val="1"/>
    </font>
    <font>
      <b/>
      <u/>
      <sz val="12"/>
      <color rgb="FFFF0000"/>
      <name val="Arial"/>
      <family val="2"/>
    </font>
    <font>
      <sz val="12"/>
      <color rgb="FF3F3F3F"/>
      <name val="Arial Narrow"/>
      <family val="2"/>
    </font>
    <font>
      <b/>
      <sz val="12"/>
      <color theme="9" tint="-0.249977111117893"/>
      <name val="Arial Narrow"/>
      <family val="2"/>
    </font>
    <font>
      <b/>
      <sz val="12"/>
      <color rgb="FFFF00FF"/>
      <name val="Arial Narrow"/>
      <family val="2"/>
    </font>
    <font>
      <b/>
      <u/>
      <sz val="12"/>
      <color theme="1"/>
      <name val="Arial"/>
      <family val="2"/>
    </font>
    <font>
      <sz val="12"/>
      <color theme="0"/>
      <name val="Arial"/>
      <family val="2"/>
    </font>
    <font>
      <sz val="12"/>
      <color rgb="FF0070C0"/>
      <name val="Arial"/>
      <family val="2"/>
    </font>
    <font>
      <b/>
      <sz val="12"/>
      <color rgb="FF228B22"/>
      <name val="Arial"/>
      <family val="2"/>
    </font>
    <font>
      <b/>
      <u/>
      <sz val="12"/>
      <color rgb="FF228B22"/>
      <name val="Arial"/>
      <family val="2"/>
    </font>
    <font>
      <sz val="11"/>
      <color indexed="10"/>
      <name val="Arial"/>
      <family val="2"/>
    </font>
    <font>
      <sz val="11"/>
      <color rgb="FF000000"/>
      <name val="Arial"/>
      <family val="2"/>
    </font>
    <font>
      <b/>
      <sz val="11"/>
      <color rgb="FF0070C0"/>
      <name val="Arial"/>
      <family val="2"/>
    </font>
    <font>
      <sz val="11"/>
      <color indexed="57"/>
      <name val="Arial"/>
      <family val="2"/>
    </font>
    <font>
      <b/>
      <sz val="11"/>
      <color rgb="FF000000"/>
      <name val="Arial"/>
      <family val="2"/>
    </font>
    <font>
      <b/>
      <u/>
      <sz val="11"/>
      <color rgb="FF000000"/>
      <name val="Arial"/>
      <family val="2"/>
    </font>
    <font>
      <sz val="11"/>
      <color indexed="48"/>
      <name val="Arial"/>
      <family val="2"/>
    </font>
    <font>
      <sz val="11"/>
      <color indexed="72"/>
      <name val="Arial"/>
      <family val="2"/>
    </font>
    <font>
      <b/>
      <sz val="14"/>
      <color rgb="FF000000"/>
      <name val="Arial"/>
      <family val="2"/>
    </font>
    <font>
      <b/>
      <sz val="12"/>
      <color rgb="FF00B050"/>
      <name val="Times New Roman"/>
      <family val="1"/>
    </font>
    <font>
      <b/>
      <u/>
      <sz val="12"/>
      <color rgb="FF00B050"/>
      <name val="Times New Roman"/>
      <family val="1"/>
    </font>
    <font>
      <b/>
      <sz val="12"/>
      <color theme="9" tint="-0.249977111117893"/>
      <name val="Times New Roman"/>
      <family val="1"/>
    </font>
    <font>
      <b/>
      <u/>
      <sz val="12"/>
      <color rgb="FFFF0000"/>
      <name val="Times New Roman"/>
      <family val="1"/>
    </font>
    <font>
      <b/>
      <sz val="12"/>
      <color rgb="FFFF00FF"/>
      <name val="Times New Roman"/>
      <family val="1"/>
    </font>
    <font>
      <b/>
      <sz val="12"/>
      <color theme="0" tint="-0.249977111117893"/>
      <name val="Times New Roman"/>
      <family val="1"/>
    </font>
    <font>
      <b/>
      <sz val="9"/>
      <color theme="3" tint="-0.249977111117893"/>
      <name val="Calibri"/>
      <family val="2"/>
      <scheme val="minor"/>
    </font>
    <font>
      <b/>
      <sz val="9"/>
      <color theme="1"/>
      <name val="Calibri"/>
      <family val="2"/>
      <scheme val="minor"/>
    </font>
    <font>
      <b/>
      <sz val="12"/>
      <name val="Trebuchet MS"/>
      <family val="2"/>
    </font>
    <font>
      <sz val="12"/>
      <name val="Trebuchet MS"/>
      <family val="2"/>
    </font>
    <font>
      <b/>
      <sz val="10"/>
      <name val="Trebuchet MS"/>
      <family val="2"/>
    </font>
    <font>
      <sz val="10"/>
      <name val="Trebuchet MS"/>
      <family val="2"/>
    </font>
    <font>
      <sz val="10"/>
      <name val="Swis721 BT"/>
      <family val="2"/>
    </font>
    <font>
      <u/>
      <sz val="12"/>
      <name val="Trebuchet MS"/>
      <family val="2"/>
    </font>
    <font>
      <b/>
      <u/>
      <sz val="12"/>
      <color rgb="FF0070C0"/>
      <name val="Arial"/>
      <family val="2"/>
    </font>
    <font>
      <b/>
      <u/>
      <sz val="12"/>
      <color rgb="FF00B050"/>
      <name val="Arial"/>
      <family val="2"/>
    </font>
    <font>
      <u/>
      <sz val="12"/>
      <color rgb="FF3F3F3F"/>
      <name val="Arial"/>
      <family val="2"/>
    </font>
    <font>
      <b/>
      <sz val="12"/>
      <color theme="7" tint="-0.249977111117893"/>
      <name val="Times New Roman"/>
      <family val="1"/>
    </font>
    <font>
      <sz val="12"/>
      <color rgb="FF3F3F3F"/>
      <name val="Arial"/>
      <family val="2"/>
    </font>
    <font>
      <b/>
      <sz val="12"/>
      <color rgb="FF3F3F3F"/>
      <name val="Arial"/>
      <family val="2"/>
    </font>
    <font>
      <b/>
      <u/>
      <sz val="10"/>
      <color rgb="FF000000"/>
      <name val="Arial"/>
      <family val="2"/>
    </font>
    <font>
      <sz val="10"/>
      <color rgb="FF000000"/>
      <name val="Arial"/>
      <family val="2"/>
    </font>
    <font>
      <b/>
      <sz val="10"/>
      <color theme="3"/>
      <name val="Arial"/>
      <family val="2"/>
    </font>
    <font>
      <b/>
      <sz val="10"/>
      <color theme="5"/>
      <name val="Arial"/>
      <family val="2"/>
    </font>
    <font>
      <b/>
      <u/>
      <sz val="10"/>
      <color theme="4"/>
      <name val="Arial"/>
      <family val="2"/>
    </font>
    <font>
      <sz val="10"/>
      <color theme="1"/>
      <name val="Arial"/>
      <family val="2"/>
    </font>
    <font>
      <b/>
      <sz val="10"/>
      <color rgb="FF00CC99"/>
      <name val="Arial"/>
      <family val="2"/>
    </font>
    <font>
      <b/>
      <sz val="11"/>
      <color rgb="FF0070C0"/>
      <name val="Calibri"/>
      <family val="2"/>
      <scheme val="minor"/>
    </font>
    <font>
      <b/>
      <sz val="11"/>
      <color rgb="FF00B050"/>
      <name val="Calibri"/>
      <family val="2"/>
      <scheme val="minor"/>
    </font>
    <font>
      <sz val="11"/>
      <color rgb="FF00B050"/>
      <name val="Calibri"/>
      <family val="2"/>
      <scheme val="minor"/>
    </font>
  </fonts>
  <fills count="4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theme="0" tint="-0.1499984740745262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rgb="FFFFFFFF"/>
        <bgColor rgb="FF000000"/>
      </patternFill>
    </fill>
    <fill>
      <patternFill patternType="solid">
        <fgColor theme="4" tint="0.79998168889431442"/>
        <bgColor indexed="64"/>
      </patternFill>
    </fill>
    <fill>
      <patternFill patternType="solid">
        <fgColor theme="0" tint="-0.249977111117893"/>
        <bgColor indexed="64"/>
      </patternFill>
    </fill>
    <fill>
      <patternFill patternType="solid">
        <fgColor indexed="22"/>
        <bgColor indexed="64"/>
      </patternFill>
    </fill>
    <fill>
      <patternFill patternType="solid">
        <fgColor indexed="44"/>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rgb="FFCCFF99"/>
        <bgColor indexed="64"/>
      </patternFill>
    </fill>
    <fill>
      <patternFill patternType="solid">
        <fgColor rgb="FFFFFFCC"/>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0"/>
      </patternFill>
    </fill>
    <fill>
      <patternFill patternType="solid">
        <fgColor rgb="FF0070C0"/>
        <bgColor indexed="64"/>
      </patternFill>
    </fill>
    <fill>
      <patternFill patternType="solid">
        <fgColor rgb="FF85DFFF"/>
        <bgColor indexed="64"/>
      </patternFill>
    </fill>
    <fill>
      <patternFill patternType="solid">
        <fgColor theme="8" tint="0.39997558519241921"/>
        <bgColor indexed="64"/>
      </patternFill>
    </fill>
    <fill>
      <patternFill patternType="solid">
        <fgColor theme="8" tint="0.39997558519241921"/>
        <bgColor rgb="FF000000"/>
      </patternFill>
    </fill>
    <fill>
      <patternFill patternType="solid">
        <fgColor theme="3" tint="0.59999389629810485"/>
        <bgColor indexed="64"/>
      </patternFill>
    </fill>
    <fill>
      <patternFill patternType="solid">
        <fgColor theme="0"/>
        <bgColor rgb="FF000000"/>
      </patternFill>
    </fill>
    <fill>
      <patternFill patternType="solid">
        <fgColor rgb="FFFFC000"/>
        <bgColor indexed="64"/>
      </patternFill>
    </fill>
    <fill>
      <patternFill patternType="solid">
        <fgColor rgb="FFFFFFFF"/>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bgColor indexed="64"/>
      </patternFill>
    </fill>
    <fill>
      <patternFill patternType="solid">
        <fgColor theme="6" tint="0.79998168889431442"/>
        <bgColor rgb="FF000000"/>
      </patternFill>
    </fill>
    <fill>
      <patternFill patternType="solid">
        <fgColor rgb="FFEAF1DD"/>
        <bgColor indexed="64"/>
      </patternFill>
    </fill>
    <fill>
      <patternFill patternType="solid">
        <fgColor theme="6"/>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patternFill>
    </fill>
    <fill>
      <patternFill patternType="solid">
        <fgColor theme="2"/>
        <bgColor indexed="64"/>
      </patternFill>
    </fill>
    <fill>
      <patternFill patternType="solid">
        <fgColor theme="8" tint="0.59999389629810485"/>
        <bgColor indexed="64"/>
      </patternFill>
    </fill>
    <fill>
      <patternFill patternType="solid">
        <fgColor rgb="FFFFFF00"/>
      </patternFill>
    </fill>
    <fill>
      <patternFill patternType="solid">
        <fgColor rgb="FFFFFF00"/>
        <bgColor rgb="FF000000"/>
      </patternFill>
    </fill>
    <fill>
      <patternFill patternType="solid">
        <fgColor theme="5"/>
        <bgColor rgb="FF000000"/>
      </patternFill>
    </fill>
    <fill>
      <patternFill patternType="solid">
        <fgColor rgb="FF92D050"/>
      </patternFill>
    </fill>
    <fill>
      <patternFill patternType="solid">
        <fgColor rgb="FF92D050"/>
        <bgColor rgb="FF000000"/>
      </patternFill>
    </fill>
    <fill>
      <patternFill patternType="solid">
        <fgColor rgb="FFFFC000"/>
      </patternFill>
    </fill>
    <fill>
      <patternFill patternType="solid">
        <fgColor rgb="FFFFC000"/>
        <bgColor rgb="FF000000"/>
      </patternFill>
    </fill>
  </fills>
  <borders count="146">
    <border>
      <left/>
      <right/>
      <top/>
      <bottom/>
      <diagonal/>
    </border>
    <border>
      <left/>
      <right/>
      <top style="medium">
        <color indexed="64"/>
      </top>
      <bottom style="medium">
        <color indexed="64"/>
      </bottom>
      <diagonal/>
    </border>
    <border>
      <left style="thin">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thin">
        <color indexed="64"/>
      </right>
      <top style="hair">
        <color indexed="64"/>
      </top>
      <bottom/>
      <diagonal/>
    </border>
    <border>
      <left/>
      <right/>
      <top style="medium">
        <color indexed="64"/>
      </top>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style="thin">
        <color indexed="64"/>
      </left>
      <right style="thin">
        <color indexed="64"/>
      </right>
      <top/>
      <bottom style="hair">
        <color indexed="64"/>
      </bottom>
      <diagonal/>
    </border>
    <border>
      <left style="thin">
        <color indexed="64"/>
      </left>
      <right style="thin">
        <color indexed="64"/>
      </right>
      <top style="thin">
        <color indexed="64"/>
      </top>
      <bottom style="hair">
        <color indexed="64"/>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medium">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bottom/>
      <diagonal/>
    </border>
    <border>
      <left/>
      <right/>
      <top/>
      <bottom style="medium">
        <color indexed="64"/>
      </bottom>
      <diagonal/>
    </border>
    <border>
      <left style="thin">
        <color indexed="64"/>
      </left>
      <right/>
      <top style="thin">
        <color indexed="64"/>
      </top>
      <bottom style="medium">
        <color indexed="64"/>
      </bottom>
      <diagonal/>
    </border>
    <border>
      <left style="medium">
        <color indexed="64"/>
      </left>
      <right/>
      <top/>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top style="thin">
        <color indexed="64"/>
      </top>
      <bottom style="double">
        <color indexed="64"/>
      </bottom>
      <diagonal/>
    </border>
    <border>
      <left/>
      <right style="thin">
        <color indexed="64"/>
      </right>
      <top style="medium">
        <color indexed="64"/>
      </top>
      <bottom style="medium">
        <color indexed="64"/>
      </bottom>
      <diagonal/>
    </border>
    <border>
      <left/>
      <right style="thin">
        <color indexed="64"/>
      </right>
      <top style="thin">
        <color indexed="64"/>
      </top>
      <bottom/>
      <diagonal/>
    </border>
    <border>
      <left style="medium">
        <color indexed="64"/>
      </left>
      <right/>
      <top/>
      <bottom style="thin">
        <color indexed="64"/>
      </bottom>
      <diagonal/>
    </border>
    <border>
      <left style="medium">
        <color indexed="64"/>
      </left>
      <right/>
      <top style="thin">
        <color indexed="64"/>
      </top>
      <bottom/>
      <diagonal/>
    </border>
    <border>
      <left/>
      <right style="thin">
        <color indexed="64"/>
      </right>
      <top style="hair">
        <color indexed="64"/>
      </top>
      <bottom style="hair">
        <color indexed="64"/>
      </bottom>
      <diagonal/>
    </border>
    <border>
      <left style="thin">
        <color indexed="64"/>
      </left>
      <right/>
      <top/>
      <bottom style="hair">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diagonal/>
    </border>
    <border>
      <left style="medium">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hair">
        <color indexed="64"/>
      </bottom>
      <diagonal/>
    </border>
    <border>
      <left style="medium">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double">
        <color indexed="64"/>
      </left>
      <right style="double">
        <color indexed="64"/>
      </right>
      <top style="double">
        <color indexed="64"/>
      </top>
      <bottom style="double">
        <color indexed="64"/>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dotted">
        <color indexed="64"/>
      </bottom>
      <diagonal/>
    </border>
    <border>
      <left style="thin">
        <color indexed="64"/>
      </left>
      <right style="thin">
        <color indexed="64"/>
      </right>
      <top style="medium">
        <color indexed="64"/>
      </top>
      <bottom style="dotted">
        <color indexed="64"/>
      </bottom>
      <diagonal/>
    </border>
    <border>
      <left/>
      <right style="dotted">
        <color indexed="64"/>
      </right>
      <top style="thin">
        <color indexed="64"/>
      </top>
      <bottom style="dotted">
        <color indexed="64"/>
      </bottom>
      <diagonal/>
    </border>
    <border>
      <left style="dotted">
        <color indexed="64"/>
      </left>
      <right style="thin">
        <color indexed="64"/>
      </right>
      <top style="thin">
        <color indexed="64"/>
      </top>
      <bottom style="dotted">
        <color indexed="64"/>
      </bottom>
      <diagonal/>
    </border>
    <border>
      <left style="thin">
        <color indexed="64"/>
      </left>
      <right style="dotted">
        <color indexed="64"/>
      </right>
      <top style="thin">
        <color indexed="64"/>
      </top>
      <bottom style="dotted">
        <color indexed="64"/>
      </bottom>
      <diagonal/>
    </border>
    <border>
      <left style="dotted">
        <color indexed="64"/>
      </left>
      <right style="medium">
        <color indexed="64"/>
      </right>
      <top style="thin">
        <color indexed="64"/>
      </top>
      <bottom style="dotted">
        <color indexed="64"/>
      </bottom>
      <diagonal/>
    </border>
    <border>
      <left style="medium">
        <color indexed="64"/>
      </left>
      <right style="thin">
        <color indexed="64"/>
      </right>
      <top/>
      <bottom style="dotted">
        <color indexed="64"/>
      </bottom>
      <diagonal/>
    </border>
    <border>
      <left style="thin">
        <color indexed="64"/>
      </left>
      <right style="thin">
        <color indexed="64"/>
      </right>
      <top/>
      <bottom style="dotted">
        <color indexed="64"/>
      </bottom>
      <diagonal/>
    </border>
    <border>
      <left style="thin">
        <color indexed="64"/>
      </left>
      <right style="dotted">
        <color indexed="64"/>
      </right>
      <top style="dotted">
        <color indexed="64"/>
      </top>
      <bottom style="dotted">
        <color indexed="64"/>
      </bottom>
      <diagonal/>
    </border>
    <border>
      <left style="dotted">
        <color indexed="64"/>
      </left>
      <right style="thin">
        <color indexed="64"/>
      </right>
      <top style="dotted">
        <color indexed="64"/>
      </top>
      <bottom style="dotted">
        <color indexed="64"/>
      </bottom>
      <diagonal/>
    </border>
    <border>
      <left style="dotted">
        <color indexed="64"/>
      </left>
      <right style="medium">
        <color indexed="64"/>
      </right>
      <top style="dotted">
        <color indexed="64"/>
      </top>
      <bottom style="dotted">
        <color indexed="64"/>
      </bottom>
      <diagonal/>
    </border>
    <border>
      <left style="medium">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dotted">
        <color indexed="64"/>
      </right>
      <top style="dotted">
        <color indexed="64"/>
      </top>
      <bottom/>
      <diagonal/>
    </border>
    <border>
      <left style="dotted">
        <color indexed="64"/>
      </left>
      <right style="thin">
        <color indexed="64"/>
      </right>
      <top style="dotted">
        <color indexed="64"/>
      </top>
      <bottom/>
      <diagonal/>
    </border>
    <border>
      <left style="medium">
        <color indexed="64"/>
      </left>
      <right style="thin">
        <color indexed="64"/>
      </right>
      <top style="dotted">
        <color indexed="64"/>
      </top>
      <bottom style="medium">
        <color indexed="64"/>
      </bottom>
      <diagonal/>
    </border>
    <border>
      <left style="thin">
        <color indexed="64"/>
      </left>
      <right style="thin">
        <color indexed="64"/>
      </right>
      <top style="dotted">
        <color indexed="64"/>
      </top>
      <bottom style="medium">
        <color indexed="64"/>
      </bottom>
      <diagonal/>
    </border>
    <border>
      <left style="thin">
        <color indexed="64"/>
      </left>
      <right style="dotted">
        <color indexed="64"/>
      </right>
      <top style="dotted">
        <color indexed="64"/>
      </top>
      <bottom style="medium">
        <color indexed="64"/>
      </bottom>
      <diagonal/>
    </border>
    <border>
      <left style="dotted">
        <color indexed="64"/>
      </left>
      <right style="thin">
        <color indexed="64"/>
      </right>
      <top style="dotted">
        <color indexed="64"/>
      </top>
      <bottom style="medium">
        <color indexed="64"/>
      </bottom>
      <diagonal/>
    </border>
    <border>
      <left style="dotted">
        <color indexed="64"/>
      </left>
      <right style="medium">
        <color indexed="64"/>
      </right>
      <top style="dotted">
        <color indexed="64"/>
      </top>
      <bottom style="medium">
        <color indexed="64"/>
      </bottom>
      <diagonal/>
    </border>
    <border>
      <left style="thin">
        <color indexed="64"/>
      </left>
      <right/>
      <top style="dotted">
        <color indexed="64"/>
      </top>
      <bottom style="dotted">
        <color indexed="64"/>
      </bottom>
      <diagonal/>
    </border>
    <border>
      <left style="thin">
        <color indexed="64"/>
      </left>
      <right/>
      <top/>
      <bottom style="dotted">
        <color indexed="64"/>
      </bottom>
      <diagonal/>
    </border>
    <border>
      <left style="thin">
        <color indexed="64"/>
      </left>
      <right/>
      <top style="dotted">
        <color indexed="64"/>
      </top>
      <bottom style="medium">
        <color indexed="64"/>
      </bottom>
      <diagonal/>
    </border>
    <border>
      <left/>
      <right style="thin">
        <color indexed="64"/>
      </right>
      <top style="dotted">
        <color indexed="64"/>
      </top>
      <bottom style="dotted">
        <color indexed="64"/>
      </bottom>
      <diagonal/>
    </border>
    <border>
      <left/>
      <right style="dotted">
        <color indexed="64"/>
      </right>
      <top style="dotted">
        <color indexed="64"/>
      </top>
      <bottom style="dotted">
        <color indexed="64"/>
      </bottom>
      <diagonal/>
    </border>
    <border>
      <left/>
      <right style="dotted">
        <color indexed="64"/>
      </right>
      <top style="dotted">
        <color indexed="64"/>
      </top>
      <bottom style="medium">
        <color indexed="64"/>
      </bottom>
      <diagonal/>
    </border>
    <border>
      <left/>
      <right style="dotted">
        <color indexed="64"/>
      </right>
      <top/>
      <bottom/>
      <diagonal/>
    </border>
    <border>
      <left style="dotted">
        <color indexed="64"/>
      </left>
      <right style="thin">
        <color indexed="64"/>
      </right>
      <top/>
      <bottom style="dotted">
        <color indexed="64"/>
      </bottom>
      <diagonal/>
    </border>
    <border>
      <left style="thin">
        <color indexed="64"/>
      </left>
      <right style="dotted">
        <color indexed="64"/>
      </right>
      <top/>
      <bottom style="dotted">
        <color indexed="64"/>
      </bottom>
      <diagonal/>
    </border>
    <border>
      <left/>
      <right style="dotted">
        <color indexed="64"/>
      </right>
      <top style="dotted">
        <color indexed="64"/>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medium">
        <color indexed="64"/>
      </left>
      <right style="medium">
        <color indexed="64"/>
      </right>
      <top/>
      <bottom/>
      <diagonal/>
    </border>
    <border>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right style="medium">
        <color indexed="64"/>
      </right>
      <top style="hair">
        <color indexed="64"/>
      </top>
      <bottom style="hair">
        <color indexed="64"/>
      </bottom>
      <diagonal/>
    </border>
    <border>
      <left/>
      <right style="medium">
        <color indexed="64"/>
      </right>
      <top style="hair">
        <color indexed="64"/>
      </top>
      <bottom style="medium">
        <color indexed="64"/>
      </bottom>
      <diagonal/>
    </border>
    <border>
      <left style="medium">
        <color indexed="64"/>
      </left>
      <right/>
      <top style="medium">
        <color indexed="64"/>
      </top>
      <bottom style="hair">
        <color indexed="64"/>
      </bottom>
      <diagonal/>
    </border>
    <border>
      <left/>
      <right/>
      <top/>
      <bottom style="hair">
        <color indexed="64"/>
      </bottom>
      <diagonal/>
    </border>
    <border>
      <left style="medium">
        <color indexed="64"/>
      </left>
      <right/>
      <top/>
      <bottom style="hair">
        <color indexed="64"/>
      </bottom>
      <diagonal/>
    </border>
    <border>
      <left style="medium">
        <color indexed="64"/>
      </left>
      <right/>
      <top style="hair">
        <color indexed="64"/>
      </top>
      <bottom style="medium">
        <color indexed="64"/>
      </bottom>
      <diagonal/>
    </border>
    <border>
      <left style="medium">
        <color indexed="64"/>
      </left>
      <right style="medium">
        <color indexed="64"/>
      </right>
      <top style="hair">
        <color indexed="64"/>
      </top>
      <bottom style="medium">
        <color indexed="64"/>
      </bottom>
      <diagonal/>
    </border>
    <border>
      <left/>
      <right/>
      <top style="medium">
        <color indexed="64"/>
      </top>
      <bottom style="hair">
        <color indexed="64"/>
      </bottom>
      <diagonal/>
    </border>
    <border>
      <left/>
      <right style="medium">
        <color indexed="64"/>
      </right>
      <top/>
      <bottom style="hair">
        <color indexed="64"/>
      </bottom>
      <diagonal/>
    </border>
    <border>
      <left style="thin">
        <color indexed="64"/>
      </left>
      <right/>
      <top style="medium">
        <color indexed="64"/>
      </top>
      <bottom style="medium">
        <color indexed="64"/>
      </bottom>
      <diagonal/>
    </border>
    <border>
      <left/>
      <right/>
      <top style="hair">
        <color indexed="64"/>
      </top>
      <bottom style="medium">
        <color indexed="64"/>
      </bottom>
      <diagonal/>
    </border>
    <border>
      <left/>
      <right style="medium">
        <color indexed="64"/>
      </right>
      <top style="thin">
        <color indexed="64"/>
      </top>
      <bottom/>
      <diagonal/>
    </border>
  </borders>
  <cellStyleXfs count="134">
    <xf numFmtId="0" fontId="0" fillId="0" borderId="0"/>
    <xf numFmtId="0" fontId="2" fillId="0" borderId="0"/>
    <xf numFmtId="168" fontId="8" fillId="0" borderId="0" applyFont="0" applyFill="0" applyBorder="0" applyAlignment="0" applyProtection="0"/>
    <xf numFmtId="0" fontId="8" fillId="0" borderId="0"/>
    <xf numFmtId="9" fontId="2" fillId="0" borderId="0" applyFont="0" applyFill="0" applyBorder="0" applyAlignment="0" applyProtection="0"/>
    <xf numFmtId="166" fontId="2" fillId="0" borderId="0" applyFont="0" applyFill="0" applyBorder="0" applyAlignment="0" applyProtection="0"/>
    <xf numFmtId="165" fontId="2" fillId="0" borderId="0" applyFont="0" applyFill="0" applyBorder="0" applyAlignment="0" applyProtection="0"/>
    <xf numFmtId="0" fontId="14" fillId="0" borderId="0"/>
    <xf numFmtId="172"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67" fontId="2" fillId="0" borderId="0" applyFont="0" applyFill="0" applyBorder="0" applyAlignment="0" applyProtection="0"/>
    <xf numFmtId="171"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18" fillId="0" borderId="0"/>
    <xf numFmtId="0" fontId="2" fillId="0" borderId="0"/>
    <xf numFmtId="173" fontId="2" fillId="0" borderId="0"/>
    <xf numFmtId="4" fontId="19" fillId="0" borderId="0">
      <protection locked="0"/>
    </xf>
    <xf numFmtId="174" fontId="19" fillId="0" borderId="0">
      <protection locked="0"/>
    </xf>
    <xf numFmtId="0" fontId="19" fillId="0" borderId="0">
      <protection locked="0"/>
    </xf>
    <xf numFmtId="0" fontId="19" fillId="0" borderId="0">
      <protection locked="0"/>
    </xf>
    <xf numFmtId="0" fontId="19" fillId="0" borderId="0">
      <protection locked="0"/>
    </xf>
    <xf numFmtId="0" fontId="19" fillId="0" borderId="0">
      <protection locked="0"/>
    </xf>
    <xf numFmtId="0" fontId="20" fillId="0" borderId="0">
      <protection locked="0"/>
    </xf>
    <xf numFmtId="0" fontId="20" fillId="0" borderId="0">
      <protection locked="0"/>
    </xf>
    <xf numFmtId="0" fontId="20" fillId="0" borderId="0">
      <protection locked="0"/>
    </xf>
    <xf numFmtId="0" fontId="20" fillId="0" borderId="0">
      <protection locked="0"/>
    </xf>
    <xf numFmtId="168" fontId="2" fillId="0" borderId="0" applyFont="0" applyFill="0" applyBorder="0" applyAlignment="0" applyProtection="0"/>
    <xf numFmtId="168" fontId="2" fillId="0" borderId="0" applyFont="0" applyFill="0" applyBorder="0" applyAlignment="0" applyProtection="0"/>
    <xf numFmtId="0" fontId="19" fillId="0" borderId="0">
      <protection locked="0"/>
    </xf>
    <xf numFmtId="0" fontId="19" fillId="0" borderId="0">
      <protection locked="0"/>
    </xf>
    <xf numFmtId="0" fontId="19" fillId="0" borderId="0">
      <protection locked="0"/>
    </xf>
    <xf numFmtId="0" fontId="19" fillId="0" borderId="0">
      <protection locked="0"/>
    </xf>
    <xf numFmtId="0" fontId="21" fillId="0" borderId="0">
      <protection locked="0"/>
    </xf>
    <xf numFmtId="0" fontId="21" fillId="0" borderId="0">
      <protection locked="0"/>
    </xf>
    <xf numFmtId="0" fontId="19" fillId="0" borderId="0">
      <protection locked="0"/>
    </xf>
    <xf numFmtId="0" fontId="19" fillId="0" borderId="0">
      <protection locked="0"/>
    </xf>
    <xf numFmtId="0" fontId="19" fillId="0" borderId="0">
      <protection locked="0"/>
    </xf>
    <xf numFmtId="0" fontId="19" fillId="0" borderId="0">
      <protection locked="0"/>
    </xf>
    <xf numFmtId="0" fontId="19" fillId="0" borderId="0">
      <protection locked="0"/>
    </xf>
    <xf numFmtId="0" fontId="19" fillId="0" borderId="0">
      <protection locked="0"/>
    </xf>
    <xf numFmtId="0" fontId="21" fillId="0" borderId="0">
      <protection locked="0"/>
    </xf>
    <xf numFmtId="0" fontId="21" fillId="0" borderId="0">
      <protection locked="0"/>
    </xf>
    <xf numFmtId="175" fontId="19" fillId="0" borderId="0">
      <protection locked="0"/>
    </xf>
    <xf numFmtId="175" fontId="19" fillId="0" borderId="0">
      <protection locked="0"/>
    </xf>
    <xf numFmtId="4" fontId="19" fillId="0" borderId="0">
      <protection locked="0"/>
    </xf>
    <xf numFmtId="4" fontId="19" fillId="0" borderId="0">
      <protection locked="0"/>
    </xf>
    <xf numFmtId="175" fontId="19" fillId="0" borderId="0">
      <protection locked="0"/>
    </xf>
    <xf numFmtId="175" fontId="19" fillId="0" borderId="0">
      <protection locked="0"/>
    </xf>
    <xf numFmtId="0" fontId="20" fillId="0" borderId="0">
      <protection locked="0"/>
    </xf>
    <xf numFmtId="0" fontId="20" fillId="0" borderId="0">
      <protection locked="0"/>
    </xf>
    <xf numFmtId="0" fontId="20" fillId="0" borderId="0">
      <protection locked="0"/>
    </xf>
    <xf numFmtId="0" fontId="20" fillId="0" borderId="0">
      <protection locked="0"/>
    </xf>
    <xf numFmtId="176" fontId="19" fillId="0" borderId="0">
      <protection locked="0"/>
    </xf>
    <xf numFmtId="176" fontId="19" fillId="0" borderId="0">
      <protection locked="0"/>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3" fontId="2" fillId="0" borderId="0"/>
    <xf numFmtId="173" fontId="2" fillId="0" borderId="0"/>
    <xf numFmtId="177" fontId="19" fillId="0" borderId="0">
      <protection locked="0"/>
    </xf>
    <xf numFmtId="9" fontId="2" fillId="0" borderId="0" applyFont="0" applyFill="0" applyBorder="0" applyAlignment="0" applyProtection="0"/>
    <xf numFmtId="0" fontId="19" fillId="0" borderId="54">
      <protection locked="0"/>
    </xf>
    <xf numFmtId="0" fontId="19" fillId="0" borderId="54">
      <protection locked="0"/>
    </xf>
    <xf numFmtId="0" fontId="40" fillId="0" borderId="0"/>
    <xf numFmtId="171" fontId="41" fillId="0" borderId="0" applyFont="0" applyFill="0" applyBorder="0" applyAlignment="0" applyProtection="0"/>
    <xf numFmtId="9" fontId="41" fillId="0" borderId="0" applyFont="0" applyFill="0" applyBorder="0" applyAlignment="0" applyProtection="0"/>
    <xf numFmtId="0" fontId="2" fillId="0" borderId="0"/>
    <xf numFmtId="0" fontId="2" fillId="0" borderId="0"/>
    <xf numFmtId="166" fontId="2" fillId="0" borderId="0" applyFont="0" applyFill="0" applyBorder="0" applyAlignment="0" applyProtection="0"/>
    <xf numFmtId="171" fontId="2" fillId="0" borderId="0" applyFont="0" applyFill="0" applyBorder="0" applyAlignment="0" applyProtection="0"/>
    <xf numFmtId="166" fontId="1" fillId="0" borderId="0" applyFont="0" applyFill="0" applyBorder="0" applyAlignment="0" applyProtection="0"/>
    <xf numFmtId="179" fontId="2" fillId="0" borderId="0" applyFont="0" applyFill="0" applyBorder="0" applyAlignment="0" applyProtection="0"/>
    <xf numFmtId="165" fontId="1" fillId="0" borderId="0" applyFont="0" applyFill="0" applyBorder="0" applyAlignment="0" applyProtection="0"/>
    <xf numFmtId="0" fontId="71" fillId="0" borderId="0"/>
    <xf numFmtId="0" fontId="22" fillId="0" borderId="0">
      <alignment vertical="center"/>
    </xf>
    <xf numFmtId="0" fontId="40" fillId="0" borderId="0"/>
    <xf numFmtId="171" fontId="2" fillId="0" borderId="0" applyFont="0" applyFill="0" applyBorder="0" applyAlignment="0" applyProtection="0">
      <alignment vertical="center"/>
    </xf>
    <xf numFmtId="9" fontId="2" fillId="0" borderId="0" applyFont="0" applyFill="0" applyBorder="0" applyAlignment="0" applyProtection="0">
      <alignment vertical="center"/>
    </xf>
    <xf numFmtId="0" fontId="84" fillId="0" borderId="0">
      <alignment vertical="center"/>
    </xf>
    <xf numFmtId="0" fontId="1" fillId="0" borderId="0"/>
    <xf numFmtId="0" fontId="149" fillId="0" borderId="0">
      <alignment vertical="center"/>
    </xf>
    <xf numFmtId="0" fontId="22" fillId="0" borderId="0">
      <alignment vertical="center"/>
    </xf>
    <xf numFmtId="43" fontId="1" fillId="0" borderId="0" applyFont="0" applyFill="0" applyBorder="0" applyAlignment="0" applyProtection="0"/>
    <xf numFmtId="43" fontId="2" fillId="0" borderId="0" applyFont="0" applyFill="0" applyBorder="0" applyAlignment="0" applyProtection="0"/>
    <xf numFmtId="179" fontId="2" fillId="0" borderId="0" applyFont="0" applyFill="0" applyBorder="0" applyAlignment="0" applyProtection="0"/>
    <xf numFmtId="0" fontId="2" fillId="0" borderId="0"/>
    <xf numFmtId="0" fontId="194" fillId="0" borderId="0"/>
    <xf numFmtId="166"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179" fontId="2" fillId="0" borderId="0" applyFont="0" applyFill="0" applyBorder="0" applyAlignment="0" applyProtection="0"/>
    <xf numFmtId="9"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alignment vertical="center"/>
    </xf>
    <xf numFmtId="0" fontId="22" fillId="0" borderId="0">
      <alignment vertical="center"/>
    </xf>
    <xf numFmtId="0" fontId="22" fillId="0" borderId="0">
      <alignment vertical="center"/>
    </xf>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194"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alignment vertical="center"/>
    </xf>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2957">
    <xf numFmtId="0" fontId="0" fillId="0" borderId="0" xfId="0"/>
    <xf numFmtId="0" fontId="190" fillId="33" borderId="0" xfId="0" applyFont="1" applyFill="1" applyAlignment="1">
      <alignment horizontal="center" vertical="center" wrapText="1"/>
    </xf>
    <xf numFmtId="0" fontId="2" fillId="0" borderId="0" xfId="1"/>
    <xf numFmtId="0" fontId="10" fillId="0" borderId="0" xfId="1" applyFont="1"/>
    <xf numFmtId="49" fontId="13" fillId="0" borderId="0" xfId="1" applyNumberFormat="1" applyFont="1"/>
    <xf numFmtId="10" fontId="0" fillId="0" borderId="0" xfId="0" applyNumberFormat="1"/>
    <xf numFmtId="0" fontId="10" fillId="0" borderId="8" xfId="1" applyFont="1" applyBorder="1" applyAlignment="1">
      <alignment horizontal="center"/>
    </xf>
    <xf numFmtId="1" fontId="10" fillId="3" borderId="8" xfId="1" applyNumberFormat="1" applyFont="1" applyFill="1" applyBorder="1" applyAlignment="1">
      <alignment horizontal="center"/>
    </xf>
    <xf numFmtId="0" fontId="28" fillId="0" borderId="0" xfId="0" applyFont="1" applyAlignment="1">
      <alignment vertical="center"/>
    </xf>
    <xf numFmtId="0" fontId="2" fillId="0" borderId="0" xfId="77"/>
    <xf numFmtId="0" fontId="45" fillId="0" borderId="0" xfId="0" applyFont="1"/>
    <xf numFmtId="0" fontId="47" fillId="0" borderId="0" xfId="0" applyFont="1"/>
    <xf numFmtId="4" fontId="22" fillId="0" borderId="0" xfId="77" applyNumberFormat="1" applyFont="1"/>
    <xf numFmtId="0" fontId="23" fillId="0" borderId="0" xfId="77" applyFont="1"/>
    <xf numFmtId="0" fontId="22" fillId="0" borderId="0" xfId="77" applyFont="1"/>
    <xf numFmtId="0" fontId="27" fillId="0" borderId="0" xfId="77" applyFont="1"/>
    <xf numFmtId="0" fontId="25" fillId="0" borderId="0" xfId="77" applyFont="1"/>
    <xf numFmtId="0" fontId="28" fillId="0" borderId="0" xfId="77" applyFont="1" applyAlignment="1">
      <alignment horizontal="center"/>
    </xf>
    <xf numFmtId="4" fontId="25" fillId="0" borderId="0" xfId="77" applyNumberFormat="1" applyFont="1"/>
    <xf numFmtId="0" fontId="36" fillId="0" borderId="0" xfId="77" applyFont="1"/>
    <xf numFmtId="171" fontId="25" fillId="0" borderId="8" xfId="77" applyNumberFormat="1" applyFont="1" applyBorder="1"/>
    <xf numFmtId="171" fontId="23" fillId="0" borderId="8" xfId="77" applyNumberFormat="1" applyFont="1" applyBorder="1"/>
    <xf numFmtId="171" fontId="49" fillId="0" borderId="8" xfId="77" applyNumberFormat="1" applyFont="1" applyBorder="1"/>
    <xf numFmtId="0" fontId="23" fillId="0" borderId="8" xfId="77" applyFont="1" applyBorder="1" applyAlignment="1">
      <alignment horizontal="center"/>
    </xf>
    <xf numFmtId="171" fontId="31" fillId="0" borderId="26" xfId="77" applyNumberFormat="1" applyFont="1" applyBorder="1"/>
    <xf numFmtId="0" fontId="31" fillId="0" borderId="26" xfId="77" applyFont="1" applyBorder="1"/>
    <xf numFmtId="171" fontId="31" fillId="0" borderId="5" xfId="77" applyNumberFormat="1" applyFont="1" applyBorder="1"/>
    <xf numFmtId="0" fontId="31" fillId="0" borderId="5" xfId="77" applyFont="1" applyBorder="1"/>
    <xf numFmtId="171" fontId="29" fillId="0" borderId="3" xfId="77" applyNumberFormat="1" applyFont="1" applyBorder="1"/>
    <xf numFmtId="171" fontId="31" fillId="0" borderId="3" xfId="77" applyNumberFormat="1" applyFont="1" applyBorder="1"/>
    <xf numFmtId="49" fontId="31" fillId="0" borderId="33" xfId="77" applyNumberFormat="1" applyFont="1" applyBorder="1" applyAlignment="1">
      <alignment horizontal="right"/>
    </xf>
    <xf numFmtId="0" fontId="50" fillId="0" borderId="60" xfId="77" applyFont="1" applyBorder="1"/>
    <xf numFmtId="14" fontId="50" fillId="0" borderId="33" xfId="77" applyNumberFormat="1" applyFont="1" applyBorder="1"/>
    <xf numFmtId="2" fontId="50" fillId="0" borderId="34" xfId="77" applyNumberFormat="1" applyFont="1" applyBorder="1"/>
    <xf numFmtId="14" fontId="50" fillId="0" borderId="3" xfId="77" applyNumberFormat="1" applyFont="1" applyBorder="1"/>
    <xf numFmtId="171" fontId="31" fillId="0" borderId="33" xfId="77" applyNumberFormat="1" applyFont="1" applyBorder="1"/>
    <xf numFmtId="171" fontId="31" fillId="0" borderId="34" xfId="77" applyNumberFormat="1" applyFont="1" applyBorder="1"/>
    <xf numFmtId="0" fontId="29" fillId="0" borderId="17" xfId="77" applyFont="1" applyBorder="1" applyAlignment="1">
      <alignment horizontal="center" vertical="center"/>
    </xf>
    <xf numFmtId="0" fontId="29" fillId="0" borderId="8" xfId="77" applyFont="1" applyBorder="1" applyAlignment="1">
      <alignment horizontal="center"/>
    </xf>
    <xf numFmtId="0" fontId="29" fillId="0" borderId="8" xfId="77" applyFont="1" applyBorder="1" applyAlignment="1">
      <alignment horizontal="center" vertical="center"/>
    </xf>
    <xf numFmtId="0" fontId="29" fillId="0" borderId="27" xfId="77" applyFont="1" applyBorder="1" applyAlignment="1">
      <alignment horizontal="center" vertical="center"/>
    </xf>
    <xf numFmtId="0" fontId="29" fillId="0" borderId="24" xfId="77" applyFont="1" applyBorder="1" applyAlignment="1">
      <alignment horizontal="center" vertical="center"/>
    </xf>
    <xf numFmtId="0" fontId="2" fillId="3" borderId="0" xfId="77" applyFill="1" applyAlignment="1">
      <alignment vertical="center"/>
    </xf>
    <xf numFmtId="0" fontId="2" fillId="3" borderId="0" xfId="77" applyFill="1" applyAlignment="1">
      <alignment horizontal="left" vertical="center"/>
    </xf>
    <xf numFmtId="0" fontId="48" fillId="0" borderId="0" xfId="77" applyFont="1" applyAlignment="1">
      <alignment horizontal="left" vertical="center"/>
    </xf>
    <xf numFmtId="0" fontId="2" fillId="0" borderId="0" xfId="77" applyAlignment="1">
      <alignment horizontal="left" vertical="center"/>
    </xf>
    <xf numFmtId="0" fontId="48" fillId="0" borderId="0" xfId="77" applyFont="1" applyAlignment="1">
      <alignment horizontal="center" vertical="center"/>
    </xf>
    <xf numFmtId="0" fontId="2" fillId="0" borderId="0" xfId="77" applyAlignment="1">
      <alignment horizontal="center" vertical="center"/>
    </xf>
    <xf numFmtId="0" fontId="36" fillId="0" borderId="0" xfId="77" applyFont="1" applyAlignment="1">
      <alignment vertical="center"/>
    </xf>
    <xf numFmtId="0" fontId="48" fillId="0" borderId="0" xfId="77" applyFont="1" applyAlignment="1">
      <alignment vertical="center"/>
    </xf>
    <xf numFmtId="0" fontId="48" fillId="0" borderId="0" xfId="77" applyFont="1" applyAlignment="1">
      <alignment horizontal="center"/>
    </xf>
    <xf numFmtId="2" fontId="0" fillId="0" borderId="0" xfId="0" applyNumberFormat="1"/>
    <xf numFmtId="0" fontId="43" fillId="0" borderId="0" xfId="0" applyFont="1"/>
    <xf numFmtId="0" fontId="53" fillId="0" borderId="0" xfId="0" applyFont="1"/>
    <xf numFmtId="0" fontId="33" fillId="0" borderId="0" xfId="0" applyFont="1"/>
    <xf numFmtId="0" fontId="62" fillId="0" borderId="0" xfId="0" applyFont="1"/>
    <xf numFmtId="0" fontId="32" fillId="0" borderId="0" xfId="0" applyFont="1"/>
    <xf numFmtId="0" fontId="54" fillId="0" borderId="0" xfId="77" applyFont="1"/>
    <xf numFmtId="0" fontId="63" fillId="0" borderId="0" xfId="77" applyFont="1"/>
    <xf numFmtId="0" fontId="65" fillId="0" borderId="0" xfId="77" applyFont="1"/>
    <xf numFmtId="2" fontId="68" fillId="0" borderId="0" xfId="0" applyNumberFormat="1" applyFont="1" applyAlignment="1">
      <alignment horizontal="center"/>
    </xf>
    <xf numFmtId="2" fontId="38" fillId="0" borderId="0" xfId="1" applyNumberFormat="1" applyFont="1" applyAlignment="1">
      <alignment horizontal="center"/>
    </xf>
    <xf numFmtId="0" fontId="68" fillId="0" borderId="0" xfId="0" applyFont="1"/>
    <xf numFmtId="171" fontId="54" fillId="0" borderId="34" xfId="77" applyNumberFormat="1" applyFont="1" applyBorder="1" applyAlignment="1">
      <alignment horizontal="center"/>
    </xf>
    <xf numFmtId="171" fontId="70" fillId="0" borderId="75" xfId="77" applyNumberFormat="1" applyFont="1" applyBorder="1" applyAlignment="1">
      <alignment horizontal="center"/>
    </xf>
    <xf numFmtId="0" fontId="54" fillId="0" borderId="3" xfId="82" applyNumberFormat="1" applyFont="1" applyFill="1" applyBorder="1" applyAlignment="1">
      <alignment horizontal="center"/>
    </xf>
    <xf numFmtId="0" fontId="54" fillId="0" borderId="5" xfId="82" applyNumberFormat="1" applyFont="1" applyFill="1" applyBorder="1" applyAlignment="1">
      <alignment horizontal="center"/>
    </xf>
    <xf numFmtId="178" fontId="54" fillId="0" borderId="3" xfId="77" applyNumberFormat="1" applyFont="1" applyBorder="1" applyAlignment="1">
      <alignment horizontal="center"/>
    </xf>
    <xf numFmtId="178" fontId="54" fillId="0" borderId="4" xfId="77" applyNumberFormat="1" applyFont="1" applyBorder="1" applyAlignment="1">
      <alignment horizontal="center"/>
    </xf>
    <xf numFmtId="178" fontId="54" fillId="0" borderId="15" xfId="77" applyNumberFormat="1" applyFont="1" applyBorder="1" applyAlignment="1">
      <alignment horizontal="center"/>
    </xf>
    <xf numFmtId="178" fontId="54" fillId="0" borderId="16" xfId="77" applyNumberFormat="1" applyFont="1" applyBorder="1" applyAlignment="1">
      <alignment horizontal="center"/>
    </xf>
    <xf numFmtId="0" fontId="27" fillId="0" borderId="0" xfId="77" applyFont="1" applyAlignment="1">
      <alignment horizontal="center"/>
    </xf>
    <xf numFmtId="0" fontId="23" fillId="0" borderId="0" xfId="77" applyFont="1" applyAlignment="1">
      <alignment horizontal="center"/>
    </xf>
    <xf numFmtId="171" fontId="23" fillId="0" borderId="0" xfId="77" applyNumberFormat="1" applyFont="1"/>
    <xf numFmtId="171" fontId="27" fillId="0" borderId="0" xfId="77" applyNumberFormat="1" applyFont="1"/>
    <xf numFmtId="0" fontId="26" fillId="0" borderId="0" xfId="77" applyFont="1"/>
    <xf numFmtId="171" fontId="69" fillId="2" borderId="34" xfId="77" applyNumberFormat="1" applyFont="1" applyFill="1" applyBorder="1" applyAlignment="1">
      <alignment horizontal="center"/>
    </xf>
    <xf numFmtId="171" fontId="54" fillId="2" borderId="3" xfId="82" applyNumberFormat="1" applyFont="1" applyFill="1" applyBorder="1" applyAlignment="1">
      <alignment horizontal="center"/>
    </xf>
    <xf numFmtId="0" fontId="54" fillId="2" borderId="5" xfId="82" applyNumberFormat="1" applyFont="1" applyFill="1" applyBorder="1" applyAlignment="1">
      <alignment horizontal="center"/>
    </xf>
    <xf numFmtId="0" fontId="60" fillId="0" borderId="26" xfId="77" applyFont="1" applyBorder="1"/>
    <xf numFmtId="0" fontId="52" fillId="0" borderId="0" xfId="0" applyFont="1" applyAlignment="1">
      <alignment horizontal="center" vertical="center"/>
    </xf>
    <xf numFmtId="0" fontId="75" fillId="0" borderId="0" xfId="85" applyFont="1" applyAlignment="1">
      <alignment horizontal="center"/>
    </xf>
    <xf numFmtId="0" fontId="4" fillId="0" borderId="0" xfId="85" applyFont="1" applyAlignment="1"/>
    <xf numFmtId="0" fontId="3" fillId="0" borderId="22" xfId="85" applyFont="1" applyBorder="1" applyAlignment="1">
      <alignment horizontal="right"/>
    </xf>
    <xf numFmtId="0" fontId="4" fillId="0" borderId="0" xfId="85" applyFont="1" applyAlignment="1">
      <alignment horizontal="right"/>
    </xf>
    <xf numFmtId="0" fontId="3" fillId="0" borderId="23" xfId="85" applyFont="1" applyBorder="1" applyAlignment="1">
      <alignment horizontal="center" vertical="center"/>
    </xf>
    <xf numFmtId="0" fontId="4" fillId="0" borderId="0" xfId="85" applyFont="1" applyAlignment="1">
      <alignment horizontal="left"/>
    </xf>
    <xf numFmtId="0" fontId="3" fillId="0" borderId="0" xfId="85" applyFont="1" applyAlignment="1"/>
    <xf numFmtId="0" fontId="4" fillId="0" borderId="22" xfId="85" applyFont="1" applyBorder="1" applyAlignment="1"/>
    <xf numFmtId="0" fontId="3" fillId="0" borderId="0" xfId="85" applyFont="1" applyAlignment="1">
      <alignment horizontal="right"/>
    </xf>
    <xf numFmtId="0" fontId="7" fillId="0" borderId="22" xfId="85" applyFont="1" applyBorder="1" applyAlignment="1"/>
    <xf numFmtId="0" fontId="7" fillId="0" borderId="0" xfId="85" applyFont="1" applyAlignment="1"/>
    <xf numFmtId="0" fontId="5" fillId="0" borderId="0" xfId="85" applyFont="1" applyAlignment="1">
      <alignment horizontal="right"/>
    </xf>
    <xf numFmtId="0" fontId="5" fillId="0" borderId="23" xfId="85" applyFont="1" applyBorder="1" applyAlignment="1">
      <alignment horizontal="center" vertical="center"/>
    </xf>
    <xf numFmtId="0" fontId="5" fillId="0" borderId="0" xfId="85" applyFont="1" applyAlignment="1"/>
    <xf numFmtId="0" fontId="5" fillId="10" borderId="82" xfId="85" applyFont="1" applyFill="1" applyBorder="1" applyAlignment="1">
      <alignment horizontal="center" vertical="center" wrapText="1"/>
    </xf>
    <xf numFmtId="0" fontId="5" fillId="10" borderId="82" xfId="85" applyFont="1" applyFill="1" applyBorder="1" applyAlignment="1">
      <alignment horizontal="center" vertical="center"/>
    </xf>
    <xf numFmtId="0" fontId="5" fillId="0" borderId="0" xfId="85" applyFont="1" applyAlignment="1">
      <alignment horizontal="center" vertical="center" wrapText="1"/>
    </xf>
    <xf numFmtId="0" fontId="5" fillId="0" borderId="0" xfId="85" applyFont="1" applyAlignment="1">
      <alignment horizontal="center"/>
    </xf>
    <xf numFmtId="49" fontId="60" fillId="11" borderId="17" xfId="85" applyNumberFormat="1" applyFont="1" applyFill="1" applyBorder="1" applyAlignment="1">
      <alignment horizontal="left"/>
    </xf>
    <xf numFmtId="0" fontId="60" fillId="11" borderId="17" xfId="85" quotePrefix="1" applyFont="1" applyFill="1" applyBorder="1" applyAlignment="1">
      <alignment horizontal="left"/>
    </xf>
    <xf numFmtId="4" fontId="54" fillId="11" borderId="17" xfId="85" applyNumberFormat="1" applyFont="1" applyFill="1" applyBorder="1" applyAlignment="1"/>
    <xf numFmtId="4" fontId="54" fillId="11" borderId="17" xfId="85" quotePrefix="1" applyNumberFormat="1" applyFont="1" applyFill="1" applyBorder="1" applyAlignment="1">
      <alignment horizontal="left"/>
    </xf>
    <xf numFmtId="4" fontId="60" fillId="11" borderId="17" xfId="85" quotePrefix="1" applyNumberFormat="1" applyFont="1" applyFill="1" applyBorder="1" applyAlignment="1">
      <alignment horizontal="right"/>
    </xf>
    <xf numFmtId="0" fontId="60" fillId="11" borderId="17" xfId="85" quotePrefix="1" applyFont="1" applyFill="1" applyBorder="1" applyAlignment="1">
      <alignment horizontal="center" vertical="center"/>
    </xf>
    <xf numFmtId="0" fontId="60" fillId="11" borderId="0" xfId="85" quotePrefix="1" applyFont="1" applyFill="1" applyAlignment="1">
      <alignment horizontal="left"/>
    </xf>
    <xf numFmtId="0" fontId="54" fillId="11" borderId="0" xfId="85" applyFont="1" applyFill="1" applyAlignment="1"/>
    <xf numFmtId="49" fontId="60" fillId="0" borderId="8" xfId="85" applyNumberFormat="1" applyFont="1" applyBorder="1" applyAlignment="1">
      <alignment horizontal="left"/>
    </xf>
    <xf numFmtId="0" fontId="60" fillId="0" borderId="8" xfId="85" quotePrefix="1" applyFont="1" applyBorder="1" applyAlignment="1">
      <alignment horizontal="left" wrapText="1" indent="1"/>
    </xf>
    <xf numFmtId="4" fontId="60" fillId="0" borderId="8" xfId="85" applyNumberFormat="1" applyFont="1" applyBorder="1" applyAlignment="1">
      <alignment horizontal="center"/>
    </xf>
    <xf numFmtId="4" fontId="60" fillId="0" borderId="8" xfId="85" quotePrefix="1" applyNumberFormat="1" applyFont="1" applyBorder="1" applyAlignment="1">
      <alignment horizontal="center"/>
    </xf>
    <xf numFmtId="4" fontId="60" fillId="0" borderId="8" xfId="85" quotePrefix="1" applyNumberFormat="1" applyFont="1" applyBorder="1" applyAlignment="1">
      <alignment horizontal="right"/>
    </xf>
    <xf numFmtId="0" fontId="60" fillId="0" borderId="8" xfId="85" applyFont="1" applyBorder="1" applyAlignment="1">
      <alignment horizontal="center" vertical="center"/>
    </xf>
    <xf numFmtId="0" fontId="60" fillId="0" borderId="0" xfId="85" quotePrefix="1" applyFont="1" applyAlignment="1">
      <alignment horizontal="left"/>
    </xf>
    <xf numFmtId="0" fontId="60" fillId="0" borderId="0" xfId="85" applyFont="1" applyAlignment="1"/>
    <xf numFmtId="0" fontId="60" fillId="0" borderId="8" xfId="85" quotePrefix="1" applyFont="1" applyBorder="1" applyAlignment="1">
      <alignment horizontal="left" indent="1"/>
    </xf>
    <xf numFmtId="49" fontId="54" fillId="0" borderId="8" xfId="85" applyNumberFormat="1" applyFont="1" applyBorder="1" applyAlignment="1">
      <alignment horizontal="left"/>
    </xf>
    <xf numFmtId="0" fontId="54" fillId="0" borderId="8" xfId="85" quotePrefix="1" applyFont="1" applyBorder="1" applyAlignment="1">
      <alignment horizontal="left"/>
    </xf>
    <xf numFmtId="4" fontId="54" fillId="0" borderId="8" xfId="85" applyNumberFormat="1" applyFont="1" applyBorder="1" applyAlignment="1">
      <alignment horizontal="center"/>
    </xf>
    <xf numFmtId="4" fontId="54" fillId="0" borderId="8" xfId="85" quotePrefix="1" applyNumberFormat="1" applyFont="1" applyBorder="1" applyAlignment="1">
      <alignment horizontal="center"/>
    </xf>
    <xf numFmtId="4" fontId="54" fillId="0" borderId="8" xfId="85" quotePrefix="1" applyNumberFormat="1" applyFont="1" applyBorder="1" applyAlignment="1">
      <alignment horizontal="right"/>
    </xf>
    <xf numFmtId="0" fontId="60" fillId="0" borderId="8" xfId="85" quotePrefix="1" applyFont="1" applyBorder="1" applyAlignment="1">
      <alignment horizontal="center" vertical="center"/>
    </xf>
    <xf numFmtId="0" fontId="54" fillId="0" borderId="0" xfId="85" applyFont="1" applyAlignment="1"/>
    <xf numFmtId="49" fontId="60" fillId="11" borderId="8" xfId="85" applyNumberFormat="1" applyFont="1" applyFill="1" applyBorder="1" applyAlignment="1">
      <alignment horizontal="left"/>
    </xf>
    <xf numFmtId="0" fontId="60" fillId="11" borderId="8" xfId="85" quotePrefix="1" applyFont="1" applyFill="1" applyBorder="1" applyAlignment="1">
      <alignment horizontal="left"/>
    </xf>
    <xf numFmtId="4" fontId="54" fillId="11" borderId="8" xfId="85" applyNumberFormat="1" applyFont="1" applyFill="1" applyBorder="1" applyAlignment="1">
      <alignment horizontal="center"/>
    </xf>
    <xf numFmtId="4" fontId="54" fillId="11" borderId="8" xfId="85" quotePrefix="1" applyNumberFormat="1" applyFont="1" applyFill="1" applyBorder="1" applyAlignment="1">
      <alignment horizontal="center"/>
    </xf>
    <xf numFmtId="4" fontId="54" fillId="11" borderId="8" xfId="85" quotePrefix="1" applyNumberFormat="1" applyFont="1" applyFill="1" applyBorder="1" applyAlignment="1">
      <alignment horizontal="right"/>
    </xf>
    <xf numFmtId="4" fontId="60" fillId="11" borderId="8" xfId="85" quotePrefix="1" applyNumberFormat="1" applyFont="1" applyFill="1" applyBorder="1" applyAlignment="1">
      <alignment horizontal="right"/>
    </xf>
    <xf numFmtId="0" fontId="60" fillId="11" borderId="8" xfId="85" quotePrefix="1" applyFont="1" applyFill="1" applyBorder="1" applyAlignment="1">
      <alignment horizontal="center" vertical="center"/>
    </xf>
    <xf numFmtId="49" fontId="54" fillId="0" borderId="8" xfId="85" quotePrefix="1" applyNumberFormat="1" applyFont="1" applyBorder="1" applyAlignment="1">
      <alignment horizontal="left"/>
    </xf>
    <xf numFmtId="0" fontId="36" fillId="0" borderId="8" xfId="86" applyFont="1" applyBorder="1" applyAlignment="1">
      <alignment horizontal="left" vertical="center" indent="2"/>
    </xf>
    <xf numFmtId="0" fontId="36" fillId="0" borderId="8" xfId="86" applyFont="1" applyBorder="1" applyAlignment="1">
      <alignment horizontal="center" vertical="center"/>
    </xf>
    <xf numFmtId="2" fontId="48" fillId="0" borderId="8" xfId="86" applyNumberFormat="1" applyFont="1" applyBorder="1" applyAlignment="1">
      <alignment horizontal="right" vertical="center"/>
    </xf>
    <xf numFmtId="171" fontId="48" fillId="0" borderId="8" xfId="87" applyFont="1" applyFill="1" applyBorder="1" applyAlignment="1">
      <alignment horizontal="right" vertical="center"/>
    </xf>
    <xf numFmtId="0" fontId="48" fillId="0" borderId="8" xfId="86" applyFont="1" applyBorder="1" applyAlignment="1">
      <alignment horizontal="left" vertical="center" indent="2"/>
    </xf>
    <xf numFmtId="4" fontId="54" fillId="0" borderId="0" xfId="85" applyNumberFormat="1" applyFont="1" applyAlignment="1"/>
    <xf numFmtId="0" fontId="54" fillId="0" borderId="8" xfId="85" applyFont="1" applyBorder="1" applyAlignment="1">
      <alignment horizontal="right"/>
    </xf>
    <xf numFmtId="0" fontId="54" fillId="0" borderId="8" xfId="85" quotePrefix="1" applyFont="1" applyBorder="1" applyAlignment="1">
      <alignment horizontal="center"/>
    </xf>
    <xf numFmtId="0" fontId="54" fillId="0" borderId="8" xfId="85" applyFont="1" applyBorder="1" applyAlignment="1">
      <alignment horizontal="left" indent="2"/>
    </xf>
    <xf numFmtId="0" fontId="54" fillId="0" borderId="8" xfId="85" quotePrefix="1" applyFont="1" applyBorder="1" applyAlignment="1">
      <alignment horizontal="left" indent="2"/>
    </xf>
    <xf numFmtId="4" fontId="54" fillId="0" borderId="8" xfId="85" quotePrefix="1" applyNumberFormat="1" applyFont="1" applyBorder="1" applyAlignment="1">
      <alignment horizontal="left"/>
    </xf>
    <xf numFmtId="0" fontId="54" fillId="0" borderId="8" xfId="85" quotePrefix="1" applyFont="1" applyBorder="1" applyAlignment="1">
      <alignment horizontal="right" indent="2"/>
    </xf>
    <xf numFmtId="49" fontId="60" fillId="7" borderId="8" xfId="85" applyNumberFormat="1" applyFont="1" applyFill="1" applyBorder="1" applyAlignment="1">
      <alignment horizontal="left"/>
    </xf>
    <xf numFmtId="0" fontId="60" fillId="7" borderId="8" xfId="85" quotePrefix="1" applyFont="1" applyFill="1" applyBorder="1" applyAlignment="1">
      <alignment horizontal="left"/>
    </xf>
    <xf numFmtId="4" fontId="54" fillId="7" borderId="8" xfId="85" applyNumberFormat="1" applyFont="1" applyFill="1" applyBorder="1" applyAlignment="1">
      <alignment horizontal="center"/>
    </xf>
    <xf numFmtId="4" fontId="54" fillId="7" borderId="8" xfId="85" quotePrefix="1" applyNumberFormat="1" applyFont="1" applyFill="1" applyBorder="1" applyAlignment="1">
      <alignment horizontal="center"/>
    </xf>
    <xf numFmtId="4" fontId="54" fillId="7" borderId="8" xfId="85" quotePrefix="1" applyNumberFormat="1" applyFont="1" applyFill="1" applyBorder="1" applyAlignment="1">
      <alignment horizontal="right"/>
    </xf>
    <xf numFmtId="4" fontId="60" fillId="7" borderId="8" xfId="85" quotePrefix="1" applyNumberFormat="1" applyFont="1" applyFill="1" applyBorder="1" applyAlignment="1">
      <alignment horizontal="right"/>
    </xf>
    <xf numFmtId="0" fontId="60" fillId="7" borderId="8" xfId="85" quotePrefix="1" applyFont="1" applyFill="1" applyBorder="1" applyAlignment="1">
      <alignment horizontal="center" vertical="center"/>
    </xf>
    <xf numFmtId="0" fontId="60" fillId="7" borderId="0" xfId="85" quotePrefix="1" applyFont="1" applyFill="1" applyAlignment="1">
      <alignment horizontal="left"/>
    </xf>
    <xf numFmtId="0" fontId="54" fillId="7" borderId="0" xfId="85" applyFont="1" applyFill="1" applyAlignment="1"/>
    <xf numFmtId="0" fontId="60" fillId="0" borderId="8" xfId="85" applyFont="1" applyBorder="1" applyAlignment="1">
      <alignment horizontal="left" indent="2"/>
    </xf>
    <xf numFmtId="4" fontId="60" fillId="0" borderId="0" xfId="85" applyNumberFormat="1" applyFont="1" applyAlignment="1"/>
    <xf numFmtId="49" fontId="60" fillId="0" borderId="8" xfId="85" quotePrefix="1" applyNumberFormat="1" applyFont="1" applyBorder="1" applyAlignment="1">
      <alignment horizontal="left"/>
    </xf>
    <xf numFmtId="0" fontId="36" fillId="0" borderId="8" xfId="86" applyFont="1" applyBorder="1" applyAlignment="1">
      <alignment horizontal="right" vertical="center" indent="2"/>
    </xf>
    <xf numFmtId="0" fontId="48" fillId="0" borderId="8" xfId="86" applyFont="1" applyBorder="1" applyAlignment="1">
      <alignment horizontal="right" vertical="center" indent="2"/>
    </xf>
    <xf numFmtId="0" fontId="60" fillId="0" borderId="8" xfId="85" quotePrefix="1" applyFont="1" applyBorder="1" applyAlignment="1">
      <alignment horizontal="left"/>
    </xf>
    <xf numFmtId="0" fontId="60" fillId="0" borderId="8" xfId="85" quotePrefix="1" applyFont="1" applyBorder="1" applyAlignment="1">
      <alignment horizontal="left" indent="2"/>
    </xf>
    <xf numFmtId="0" fontId="60" fillId="0" borderId="8" xfId="85" applyFont="1" applyBorder="1" applyAlignment="1">
      <alignment horizontal="right"/>
    </xf>
    <xf numFmtId="170" fontId="60" fillId="0" borderId="8" xfId="85" quotePrefix="1" applyNumberFormat="1" applyFont="1" applyBorder="1" applyAlignment="1">
      <alignment horizontal="center"/>
    </xf>
    <xf numFmtId="1" fontId="60" fillId="0" borderId="0" xfId="85" applyNumberFormat="1" applyFont="1" applyAlignment="1"/>
    <xf numFmtId="1" fontId="54" fillId="0" borderId="0" xfId="85" applyNumberFormat="1" applyFont="1" applyAlignment="1"/>
    <xf numFmtId="0" fontId="60" fillId="0" borderId="8" xfId="85" applyFont="1" applyBorder="1" applyAlignment="1"/>
    <xf numFmtId="4" fontId="60" fillId="0" borderId="8" xfId="85" applyNumberFormat="1" applyFont="1" applyBorder="1" applyAlignment="1">
      <alignment horizontal="left"/>
    </xf>
    <xf numFmtId="181" fontId="60" fillId="0" borderId="8" xfId="85" quotePrefix="1" applyNumberFormat="1" applyFont="1" applyBorder="1" applyAlignment="1">
      <alignment horizontal="center"/>
    </xf>
    <xf numFmtId="3" fontId="54" fillId="0" borderId="8" xfId="85" quotePrefix="1" applyNumberFormat="1" applyFont="1" applyBorder="1" applyAlignment="1">
      <alignment horizontal="center"/>
    </xf>
    <xf numFmtId="0" fontId="60" fillId="11" borderId="8" xfId="85" applyFont="1" applyFill="1" applyBorder="1" applyAlignment="1">
      <alignment horizontal="left"/>
    </xf>
    <xf numFmtId="4" fontId="54" fillId="11" borderId="0" xfId="85" applyNumberFormat="1" applyFont="1" applyFill="1" applyAlignment="1"/>
    <xf numFmtId="1" fontId="54" fillId="11" borderId="0" xfId="85" applyNumberFormat="1" applyFont="1" applyFill="1" applyAlignment="1"/>
    <xf numFmtId="0" fontId="60" fillId="0" borderId="8" xfId="85" applyFont="1" applyBorder="1" applyAlignment="1">
      <alignment horizontal="left" indent="1"/>
    </xf>
    <xf numFmtId="0" fontId="60" fillId="0" borderId="0" xfId="85" applyFont="1" applyAlignment="1">
      <alignment horizontal="right"/>
    </xf>
    <xf numFmtId="0" fontId="60" fillId="0" borderId="8" xfId="85" applyFont="1" applyBorder="1" applyAlignment="1">
      <alignment horizontal="center"/>
    </xf>
    <xf numFmtId="0" fontId="54" fillId="0" borderId="8" xfId="85" applyFont="1" applyBorder="1" applyAlignment="1"/>
    <xf numFmtId="0" fontId="54" fillId="0" borderId="8" xfId="85" applyFont="1" applyBorder="1" applyAlignment="1">
      <alignment horizontal="center"/>
    </xf>
    <xf numFmtId="0" fontId="60" fillId="0" borderId="8" xfId="85" applyFont="1" applyBorder="1" applyAlignment="1">
      <alignment horizontal="right" indent="1"/>
    </xf>
    <xf numFmtId="0" fontId="60" fillId="0" borderId="8" xfId="85" applyFont="1" applyBorder="1" applyAlignment="1">
      <alignment horizontal="left"/>
    </xf>
    <xf numFmtId="4" fontId="76" fillId="11" borderId="8" xfId="85" quotePrefix="1" applyNumberFormat="1" applyFont="1" applyFill="1" applyBorder="1" applyAlignment="1">
      <alignment horizontal="center"/>
    </xf>
    <xf numFmtId="0" fontId="60" fillId="7" borderId="8" xfId="85" applyFont="1" applyFill="1" applyBorder="1" applyAlignment="1">
      <alignment horizontal="left" indent="1"/>
    </xf>
    <xf numFmtId="0" fontId="77" fillId="0" borderId="8" xfId="85" applyFont="1" applyBorder="1" applyAlignment="1"/>
    <xf numFmtId="0" fontId="78" fillId="0" borderId="8" xfId="85" applyFont="1" applyBorder="1" applyAlignment="1"/>
    <xf numFmtId="0" fontId="60" fillId="0" borderId="8" xfId="86" applyFont="1" applyBorder="1" applyAlignment="1">
      <alignment horizontal="center" vertical="center"/>
    </xf>
    <xf numFmtId="0" fontId="54" fillId="0" borderId="8" xfId="86" applyFont="1" applyBorder="1" applyAlignment="1">
      <alignment vertical="center"/>
    </xf>
    <xf numFmtId="166" fontId="54" fillId="0" borderId="8" xfId="87" applyNumberFormat="1" applyFont="1" applyFill="1" applyBorder="1" applyAlignment="1">
      <alignment horizontal="right" vertical="center"/>
    </xf>
    <xf numFmtId="4" fontId="60" fillId="0" borderId="8" xfId="86" applyNumberFormat="1" applyFont="1" applyBorder="1" applyAlignment="1">
      <alignment vertical="center"/>
    </xf>
    <xf numFmtId="0" fontId="79" fillId="11" borderId="8" xfId="86" applyFont="1" applyFill="1" applyBorder="1" applyAlignment="1">
      <alignment vertical="center"/>
    </xf>
    <xf numFmtId="4" fontId="79" fillId="11" borderId="8" xfId="86" applyNumberFormat="1" applyFont="1" applyFill="1" applyBorder="1" applyAlignment="1">
      <alignment vertical="center"/>
    </xf>
    <xf numFmtId="0" fontId="54" fillId="0" borderId="8" xfId="86" applyFont="1" applyBorder="1" applyAlignment="1">
      <alignment horizontal="left" vertical="center" indent="1"/>
    </xf>
    <xf numFmtId="2" fontId="54" fillId="0" borderId="8" xfId="86" applyNumberFormat="1" applyFont="1" applyBorder="1" applyAlignment="1">
      <alignment horizontal="center" vertical="center"/>
    </xf>
    <xf numFmtId="0" fontId="54" fillId="0" borderId="24" xfId="86" applyFont="1" applyBorder="1" applyAlignment="1">
      <alignment vertical="center"/>
    </xf>
    <xf numFmtId="0" fontId="54" fillId="0" borderId="24" xfId="86" applyFont="1" applyBorder="1" applyAlignment="1">
      <alignment horizontal="left" vertical="center" indent="1"/>
    </xf>
    <xf numFmtId="2" fontId="54" fillId="0" borderId="24" xfId="86" applyNumberFormat="1" applyFont="1" applyBorder="1" applyAlignment="1">
      <alignment horizontal="center" vertical="center"/>
    </xf>
    <xf numFmtId="166" fontId="54" fillId="0" borderId="24" xfId="87" applyNumberFormat="1" applyFont="1" applyFill="1" applyBorder="1" applyAlignment="1">
      <alignment horizontal="right" vertical="center"/>
    </xf>
    <xf numFmtId="4" fontId="60" fillId="0" borderId="24" xfId="86" applyNumberFormat="1" applyFont="1" applyBorder="1"/>
    <xf numFmtId="0" fontId="60" fillId="0" borderId="24" xfId="86" applyFont="1" applyBorder="1" applyAlignment="1">
      <alignment horizontal="center" vertical="center"/>
    </xf>
    <xf numFmtId="0" fontId="5" fillId="0" borderId="0" xfId="85" applyFont="1" applyAlignment="1">
      <alignment horizontal="center" vertical="center"/>
    </xf>
    <xf numFmtId="0" fontId="2" fillId="0" borderId="0" xfId="85" applyFont="1">
      <alignment vertical="center"/>
    </xf>
    <xf numFmtId="0" fontId="27" fillId="0" borderId="0" xfId="86" applyFont="1" applyAlignment="1">
      <alignment vertical="center"/>
    </xf>
    <xf numFmtId="0" fontId="27" fillId="0" borderId="0" xfId="86" applyFont="1" applyAlignment="1">
      <alignment horizontal="left" vertical="center"/>
    </xf>
    <xf numFmtId="0" fontId="27" fillId="0" borderId="0" xfId="86" applyFont="1" applyAlignment="1">
      <alignment horizontal="center" vertical="center"/>
    </xf>
    <xf numFmtId="0" fontId="27" fillId="0" borderId="0" xfId="86" applyFont="1" applyAlignment="1">
      <alignment horizontal="right" vertical="center"/>
    </xf>
    <xf numFmtId="17" fontId="30" fillId="0" borderId="0" xfId="86" applyNumberFormat="1" applyFont="1" applyAlignment="1">
      <alignment horizontal="left" vertical="center"/>
    </xf>
    <xf numFmtId="0" fontId="30" fillId="0" borderId="0" xfId="86" applyFont="1" applyAlignment="1">
      <alignment horizontal="right" vertical="center"/>
    </xf>
    <xf numFmtId="0" fontId="27" fillId="0" borderId="24" xfId="85" applyFont="1" applyBorder="1" applyAlignment="1">
      <alignment horizontal="center"/>
    </xf>
    <xf numFmtId="0" fontId="33" fillId="12" borderId="9" xfId="85" applyFont="1" applyFill="1" applyBorder="1">
      <alignment vertical="center"/>
    </xf>
    <xf numFmtId="0" fontId="80" fillId="12" borderId="10" xfId="85" applyFont="1" applyFill="1" applyBorder="1">
      <alignment vertical="center"/>
    </xf>
    <xf numFmtId="0" fontId="2" fillId="12" borderId="10" xfId="85" applyFont="1" applyFill="1" applyBorder="1" applyAlignment="1"/>
    <xf numFmtId="0" fontId="2" fillId="12" borderId="11" xfId="85" applyFont="1" applyFill="1" applyBorder="1" applyAlignment="1"/>
    <xf numFmtId="0" fontId="33" fillId="0" borderId="12" xfId="85" applyFont="1" applyBorder="1">
      <alignment vertical="center"/>
    </xf>
    <xf numFmtId="0" fontId="33" fillId="0" borderId="8" xfId="85" applyFont="1" applyBorder="1" applyAlignment="1">
      <alignment horizontal="left" vertical="center" indent="1"/>
    </xf>
    <xf numFmtId="0" fontId="33" fillId="0" borderId="8" xfId="85" applyFont="1" applyBorder="1" applyAlignment="1">
      <alignment horizontal="center" vertical="center"/>
    </xf>
    <xf numFmtId="182" fontId="33" fillId="0" borderId="13" xfId="85" applyNumberFormat="1" applyFont="1" applyBorder="1" applyAlignment="1">
      <alignment horizontal="right" vertical="center"/>
    </xf>
    <xf numFmtId="0" fontId="2" fillId="0" borderId="12" xfId="85" applyFont="1" applyBorder="1" applyAlignment="1"/>
    <xf numFmtId="0" fontId="2" fillId="0" borderId="8" xfId="85" applyFont="1" applyBorder="1" applyAlignment="1"/>
    <xf numFmtId="0" fontId="2" fillId="0" borderId="8" xfId="85" applyFont="1" applyBorder="1" applyAlignment="1">
      <alignment horizontal="center"/>
    </xf>
    <xf numFmtId="0" fontId="2" fillId="0" borderId="13" xfId="85" applyFont="1" applyBorder="1" applyAlignment="1"/>
    <xf numFmtId="0" fontId="33" fillId="12" borderId="12" xfId="85" applyFont="1" applyFill="1" applyBorder="1">
      <alignment vertical="center"/>
    </xf>
    <xf numFmtId="0" fontId="80" fillId="12" borderId="8" xfId="85" applyFont="1" applyFill="1" applyBorder="1">
      <alignment vertical="center"/>
    </xf>
    <xf numFmtId="0" fontId="2" fillId="12" borderId="8" xfId="85" applyFont="1" applyFill="1" applyBorder="1" applyAlignment="1">
      <alignment horizontal="center"/>
    </xf>
    <xf numFmtId="0" fontId="2" fillId="12" borderId="13" xfId="85" applyFont="1" applyFill="1" applyBorder="1" applyAlignment="1"/>
    <xf numFmtId="0" fontId="33" fillId="13" borderId="12" xfId="85" applyFont="1" applyFill="1" applyBorder="1">
      <alignment vertical="center"/>
    </xf>
    <xf numFmtId="0" fontId="32" fillId="13" borderId="8" xfId="85" applyFont="1" applyFill="1" applyBorder="1" applyAlignment="1">
      <alignment horizontal="left" vertical="center" indent="1"/>
    </xf>
    <xf numFmtId="0" fontId="2" fillId="13" borderId="8" xfId="85" applyFont="1" applyFill="1" applyBorder="1" applyAlignment="1">
      <alignment horizontal="center"/>
    </xf>
    <xf numFmtId="0" fontId="2" fillId="13" borderId="13" xfId="85" applyFont="1" applyFill="1" applyBorder="1" applyAlignment="1"/>
    <xf numFmtId="0" fontId="33" fillId="0" borderId="8" xfId="85" applyFont="1" applyBorder="1" applyAlignment="1">
      <alignment horizontal="left" vertical="center" indent="2"/>
    </xf>
    <xf numFmtId="4" fontId="33" fillId="0" borderId="8" xfId="85" applyNumberFormat="1" applyFont="1" applyBorder="1" applyAlignment="1">
      <alignment horizontal="left" vertical="center" indent="2"/>
    </xf>
    <xf numFmtId="0" fontId="33" fillId="0" borderId="14" xfId="85" applyFont="1" applyBorder="1">
      <alignment vertical="center"/>
    </xf>
    <xf numFmtId="0" fontId="33" fillId="0" borderId="15" xfId="85" applyFont="1" applyBorder="1" applyAlignment="1">
      <alignment horizontal="left" vertical="center" indent="1"/>
    </xf>
    <xf numFmtId="0" fontId="33" fillId="0" borderId="15" xfId="85" applyFont="1" applyBorder="1" applyAlignment="1">
      <alignment horizontal="center" vertical="center"/>
    </xf>
    <xf numFmtId="182" fontId="33" fillId="0" borderId="16" xfId="85" applyNumberFormat="1" applyFont="1" applyBorder="1" applyAlignment="1">
      <alignment horizontal="right" vertical="center"/>
    </xf>
    <xf numFmtId="0" fontId="81" fillId="0" borderId="0" xfId="0" applyFont="1"/>
    <xf numFmtId="10" fontId="0" fillId="0" borderId="0" xfId="102" applyNumberFormat="1" applyFont="1"/>
    <xf numFmtId="9" fontId="0" fillId="0" borderId="0" xfId="102" applyFont="1"/>
    <xf numFmtId="166" fontId="0" fillId="0" borderId="0" xfId="93" applyNumberFormat="1" applyFont="1"/>
    <xf numFmtId="0" fontId="0" fillId="0" borderId="0" xfId="0" applyAlignment="1">
      <alignment horizontal="center"/>
    </xf>
    <xf numFmtId="0" fontId="54" fillId="2" borderId="3" xfId="82" applyNumberFormat="1" applyFont="1" applyFill="1" applyBorder="1" applyAlignment="1">
      <alignment horizontal="center"/>
    </xf>
    <xf numFmtId="0" fontId="0" fillId="0" borderId="8" xfId="0" applyBorder="1"/>
    <xf numFmtId="0" fontId="32" fillId="0" borderId="0" xfId="0" applyFont="1" applyAlignment="1">
      <alignment horizontal="left" vertical="center"/>
    </xf>
    <xf numFmtId="0" fontId="33" fillId="0" borderId="0" xfId="0" applyFont="1" applyAlignment="1">
      <alignment horizontal="left" vertical="center"/>
    </xf>
    <xf numFmtId="0" fontId="60" fillId="0" borderId="0" xfId="77" applyFont="1" applyAlignment="1">
      <alignment horizontal="center"/>
    </xf>
    <xf numFmtId="171" fontId="60" fillId="0" borderId="8" xfId="82" applyNumberFormat="1" applyFont="1" applyBorder="1" applyAlignment="1">
      <alignment horizontal="center"/>
    </xf>
    <xf numFmtId="165" fontId="60" fillId="0" borderId="0" xfId="83" applyFont="1" applyBorder="1" applyAlignment="1">
      <alignment horizontal="right"/>
    </xf>
    <xf numFmtId="0" fontId="0" fillId="0" borderId="0" xfId="0" quotePrefix="1"/>
    <xf numFmtId="0" fontId="0" fillId="0" borderId="0" xfId="0" applyAlignment="1">
      <alignment horizontal="left" indent="1"/>
    </xf>
    <xf numFmtId="0" fontId="0" fillId="5" borderId="0" xfId="0" applyFill="1"/>
    <xf numFmtId="0" fontId="0" fillId="5" borderId="0" xfId="0" applyFill="1" applyAlignment="1">
      <alignment horizontal="center"/>
    </xf>
    <xf numFmtId="0" fontId="0" fillId="5" borderId="0" xfId="0" quotePrefix="1" applyFill="1" applyAlignment="1">
      <alignment horizontal="center"/>
    </xf>
    <xf numFmtId="0" fontId="0" fillId="15" borderId="0" xfId="0" applyFill="1"/>
    <xf numFmtId="0" fontId="0" fillId="15" borderId="0" xfId="0" applyFill="1" applyAlignment="1">
      <alignment horizontal="left" indent="1"/>
    </xf>
    <xf numFmtId="166" fontId="0" fillId="0" borderId="0" xfId="0" applyNumberFormat="1"/>
    <xf numFmtId="166" fontId="0" fillId="0" borderId="8" xfId="0" applyNumberFormat="1" applyBorder="1"/>
    <xf numFmtId="0" fontId="15" fillId="0" borderId="25" xfId="0" quotePrefix="1" applyFont="1" applyBorder="1" applyAlignment="1">
      <alignment horizontal="center"/>
    </xf>
    <xf numFmtId="0" fontId="0" fillId="0" borderId="21" xfId="0" applyBorder="1"/>
    <xf numFmtId="0" fontId="0" fillId="0" borderId="26" xfId="0" applyBorder="1"/>
    <xf numFmtId="0" fontId="15" fillId="0" borderId="50" xfId="0" applyFont="1" applyBorder="1"/>
    <xf numFmtId="0" fontId="0" fillId="0" borderId="51" xfId="0" applyBorder="1"/>
    <xf numFmtId="0" fontId="0" fillId="0" borderId="56" xfId="0" applyBorder="1"/>
    <xf numFmtId="0" fontId="44" fillId="0" borderId="0" xfId="0" applyFont="1" applyAlignment="1">
      <alignment horizontal="left" indent="3"/>
    </xf>
    <xf numFmtId="0" fontId="44" fillId="0" borderId="25" xfId="0" applyFont="1" applyBorder="1" applyAlignment="1">
      <alignment horizontal="left" indent="3"/>
    </xf>
    <xf numFmtId="0" fontId="44" fillId="0" borderId="0" xfId="0" quotePrefix="1" applyFont="1" applyAlignment="1">
      <alignment horizontal="left" indent="2"/>
    </xf>
    <xf numFmtId="10" fontId="0" fillId="0" borderId="8" xfId="102" applyNumberFormat="1" applyFont="1" applyBorder="1"/>
    <xf numFmtId="0" fontId="0" fillId="0" borderId="8" xfId="0" applyBorder="1" applyAlignment="1">
      <alignment horizontal="center"/>
    </xf>
    <xf numFmtId="14" fontId="15" fillId="0" borderId="8" xfId="0" applyNumberFormat="1" applyFont="1" applyBorder="1" applyAlignment="1">
      <alignment horizontal="center"/>
    </xf>
    <xf numFmtId="0" fontId="0" fillId="0" borderId="0" xfId="0" applyAlignment="1">
      <alignment horizontal="left"/>
    </xf>
    <xf numFmtId="14" fontId="0" fillId="0" borderId="0" xfId="0" applyNumberFormat="1" applyAlignment="1">
      <alignment horizontal="center"/>
    </xf>
    <xf numFmtId="0" fontId="0" fillId="0" borderId="0" xfId="0" applyAlignment="1">
      <alignment horizontal="right"/>
    </xf>
    <xf numFmtId="0" fontId="0" fillId="0" borderId="0" xfId="102" applyNumberFormat="1" applyFont="1" applyFill="1"/>
    <xf numFmtId="0" fontId="10" fillId="0" borderId="0" xfId="0" applyFont="1" applyAlignment="1">
      <alignment vertical="center"/>
    </xf>
    <xf numFmtId="0" fontId="10" fillId="0" borderId="0" xfId="0" applyFont="1" applyAlignment="1">
      <alignment horizontal="left" vertical="center"/>
    </xf>
    <xf numFmtId="0" fontId="86" fillId="0" borderId="0" xfId="0" applyFont="1" applyAlignment="1">
      <alignment horizontal="left" vertical="center"/>
    </xf>
    <xf numFmtId="0" fontId="45" fillId="0" borderId="0" xfId="0" applyFont="1" applyAlignment="1">
      <alignment horizontal="left" vertical="center"/>
    </xf>
    <xf numFmtId="0" fontId="85" fillId="0" borderId="0" xfId="0" applyFont="1" applyAlignment="1">
      <alignment horizontal="center" vertical="center"/>
    </xf>
    <xf numFmtId="0" fontId="45" fillId="0" borderId="0" xfId="0" applyFont="1" applyAlignment="1">
      <alignment horizontal="center" vertical="center"/>
    </xf>
    <xf numFmtId="0" fontId="10" fillId="0" borderId="0" xfId="0" applyFont="1" applyAlignment="1">
      <alignment horizontal="center" vertical="center"/>
    </xf>
    <xf numFmtId="0" fontId="85" fillId="0" borderId="0" xfId="0" applyFont="1" applyAlignment="1">
      <alignment vertical="center"/>
    </xf>
    <xf numFmtId="0" fontId="13" fillId="0" borderId="0" xfId="0" applyFont="1" applyAlignment="1">
      <alignment vertical="center"/>
    </xf>
    <xf numFmtId="0" fontId="17" fillId="0" borderId="0" xfId="0" applyFont="1" applyAlignment="1">
      <alignment vertical="center"/>
    </xf>
    <xf numFmtId="0" fontId="45" fillId="0" borderId="0" xfId="0" applyFont="1" applyAlignment="1">
      <alignment vertical="center"/>
    </xf>
    <xf numFmtId="0" fontId="10" fillId="0" borderId="0" xfId="0" applyFont="1" applyAlignment="1">
      <alignment horizontal="right" vertical="center"/>
    </xf>
    <xf numFmtId="0" fontId="13" fillId="0" borderId="0" xfId="0" applyFont="1" applyAlignment="1">
      <alignment horizontal="center" vertical="center"/>
    </xf>
    <xf numFmtId="0" fontId="10" fillId="0" borderId="0" xfId="0" applyFont="1"/>
    <xf numFmtId="0" fontId="90" fillId="0" borderId="0" xfId="0" applyFont="1"/>
    <xf numFmtId="0" fontId="10" fillId="0" borderId="0" xfId="102" applyNumberFormat="1" applyFont="1" applyFill="1" applyAlignment="1">
      <alignment horizontal="center" vertical="center"/>
    </xf>
    <xf numFmtId="0" fontId="90" fillId="0" borderId="0" xfId="0" applyFont="1" applyAlignment="1">
      <alignment vertical="center"/>
    </xf>
    <xf numFmtId="0" fontId="10" fillId="0" borderId="0" xfId="102" applyNumberFormat="1" applyFont="1" applyFill="1" applyAlignment="1">
      <alignment horizontal="left" vertical="center"/>
    </xf>
    <xf numFmtId="0" fontId="91" fillId="0" borderId="0" xfId="0" applyFont="1" applyAlignment="1">
      <alignment horizontal="center" vertical="center"/>
    </xf>
    <xf numFmtId="0" fontId="93" fillId="0" borderId="0" xfId="0" applyFont="1" applyAlignment="1">
      <alignment horizontal="center" vertical="center"/>
    </xf>
    <xf numFmtId="0" fontId="92" fillId="0" borderId="0" xfId="0" applyFont="1" applyAlignment="1">
      <alignment horizontal="center" vertical="center" wrapText="1"/>
    </xf>
    <xf numFmtId="0" fontId="13" fillId="0" borderId="0" xfId="0" applyFont="1" applyAlignment="1">
      <alignment vertical="top"/>
    </xf>
    <xf numFmtId="0" fontId="45" fillId="0" borderId="0" xfId="0" applyFont="1" applyAlignment="1">
      <alignment horizontal="center"/>
    </xf>
    <xf numFmtId="171" fontId="10" fillId="0" borderId="0" xfId="0" applyNumberFormat="1" applyFont="1" applyAlignment="1">
      <alignment horizontal="center" vertical="center"/>
    </xf>
    <xf numFmtId="0" fontId="92" fillId="0" borderId="0" xfId="0" applyFont="1" applyAlignment="1">
      <alignment horizontal="center" vertical="center"/>
    </xf>
    <xf numFmtId="10" fontId="92" fillId="0" borderId="0" xfId="0" applyNumberFormat="1" applyFont="1" applyAlignment="1">
      <alignment horizontal="center" vertical="center"/>
    </xf>
    <xf numFmtId="0" fontId="95" fillId="0" borderId="0" xfId="0" applyFont="1" applyAlignment="1">
      <alignment vertical="center"/>
    </xf>
    <xf numFmtId="0" fontId="92" fillId="0" borderId="25" xfId="0" applyFont="1" applyBorder="1" applyAlignment="1">
      <alignment vertical="center"/>
    </xf>
    <xf numFmtId="0" fontId="92" fillId="0" borderId="26" xfId="0" applyFont="1" applyBorder="1" applyAlignment="1">
      <alignment vertical="center"/>
    </xf>
    <xf numFmtId="0" fontId="92" fillId="0" borderId="21" xfId="0" applyFont="1" applyBorder="1" applyAlignment="1">
      <alignment vertical="center"/>
    </xf>
    <xf numFmtId="2" fontId="92" fillId="0" borderId="0" xfId="0" applyNumberFormat="1" applyFont="1" applyAlignment="1">
      <alignment horizontal="center" vertical="center"/>
    </xf>
    <xf numFmtId="0" fontId="45" fillId="0" borderId="0" xfId="0" applyFont="1" applyAlignment="1">
      <alignment vertical="top"/>
    </xf>
    <xf numFmtId="0" fontId="10" fillId="0" borderId="0" xfId="102" applyNumberFormat="1" applyFont="1" applyFill="1" applyAlignment="1">
      <alignment vertical="center"/>
    </xf>
    <xf numFmtId="0" fontId="28" fillId="0" borderId="8" xfId="0" applyFont="1" applyBorder="1" applyAlignment="1">
      <alignment horizontal="center" vertical="center"/>
    </xf>
    <xf numFmtId="0" fontId="28" fillId="0" borderId="8" xfId="0" applyFont="1" applyBorder="1" applyAlignment="1">
      <alignment vertical="center"/>
    </xf>
    <xf numFmtId="4" fontId="97" fillId="9" borderId="8" xfId="0" applyNumberFormat="1" applyFont="1" applyFill="1" applyBorder="1" applyAlignment="1" applyProtection="1">
      <alignment vertical="center"/>
      <protection locked="0"/>
    </xf>
    <xf numFmtId="4" fontId="98" fillId="9" borderId="8" xfId="0" applyNumberFormat="1" applyFont="1" applyFill="1" applyBorder="1" applyAlignment="1" applyProtection="1">
      <alignment vertical="center"/>
      <protection locked="0"/>
    </xf>
    <xf numFmtId="0" fontId="99" fillId="0" borderId="0" xfId="0" applyFont="1" applyAlignment="1">
      <alignment vertical="center"/>
    </xf>
    <xf numFmtId="10" fontId="102" fillId="2" borderId="8" xfId="0" applyNumberFormat="1" applyFont="1" applyFill="1" applyBorder="1" applyAlignment="1">
      <alignment horizontal="right" vertical="center"/>
    </xf>
    <xf numFmtId="166" fontId="46" fillId="0" borderId="8" xfId="0" applyNumberFormat="1" applyFont="1" applyBorder="1" applyAlignment="1" applyProtection="1">
      <alignment vertical="center"/>
      <protection locked="0"/>
    </xf>
    <xf numFmtId="10" fontId="102" fillId="0" borderId="8" xfId="0" applyNumberFormat="1" applyFont="1" applyBorder="1" applyAlignment="1">
      <alignment horizontal="right" vertical="center"/>
    </xf>
    <xf numFmtId="0" fontId="102" fillId="0" borderId="8" xfId="0" applyFont="1" applyBorder="1"/>
    <xf numFmtId="0" fontId="102" fillId="2" borderId="8" xfId="0" applyFont="1" applyFill="1" applyBorder="1"/>
    <xf numFmtId="10" fontId="97" fillId="9" borderId="8" xfId="0" applyNumberFormat="1" applyFont="1" applyFill="1" applyBorder="1" applyAlignment="1">
      <alignment vertical="center"/>
    </xf>
    <xf numFmtId="4" fontId="99" fillId="2" borderId="8" xfId="0" applyNumberFormat="1" applyFont="1" applyFill="1" applyBorder="1" applyAlignment="1" applyProtection="1">
      <alignment vertical="center"/>
      <protection locked="0"/>
    </xf>
    <xf numFmtId="4" fontId="46" fillId="2" borderId="8" xfId="0" applyNumberFormat="1" applyFont="1" applyFill="1" applyBorder="1" applyAlignment="1" applyProtection="1">
      <alignment vertical="center"/>
      <protection locked="0"/>
    </xf>
    <xf numFmtId="0" fontId="102" fillId="0" borderId="0" xfId="0" applyFont="1" applyAlignment="1">
      <alignment vertical="center"/>
    </xf>
    <xf numFmtId="0" fontId="102" fillId="0" borderId="0" xfId="0" applyFont="1"/>
    <xf numFmtId="0" fontId="102" fillId="0" borderId="0" xfId="0" applyFont="1" applyAlignment="1">
      <alignment horizontal="left" vertical="center"/>
    </xf>
    <xf numFmtId="0" fontId="100" fillId="0" borderId="0" xfId="0" applyFont="1" applyAlignment="1">
      <alignment vertical="center"/>
    </xf>
    <xf numFmtId="10" fontId="99" fillId="0" borderId="0" xfId="0" applyNumberFormat="1" applyFont="1" applyAlignment="1">
      <alignment vertical="center"/>
    </xf>
    <xf numFmtId="0" fontId="103" fillId="0" borderId="0" xfId="0" applyFont="1" applyAlignment="1">
      <alignment horizontal="left" vertical="center"/>
    </xf>
    <xf numFmtId="0" fontId="103" fillId="0" borderId="0" xfId="0" applyFont="1" applyAlignment="1">
      <alignment horizontal="center" vertical="center"/>
    </xf>
    <xf numFmtId="0" fontId="83" fillId="0" borderId="0" xfId="0" applyFont="1" applyAlignment="1">
      <alignment horizontal="center"/>
    </xf>
    <xf numFmtId="0" fontId="83" fillId="0" borderId="0" xfId="0" applyFont="1"/>
    <xf numFmtId="0" fontId="82" fillId="0" borderId="0" xfId="0" applyFont="1" applyAlignment="1">
      <alignment vertical="center"/>
    </xf>
    <xf numFmtId="0" fontId="82" fillId="0" borderId="0" xfId="0" applyFont="1" applyAlignment="1">
      <alignment horizontal="center" vertical="center"/>
    </xf>
    <xf numFmtId="0" fontId="103" fillId="0" borderId="0" xfId="1" applyFont="1" applyAlignment="1">
      <alignment vertical="center"/>
    </xf>
    <xf numFmtId="4" fontId="103" fillId="0" borderId="0" xfId="0" applyNumberFormat="1" applyFont="1"/>
    <xf numFmtId="0" fontId="102" fillId="0" borderId="0" xfId="0" quotePrefix="1" applyFont="1"/>
    <xf numFmtId="0" fontId="103" fillId="0" borderId="0" xfId="1" applyFont="1"/>
    <xf numFmtId="4" fontId="82" fillId="0" borderId="0" xfId="0" applyNumberFormat="1" applyFont="1"/>
    <xf numFmtId="0" fontId="105" fillId="0" borderId="0" xfId="0" applyFont="1"/>
    <xf numFmtId="0" fontId="106" fillId="0" borderId="0" xfId="0" applyFont="1" applyAlignment="1">
      <alignment horizontal="left" vertical="center"/>
    </xf>
    <xf numFmtId="0" fontId="108" fillId="0" borderId="0" xfId="0" applyFont="1"/>
    <xf numFmtId="0" fontId="109" fillId="14" borderId="35" xfId="0" applyFont="1" applyFill="1" applyBorder="1" applyAlignment="1">
      <alignment vertical="center"/>
    </xf>
    <xf numFmtId="0" fontId="109" fillId="14" borderId="38" xfId="0" applyFont="1" applyFill="1" applyBorder="1" applyAlignment="1">
      <alignment vertical="center"/>
    </xf>
    <xf numFmtId="0" fontId="109" fillId="14" borderId="38" xfId="0" applyFont="1" applyFill="1" applyBorder="1" applyAlignment="1">
      <alignment vertical="center" wrapText="1"/>
    </xf>
    <xf numFmtId="0" fontId="109" fillId="14" borderId="29" xfId="0" applyFont="1" applyFill="1" applyBorder="1" applyAlignment="1">
      <alignment vertical="center"/>
    </xf>
    <xf numFmtId="0" fontId="109" fillId="14" borderId="30" xfId="0" applyFont="1" applyFill="1" applyBorder="1" applyAlignment="1">
      <alignment vertical="center"/>
    </xf>
    <xf numFmtId="0" fontId="109" fillId="14" borderId="30" xfId="0" applyFont="1" applyFill="1" applyBorder="1" applyAlignment="1">
      <alignment horizontal="center" vertical="center"/>
    </xf>
    <xf numFmtId="0" fontId="109" fillId="14" borderId="31" xfId="0" applyFont="1" applyFill="1" applyBorder="1" applyAlignment="1">
      <alignment vertical="center"/>
    </xf>
    <xf numFmtId="0" fontId="109" fillId="14" borderId="30" xfId="0" applyFont="1" applyFill="1" applyBorder="1" applyAlignment="1">
      <alignment vertical="center" wrapText="1"/>
    </xf>
    <xf numFmtId="0" fontId="109" fillId="14" borderId="18" xfId="0" applyFont="1" applyFill="1" applyBorder="1" applyAlignment="1">
      <alignment vertical="center" wrapText="1"/>
    </xf>
    <xf numFmtId="0" fontId="109" fillId="14" borderId="37" xfId="0" applyFont="1" applyFill="1" applyBorder="1" applyAlignment="1">
      <alignment vertical="center" wrapText="1"/>
    </xf>
    <xf numFmtId="0" fontId="109" fillId="14" borderId="84" xfId="0" applyFont="1" applyFill="1" applyBorder="1" applyAlignment="1">
      <alignment vertical="center"/>
    </xf>
    <xf numFmtId="0" fontId="109" fillId="14" borderId="27" xfId="0" applyFont="1" applyFill="1" applyBorder="1" applyAlignment="1">
      <alignment vertical="center"/>
    </xf>
    <xf numFmtId="0" fontId="109" fillId="14" borderId="27" xfId="0" applyFont="1" applyFill="1" applyBorder="1" applyAlignment="1">
      <alignment vertical="center" wrapText="1"/>
    </xf>
    <xf numFmtId="0" fontId="109" fillId="14" borderId="25" xfId="0" applyFont="1" applyFill="1" applyBorder="1" applyAlignment="1">
      <alignment vertical="center"/>
    </xf>
    <xf numFmtId="0" fontId="109" fillId="14" borderId="26" xfId="0" applyFont="1" applyFill="1" applyBorder="1" applyAlignment="1">
      <alignment horizontal="left" vertical="center" indent="3"/>
    </xf>
    <xf numFmtId="0" fontId="109" fillId="14" borderId="21" xfId="0" applyFont="1" applyFill="1" applyBorder="1" applyAlignment="1">
      <alignment vertical="center"/>
    </xf>
    <xf numFmtId="0" fontId="109" fillId="14" borderId="24" xfId="0" applyFont="1" applyFill="1" applyBorder="1" applyAlignment="1">
      <alignment horizontal="center" vertical="center" wrapText="1"/>
    </xf>
    <xf numFmtId="0" fontId="109" fillId="14" borderId="83" xfId="0" applyFont="1" applyFill="1" applyBorder="1" applyAlignment="1">
      <alignment vertical="center" wrapText="1"/>
    </xf>
    <xf numFmtId="0" fontId="109" fillId="14" borderId="71" xfId="0" applyFont="1" applyFill="1" applyBorder="1" applyAlignment="1">
      <alignment horizontal="center" vertical="center" wrapText="1"/>
    </xf>
    <xf numFmtId="0" fontId="109" fillId="14" borderId="61" xfId="0" applyFont="1" applyFill="1" applyBorder="1" applyAlignment="1">
      <alignment vertical="center"/>
    </xf>
    <xf numFmtId="0" fontId="109" fillId="14" borderId="62" xfId="0" applyFont="1" applyFill="1" applyBorder="1" applyAlignment="1">
      <alignment vertical="center"/>
    </xf>
    <xf numFmtId="0" fontId="109" fillId="14" borderId="62" xfId="0" applyFont="1" applyFill="1" applyBorder="1" applyAlignment="1">
      <alignment vertical="center" wrapText="1"/>
    </xf>
    <xf numFmtId="0" fontId="109" fillId="14" borderId="15" xfId="0" applyFont="1" applyFill="1" applyBorder="1" applyAlignment="1">
      <alignment horizontal="center" vertical="center" wrapText="1"/>
    </xf>
    <xf numFmtId="0" fontId="109" fillId="14" borderId="47" xfId="0" applyFont="1" applyFill="1" applyBorder="1" applyAlignment="1">
      <alignment horizontal="center" vertical="center" wrapText="1"/>
    </xf>
    <xf numFmtId="0" fontId="109" fillId="14" borderId="62" xfId="0" applyFont="1" applyFill="1" applyBorder="1" applyAlignment="1">
      <alignment horizontal="center" vertical="center" wrapText="1"/>
    </xf>
    <xf numFmtId="0" fontId="109" fillId="14" borderId="66" xfId="0" applyFont="1" applyFill="1" applyBorder="1" applyAlignment="1">
      <alignment vertical="center" wrapText="1"/>
    </xf>
    <xf numFmtId="0" fontId="46" fillId="3" borderId="81" xfId="0" applyFont="1" applyFill="1" applyBorder="1" applyAlignment="1">
      <alignment horizontal="center" vertical="center"/>
    </xf>
    <xf numFmtId="14" fontId="103" fillId="3" borderId="17" xfId="0" applyNumberFormat="1" applyFont="1" applyFill="1" applyBorder="1" applyAlignment="1">
      <alignment horizontal="center" vertical="center"/>
    </xf>
    <xf numFmtId="0" fontId="103" fillId="3" borderId="17" xfId="0" applyFont="1" applyFill="1" applyBorder="1" applyAlignment="1">
      <alignment horizontal="center" vertical="center"/>
    </xf>
    <xf numFmtId="0" fontId="103" fillId="3" borderId="40" xfId="0" applyFont="1" applyFill="1" applyBorder="1" applyAlignment="1">
      <alignment horizontal="center" vertical="center"/>
    </xf>
    <xf numFmtId="0" fontId="103" fillId="3" borderId="67" xfId="0" applyFont="1" applyFill="1" applyBorder="1" applyAlignment="1">
      <alignment horizontal="center" vertical="center"/>
    </xf>
    <xf numFmtId="0" fontId="103" fillId="3" borderId="12" xfId="0" applyFont="1" applyFill="1" applyBorder="1" applyAlignment="1">
      <alignment horizontal="center" vertical="center"/>
    </xf>
    <xf numFmtId="14" fontId="103" fillId="3" borderId="8" xfId="0" applyNumberFormat="1" applyFont="1" applyFill="1" applyBorder="1" applyAlignment="1">
      <alignment horizontal="center" vertical="center"/>
    </xf>
    <xf numFmtId="0" fontId="103" fillId="3" borderId="8" xfId="0" applyFont="1" applyFill="1" applyBorder="1" applyAlignment="1">
      <alignment horizontal="center" vertical="center"/>
    </xf>
    <xf numFmtId="0" fontId="103" fillId="3" borderId="25" xfId="0" applyFont="1" applyFill="1" applyBorder="1" applyAlignment="1">
      <alignment horizontal="center" vertical="center"/>
    </xf>
    <xf numFmtId="0" fontId="103" fillId="3" borderId="13" xfId="0" applyFont="1" applyFill="1" applyBorder="1" applyAlignment="1">
      <alignment horizontal="center" vertical="center"/>
    </xf>
    <xf numFmtId="0" fontId="103" fillId="3" borderId="14" xfId="0" applyFont="1" applyFill="1" applyBorder="1" applyAlignment="1">
      <alignment horizontal="center" vertical="center"/>
    </xf>
    <xf numFmtId="0" fontId="103" fillId="3" borderId="15" xfId="0" applyFont="1" applyFill="1" applyBorder="1" applyAlignment="1">
      <alignment horizontal="center" vertical="center"/>
    </xf>
    <xf numFmtId="0" fontId="103" fillId="3" borderId="47" xfId="0" applyFont="1" applyFill="1" applyBorder="1" applyAlignment="1">
      <alignment horizontal="center" vertical="center"/>
    </xf>
    <xf numFmtId="0" fontId="103" fillId="3" borderId="16" xfId="0" applyFont="1" applyFill="1" applyBorder="1" applyAlignment="1">
      <alignment horizontal="center" vertical="center"/>
    </xf>
    <xf numFmtId="0" fontId="103" fillId="3" borderId="47" xfId="0" applyFont="1" applyFill="1" applyBorder="1" applyAlignment="1">
      <alignment vertical="center"/>
    </xf>
    <xf numFmtId="0" fontId="103" fillId="3" borderId="53" xfId="0" applyFont="1" applyFill="1" applyBorder="1" applyAlignment="1">
      <alignment vertical="center"/>
    </xf>
    <xf numFmtId="0" fontId="103" fillId="3" borderId="19" xfId="0" applyFont="1" applyFill="1" applyBorder="1" applyAlignment="1">
      <alignment vertical="center"/>
    </xf>
    <xf numFmtId="0" fontId="47" fillId="0" borderId="50" xfId="0" applyFont="1" applyBorder="1"/>
    <xf numFmtId="0" fontId="83" fillId="0" borderId="51" xfId="0" applyFont="1" applyBorder="1" applyAlignment="1">
      <alignment horizontal="center"/>
    </xf>
    <xf numFmtId="0" fontId="47" fillId="0" borderId="56" xfId="0" applyFont="1" applyBorder="1"/>
    <xf numFmtId="0" fontId="47" fillId="0" borderId="22" xfId="0" applyFont="1" applyBorder="1"/>
    <xf numFmtId="0" fontId="47" fillId="0" borderId="23" xfId="0" applyFont="1" applyBorder="1"/>
    <xf numFmtId="0" fontId="108" fillId="0" borderId="22" xfId="0" applyFont="1" applyBorder="1"/>
    <xf numFmtId="0" fontId="104" fillId="0" borderId="0" xfId="0" applyFont="1"/>
    <xf numFmtId="0" fontId="108" fillId="0" borderId="23" xfId="0" applyFont="1" applyBorder="1"/>
    <xf numFmtId="0" fontId="47" fillId="0" borderId="40" xfId="0" applyFont="1" applyBorder="1"/>
    <xf numFmtId="0" fontId="83" fillId="2" borderId="41" xfId="0" applyFont="1" applyFill="1" applyBorder="1" applyAlignment="1">
      <alignment horizontal="center"/>
    </xf>
    <xf numFmtId="0" fontId="47" fillId="0" borderId="20" xfId="0" applyFont="1" applyBorder="1"/>
    <xf numFmtId="0" fontId="110" fillId="0" borderId="0" xfId="0" applyFont="1" applyAlignment="1">
      <alignment horizontal="center"/>
    </xf>
    <xf numFmtId="2" fontId="111" fillId="0" borderId="0" xfId="0" applyNumberFormat="1" applyFont="1" applyAlignment="1">
      <alignment horizontal="center"/>
    </xf>
    <xf numFmtId="14" fontId="103" fillId="3" borderId="81" xfId="0" applyNumberFormat="1" applyFont="1" applyFill="1" applyBorder="1" applyAlignment="1">
      <alignment horizontal="center" vertical="center"/>
    </xf>
    <xf numFmtId="0" fontId="103" fillId="3" borderId="17" xfId="0" applyFont="1" applyFill="1" applyBorder="1" applyAlignment="1">
      <alignment horizontal="left" vertical="center"/>
    </xf>
    <xf numFmtId="0" fontId="103" fillId="3" borderId="8" xfId="0" applyFont="1" applyFill="1" applyBorder="1" applyAlignment="1">
      <alignment horizontal="left" vertical="center"/>
    </xf>
    <xf numFmtId="14" fontId="103" fillId="3" borderId="12" xfId="0" applyNumberFormat="1" applyFont="1" applyFill="1" applyBorder="1" applyAlignment="1">
      <alignment horizontal="center" vertical="center"/>
    </xf>
    <xf numFmtId="0" fontId="112" fillId="0" borderId="0" xfId="0" applyFont="1"/>
    <xf numFmtId="0" fontId="113" fillId="0" borderId="0" xfId="1" applyFont="1" applyAlignment="1">
      <alignment horizontal="center"/>
    </xf>
    <xf numFmtId="0" fontId="114" fillId="0" borderId="0" xfId="1" applyFont="1" applyAlignment="1">
      <alignment horizontal="center" vertical="center"/>
    </xf>
    <xf numFmtId="0" fontId="115" fillId="0" borderId="0" xfId="0" applyFont="1"/>
    <xf numFmtId="0" fontId="116" fillId="0" borderId="0" xfId="0" applyFont="1"/>
    <xf numFmtId="49" fontId="117" fillId="0" borderId="0" xfId="0" applyNumberFormat="1" applyFont="1" applyAlignment="1">
      <alignment horizontal="center"/>
    </xf>
    <xf numFmtId="0" fontId="118" fillId="0" borderId="0" xfId="1" applyFont="1"/>
    <xf numFmtId="0" fontId="108" fillId="0" borderId="0" xfId="0" applyFont="1" applyAlignment="1">
      <alignment horizontal="center"/>
    </xf>
    <xf numFmtId="0" fontId="115" fillId="0" borderId="0" xfId="0" applyFont="1" applyAlignment="1">
      <alignment horizontal="center"/>
    </xf>
    <xf numFmtId="0" fontId="119" fillId="0" borderId="0" xfId="0" applyFont="1"/>
    <xf numFmtId="2" fontId="108" fillId="0" borderId="0" xfId="0" applyNumberFormat="1" applyFont="1"/>
    <xf numFmtId="0" fontId="119" fillId="0" borderId="0" xfId="0" applyFont="1" applyAlignment="1">
      <alignment horizontal="center"/>
    </xf>
    <xf numFmtId="49" fontId="104" fillId="0" borderId="0" xfId="0" applyNumberFormat="1" applyFont="1" applyAlignment="1">
      <alignment horizontal="center"/>
    </xf>
    <xf numFmtId="0" fontId="120" fillId="0" borderId="0" xfId="1" applyFont="1"/>
    <xf numFmtId="0" fontId="118" fillId="0" borderId="0" xfId="1" applyFont="1" applyAlignment="1">
      <alignment horizontal="left"/>
    </xf>
    <xf numFmtId="0" fontId="121" fillId="0" borderId="46" xfId="1" applyFont="1" applyBorder="1"/>
    <xf numFmtId="0" fontId="120" fillId="0" borderId="46" xfId="1" applyFont="1" applyBorder="1"/>
    <xf numFmtId="0" fontId="120" fillId="0" borderId="46" xfId="1" applyFont="1" applyBorder="1" applyAlignment="1">
      <alignment horizontal="center"/>
    </xf>
    <xf numFmtId="0" fontId="121" fillId="0" borderId="0" xfId="1" applyFont="1"/>
    <xf numFmtId="2" fontId="121" fillId="0" borderId="0" xfId="1" applyNumberFormat="1" applyFont="1"/>
    <xf numFmtId="0" fontId="120" fillId="6" borderId="30" xfId="1" applyFont="1" applyFill="1" applyBorder="1" applyAlignment="1">
      <alignment horizontal="center" vertical="center"/>
    </xf>
    <xf numFmtId="0" fontId="120" fillId="6" borderId="14" xfId="1" applyFont="1" applyFill="1" applyBorder="1" applyAlignment="1">
      <alignment horizontal="center" vertical="center"/>
    </xf>
    <xf numFmtId="0" fontId="120" fillId="6" borderId="15" xfId="1" applyFont="1" applyFill="1" applyBorder="1" applyAlignment="1">
      <alignment horizontal="center" vertical="center"/>
    </xf>
    <xf numFmtId="0" fontId="120" fillId="2" borderId="1" xfId="1" applyFont="1" applyFill="1" applyBorder="1" applyAlignment="1">
      <alignment horizontal="center" vertical="center"/>
    </xf>
    <xf numFmtId="167" fontId="115" fillId="0" borderId="0" xfId="0" applyNumberFormat="1" applyFont="1"/>
    <xf numFmtId="2" fontId="115" fillId="0" borderId="0" xfId="0" applyNumberFormat="1" applyFont="1"/>
    <xf numFmtId="0" fontId="115" fillId="2" borderId="0" xfId="0" applyFont="1" applyFill="1"/>
    <xf numFmtId="0" fontId="52" fillId="0" borderId="0" xfId="0" applyFont="1" applyAlignment="1">
      <alignment horizontal="right" vertical="center"/>
    </xf>
    <xf numFmtId="180" fontId="28" fillId="0" borderId="0" xfId="93" applyNumberFormat="1" applyFont="1" applyFill="1" applyBorder="1" applyAlignment="1" applyProtection="1">
      <alignment horizontal="center" vertical="center"/>
    </xf>
    <xf numFmtId="49" fontId="115" fillId="0" borderId="0" xfId="0" applyNumberFormat="1" applyFont="1" applyAlignment="1">
      <alignment horizontal="center"/>
    </xf>
    <xf numFmtId="0" fontId="115" fillId="0" borderId="0" xfId="0" applyFont="1" applyAlignment="1">
      <alignment horizontal="left"/>
    </xf>
    <xf numFmtId="2" fontId="115" fillId="0" borderId="0" xfId="0" applyNumberFormat="1" applyFont="1" applyAlignment="1">
      <alignment horizontal="center"/>
    </xf>
    <xf numFmtId="0" fontId="120" fillId="0" borderId="44" xfId="1" applyFont="1" applyBorder="1" applyAlignment="1">
      <alignment horizontal="center" vertical="center"/>
    </xf>
    <xf numFmtId="49" fontId="120" fillId="0" borderId="46" xfId="1" applyNumberFormat="1" applyFont="1" applyBorder="1" applyAlignment="1">
      <alignment horizontal="center" vertical="center"/>
    </xf>
    <xf numFmtId="0" fontId="120" fillId="0" borderId="46" xfId="1" applyFont="1" applyBorder="1" applyAlignment="1">
      <alignment horizontal="center" vertical="center"/>
    </xf>
    <xf numFmtId="0" fontId="120" fillId="0" borderId="0" xfId="1" applyFont="1" applyAlignment="1">
      <alignment horizontal="center" vertical="center"/>
    </xf>
    <xf numFmtId="2" fontId="120" fillId="0" borderId="0" xfId="0" applyNumberFormat="1" applyFont="1" applyAlignment="1">
      <alignment horizontal="center" vertical="center" wrapText="1"/>
    </xf>
    <xf numFmtId="2" fontId="120" fillId="0" borderId="45" xfId="0" applyNumberFormat="1" applyFont="1" applyBorder="1" applyAlignment="1">
      <alignment horizontal="center" vertical="center" wrapText="1"/>
    </xf>
    <xf numFmtId="0" fontId="120" fillId="2" borderId="53" xfId="1" applyFont="1" applyFill="1" applyBorder="1" applyAlignment="1">
      <alignment horizontal="center" vertical="center"/>
    </xf>
    <xf numFmtId="0" fontId="121" fillId="2" borderId="53" xfId="1" applyFont="1" applyFill="1" applyBorder="1" applyAlignment="1">
      <alignment horizontal="center" vertical="center"/>
    </xf>
    <xf numFmtId="0" fontId="120" fillId="2" borderId="46" xfId="1" applyFont="1" applyFill="1" applyBorder="1" applyAlignment="1">
      <alignment horizontal="center" vertical="center"/>
    </xf>
    <xf numFmtId="1" fontId="46" fillId="2" borderId="46" xfId="1" applyNumberFormat="1" applyFont="1" applyFill="1" applyBorder="1" applyAlignment="1">
      <alignment horizontal="center" vertical="center" wrapText="1"/>
    </xf>
    <xf numFmtId="49" fontId="46" fillId="2" borderId="46" xfId="1" applyNumberFormat="1" applyFont="1" applyFill="1" applyBorder="1" applyAlignment="1">
      <alignment horizontal="center" vertical="center" wrapText="1"/>
    </xf>
    <xf numFmtId="0" fontId="121" fillId="2" borderId="46" xfId="1" applyFont="1" applyFill="1" applyBorder="1" applyAlignment="1">
      <alignment horizontal="center" vertical="center"/>
    </xf>
    <xf numFmtId="49" fontId="46" fillId="0" borderId="46" xfId="1" quotePrefix="1" applyNumberFormat="1" applyFont="1" applyBorder="1" applyAlignment="1">
      <alignment horizontal="center" vertical="center" wrapText="1"/>
    </xf>
    <xf numFmtId="49" fontId="46" fillId="0" borderId="46" xfId="1" applyNumberFormat="1" applyFont="1" applyBorder="1" applyAlignment="1">
      <alignment horizontal="left" vertical="center"/>
    </xf>
    <xf numFmtId="0" fontId="46" fillId="0" borderId="46" xfId="1" applyFont="1" applyBorder="1" applyAlignment="1">
      <alignment vertical="center"/>
    </xf>
    <xf numFmtId="0" fontId="46" fillId="0" borderId="46" xfId="1" applyFont="1" applyBorder="1" applyAlignment="1">
      <alignment horizontal="center" vertical="center"/>
    </xf>
    <xf numFmtId="2" fontId="120" fillId="6" borderId="15" xfId="0" applyNumberFormat="1" applyFont="1" applyFill="1" applyBorder="1" applyAlignment="1">
      <alignment horizontal="center" vertical="center" wrapText="1"/>
    </xf>
    <xf numFmtId="0" fontId="113" fillId="0" borderId="0" xfId="1" applyFont="1"/>
    <xf numFmtId="0" fontId="114" fillId="0" borderId="0" xfId="1" applyFont="1" applyAlignment="1">
      <alignment vertical="center"/>
    </xf>
    <xf numFmtId="0" fontId="120" fillId="6" borderId="29" xfId="1" applyFont="1" applyFill="1" applyBorder="1" applyAlignment="1">
      <alignment vertical="center"/>
    </xf>
    <xf numFmtId="0" fontId="120" fillId="6" borderId="61" xfId="1" applyFont="1" applyFill="1" applyBorder="1" applyAlignment="1">
      <alignment vertical="center"/>
    </xf>
    <xf numFmtId="49" fontId="120" fillId="6" borderId="62" xfId="1" applyNumberFormat="1" applyFont="1" applyFill="1" applyBorder="1" applyAlignment="1">
      <alignment vertical="center"/>
    </xf>
    <xf numFmtId="0" fontId="120" fillId="6" borderId="62" xfId="1" applyFont="1" applyFill="1" applyBorder="1" applyAlignment="1">
      <alignment vertical="center"/>
    </xf>
    <xf numFmtId="0" fontId="121" fillId="2" borderId="9" xfId="1" applyFont="1" applyFill="1" applyBorder="1" applyAlignment="1">
      <alignment horizontal="center" vertical="center"/>
    </xf>
    <xf numFmtId="0" fontId="121" fillId="2" borderId="10" xfId="1" applyFont="1" applyFill="1" applyBorder="1" applyAlignment="1">
      <alignment horizontal="center" vertical="center"/>
    </xf>
    <xf numFmtId="2" fontId="120" fillId="6" borderId="29" xfId="0" applyNumberFormat="1" applyFont="1" applyFill="1" applyBorder="1" applyAlignment="1">
      <alignment vertical="center" wrapText="1"/>
    </xf>
    <xf numFmtId="2" fontId="120" fillId="6" borderId="18" xfId="0" applyNumberFormat="1" applyFont="1" applyFill="1" applyBorder="1" applyAlignment="1">
      <alignment vertical="center" wrapText="1"/>
    </xf>
    <xf numFmtId="0" fontId="120" fillId="6" borderId="42" xfId="1" applyFont="1" applyFill="1" applyBorder="1" applyAlignment="1">
      <alignment vertical="center"/>
    </xf>
    <xf numFmtId="0" fontId="120" fillId="6" borderId="28" xfId="1" applyFont="1" applyFill="1" applyBorder="1" applyAlignment="1">
      <alignment horizontal="center" vertical="center"/>
    </xf>
    <xf numFmtId="2" fontId="120" fillId="6" borderId="29" xfId="0" applyNumberFormat="1" applyFont="1" applyFill="1" applyBorder="1" applyAlignment="1">
      <alignment horizontal="center" vertical="center" wrapText="1"/>
    </xf>
    <xf numFmtId="2" fontId="120" fillId="6" borderId="47" xfId="0" applyNumberFormat="1" applyFont="1" applyFill="1" applyBorder="1" applyAlignment="1">
      <alignment horizontal="center" vertical="center" wrapText="1"/>
    </xf>
    <xf numFmtId="0" fontId="121" fillId="2" borderId="44" xfId="1" applyFont="1" applyFill="1" applyBorder="1" applyAlignment="1">
      <alignment horizontal="center" vertical="center"/>
    </xf>
    <xf numFmtId="49" fontId="121" fillId="2" borderId="46" xfId="1" applyNumberFormat="1" applyFont="1" applyFill="1" applyBorder="1" applyAlignment="1">
      <alignment horizontal="center" vertical="center"/>
    </xf>
    <xf numFmtId="0" fontId="121" fillId="2" borderId="46" xfId="1" applyFont="1" applyFill="1" applyBorder="1" applyAlignment="1">
      <alignment horizontal="left" vertical="center"/>
    </xf>
    <xf numFmtId="0" fontId="120" fillId="2" borderId="46" xfId="1" applyFont="1" applyFill="1" applyBorder="1" applyAlignment="1">
      <alignment horizontal="left" vertical="center"/>
    </xf>
    <xf numFmtId="0" fontId="120" fillId="2" borderId="46" xfId="1" applyFont="1" applyFill="1" applyBorder="1" applyAlignment="1">
      <alignment horizontal="right" vertical="center"/>
    </xf>
    <xf numFmtId="0" fontId="120" fillId="2" borderId="1" xfId="1" applyFont="1" applyFill="1" applyBorder="1" applyAlignment="1">
      <alignment horizontal="right" vertical="center"/>
    </xf>
    <xf numFmtId="0" fontId="117" fillId="0" borderId="0" xfId="0" applyFont="1"/>
    <xf numFmtId="0" fontId="120" fillId="2" borderId="44" xfId="1" applyFont="1" applyFill="1" applyBorder="1" applyAlignment="1">
      <alignment horizontal="center" vertical="center"/>
    </xf>
    <xf numFmtId="49" fontId="120" fillId="2" borderId="46" xfId="1" applyNumberFormat="1" applyFont="1" applyFill="1" applyBorder="1" applyAlignment="1">
      <alignment horizontal="center" vertical="center"/>
    </xf>
    <xf numFmtId="0" fontId="120" fillId="2" borderId="32" xfId="1" applyFont="1" applyFill="1" applyBorder="1" applyAlignment="1">
      <alignment horizontal="center" vertical="center"/>
    </xf>
    <xf numFmtId="49" fontId="120" fillId="2" borderId="1" xfId="1" applyNumberFormat="1" applyFont="1" applyFill="1" applyBorder="1" applyAlignment="1">
      <alignment horizontal="center" vertical="center"/>
    </xf>
    <xf numFmtId="0" fontId="120" fillId="2" borderId="1" xfId="1" applyFont="1" applyFill="1" applyBorder="1" applyAlignment="1">
      <alignment horizontal="left" vertical="center"/>
    </xf>
    <xf numFmtId="0" fontId="117" fillId="2" borderId="32" xfId="0" applyFont="1" applyFill="1" applyBorder="1" applyAlignment="1">
      <alignment vertical="center"/>
    </xf>
    <xf numFmtId="0" fontId="117" fillId="2" borderId="1" xfId="0" applyFont="1" applyFill="1" applyBorder="1" applyAlignment="1">
      <alignment vertical="center"/>
    </xf>
    <xf numFmtId="0" fontId="117" fillId="2" borderId="1" xfId="0" applyFont="1" applyFill="1" applyBorder="1" applyAlignment="1">
      <alignment horizontal="right" vertical="center"/>
    </xf>
    <xf numFmtId="0" fontId="117" fillId="2" borderId="1" xfId="0" applyFont="1" applyFill="1" applyBorder="1" applyAlignment="1">
      <alignment horizontal="center" vertical="center"/>
    </xf>
    <xf numFmtId="0" fontId="117" fillId="2" borderId="49" xfId="0" applyFont="1" applyFill="1" applyBorder="1" applyAlignment="1">
      <alignment horizontal="right" vertical="center"/>
    </xf>
    <xf numFmtId="2" fontId="120" fillId="6" borderId="37" xfId="0" applyNumberFormat="1" applyFont="1" applyFill="1" applyBorder="1" applyAlignment="1">
      <alignment horizontal="center" wrapText="1"/>
    </xf>
    <xf numFmtId="2" fontId="120" fillId="6" borderId="66" xfId="0" applyNumberFormat="1" applyFont="1" applyFill="1" applyBorder="1" applyAlignment="1">
      <alignment horizontal="center" wrapText="1"/>
    </xf>
    <xf numFmtId="2" fontId="120" fillId="6" borderId="29" xfId="0" applyNumberFormat="1" applyFont="1" applyFill="1" applyBorder="1" applyAlignment="1">
      <alignment horizontal="left" vertical="center" indent="7"/>
    </xf>
    <xf numFmtId="0" fontId="44" fillId="0" borderId="25" xfId="0" quotePrefix="1" applyFont="1" applyBorder="1" applyAlignment="1">
      <alignment horizontal="center"/>
    </xf>
    <xf numFmtId="0" fontId="44" fillId="0" borderId="8" xfId="0" quotePrefix="1" applyFont="1" applyBorder="1" applyAlignment="1">
      <alignment horizontal="center"/>
    </xf>
    <xf numFmtId="0" fontId="0" fillId="0" borderId="21" xfId="0" applyBorder="1" applyAlignment="1">
      <alignment horizontal="center"/>
    </xf>
    <xf numFmtId="166" fontId="0" fillId="0" borderId="21" xfId="0" applyNumberFormat="1" applyBorder="1" applyAlignment="1">
      <alignment horizontal="center"/>
    </xf>
    <xf numFmtId="166" fontId="0" fillId="0" borderId="8" xfId="0" applyNumberFormat="1" applyBorder="1" applyAlignment="1">
      <alignment horizontal="center"/>
    </xf>
    <xf numFmtId="0" fontId="120" fillId="6" borderId="36" xfId="1" applyFont="1" applyFill="1" applyBorder="1" applyAlignment="1">
      <alignment horizontal="center"/>
    </xf>
    <xf numFmtId="0" fontId="120" fillId="6" borderId="38" xfId="1" applyFont="1" applyFill="1" applyBorder="1" applyAlignment="1">
      <alignment horizontal="center"/>
    </xf>
    <xf numFmtId="0" fontId="120" fillId="6" borderId="32" xfId="1" applyFont="1" applyFill="1" applyBorder="1" applyAlignment="1">
      <alignment vertical="center"/>
    </xf>
    <xf numFmtId="0" fontId="120" fillId="6" borderId="1" xfId="1" applyFont="1" applyFill="1" applyBorder="1" applyAlignment="1">
      <alignment vertical="center"/>
    </xf>
    <xf numFmtId="0" fontId="120" fillId="6" borderId="1" xfId="1" applyFont="1" applyFill="1" applyBorder="1" applyAlignment="1">
      <alignment horizontal="center" vertical="center"/>
    </xf>
    <xf numFmtId="49" fontId="121" fillId="2" borderId="10" xfId="1" applyNumberFormat="1" applyFont="1" applyFill="1" applyBorder="1" applyAlignment="1">
      <alignment horizontal="center" vertical="center" wrapText="1"/>
    </xf>
    <xf numFmtId="49" fontId="121" fillId="2" borderId="8" xfId="1" applyNumberFormat="1" applyFont="1" applyFill="1" applyBorder="1" applyAlignment="1">
      <alignment horizontal="center" vertical="center" wrapText="1"/>
    </xf>
    <xf numFmtId="49" fontId="121" fillId="2" borderId="15" xfId="1" applyNumberFormat="1" applyFont="1" applyFill="1" applyBorder="1" applyAlignment="1">
      <alignment horizontal="center" vertical="center" wrapText="1"/>
    </xf>
    <xf numFmtId="49" fontId="120" fillId="2" borderId="46" xfId="1" applyNumberFormat="1" applyFont="1" applyFill="1" applyBorder="1" applyAlignment="1">
      <alignment horizontal="center" vertical="center" wrapText="1"/>
    </xf>
    <xf numFmtId="49" fontId="121" fillId="2" borderId="46" xfId="1" applyNumberFormat="1" applyFont="1" applyFill="1" applyBorder="1" applyAlignment="1">
      <alignment horizontal="center" vertical="center" wrapText="1"/>
    </xf>
    <xf numFmtId="0" fontId="108" fillId="2" borderId="9" xfId="0" applyFont="1" applyFill="1" applyBorder="1" applyAlignment="1">
      <alignment horizontal="center" vertical="center"/>
    </xf>
    <xf numFmtId="1" fontId="121" fillId="2" borderId="10" xfId="1" applyNumberFormat="1" applyFont="1" applyFill="1" applyBorder="1" applyAlignment="1">
      <alignment horizontal="center" vertical="center" wrapText="1"/>
    </xf>
    <xf numFmtId="0" fontId="121" fillId="0" borderId="17" xfId="1" applyFont="1" applyBorder="1" applyAlignment="1">
      <alignment vertical="center"/>
    </xf>
    <xf numFmtId="0" fontId="121" fillId="0" borderId="10" xfId="1" applyFont="1" applyBorder="1" applyAlignment="1">
      <alignment vertical="center"/>
    </xf>
    <xf numFmtId="0" fontId="108" fillId="2" borderId="12" xfId="0" applyFont="1" applyFill="1" applyBorder="1" applyAlignment="1">
      <alignment horizontal="center" vertical="center"/>
    </xf>
    <xf numFmtId="1" fontId="121" fillId="2" borderId="8" xfId="1" applyNumberFormat="1" applyFont="1" applyFill="1" applyBorder="1" applyAlignment="1">
      <alignment horizontal="center" vertical="center" wrapText="1"/>
    </xf>
    <xf numFmtId="0" fontId="121" fillId="0" borderId="8" xfId="1" applyFont="1" applyBorder="1" applyAlignment="1">
      <alignment vertical="center"/>
    </xf>
    <xf numFmtId="0" fontId="108" fillId="2" borderId="14" xfId="0" applyFont="1" applyFill="1" applyBorder="1" applyAlignment="1">
      <alignment horizontal="center" vertical="center"/>
    </xf>
    <xf numFmtId="49" fontId="120" fillId="2" borderId="1" xfId="1" applyNumberFormat="1" applyFont="1" applyFill="1" applyBorder="1" applyAlignment="1">
      <alignment horizontal="center" vertical="center" wrapText="1"/>
    </xf>
    <xf numFmtId="1" fontId="121" fillId="2" borderId="53" xfId="1" applyNumberFormat="1" applyFont="1" applyFill="1" applyBorder="1" applyAlignment="1">
      <alignment horizontal="center" vertical="center" wrapText="1"/>
    </xf>
    <xf numFmtId="49" fontId="121" fillId="2" borderId="53" xfId="1" applyNumberFormat="1" applyFont="1" applyFill="1" applyBorder="1" applyAlignment="1">
      <alignment horizontal="center" vertical="center" wrapText="1"/>
    </xf>
    <xf numFmtId="49" fontId="121" fillId="0" borderId="53" xfId="1" quotePrefix="1" applyNumberFormat="1" applyFont="1" applyBorder="1" applyAlignment="1">
      <alignment horizontal="center" vertical="center" wrapText="1"/>
    </xf>
    <xf numFmtId="0" fontId="121" fillId="0" borderId="53" xfId="1" applyFont="1" applyBorder="1" applyAlignment="1">
      <alignment vertical="center"/>
    </xf>
    <xf numFmtId="0" fontId="121" fillId="0" borderId="53" xfId="1" applyFont="1" applyBorder="1" applyAlignment="1">
      <alignment horizontal="center" vertical="center"/>
    </xf>
    <xf numFmtId="49" fontId="121" fillId="0" borderId="53" xfId="1" applyNumberFormat="1" applyFont="1" applyBorder="1" applyAlignment="1">
      <alignment horizontal="left" vertical="center"/>
    </xf>
    <xf numFmtId="0" fontId="120" fillId="16" borderId="32" xfId="1" applyFont="1" applyFill="1" applyBorder="1" applyAlignment="1">
      <alignment vertical="center"/>
    </xf>
    <xf numFmtId="0" fontId="120" fillId="16" borderId="1" xfId="1" applyFont="1" applyFill="1" applyBorder="1" applyAlignment="1">
      <alignment vertical="center"/>
    </xf>
    <xf numFmtId="166" fontId="120" fillId="16" borderId="65" xfId="1" applyNumberFormat="1" applyFont="1" applyFill="1" applyBorder="1" applyAlignment="1">
      <alignment vertical="center"/>
    </xf>
    <xf numFmtId="0" fontId="108" fillId="2" borderId="81" xfId="0" applyFont="1" applyFill="1" applyBorder="1" applyAlignment="1">
      <alignment horizontal="center" vertical="center"/>
    </xf>
    <xf numFmtId="1" fontId="121" fillId="2" borderId="17" xfId="1" applyNumberFormat="1" applyFont="1" applyFill="1" applyBorder="1" applyAlignment="1">
      <alignment horizontal="center" vertical="center" wrapText="1"/>
    </xf>
    <xf numFmtId="49" fontId="121" fillId="2" borderId="17" xfId="1" applyNumberFormat="1" applyFont="1" applyFill="1" applyBorder="1" applyAlignment="1">
      <alignment horizontal="center" vertical="center" wrapText="1"/>
    </xf>
    <xf numFmtId="1" fontId="121" fillId="2" borderId="15" xfId="1" applyNumberFormat="1" applyFont="1" applyFill="1" applyBorder="1" applyAlignment="1">
      <alignment horizontal="center" vertical="center" wrapText="1"/>
    </xf>
    <xf numFmtId="0" fontId="121" fillId="0" borderId="15" xfId="1" applyFont="1" applyBorder="1" applyAlignment="1">
      <alignment vertical="center"/>
    </xf>
    <xf numFmtId="0" fontId="120" fillId="17" borderId="32" xfId="1" applyFont="1" applyFill="1" applyBorder="1" applyAlignment="1">
      <alignment vertical="center"/>
    </xf>
    <xf numFmtId="0" fontId="120" fillId="17" borderId="1" xfId="1" applyFont="1" applyFill="1" applyBorder="1" applyAlignment="1">
      <alignment vertical="center"/>
    </xf>
    <xf numFmtId="166" fontId="120" fillId="17" borderId="65" xfId="1" applyNumberFormat="1" applyFont="1" applyFill="1" applyBorder="1" applyAlignment="1">
      <alignment vertical="center"/>
    </xf>
    <xf numFmtId="0" fontId="60" fillId="0" borderId="24" xfId="77" applyFont="1" applyBorder="1" applyAlignment="1">
      <alignment horizontal="center" vertical="center" wrapText="1"/>
    </xf>
    <xf numFmtId="0" fontId="60" fillId="0" borderId="17" xfId="77" applyFont="1" applyBorder="1" applyAlignment="1">
      <alignment horizontal="center" vertical="center" wrapText="1"/>
    </xf>
    <xf numFmtId="0" fontId="6" fillId="0" borderId="24" xfId="77" applyFont="1" applyBorder="1" applyAlignment="1">
      <alignment horizontal="center" vertical="center" wrapText="1"/>
    </xf>
    <xf numFmtId="0" fontId="6" fillId="0" borderId="17" xfId="77" applyFont="1" applyBorder="1" applyAlignment="1">
      <alignment horizontal="center" vertical="center" wrapText="1"/>
    </xf>
    <xf numFmtId="0" fontId="120" fillId="6" borderId="30" xfId="1" applyFont="1" applyFill="1" applyBorder="1"/>
    <xf numFmtId="0" fontId="120" fillId="6" borderId="30" xfId="1" applyFont="1" applyFill="1" applyBorder="1" applyAlignment="1">
      <alignment horizontal="center"/>
    </xf>
    <xf numFmtId="0" fontId="120" fillId="6" borderId="35" xfId="1" applyFont="1" applyFill="1" applyBorder="1" applyAlignment="1">
      <alignment horizontal="center"/>
    </xf>
    <xf numFmtId="49" fontId="120" fillId="6" borderId="38" xfId="1" applyNumberFormat="1" applyFont="1" applyFill="1" applyBorder="1" applyAlignment="1">
      <alignment horizontal="center"/>
    </xf>
    <xf numFmtId="0" fontId="120" fillId="6" borderId="47" xfId="1" applyFont="1" applyFill="1" applyBorder="1" applyAlignment="1">
      <alignment horizontal="center" vertical="center"/>
    </xf>
    <xf numFmtId="0" fontId="120" fillId="6" borderId="66" xfId="1" applyFont="1" applyFill="1" applyBorder="1" applyAlignment="1">
      <alignment horizontal="center" vertical="center"/>
    </xf>
    <xf numFmtId="0" fontId="120" fillId="6" borderId="37" xfId="1" applyFont="1" applyFill="1" applyBorder="1" applyAlignment="1">
      <alignment horizontal="center"/>
    </xf>
    <xf numFmtId="0" fontId="120" fillId="6" borderId="31" xfId="1" applyFont="1" applyFill="1" applyBorder="1" applyAlignment="1">
      <alignment vertical="center"/>
    </xf>
    <xf numFmtId="49" fontId="120" fillId="6" borderId="16" xfId="1" applyNumberFormat="1" applyFont="1" applyFill="1" applyBorder="1" applyAlignment="1">
      <alignment horizontal="center" vertical="center"/>
    </xf>
    <xf numFmtId="0" fontId="121" fillId="2" borderId="11" xfId="1" applyFont="1" applyFill="1" applyBorder="1" applyAlignment="1">
      <alignment horizontal="center" vertical="center"/>
    </xf>
    <xf numFmtId="1" fontId="121" fillId="2" borderId="13" xfId="1" applyNumberFormat="1" applyFont="1" applyFill="1" applyBorder="1" applyAlignment="1">
      <alignment horizontal="center" vertical="center" wrapText="1"/>
    </xf>
    <xf numFmtId="49" fontId="121" fillId="0" borderId="13" xfId="1" quotePrefix="1" applyNumberFormat="1" applyFont="1" applyBorder="1" applyAlignment="1">
      <alignment horizontal="center" vertical="center" wrapText="1"/>
    </xf>
    <xf numFmtId="49" fontId="121" fillId="0" borderId="16" xfId="1" quotePrefix="1" applyNumberFormat="1" applyFont="1" applyBorder="1" applyAlignment="1">
      <alignment horizontal="center" vertical="center" wrapText="1"/>
    </xf>
    <xf numFmtId="49" fontId="121" fillId="0" borderId="11" xfId="1" quotePrefix="1" applyNumberFormat="1" applyFont="1" applyBorder="1" applyAlignment="1">
      <alignment horizontal="center" vertical="center" wrapText="1"/>
    </xf>
    <xf numFmtId="0" fontId="121" fillId="2" borderId="9" xfId="1" applyFont="1" applyFill="1" applyBorder="1" applyAlignment="1">
      <alignment horizontal="left" vertical="center"/>
    </xf>
    <xf numFmtId="0" fontId="121" fillId="2" borderId="11" xfId="1" applyFont="1" applyFill="1" applyBorder="1" applyAlignment="1">
      <alignment horizontal="left" vertical="center"/>
    </xf>
    <xf numFmtId="0" fontId="121" fillId="0" borderId="20" xfId="1" applyFont="1" applyBorder="1" applyAlignment="1">
      <alignment vertical="center"/>
    </xf>
    <xf numFmtId="0" fontId="121" fillId="0" borderId="9" xfId="1" applyFont="1" applyBorder="1" applyAlignment="1">
      <alignment vertical="center"/>
    </xf>
    <xf numFmtId="0" fontId="121" fillId="0" borderId="11" xfId="1" applyFont="1" applyBorder="1" applyAlignment="1">
      <alignment vertical="center"/>
    </xf>
    <xf numFmtId="49" fontId="121" fillId="0" borderId="12" xfId="1" applyNumberFormat="1" applyFont="1" applyBorder="1" applyAlignment="1">
      <alignment horizontal="left" vertical="center"/>
    </xf>
    <xf numFmtId="0" fontId="121" fillId="0" borderId="13" xfId="1" applyFont="1" applyBorder="1" applyAlignment="1">
      <alignment vertical="center"/>
    </xf>
    <xf numFmtId="0" fontId="121" fillId="0" borderId="16" xfId="1" applyFont="1" applyBorder="1" applyAlignment="1">
      <alignment vertical="center"/>
    </xf>
    <xf numFmtId="49" fontId="121" fillId="2" borderId="9" xfId="1" applyNumberFormat="1" applyFont="1" applyFill="1" applyBorder="1" applyAlignment="1">
      <alignment horizontal="left" vertical="center"/>
    </xf>
    <xf numFmtId="49" fontId="121" fillId="2" borderId="12" xfId="1" applyNumberFormat="1" applyFont="1" applyFill="1" applyBorder="1" applyAlignment="1">
      <alignment horizontal="left" vertical="center"/>
    </xf>
    <xf numFmtId="49" fontId="121" fillId="2" borderId="14" xfId="1" applyNumberFormat="1" applyFont="1" applyFill="1" applyBorder="1" applyAlignment="1">
      <alignment horizontal="left" vertical="center"/>
    </xf>
    <xf numFmtId="0" fontId="121" fillId="0" borderId="19" xfId="1" applyFont="1" applyBorder="1" applyAlignment="1">
      <alignment vertical="center"/>
    </xf>
    <xf numFmtId="49" fontId="121" fillId="0" borderId="40" xfId="1" quotePrefix="1" applyNumberFormat="1" applyFont="1" applyBorder="1" applyAlignment="1">
      <alignment horizontal="center" vertical="center" wrapText="1"/>
    </xf>
    <xf numFmtId="49" fontId="121" fillId="0" borderId="47" xfId="1" quotePrefix="1" applyNumberFormat="1" applyFont="1" applyBorder="1" applyAlignment="1">
      <alignment horizontal="center" vertical="center" wrapText="1"/>
    </xf>
    <xf numFmtId="0" fontId="121" fillId="0" borderId="11" xfId="1" applyFont="1" applyBorder="1" applyAlignment="1">
      <alignment horizontal="center" vertical="center"/>
    </xf>
    <xf numFmtId="0" fontId="121" fillId="0" borderId="12" xfId="1" applyFont="1" applyBorder="1" applyAlignment="1">
      <alignment vertical="center"/>
    </xf>
    <xf numFmtId="0" fontId="121" fillId="0" borderId="13" xfId="1" applyFont="1" applyBorder="1" applyAlignment="1">
      <alignment horizontal="center" vertical="center"/>
    </xf>
    <xf numFmtId="0" fontId="121" fillId="0" borderId="14" xfId="1" applyFont="1" applyBorder="1" applyAlignment="1">
      <alignment vertical="center"/>
    </xf>
    <xf numFmtId="0" fontId="121" fillId="0" borderId="16" xfId="1" applyFont="1" applyBorder="1" applyAlignment="1">
      <alignment horizontal="center" vertical="center"/>
    </xf>
    <xf numFmtId="0" fontId="120" fillId="0" borderId="0" xfId="1" applyFont="1" applyAlignment="1">
      <alignment horizontal="center"/>
    </xf>
    <xf numFmtId="0" fontId="121" fillId="0" borderId="40" xfId="1" applyFont="1" applyBorder="1" applyAlignment="1">
      <alignment horizontal="center" vertical="center"/>
    </xf>
    <xf numFmtId="0" fontId="121" fillId="0" borderId="25" xfId="1" applyFont="1" applyBorder="1" applyAlignment="1">
      <alignment horizontal="center" vertical="center"/>
    </xf>
    <xf numFmtId="0" fontId="121" fillId="0" borderId="47" xfId="1" applyFont="1" applyBorder="1" applyAlignment="1">
      <alignment horizontal="center" vertical="center"/>
    </xf>
    <xf numFmtId="0" fontId="118" fillId="6" borderId="1" xfId="1" applyFont="1" applyFill="1" applyBorder="1" applyAlignment="1">
      <alignment horizontal="center" vertical="center"/>
    </xf>
    <xf numFmtId="0" fontId="120" fillId="16" borderId="1" xfId="1" applyFont="1" applyFill="1" applyBorder="1" applyAlignment="1">
      <alignment horizontal="center" vertical="center"/>
    </xf>
    <xf numFmtId="0" fontId="120" fillId="17" borderId="1" xfId="1" applyFont="1" applyFill="1" applyBorder="1" applyAlignment="1">
      <alignment horizontal="center" vertical="center"/>
    </xf>
    <xf numFmtId="0" fontId="32" fillId="0" borderId="0" xfId="0" applyFont="1" applyAlignment="1">
      <alignment vertical="center"/>
    </xf>
    <xf numFmtId="0" fontId="61" fillId="0" borderId="0" xfId="0" applyFont="1"/>
    <xf numFmtId="0" fontId="5" fillId="0" borderId="0" xfId="77" applyFont="1" applyAlignment="1">
      <alignment horizontal="left" vertical="center"/>
    </xf>
    <xf numFmtId="0" fontId="35" fillId="0" borderId="0" xfId="77" applyFont="1" applyAlignment="1">
      <alignment horizontal="left" vertical="center" wrapText="1"/>
    </xf>
    <xf numFmtId="0" fontId="5" fillId="0" borderId="0" xfId="77" applyFont="1"/>
    <xf numFmtId="0" fontId="35" fillId="0" borderId="0" xfId="77" applyFont="1"/>
    <xf numFmtId="17" fontId="7" fillId="0" borderId="0" xfId="1" applyNumberFormat="1" applyFont="1" applyAlignment="1">
      <alignment horizontal="left"/>
    </xf>
    <xf numFmtId="0" fontId="5" fillId="0" borderId="0" xfId="1" applyFont="1"/>
    <xf numFmtId="0" fontId="37" fillId="0" borderId="0" xfId="77" applyFont="1"/>
    <xf numFmtId="0" fontId="7" fillId="0" borderId="0" xfId="77" applyFont="1"/>
    <xf numFmtId="0" fontId="60" fillId="0" borderId="41" xfId="77" applyFont="1" applyBorder="1" applyAlignment="1">
      <alignment horizontal="center"/>
    </xf>
    <xf numFmtId="46" fontId="54" fillId="0" borderId="8" xfId="77" applyNumberFormat="1" applyFont="1" applyBorder="1" applyAlignment="1">
      <alignment horizontal="center"/>
    </xf>
    <xf numFmtId="14" fontId="7" fillId="0" borderId="21" xfId="77" applyNumberFormat="1" applyFont="1" applyBorder="1" applyAlignment="1">
      <alignment horizontal="center"/>
    </xf>
    <xf numFmtId="0" fontId="34" fillId="0" borderId="8" xfId="77" applyFont="1" applyBorder="1"/>
    <xf numFmtId="46" fontId="34" fillId="0" borderId="8" xfId="77" applyNumberFormat="1" applyFont="1" applyBorder="1" applyAlignment="1">
      <alignment horizontal="center"/>
    </xf>
    <xf numFmtId="0" fontId="54" fillId="0" borderId="8" xfId="77" applyFont="1" applyBorder="1"/>
    <xf numFmtId="0" fontId="73" fillId="0" borderId="0" xfId="77" applyFont="1" applyAlignment="1">
      <alignment horizontal="left" vertical="center"/>
    </xf>
    <xf numFmtId="0" fontId="60" fillId="0" borderId="27" xfId="77" applyFont="1" applyBorder="1"/>
    <xf numFmtId="164" fontId="54" fillId="0" borderId="21" xfId="77" applyNumberFormat="1" applyFont="1" applyBorder="1"/>
    <xf numFmtId="0" fontId="60" fillId="0" borderId="28" xfId="77" applyFont="1" applyBorder="1"/>
    <xf numFmtId="0" fontId="60" fillId="0" borderId="30" xfId="77" applyFont="1" applyBorder="1"/>
    <xf numFmtId="0" fontId="60" fillId="0" borderId="18" xfId="77" applyFont="1" applyBorder="1"/>
    <xf numFmtId="0" fontId="54" fillId="0" borderId="18" xfId="77" applyFont="1" applyBorder="1"/>
    <xf numFmtId="184" fontId="54" fillId="0" borderId="18" xfId="77" applyNumberFormat="1" applyFont="1" applyBorder="1"/>
    <xf numFmtId="0" fontId="2" fillId="0" borderId="31" xfId="77" applyBorder="1"/>
    <xf numFmtId="0" fontId="60" fillId="0" borderId="84" xfId="77" applyFont="1" applyBorder="1"/>
    <xf numFmtId="0" fontId="2" fillId="0" borderId="13" xfId="77" applyBorder="1"/>
    <xf numFmtId="0" fontId="54" fillId="0" borderId="52" xfId="77" applyFont="1" applyBorder="1"/>
    <xf numFmtId="0" fontId="54" fillId="0" borderId="53" xfId="77" applyFont="1" applyBorder="1"/>
    <xf numFmtId="0" fontId="60" fillId="0" borderId="19" xfId="77" applyFont="1" applyBorder="1"/>
    <xf numFmtId="0" fontId="54" fillId="0" borderId="19" xfId="77" applyFont="1" applyBorder="1"/>
    <xf numFmtId="164" fontId="54" fillId="0" borderId="19" xfId="77" applyNumberFormat="1" applyFont="1" applyBorder="1"/>
    <xf numFmtId="0" fontId="2" fillId="0" borderId="16" xfId="77" applyBorder="1"/>
    <xf numFmtId="0" fontId="60" fillId="0" borderId="28" xfId="77" applyFont="1" applyBorder="1" applyAlignment="1">
      <alignment horizontal="center"/>
    </xf>
    <xf numFmtId="0" fontId="60" fillId="0" borderId="30" xfId="77" applyFont="1" applyBorder="1" applyAlignment="1">
      <alignment horizontal="center"/>
    </xf>
    <xf numFmtId="0" fontId="27" fillId="0" borderId="31" xfId="77" applyFont="1" applyBorder="1" applyAlignment="1">
      <alignment horizontal="center"/>
    </xf>
    <xf numFmtId="0" fontId="54" fillId="0" borderId="12" xfId="77" applyFont="1" applyBorder="1"/>
    <xf numFmtId="0" fontId="60" fillId="0" borderId="43" xfId="77" applyFont="1" applyBorder="1" applyAlignment="1">
      <alignment horizontal="center" vertical="center" wrapText="1"/>
    </xf>
    <xf numFmtId="0" fontId="60" fillId="0" borderId="36" xfId="77" applyFont="1" applyBorder="1" applyAlignment="1">
      <alignment horizontal="center" vertical="center" wrapText="1"/>
    </xf>
    <xf numFmtId="0" fontId="60" fillId="0" borderId="29" xfId="77" applyFont="1" applyBorder="1" applyAlignment="1">
      <alignment horizontal="center"/>
    </xf>
    <xf numFmtId="0" fontId="60" fillId="0" borderId="31" xfId="77" applyFont="1" applyBorder="1" applyAlignment="1">
      <alignment horizontal="center"/>
    </xf>
    <xf numFmtId="14" fontId="7" fillId="0" borderId="85" xfId="77" applyNumberFormat="1" applyFont="1" applyBorder="1" applyAlignment="1">
      <alignment horizontal="center"/>
    </xf>
    <xf numFmtId="184" fontId="54" fillId="0" borderId="13" xfId="93" applyNumberFormat="1" applyFont="1" applyFill="1" applyBorder="1" applyAlignment="1">
      <alignment horizontal="center"/>
    </xf>
    <xf numFmtId="0" fontId="2" fillId="0" borderId="28" xfId="77" applyBorder="1"/>
    <xf numFmtId="0" fontId="2" fillId="0" borderId="85" xfId="77" applyBorder="1"/>
    <xf numFmtId="0" fontId="2" fillId="0" borderId="52" xfId="77" applyBorder="1"/>
    <xf numFmtId="166" fontId="60" fillId="0" borderId="11" xfId="77" applyNumberFormat="1" applyFont="1" applyBorder="1"/>
    <xf numFmtId="166" fontId="60" fillId="0" borderId="13" xfId="77" applyNumberFormat="1" applyFont="1" applyBorder="1"/>
    <xf numFmtId="166" fontId="60" fillId="0" borderId="16" xfId="77" applyNumberFormat="1" applyFont="1" applyBorder="1"/>
    <xf numFmtId="0" fontId="60" fillId="0" borderId="44" xfId="77" applyFont="1" applyBorder="1" applyAlignment="1">
      <alignment horizontal="center" vertical="center" wrapText="1"/>
    </xf>
    <xf numFmtId="0" fontId="60" fillId="0" borderId="42" xfId="77" applyFont="1" applyBorder="1" applyAlignment="1">
      <alignment horizontal="center" vertical="center" wrapText="1"/>
    </xf>
    <xf numFmtId="0" fontId="60" fillId="0" borderId="62" xfId="77" applyFont="1" applyBorder="1" applyAlignment="1">
      <alignment vertical="center" wrapText="1"/>
    </xf>
    <xf numFmtId="0" fontId="60" fillId="0" borderId="15" xfId="77" applyFont="1" applyBorder="1" applyAlignment="1">
      <alignment horizontal="center" vertical="center" wrapText="1"/>
    </xf>
    <xf numFmtId="0" fontId="60" fillId="0" borderId="16" xfId="77" applyFont="1" applyBorder="1" applyAlignment="1">
      <alignment horizontal="center" vertical="center" wrapText="1"/>
    </xf>
    <xf numFmtId="0" fontId="60" fillId="0" borderId="61" xfId="77" applyFont="1" applyBorder="1" applyAlignment="1">
      <alignment horizontal="center"/>
    </xf>
    <xf numFmtId="0" fontId="60" fillId="0" borderId="62" xfId="77" applyFont="1" applyBorder="1" applyAlignment="1">
      <alignment horizontal="center"/>
    </xf>
    <xf numFmtId="0" fontId="27" fillId="0" borderId="66" xfId="77" applyFont="1" applyBorder="1" applyAlignment="1">
      <alignment horizontal="center"/>
    </xf>
    <xf numFmtId="0" fontId="60" fillId="0" borderId="44" xfId="77" applyFont="1" applyBorder="1"/>
    <xf numFmtId="0" fontId="60" fillId="0" borderId="46" xfId="77" applyFont="1" applyBorder="1"/>
    <xf numFmtId="184" fontId="60" fillId="0" borderId="66" xfId="77" applyNumberFormat="1" applyFont="1" applyBorder="1"/>
    <xf numFmtId="184" fontId="60" fillId="0" borderId="61" xfId="77" applyNumberFormat="1" applyFont="1" applyBorder="1"/>
    <xf numFmtId="184" fontId="60" fillId="0" borderId="62" xfId="77" applyNumberFormat="1" applyFont="1" applyBorder="1"/>
    <xf numFmtId="14" fontId="7" fillId="0" borderId="28" xfId="77" applyNumberFormat="1" applyFont="1" applyBorder="1" applyAlignment="1">
      <alignment horizontal="center"/>
    </xf>
    <xf numFmtId="14" fontId="7" fillId="0" borderId="18" xfId="77" applyNumberFormat="1" applyFont="1" applyBorder="1" applyAlignment="1">
      <alignment horizontal="center"/>
    </xf>
    <xf numFmtId="0" fontId="34" fillId="0" borderId="10" xfId="77" applyFont="1" applyBorder="1"/>
    <xf numFmtId="46" fontId="54" fillId="0" borderId="10" xfId="77" applyNumberFormat="1" applyFont="1" applyBorder="1" applyAlignment="1">
      <alignment horizontal="center"/>
    </xf>
    <xf numFmtId="46" fontId="34" fillId="0" borderId="10" xfId="77" applyNumberFormat="1" applyFont="1" applyBorder="1" applyAlignment="1">
      <alignment horizontal="center"/>
    </xf>
    <xf numFmtId="184" fontId="54" fillId="0" borderId="11" xfId="93" applyNumberFormat="1" applyFont="1" applyFill="1" applyBorder="1" applyAlignment="1">
      <alignment horizontal="center"/>
    </xf>
    <xf numFmtId="0" fontId="54" fillId="0" borderId="9" xfId="77" applyFont="1" applyBorder="1"/>
    <xf numFmtId="0" fontId="54" fillId="0" borderId="10" xfId="77" applyFont="1" applyBorder="1"/>
    <xf numFmtId="0" fontId="2" fillId="0" borderId="11" xfId="77" applyBorder="1"/>
    <xf numFmtId="14" fontId="7" fillId="0" borderId="52" xfId="77" applyNumberFormat="1" applyFont="1" applyBorder="1" applyAlignment="1">
      <alignment horizontal="center"/>
    </xf>
    <xf numFmtId="14" fontId="7" fillId="0" borderId="19" xfId="77" applyNumberFormat="1" applyFont="1" applyBorder="1" applyAlignment="1">
      <alignment horizontal="center"/>
    </xf>
    <xf numFmtId="0" fontId="34" fillId="0" borderId="15" xfId="77" applyFont="1" applyBorder="1"/>
    <xf numFmtId="46" fontId="54" fillId="0" borderId="15" xfId="77" applyNumberFormat="1" applyFont="1" applyBorder="1" applyAlignment="1">
      <alignment horizontal="center"/>
    </xf>
    <xf numFmtId="46" fontId="34" fillId="0" borderId="15" xfId="77" applyNumberFormat="1" applyFont="1" applyBorder="1" applyAlignment="1">
      <alignment horizontal="center"/>
    </xf>
    <xf numFmtId="184" fontId="54" fillId="0" borderId="16" xfId="93" applyNumberFormat="1" applyFont="1" applyFill="1" applyBorder="1" applyAlignment="1">
      <alignment horizontal="center"/>
    </xf>
    <xf numFmtId="0" fontId="54" fillId="0" borderId="14" xfId="77" applyFont="1" applyBorder="1"/>
    <xf numFmtId="0" fontId="54" fillId="0" borderId="15" xfId="77" applyFont="1" applyBorder="1"/>
    <xf numFmtId="4" fontId="22" fillId="0" borderId="0" xfId="77" quotePrefix="1" applyNumberFormat="1" applyFont="1"/>
    <xf numFmtId="4" fontId="25" fillId="0" borderId="0" xfId="77" applyNumberFormat="1" applyFont="1" applyAlignment="1">
      <alignment horizontal="left" vertical="center"/>
    </xf>
    <xf numFmtId="2" fontId="50" fillId="0" borderId="3" xfId="77" applyNumberFormat="1" applyFont="1" applyBorder="1"/>
    <xf numFmtId="0" fontId="6" fillId="0" borderId="8" xfId="77" applyFont="1" applyBorder="1" applyAlignment="1">
      <alignment vertical="center" wrapText="1"/>
    </xf>
    <xf numFmtId="0" fontId="6" fillId="0" borderId="8" xfId="77" applyFont="1" applyBorder="1" applyAlignment="1">
      <alignment horizontal="center" vertical="center"/>
    </xf>
    <xf numFmtId="171" fontId="60" fillId="0" borderId="8" xfId="77" applyNumberFormat="1" applyFont="1" applyBorder="1"/>
    <xf numFmtId="0" fontId="6" fillId="0" borderId="8" xfId="77" applyFont="1" applyBorder="1" applyAlignment="1">
      <alignment horizontal="center" vertical="center" wrapText="1"/>
    </xf>
    <xf numFmtId="165" fontId="60" fillId="0" borderId="8" xfId="83" applyFont="1" applyBorder="1" applyAlignment="1">
      <alignment horizontal="right"/>
    </xf>
    <xf numFmtId="0" fontId="60" fillId="0" borderId="25" xfId="77" applyFont="1" applyBorder="1"/>
    <xf numFmtId="0" fontId="60" fillId="0" borderId="21" xfId="77" applyFont="1" applyBorder="1"/>
    <xf numFmtId="49" fontId="60" fillId="0" borderId="8" xfId="77" applyNumberFormat="1" applyFont="1" applyBorder="1" applyAlignment="1">
      <alignment wrapText="1"/>
    </xf>
    <xf numFmtId="0" fontId="60" fillId="0" borderId="8" xfId="77" applyFont="1" applyBorder="1" applyAlignment="1">
      <alignment horizontal="left"/>
    </xf>
    <xf numFmtId="171" fontId="60" fillId="0" borderId="8" xfId="77" applyNumberFormat="1" applyFont="1" applyBorder="1" applyAlignment="1">
      <alignment horizontal="center"/>
    </xf>
    <xf numFmtId="4" fontId="60" fillId="0" borderId="8" xfId="77" applyNumberFormat="1" applyFont="1" applyBorder="1" applyAlignment="1">
      <alignment horizontal="center"/>
    </xf>
    <xf numFmtId="49" fontId="22" fillId="0" borderId="0" xfId="77" applyNumberFormat="1" applyFont="1" applyAlignment="1">
      <alignment horizontal="left"/>
    </xf>
    <xf numFmtId="0" fontId="2" fillId="0" borderId="50" xfId="77" applyBorder="1"/>
    <xf numFmtId="0" fontId="2" fillId="0" borderId="51" xfId="77" applyBorder="1"/>
    <xf numFmtId="0" fontId="2" fillId="0" borderId="56" xfId="77" applyBorder="1"/>
    <xf numFmtId="0" fontId="2" fillId="0" borderId="22" xfId="77" applyBorder="1"/>
    <xf numFmtId="0" fontId="28" fillId="0" borderId="0" xfId="77" applyFont="1"/>
    <xf numFmtId="0" fontId="2" fillId="0" borderId="23" xfId="77" applyBorder="1"/>
    <xf numFmtId="0" fontId="2" fillId="0" borderId="22" xfId="77" applyBorder="1" applyAlignment="1">
      <alignment horizontal="left" vertical="center"/>
    </xf>
    <xf numFmtId="0" fontId="2" fillId="0" borderId="23" xfId="77" applyBorder="1" applyAlignment="1">
      <alignment horizontal="left" vertical="center"/>
    </xf>
    <xf numFmtId="0" fontId="2" fillId="0" borderId="40" xfId="77" applyBorder="1"/>
    <xf numFmtId="0" fontId="54" fillId="0" borderId="41" xfId="77" applyFont="1" applyBorder="1"/>
    <xf numFmtId="166" fontId="60" fillId="0" borderId="41" xfId="77" applyNumberFormat="1" applyFont="1" applyBorder="1"/>
    <xf numFmtId="0" fontId="2" fillId="0" borderId="41" xfId="77" applyBorder="1"/>
    <xf numFmtId="0" fontId="2" fillId="0" borderId="20" xfId="77" applyBorder="1"/>
    <xf numFmtId="0" fontId="96" fillId="0" borderId="0" xfId="0" applyFont="1" applyAlignment="1">
      <alignment horizontal="center" vertical="center"/>
    </xf>
    <xf numFmtId="166" fontId="10" fillId="0" borderId="0" xfId="0" applyNumberFormat="1" applyFont="1" applyAlignment="1">
      <alignment horizontal="center" vertical="center"/>
    </xf>
    <xf numFmtId="4" fontId="92" fillId="0" borderId="25" xfId="0" applyNumberFormat="1" applyFont="1" applyBorder="1" applyAlignment="1">
      <alignment vertical="center"/>
    </xf>
    <xf numFmtId="4" fontId="92" fillId="0" borderId="26" xfId="0" applyNumberFormat="1" applyFont="1" applyBorder="1" applyAlignment="1">
      <alignment vertical="center"/>
    </xf>
    <xf numFmtId="0" fontId="90" fillId="0" borderId="26" xfId="0" applyFont="1" applyBorder="1" applyAlignment="1">
      <alignment vertical="center"/>
    </xf>
    <xf numFmtId="0" fontId="10" fillId="0" borderId="0" xfId="0" applyFont="1" applyAlignment="1">
      <alignment vertical="center" wrapText="1"/>
    </xf>
    <xf numFmtId="2" fontId="94" fillId="0" borderId="0" xfId="0" applyNumberFormat="1" applyFont="1" applyAlignment="1">
      <alignment horizontal="center" vertical="center"/>
    </xf>
    <xf numFmtId="0" fontId="0" fillId="0" borderId="0" xfId="0" applyAlignment="1">
      <alignment vertical="center"/>
    </xf>
    <xf numFmtId="2" fontId="0" fillId="0" borderId="0" xfId="0" applyNumberFormat="1" applyAlignment="1">
      <alignment vertical="center"/>
    </xf>
    <xf numFmtId="0" fontId="72" fillId="0" borderId="0" xfId="0" applyFont="1"/>
    <xf numFmtId="0" fontId="22" fillId="2" borderId="3" xfId="1" applyFont="1" applyFill="1" applyBorder="1" applyAlignment="1">
      <alignment horizontal="center" vertical="center"/>
    </xf>
    <xf numFmtId="15" fontId="22" fillId="2" borderId="2" xfId="1" applyNumberFormat="1" applyFont="1" applyFill="1" applyBorder="1" applyAlignment="1">
      <alignment horizontal="center" vertical="center"/>
    </xf>
    <xf numFmtId="15" fontId="22" fillId="2" borderId="59" xfId="1" applyNumberFormat="1" applyFont="1" applyFill="1" applyBorder="1" applyAlignment="1">
      <alignment vertical="center"/>
    </xf>
    <xf numFmtId="4" fontId="22" fillId="0" borderId="3" xfId="1" applyNumberFormat="1" applyFont="1" applyBorder="1" applyAlignment="1">
      <alignment vertical="center"/>
    </xf>
    <xf numFmtId="10" fontId="22" fillId="2" borderId="59" xfId="1" applyNumberFormat="1" applyFont="1" applyFill="1" applyBorder="1" applyAlignment="1">
      <alignment horizontal="center" vertical="center"/>
    </xf>
    <xf numFmtId="10" fontId="22" fillId="2" borderId="3" xfId="1" applyNumberFormat="1" applyFont="1" applyFill="1" applyBorder="1" applyAlignment="1">
      <alignment horizontal="center" vertical="center"/>
    </xf>
    <xf numFmtId="4" fontId="22" fillId="2" borderId="3" xfId="1" applyNumberFormat="1" applyFont="1" applyFill="1" applyBorder="1" applyAlignment="1">
      <alignment vertical="center"/>
    </xf>
    <xf numFmtId="0" fontId="23" fillId="10" borderId="25" xfId="1" applyFont="1" applyFill="1" applyBorder="1" applyAlignment="1">
      <alignment horizontal="centerContinuous" vertical="center"/>
    </xf>
    <xf numFmtId="0" fontId="23" fillId="10" borderId="26" xfId="1" applyFont="1" applyFill="1" applyBorder="1" applyAlignment="1">
      <alignment horizontal="centerContinuous" vertical="center"/>
    </xf>
    <xf numFmtId="0" fontId="23" fillId="10" borderId="21" xfId="1" applyFont="1" applyFill="1" applyBorder="1" applyAlignment="1">
      <alignment horizontal="centerContinuous" vertical="center"/>
    </xf>
    <xf numFmtId="0" fontId="22" fillId="10" borderId="26" xfId="1" applyFont="1" applyFill="1" applyBorder="1" applyAlignment="1">
      <alignment horizontal="centerContinuous" vertical="center"/>
    </xf>
    <xf numFmtId="0" fontId="22" fillId="10" borderId="21" xfId="1" applyFont="1" applyFill="1" applyBorder="1" applyAlignment="1">
      <alignment horizontal="centerContinuous" vertical="center"/>
    </xf>
    <xf numFmtId="0" fontId="23" fillId="10" borderId="21" xfId="1" applyFont="1" applyFill="1" applyBorder="1" applyAlignment="1">
      <alignment horizontal="left" vertical="center"/>
    </xf>
    <xf numFmtId="0" fontId="23" fillId="10" borderId="8" xfId="1" applyFont="1" applyFill="1" applyBorder="1" applyAlignment="1">
      <alignment horizontal="center" vertical="center"/>
    </xf>
    <xf numFmtId="4" fontId="23" fillId="10" borderId="8" xfId="1" applyNumberFormat="1" applyFont="1" applyFill="1" applyBorder="1" applyAlignment="1">
      <alignment vertical="center"/>
    </xf>
    <xf numFmtId="10" fontId="23" fillId="10" borderId="21" xfId="1" applyNumberFormat="1" applyFont="1" applyFill="1" applyBorder="1" applyAlignment="1">
      <alignment horizontal="center" vertical="center"/>
    </xf>
    <xf numFmtId="15" fontId="23" fillId="10" borderId="8" xfId="1" applyNumberFormat="1" applyFont="1" applyFill="1" applyBorder="1" applyAlignment="1">
      <alignment horizontal="left" vertical="center"/>
    </xf>
    <xf numFmtId="10" fontId="23" fillId="10" borderId="8" xfId="1" applyNumberFormat="1" applyFont="1" applyFill="1" applyBorder="1" applyAlignment="1">
      <alignment horizontal="center" vertical="center"/>
    </xf>
    <xf numFmtId="10" fontId="123" fillId="2" borderId="3" xfId="1" applyNumberFormat="1" applyFont="1" applyFill="1" applyBorder="1" applyAlignment="1">
      <alignment horizontal="center" vertical="center"/>
    </xf>
    <xf numFmtId="4" fontId="123" fillId="2" borderId="3" xfId="1" applyNumberFormat="1" applyFont="1" applyFill="1" applyBorder="1" applyAlignment="1">
      <alignment vertical="center"/>
    </xf>
    <xf numFmtId="10" fontId="123" fillId="2" borderId="59" xfId="1" applyNumberFormat="1" applyFont="1" applyFill="1" applyBorder="1" applyAlignment="1">
      <alignment horizontal="center" vertical="center"/>
    </xf>
    <xf numFmtId="0" fontId="123" fillId="2" borderId="3" xfId="1" applyFont="1" applyFill="1" applyBorder="1" applyAlignment="1">
      <alignment horizontal="center" vertical="center"/>
    </xf>
    <xf numFmtId="15" fontId="123" fillId="2" borderId="2" xfId="1" applyNumberFormat="1" applyFont="1" applyFill="1" applyBorder="1" applyAlignment="1">
      <alignment horizontal="center" vertical="center"/>
    </xf>
    <xf numFmtId="15" fontId="123" fillId="2" borderId="59" xfId="1" applyNumberFormat="1" applyFont="1" applyFill="1" applyBorder="1" applyAlignment="1">
      <alignment vertical="center"/>
    </xf>
    <xf numFmtId="4" fontId="123" fillId="0" borderId="3" xfId="1" applyNumberFormat="1" applyFont="1" applyBorder="1" applyAlignment="1">
      <alignment vertical="center"/>
    </xf>
    <xf numFmtId="166" fontId="121" fillId="2" borderId="10" xfId="1" applyNumberFormat="1" applyFont="1" applyFill="1" applyBorder="1" applyAlignment="1">
      <alignment horizontal="center" vertical="center"/>
    </xf>
    <xf numFmtId="166" fontId="121" fillId="2" borderId="8" xfId="1" applyNumberFormat="1" applyFont="1" applyFill="1" applyBorder="1" applyAlignment="1">
      <alignment horizontal="center" vertical="center"/>
    </xf>
    <xf numFmtId="166" fontId="121" fillId="2" borderId="15" xfId="1" applyNumberFormat="1" applyFont="1" applyFill="1" applyBorder="1" applyAlignment="1">
      <alignment horizontal="center" vertical="center"/>
    </xf>
    <xf numFmtId="166" fontId="120" fillId="6" borderId="1" xfId="1" applyNumberFormat="1" applyFont="1" applyFill="1" applyBorder="1" applyAlignment="1">
      <alignment vertical="center"/>
    </xf>
    <xf numFmtId="166" fontId="120" fillId="6" borderId="49" xfId="1" applyNumberFormat="1" applyFont="1" applyFill="1" applyBorder="1" applyAlignment="1">
      <alignment vertical="center"/>
    </xf>
    <xf numFmtId="166" fontId="120" fillId="6" borderId="65" xfId="1" applyNumberFormat="1" applyFont="1" applyFill="1" applyBorder="1" applyAlignment="1">
      <alignment vertical="center"/>
    </xf>
    <xf numFmtId="166" fontId="121" fillId="2" borderId="9" xfId="1" applyNumberFormat="1" applyFont="1" applyFill="1" applyBorder="1" applyAlignment="1">
      <alignment horizontal="center" vertical="center"/>
    </xf>
    <xf numFmtId="166" fontId="120" fillId="2" borderId="11" xfId="1" applyNumberFormat="1" applyFont="1" applyFill="1" applyBorder="1" applyAlignment="1">
      <alignment horizontal="center" vertical="center"/>
    </xf>
    <xf numFmtId="166" fontId="120" fillId="2" borderId="30" xfId="1" applyNumberFormat="1" applyFont="1" applyFill="1" applyBorder="1" applyAlignment="1">
      <alignment horizontal="center" vertical="center"/>
    </xf>
    <xf numFmtId="166" fontId="121" fillId="2" borderId="86" xfId="79" applyFont="1" applyFill="1" applyBorder="1" applyAlignment="1">
      <alignment horizontal="right" vertical="center"/>
    </xf>
    <xf numFmtId="166" fontId="121" fillId="2" borderId="87" xfId="79" applyFont="1" applyFill="1" applyBorder="1" applyAlignment="1">
      <alignment horizontal="right" vertical="center"/>
    </xf>
    <xf numFmtId="166" fontId="120" fillId="2" borderId="13" xfId="0" applyNumberFormat="1" applyFont="1" applyFill="1" applyBorder="1" applyAlignment="1">
      <alignment horizontal="center" vertical="center" wrapText="1"/>
    </xf>
    <xf numFmtId="166" fontId="120" fillId="2" borderId="26" xfId="0" applyNumberFormat="1" applyFont="1" applyFill="1" applyBorder="1" applyAlignment="1">
      <alignment horizontal="center" vertical="center" wrapText="1"/>
    </xf>
    <xf numFmtId="166" fontId="121" fillId="2" borderId="88" xfId="79" applyFont="1" applyFill="1" applyBorder="1" applyAlignment="1">
      <alignment horizontal="right" vertical="center"/>
    </xf>
    <xf numFmtId="166" fontId="120" fillId="2" borderId="46" xfId="1" applyNumberFormat="1" applyFont="1" applyFill="1" applyBorder="1" applyAlignment="1">
      <alignment horizontal="center" vertical="center"/>
    </xf>
    <xf numFmtId="166" fontId="120" fillId="2" borderId="46" xfId="0" applyNumberFormat="1" applyFont="1" applyFill="1" applyBorder="1" applyAlignment="1">
      <alignment horizontal="center" vertical="center" wrapText="1"/>
    </xf>
    <xf numFmtId="166" fontId="120" fillId="2" borderId="7" xfId="79" applyFont="1" applyFill="1" applyBorder="1" applyAlignment="1">
      <alignment horizontal="right" vertical="center"/>
    </xf>
    <xf numFmtId="166" fontId="121" fillId="2" borderId="46" xfId="1" applyNumberFormat="1" applyFont="1" applyFill="1" applyBorder="1" applyAlignment="1">
      <alignment horizontal="center" vertical="center"/>
    </xf>
    <xf numFmtId="166" fontId="121" fillId="2" borderId="7" xfId="79" applyFont="1" applyFill="1" applyBorder="1" applyAlignment="1">
      <alignment horizontal="right" vertical="center"/>
    </xf>
    <xf numFmtId="166" fontId="121" fillId="2" borderId="81" xfId="1" applyNumberFormat="1" applyFont="1" applyFill="1" applyBorder="1" applyAlignment="1">
      <alignment horizontal="center" vertical="center"/>
    </xf>
    <xf numFmtId="166" fontId="121" fillId="2" borderId="17" xfId="1" applyNumberFormat="1" applyFont="1" applyFill="1" applyBorder="1" applyAlignment="1">
      <alignment horizontal="center" vertical="center"/>
    </xf>
    <xf numFmtId="166" fontId="120" fillId="2" borderId="41" xfId="0" applyNumberFormat="1" applyFont="1" applyFill="1" applyBorder="1" applyAlignment="1">
      <alignment horizontal="center" vertical="center" wrapText="1"/>
    </xf>
    <xf numFmtId="166" fontId="121" fillId="2" borderId="89" xfId="79" applyFont="1" applyFill="1" applyBorder="1" applyAlignment="1">
      <alignment horizontal="right" vertical="center"/>
    </xf>
    <xf numFmtId="166" fontId="108" fillId="0" borderId="13" xfId="0" applyNumberFormat="1" applyFont="1" applyBorder="1" applyAlignment="1">
      <alignment horizontal="center" vertical="center"/>
    </xf>
    <xf numFmtId="166" fontId="108" fillId="0" borderId="26" xfId="0" applyNumberFormat="1" applyFont="1" applyBorder="1" applyAlignment="1">
      <alignment horizontal="center" vertical="center"/>
    </xf>
    <xf numFmtId="166" fontId="121" fillId="2" borderId="64" xfId="79" applyFont="1" applyFill="1" applyBorder="1" applyAlignment="1">
      <alignment horizontal="right" vertical="center"/>
    </xf>
    <xf numFmtId="166" fontId="120" fillId="2" borderId="1" xfId="1" applyNumberFormat="1" applyFont="1" applyFill="1" applyBorder="1" applyAlignment="1">
      <alignment horizontal="center" vertical="center"/>
    </xf>
    <xf numFmtId="166" fontId="120" fillId="2" borderId="1" xfId="0" applyNumberFormat="1" applyFont="1" applyFill="1" applyBorder="1" applyAlignment="1">
      <alignment horizontal="center" vertical="center" wrapText="1"/>
    </xf>
    <xf numFmtId="166" fontId="120" fillId="2" borderId="49" xfId="79" applyFont="1" applyFill="1" applyBorder="1" applyAlignment="1">
      <alignment horizontal="right" vertical="center"/>
    </xf>
    <xf numFmtId="166" fontId="120" fillId="2" borderId="67" xfId="0" applyNumberFormat="1" applyFont="1" applyFill="1" applyBorder="1" applyAlignment="1">
      <alignment horizontal="center" vertical="center" wrapText="1"/>
    </xf>
    <xf numFmtId="166" fontId="120" fillId="2" borderId="53" xfId="0" applyNumberFormat="1" applyFont="1" applyFill="1" applyBorder="1" applyAlignment="1">
      <alignment horizontal="center" vertical="center" wrapText="1"/>
    </xf>
    <xf numFmtId="166" fontId="121" fillId="2" borderId="53" xfId="0" applyNumberFormat="1" applyFont="1" applyFill="1" applyBorder="1" applyAlignment="1">
      <alignment horizontal="center" vertical="center"/>
    </xf>
    <xf numFmtId="166" fontId="121" fillId="2" borderId="53" xfId="79" applyFont="1" applyFill="1" applyBorder="1" applyAlignment="1">
      <alignment horizontal="right" vertical="center"/>
    </xf>
    <xf numFmtId="166" fontId="120" fillId="16" borderId="1" xfId="1" applyNumberFormat="1" applyFont="1" applyFill="1" applyBorder="1" applyAlignment="1">
      <alignment vertical="center"/>
    </xf>
    <xf numFmtId="166" fontId="120" fillId="16" borderId="49" xfId="1" applyNumberFormat="1" applyFont="1" applyFill="1" applyBorder="1" applyAlignment="1">
      <alignment vertical="center"/>
    </xf>
    <xf numFmtId="166" fontId="121" fillId="2" borderId="17" xfId="0" applyNumberFormat="1" applyFont="1" applyFill="1" applyBorder="1" applyAlignment="1">
      <alignment horizontal="center" vertical="center"/>
    </xf>
    <xf numFmtId="166" fontId="108" fillId="2" borderId="67" xfId="0" applyNumberFormat="1" applyFont="1" applyFill="1" applyBorder="1" applyAlignment="1">
      <alignment horizontal="center" vertical="center"/>
    </xf>
    <xf numFmtId="166" fontId="108" fillId="2" borderId="41" xfId="0" applyNumberFormat="1" applyFont="1" applyFill="1" applyBorder="1" applyAlignment="1">
      <alignment horizontal="center" vertical="center"/>
    </xf>
    <xf numFmtId="166" fontId="121" fillId="2" borderId="8" xfId="0" applyNumberFormat="1" applyFont="1" applyFill="1" applyBorder="1" applyAlignment="1">
      <alignment horizontal="center" vertical="center"/>
    </xf>
    <xf numFmtId="166" fontId="121" fillId="2" borderId="61" xfId="1" applyNumberFormat="1" applyFont="1" applyFill="1" applyBorder="1" applyAlignment="1">
      <alignment horizontal="center" vertical="center"/>
    </xf>
    <xf numFmtId="166" fontId="121" fillId="2" borderId="62" xfId="1" applyNumberFormat="1" applyFont="1" applyFill="1" applyBorder="1" applyAlignment="1">
      <alignment horizontal="center" vertical="center"/>
    </xf>
    <xf numFmtId="166" fontId="121" fillId="2" borderId="15" xfId="0" applyNumberFormat="1" applyFont="1" applyFill="1" applyBorder="1" applyAlignment="1">
      <alignment horizontal="center" vertical="center"/>
    </xf>
    <xf numFmtId="166" fontId="108" fillId="2" borderId="66" xfId="0" applyNumberFormat="1" applyFont="1" applyFill="1" applyBorder="1" applyAlignment="1">
      <alignment horizontal="center" vertical="center"/>
    </xf>
    <xf numFmtId="166" fontId="108" fillId="2" borderId="46" xfId="0" applyNumberFormat="1" applyFont="1" applyFill="1" applyBorder="1" applyAlignment="1">
      <alignment horizontal="center" vertical="center"/>
    </xf>
    <xf numFmtId="166" fontId="120" fillId="17" borderId="1" xfId="1" applyNumberFormat="1" applyFont="1" applyFill="1" applyBorder="1" applyAlignment="1">
      <alignment vertical="center"/>
    </xf>
    <xf numFmtId="166" fontId="120" fillId="17" borderId="49" xfId="1" applyNumberFormat="1" applyFont="1" applyFill="1" applyBorder="1" applyAlignment="1">
      <alignment vertical="center"/>
    </xf>
    <xf numFmtId="166" fontId="121" fillId="2" borderId="20" xfId="1" applyNumberFormat="1" applyFont="1" applyFill="1" applyBorder="1" applyAlignment="1">
      <alignment horizontal="center" vertical="center"/>
    </xf>
    <xf numFmtId="166" fontId="108" fillId="2" borderId="40" xfId="0" applyNumberFormat="1" applyFont="1" applyFill="1" applyBorder="1" applyAlignment="1">
      <alignment horizontal="center" vertical="center"/>
    </xf>
    <xf numFmtId="166" fontId="108" fillId="2" borderId="89" xfId="0" applyNumberFormat="1" applyFont="1" applyFill="1" applyBorder="1" applyAlignment="1">
      <alignment horizontal="center" vertical="center"/>
    </xf>
    <xf numFmtId="166" fontId="121" fillId="2" borderId="42" xfId="1" applyNumberFormat="1" applyFont="1" applyFill="1" applyBorder="1" applyAlignment="1">
      <alignment horizontal="center" vertical="center"/>
    </xf>
    <xf numFmtId="166" fontId="108" fillId="2" borderId="63" xfId="0" applyNumberFormat="1" applyFont="1" applyFill="1" applyBorder="1" applyAlignment="1">
      <alignment horizontal="center" vertical="center"/>
    </xf>
    <xf numFmtId="166" fontId="108" fillId="2" borderId="64" xfId="0" applyNumberFormat="1" applyFont="1" applyFill="1" applyBorder="1" applyAlignment="1">
      <alignment horizontal="center" vertical="center"/>
    </xf>
    <xf numFmtId="166" fontId="122" fillId="2" borderId="46" xfId="0" applyNumberFormat="1" applyFont="1" applyFill="1" applyBorder="1" applyAlignment="1">
      <alignment horizontal="center" vertical="center"/>
    </xf>
    <xf numFmtId="166" fontId="46" fillId="2" borderId="46" xfId="79" applyFont="1" applyFill="1" applyBorder="1" applyAlignment="1">
      <alignment horizontal="right" vertical="center"/>
    </xf>
    <xf numFmtId="0" fontId="64" fillId="0" borderId="0" xfId="77" applyFont="1" applyAlignment="1">
      <alignment horizontal="center"/>
    </xf>
    <xf numFmtId="0" fontId="66" fillId="0" borderId="0" xfId="77" applyFont="1" applyAlignment="1">
      <alignment horizontal="center"/>
    </xf>
    <xf numFmtId="4" fontId="72" fillId="0" borderId="0" xfId="0" applyNumberFormat="1" applyFont="1"/>
    <xf numFmtId="0" fontId="64" fillId="0" borderId="0" xfId="77" applyFont="1"/>
    <xf numFmtId="0" fontId="66" fillId="0" borderId="0" xfId="77" applyFont="1"/>
    <xf numFmtId="0" fontId="67" fillId="0" borderId="0" xfId="0" applyFont="1"/>
    <xf numFmtId="49" fontId="67" fillId="0" borderId="0" xfId="0" applyNumberFormat="1" applyFont="1"/>
    <xf numFmtId="0" fontId="6" fillId="0" borderId="0" xfId="1" applyFont="1"/>
    <xf numFmtId="2" fontId="68" fillId="0" borderId="0" xfId="0" applyNumberFormat="1" applyFont="1"/>
    <xf numFmtId="0" fontId="54" fillId="0" borderId="76" xfId="77" applyFont="1" applyBorder="1"/>
    <xf numFmtId="0" fontId="54" fillId="0" borderId="77" xfId="77" applyFont="1" applyBorder="1"/>
    <xf numFmtId="0" fontId="54" fillId="0" borderId="59" xfId="77" applyFont="1" applyBorder="1"/>
    <xf numFmtId="0" fontId="54" fillId="0" borderId="76" xfId="77" quotePrefix="1" applyFont="1" applyBorder="1"/>
    <xf numFmtId="0" fontId="54" fillId="0" borderId="77" xfId="77" quotePrefix="1" applyFont="1" applyBorder="1"/>
    <xf numFmtId="0" fontId="54" fillId="0" borderId="59" xfId="77" quotePrefix="1" applyFont="1" applyBorder="1"/>
    <xf numFmtId="49" fontId="54" fillId="0" borderId="76" xfId="77" applyNumberFormat="1" applyFont="1" applyBorder="1"/>
    <xf numFmtId="49" fontId="54" fillId="0" borderId="77" xfId="77" applyNumberFormat="1" applyFont="1" applyBorder="1"/>
    <xf numFmtId="49" fontId="54" fillId="0" borderId="59" xfId="77" applyNumberFormat="1" applyFont="1" applyBorder="1"/>
    <xf numFmtId="0" fontId="54" fillId="0" borderId="78" xfId="77" applyFont="1" applyBorder="1"/>
    <xf numFmtId="0" fontId="54" fillId="0" borderId="79" xfId="77" applyFont="1" applyBorder="1"/>
    <xf numFmtId="0" fontId="54" fillId="0" borderId="80" xfId="77" applyFont="1" applyBorder="1"/>
    <xf numFmtId="0" fontId="60" fillId="10" borderId="72" xfId="77" applyFont="1" applyFill="1" applyBorder="1"/>
    <xf numFmtId="0" fontId="60" fillId="10" borderId="73" xfId="77" applyFont="1" applyFill="1" applyBorder="1"/>
    <xf numFmtId="0" fontId="60" fillId="10" borderId="74" xfId="77" applyFont="1" applyFill="1" applyBorder="1"/>
    <xf numFmtId="0" fontId="60" fillId="10" borderId="76" xfId="77" applyFont="1" applyFill="1" applyBorder="1"/>
    <xf numFmtId="0" fontId="60" fillId="10" borderId="77" xfId="77" applyFont="1" applyFill="1" applyBorder="1"/>
    <xf numFmtId="0" fontId="60" fillId="10" borderId="59" xfId="77" applyFont="1" applyFill="1" applyBorder="1"/>
    <xf numFmtId="0" fontId="107" fillId="0" borderId="0" xfId="0" applyFont="1"/>
    <xf numFmtId="0" fontId="48" fillId="0" borderId="0" xfId="1" applyFont="1"/>
    <xf numFmtId="0" fontId="69" fillId="0" borderId="34" xfId="77" applyFont="1" applyBorder="1" applyAlignment="1">
      <alignment horizontal="center"/>
    </xf>
    <xf numFmtId="0" fontId="69" fillId="2" borderId="34" xfId="77" applyFont="1" applyFill="1" applyBorder="1" applyAlignment="1">
      <alignment horizontal="center"/>
    </xf>
    <xf numFmtId="0" fontId="54" fillId="10" borderId="10" xfId="78" applyFont="1" applyFill="1" applyBorder="1" applyAlignment="1">
      <alignment horizontal="center" vertical="center" wrapText="1"/>
    </xf>
    <xf numFmtId="0" fontId="54" fillId="10" borderId="8" xfId="78" applyFont="1" applyFill="1" applyBorder="1" applyAlignment="1">
      <alignment horizontal="center" vertical="center" wrapText="1"/>
    </xf>
    <xf numFmtId="0" fontId="57" fillId="10" borderId="8" xfId="78" applyFont="1" applyFill="1" applyBorder="1" applyAlignment="1">
      <alignment horizontal="center" vertical="center" wrapText="1"/>
    </xf>
    <xf numFmtId="0" fontId="60" fillId="10" borderId="43" xfId="77" applyFont="1" applyFill="1" applyBorder="1" applyAlignment="1">
      <alignment vertical="center"/>
    </xf>
    <xf numFmtId="0" fontId="60" fillId="10" borderId="6" xfId="77" applyFont="1" applyFill="1" applyBorder="1" applyAlignment="1">
      <alignment vertical="center"/>
    </xf>
    <xf numFmtId="0" fontId="60" fillId="10" borderId="6" xfId="77" applyFont="1" applyFill="1" applyBorder="1" applyAlignment="1">
      <alignment horizontal="center" vertical="center"/>
    </xf>
    <xf numFmtId="0" fontId="60" fillId="10" borderId="36" xfId="77" applyFont="1" applyFill="1" applyBorder="1" applyAlignment="1">
      <alignment vertical="center"/>
    </xf>
    <xf numFmtId="0" fontId="60" fillId="10" borderId="57" xfId="77" applyFont="1" applyFill="1" applyBorder="1" applyAlignment="1">
      <alignment vertical="center"/>
    </xf>
    <xf numFmtId="0" fontId="60" fillId="10" borderId="41" xfId="77" applyFont="1" applyFill="1" applyBorder="1" applyAlignment="1">
      <alignment vertical="center"/>
    </xf>
    <xf numFmtId="0" fontId="60" fillId="10" borderId="20" xfId="77" applyFont="1" applyFill="1" applyBorder="1" applyAlignment="1">
      <alignment vertical="center"/>
    </xf>
    <xf numFmtId="0" fontId="54" fillId="10" borderId="8" xfId="77" applyFont="1" applyFill="1" applyBorder="1" applyAlignment="1">
      <alignment horizontal="center" vertical="center"/>
    </xf>
    <xf numFmtId="0" fontId="54" fillId="10" borderId="8" xfId="77" applyFont="1" applyFill="1" applyBorder="1" applyAlignment="1">
      <alignment horizontal="center"/>
    </xf>
    <xf numFmtId="0" fontId="54" fillId="10" borderId="13" xfId="77" applyFont="1" applyFill="1" applyBorder="1" applyAlignment="1">
      <alignment horizontal="center" vertical="center"/>
    </xf>
    <xf numFmtId="0" fontId="56" fillId="10" borderId="10" xfId="78" applyFont="1" applyFill="1" applyBorder="1" applyAlignment="1">
      <alignment horizontal="center" vertical="center" wrapText="1"/>
    </xf>
    <xf numFmtId="0" fontId="60" fillId="10" borderId="8" xfId="78" applyFont="1" applyFill="1" applyBorder="1" applyAlignment="1">
      <alignment horizontal="center" vertical="center" wrapText="1"/>
    </xf>
    <xf numFmtId="0" fontId="124" fillId="0" borderId="34" xfId="77" applyFont="1" applyBorder="1" applyAlignment="1">
      <alignment horizontal="center"/>
    </xf>
    <xf numFmtId="0" fontId="60" fillId="0" borderId="3" xfId="82" applyNumberFormat="1" applyFont="1" applyFill="1" applyBorder="1" applyAlignment="1">
      <alignment horizontal="center"/>
    </xf>
    <xf numFmtId="0" fontId="60" fillId="0" borderId="59" xfId="82" applyNumberFormat="1" applyFont="1" applyFill="1" applyBorder="1" applyAlignment="1">
      <alignment horizontal="center"/>
    </xf>
    <xf numFmtId="0" fontId="60" fillId="2" borderId="3" xfId="82" applyNumberFormat="1" applyFont="1" applyFill="1" applyBorder="1" applyAlignment="1">
      <alignment horizontal="center"/>
    </xf>
    <xf numFmtId="0" fontId="60" fillId="0" borderId="52" xfId="77" applyFont="1" applyBorder="1"/>
    <xf numFmtId="0" fontId="60" fillId="0" borderId="53" xfId="77" applyFont="1" applyBorder="1"/>
    <xf numFmtId="49" fontId="117" fillId="0" borderId="0" xfId="0" applyNumberFormat="1" applyFont="1" applyAlignment="1">
      <alignment horizontal="left"/>
    </xf>
    <xf numFmtId="14" fontId="121" fillId="0" borderId="8" xfId="1" applyNumberFormat="1" applyFont="1" applyBorder="1" applyAlignment="1">
      <alignment vertical="center"/>
    </xf>
    <xf numFmtId="0" fontId="120" fillId="17" borderId="49" xfId="1" applyFont="1" applyFill="1" applyBorder="1" applyAlignment="1">
      <alignment vertical="center"/>
    </xf>
    <xf numFmtId="166" fontId="120" fillId="17" borderId="68" xfId="0" applyNumberFormat="1" applyFont="1" applyFill="1" applyBorder="1" applyAlignment="1">
      <alignment horizontal="center" vertical="center" wrapText="1"/>
    </xf>
    <xf numFmtId="166" fontId="120" fillId="17" borderId="69" xfId="0" applyNumberFormat="1" applyFont="1" applyFill="1" applyBorder="1" applyAlignment="1">
      <alignment horizontal="center" vertical="center" wrapText="1"/>
    </xf>
    <xf numFmtId="166" fontId="120" fillId="17" borderId="70" xfId="0" applyNumberFormat="1" applyFont="1" applyFill="1" applyBorder="1" applyAlignment="1">
      <alignment horizontal="center" vertical="center" wrapText="1"/>
    </xf>
    <xf numFmtId="166" fontId="120" fillId="17" borderId="1" xfId="0" applyNumberFormat="1" applyFont="1" applyFill="1" applyBorder="1" applyAlignment="1">
      <alignment horizontal="center" vertical="center" wrapText="1"/>
    </xf>
    <xf numFmtId="166" fontId="120" fillId="17" borderId="65" xfId="79" applyFont="1" applyFill="1" applyBorder="1" applyAlignment="1">
      <alignment horizontal="right" vertical="center"/>
    </xf>
    <xf numFmtId="0" fontId="120" fillId="16" borderId="49" xfId="1" applyFont="1" applyFill="1" applyBorder="1" applyAlignment="1">
      <alignment vertical="center"/>
    </xf>
    <xf numFmtId="166" fontId="120" fillId="16" borderId="68" xfId="0" applyNumberFormat="1" applyFont="1" applyFill="1" applyBorder="1" applyAlignment="1">
      <alignment horizontal="center" vertical="center" wrapText="1"/>
    </xf>
    <xf numFmtId="166" fontId="120" fillId="16" borderId="69" xfId="0" applyNumberFormat="1" applyFont="1" applyFill="1" applyBorder="1" applyAlignment="1">
      <alignment horizontal="center" vertical="center" wrapText="1"/>
    </xf>
    <xf numFmtId="166" fontId="120" fillId="16" borderId="70" xfId="0" applyNumberFormat="1" applyFont="1" applyFill="1" applyBorder="1" applyAlignment="1">
      <alignment horizontal="center" vertical="center" wrapText="1"/>
    </xf>
    <xf numFmtId="166" fontId="120" fillId="16" borderId="1" xfId="0" applyNumberFormat="1" applyFont="1" applyFill="1" applyBorder="1" applyAlignment="1">
      <alignment horizontal="center" vertical="center" wrapText="1"/>
    </xf>
    <xf numFmtId="166" fontId="120" fillId="16" borderId="65" xfId="79" applyFont="1" applyFill="1" applyBorder="1" applyAlignment="1">
      <alignment horizontal="right" vertical="center"/>
    </xf>
    <xf numFmtId="0" fontId="120" fillId="8" borderId="32" xfId="1" applyFont="1" applyFill="1" applyBorder="1" applyAlignment="1">
      <alignment vertical="center"/>
    </xf>
    <xf numFmtId="0" fontId="120" fillId="8" borderId="1" xfId="1" applyFont="1" applyFill="1" applyBorder="1" applyAlignment="1">
      <alignment vertical="center"/>
    </xf>
    <xf numFmtId="0" fontId="120" fillId="8" borderId="1" xfId="1" applyFont="1" applyFill="1" applyBorder="1" applyAlignment="1">
      <alignment horizontal="center" vertical="center"/>
    </xf>
    <xf numFmtId="166" fontId="120" fillId="8" borderId="65" xfId="79" applyFont="1" applyFill="1" applyBorder="1" applyAlignment="1">
      <alignment horizontal="right" vertical="center"/>
    </xf>
    <xf numFmtId="166" fontId="120" fillId="8" borderId="32" xfId="1" applyNumberFormat="1" applyFont="1" applyFill="1" applyBorder="1" applyAlignment="1">
      <alignment vertical="center"/>
    </xf>
    <xf numFmtId="166" fontId="120" fillId="8" borderId="1" xfId="1" applyNumberFormat="1" applyFont="1" applyFill="1" applyBorder="1" applyAlignment="1">
      <alignment vertical="center"/>
    </xf>
    <xf numFmtId="166" fontId="120" fillId="8" borderId="49" xfId="1" applyNumberFormat="1" applyFont="1" applyFill="1" applyBorder="1" applyAlignment="1">
      <alignment vertical="center"/>
    </xf>
    <xf numFmtId="2" fontId="120" fillId="17" borderId="15" xfId="0" applyNumberFormat="1" applyFont="1" applyFill="1" applyBorder="1" applyAlignment="1">
      <alignment horizontal="center" vertical="center" wrapText="1"/>
    </xf>
    <xf numFmtId="2" fontId="120" fillId="16" borderId="15" xfId="0" applyNumberFormat="1" applyFont="1" applyFill="1" applyBorder="1" applyAlignment="1">
      <alignment horizontal="center" vertical="center" wrapText="1"/>
    </xf>
    <xf numFmtId="166" fontId="121" fillId="2" borderId="46" xfId="0" applyNumberFormat="1" applyFont="1" applyFill="1" applyBorder="1" applyAlignment="1">
      <alignment horizontal="center" vertical="center" wrapText="1"/>
    </xf>
    <xf numFmtId="2" fontId="120" fillId="18" borderId="15" xfId="0" applyNumberFormat="1" applyFont="1" applyFill="1" applyBorder="1" applyAlignment="1">
      <alignment horizontal="center" vertical="center" wrapText="1"/>
    </xf>
    <xf numFmtId="166" fontId="118" fillId="18" borderId="32" xfId="93" applyNumberFormat="1" applyFont="1" applyFill="1" applyBorder="1" applyAlignment="1" applyProtection="1">
      <alignment horizontal="center" vertical="center"/>
    </xf>
    <xf numFmtId="166" fontId="118" fillId="18" borderId="65" xfId="93" applyNumberFormat="1" applyFont="1" applyFill="1" applyBorder="1" applyAlignment="1" applyProtection="1">
      <alignment horizontal="center" vertical="center"/>
    </xf>
    <xf numFmtId="166" fontId="125" fillId="2" borderId="32" xfId="93" applyNumberFormat="1" applyFont="1" applyFill="1" applyBorder="1" applyAlignment="1" applyProtection="1">
      <alignment horizontal="center" vertical="center"/>
    </xf>
    <xf numFmtId="166" fontId="125" fillId="2" borderId="65" xfId="93" applyNumberFormat="1" applyFont="1" applyFill="1" applyBorder="1" applyAlignment="1" applyProtection="1">
      <alignment horizontal="center" vertical="center"/>
    </xf>
    <xf numFmtId="49" fontId="121" fillId="0" borderId="10" xfId="1" applyNumberFormat="1" applyFont="1" applyBorder="1" applyAlignment="1">
      <alignment horizontal="center" vertical="center" wrapText="1"/>
    </xf>
    <xf numFmtId="49" fontId="121" fillId="0" borderId="9" xfId="1" applyNumberFormat="1" applyFont="1" applyBorder="1" applyAlignment="1">
      <alignment horizontal="left" vertical="center"/>
    </xf>
    <xf numFmtId="0" fontId="0" fillId="19" borderId="0" xfId="0" applyFill="1"/>
    <xf numFmtId="0" fontId="126" fillId="0" borderId="8" xfId="0" applyFont="1" applyBorder="1" applyAlignment="1" applyProtection="1">
      <alignment vertical="center"/>
      <protection locked="0"/>
    </xf>
    <xf numFmtId="2" fontId="97" fillId="9" borderId="8" xfId="0" applyNumberFormat="1" applyFont="1" applyFill="1" applyBorder="1" applyAlignment="1" applyProtection="1">
      <alignment vertical="center"/>
      <protection locked="0"/>
    </xf>
    <xf numFmtId="0" fontId="127" fillId="0" borderId="43" xfId="0" applyFont="1" applyBorder="1" applyAlignment="1">
      <alignment vertical="center"/>
    </xf>
    <xf numFmtId="0" fontId="127" fillId="0" borderId="48" xfId="0" applyFont="1" applyBorder="1" applyAlignment="1">
      <alignment vertical="center"/>
    </xf>
    <xf numFmtId="0" fontId="127" fillId="0" borderId="0" xfId="0" applyFont="1" applyAlignment="1">
      <alignment vertical="center"/>
    </xf>
    <xf numFmtId="0" fontId="127" fillId="0" borderId="0" xfId="0" applyFont="1" applyAlignment="1">
      <alignment horizontal="center" vertical="center"/>
    </xf>
    <xf numFmtId="185" fontId="127" fillId="0" borderId="0" xfId="0" applyNumberFormat="1" applyFont="1" applyAlignment="1">
      <alignment vertical="center"/>
    </xf>
    <xf numFmtId="10" fontId="127" fillId="0" borderId="0" xfId="0" applyNumberFormat="1" applyFont="1" applyAlignment="1">
      <alignment horizontal="center" vertical="center"/>
    </xf>
    <xf numFmtId="2" fontId="0" fillId="0" borderId="45" xfId="0" applyNumberFormat="1" applyBorder="1" applyAlignment="1">
      <alignment vertical="center"/>
    </xf>
    <xf numFmtId="185" fontId="130" fillId="21" borderId="8" xfId="1" applyNumberFormat="1" applyFont="1" applyFill="1" applyBorder="1" applyAlignment="1" applyProtection="1">
      <alignment horizontal="center" vertical="center"/>
      <protection locked="0"/>
    </xf>
    <xf numFmtId="10" fontId="130" fillId="21" borderId="8" xfId="88" applyNumberFormat="1" applyFont="1" applyFill="1" applyBorder="1" applyAlignment="1" applyProtection="1">
      <alignment horizontal="center" vertical="center"/>
      <protection locked="0"/>
    </xf>
    <xf numFmtId="10" fontId="130" fillId="21" borderId="13" xfId="88" applyNumberFormat="1" applyFont="1" applyFill="1" applyBorder="1" applyAlignment="1" applyProtection="1">
      <alignment horizontal="center" vertical="center"/>
      <protection locked="0"/>
    </xf>
    <xf numFmtId="0" fontId="131" fillId="0" borderId="91" xfId="0" applyFont="1" applyBorder="1" applyAlignment="1" applyProtection="1">
      <alignment vertical="center"/>
      <protection locked="0"/>
    </xf>
    <xf numFmtId="0" fontId="131" fillId="0" borderId="92" xfId="0" applyFont="1" applyBorder="1" applyAlignment="1" applyProtection="1">
      <alignment vertical="center"/>
      <protection locked="0"/>
    </xf>
    <xf numFmtId="0" fontId="131" fillId="0" borderId="38" xfId="0" applyFont="1" applyBorder="1" applyAlignment="1" applyProtection="1">
      <alignment vertical="center"/>
      <protection locked="0"/>
    </xf>
    <xf numFmtId="186" fontId="42" fillId="0" borderId="92" xfId="0" applyNumberFormat="1" applyFont="1" applyBorder="1" applyAlignment="1" applyProtection="1">
      <alignment vertical="center"/>
      <protection locked="0"/>
    </xf>
    <xf numFmtId="185" fontId="132" fillId="2" borderId="93" xfId="87" applyNumberFormat="1" applyFont="1" applyFill="1" applyBorder="1" applyAlignment="1">
      <alignment horizontal="right" vertical="center"/>
    </xf>
    <xf numFmtId="10" fontId="132" fillId="2" borderId="94" xfId="88" applyNumberFormat="1" applyFont="1" applyFill="1" applyBorder="1" applyAlignment="1">
      <alignment horizontal="center" vertical="center"/>
    </xf>
    <xf numFmtId="185" fontId="132" fillId="2" borderId="95" xfId="87" applyNumberFormat="1" applyFont="1" applyFill="1" applyBorder="1" applyAlignment="1">
      <alignment horizontal="right" vertical="center"/>
    </xf>
    <xf numFmtId="10" fontId="132" fillId="2" borderId="96" xfId="88" applyNumberFormat="1" applyFont="1" applyFill="1" applyBorder="1" applyAlignment="1">
      <alignment horizontal="center" vertical="center"/>
    </xf>
    <xf numFmtId="0" fontId="131" fillId="0" borderId="97" xfId="0" applyFont="1" applyBorder="1" applyAlignment="1" applyProtection="1">
      <alignment vertical="center"/>
      <protection locked="0"/>
    </xf>
    <xf numFmtId="0" fontId="131" fillId="0" borderId="98" xfId="0" applyFont="1" applyBorder="1" applyAlignment="1" applyProtection="1">
      <alignment vertical="center"/>
      <protection locked="0"/>
    </xf>
    <xf numFmtId="4" fontId="131" fillId="0" borderId="98" xfId="0" applyNumberFormat="1" applyFont="1" applyBorder="1" applyAlignment="1" applyProtection="1">
      <alignment vertical="center"/>
      <protection locked="0"/>
    </xf>
    <xf numFmtId="187" fontId="26" fillId="0" borderId="99" xfId="0" applyNumberFormat="1" applyFont="1" applyBorder="1" applyAlignment="1">
      <alignment vertical="center"/>
    </xf>
    <xf numFmtId="10" fontId="26" fillId="2" borderId="100" xfId="88" applyNumberFormat="1" applyFont="1" applyFill="1" applyBorder="1" applyAlignment="1">
      <alignment horizontal="right" vertical="center"/>
    </xf>
    <xf numFmtId="10" fontId="25" fillId="2" borderId="101" xfId="88" applyNumberFormat="1" applyFont="1" applyFill="1" applyBorder="1" applyAlignment="1">
      <alignment horizontal="right" vertical="center"/>
    </xf>
    <xf numFmtId="0" fontId="133" fillId="0" borderId="102" xfId="0" applyFont="1" applyBorder="1" applyAlignment="1" applyProtection="1">
      <alignment vertical="center"/>
      <protection locked="0"/>
    </xf>
    <xf numFmtId="0" fontId="133" fillId="0" borderId="103" xfId="0" applyFont="1" applyBorder="1" applyAlignment="1" applyProtection="1">
      <alignment vertical="center"/>
      <protection locked="0"/>
    </xf>
    <xf numFmtId="4" fontId="133" fillId="0" borderId="103" xfId="0" applyNumberFormat="1" applyFont="1" applyBorder="1" applyAlignment="1" applyProtection="1">
      <alignment vertical="center"/>
      <protection locked="0"/>
    </xf>
    <xf numFmtId="0" fontId="134" fillId="0" borderId="102" xfId="0" applyFont="1" applyBorder="1" applyAlignment="1" applyProtection="1">
      <alignment vertical="center"/>
      <protection locked="0"/>
    </xf>
    <xf numFmtId="0" fontId="134" fillId="0" borderId="103" xfId="0" applyFont="1" applyBorder="1" applyAlignment="1" applyProtection="1">
      <alignment vertical="center"/>
      <protection locked="0"/>
    </xf>
    <xf numFmtId="2" fontId="134" fillId="0" borderId="103" xfId="0" applyNumberFormat="1" applyFont="1" applyBorder="1" applyAlignment="1" applyProtection="1">
      <alignment vertical="center"/>
      <protection locked="0"/>
    </xf>
    <xf numFmtId="4" fontId="134" fillId="0" borderId="103" xfId="0" applyNumberFormat="1" applyFont="1" applyBorder="1" applyAlignment="1" applyProtection="1">
      <alignment vertical="center"/>
      <protection locked="0"/>
    </xf>
    <xf numFmtId="10" fontId="26" fillId="2" borderId="101" xfId="88" applyNumberFormat="1" applyFont="1" applyFill="1" applyBorder="1" applyAlignment="1">
      <alignment horizontal="right" vertical="center"/>
    </xf>
    <xf numFmtId="2" fontId="133" fillId="0" borderId="103" xfId="0" applyNumberFormat="1" applyFont="1" applyBorder="1" applyAlignment="1" applyProtection="1">
      <alignment vertical="center"/>
      <protection locked="0"/>
    </xf>
    <xf numFmtId="0" fontId="135" fillId="0" borderId="102" xfId="0" applyFont="1" applyBorder="1" applyAlignment="1" applyProtection="1">
      <alignment vertical="center"/>
      <protection locked="0"/>
    </xf>
    <xf numFmtId="0" fontId="135" fillId="0" borderId="103" xfId="0" applyFont="1" applyBorder="1" applyAlignment="1" applyProtection="1">
      <alignment vertical="center"/>
      <protection locked="0"/>
    </xf>
    <xf numFmtId="2" fontId="135" fillId="0" borderId="103" xfId="0" applyNumberFormat="1" applyFont="1" applyBorder="1" applyAlignment="1" applyProtection="1">
      <alignment vertical="center"/>
      <protection locked="0"/>
    </xf>
    <xf numFmtId="4" fontId="135" fillId="0" borderId="103" xfId="0" applyNumberFormat="1" applyFont="1" applyBorder="1" applyAlignment="1" applyProtection="1">
      <alignment vertical="center"/>
      <protection locked="0"/>
    </xf>
    <xf numFmtId="0" fontId="136" fillId="0" borderId="102" xfId="0" applyFont="1" applyBorder="1" applyAlignment="1" applyProtection="1">
      <alignment vertical="center"/>
      <protection locked="0"/>
    </xf>
    <xf numFmtId="0" fontId="136" fillId="0" borderId="103" xfId="0" applyFont="1" applyBorder="1" applyAlignment="1" applyProtection="1">
      <alignment vertical="center"/>
      <protection locked="0"/>
    </xf>
    <xf numFmtId="2" fontId="136" fillId="0" borderId="103" xfId="0" applyNumberFormat="1" applyFont="1" applyBorder="1" applyAlignment="1" applyProtection="1">
      <alignment vertical="center"/>
      <protection locked="0"/>
    </xf>
    <xf numFmtId="4" fontId="136" fillId="0" borderId="103" xfId="0" applyNumberFormat="1" applyFont="1" applyBorder="1" applyAlignment="1" applyProtection="1">
      <alignment vertical="center"/>
      <protection locked="0"/>
    </xf>
    <xf numFmtId="0" fontId="131" fillId="0" borderId="102" xfId="0" applyFont="1" applyBorder="1" applyAlignment="1" applyProtection="1">
      <alignment vertical="center"/>
      <protection locked="0"/>
    </xf>
    <xf numFmtId="0" fontId="131" fillId="0" borderId="103" xfId="0" applyFont="1" applyBorder="1" applyAlignment="1" applyProtection="1">
      <alignment vertical="center"/>
      <protection locked="0"/>
    </xf>
    <xf numFmtId="2" fontId="131" fillId="0" borderId="103" xfId="0" applyNumberFormat="1" applyFont="1" applyBorder="1" applyAlignment="1" applyProtection="1">
      <alignment vertical="center"/>
      <protection locked="0"/>
    </xf>
    <xf numFmtId="4" fontId="131" fillId="0" borderId="103" xfId="0" applyNumberFormat="1" applyFont="1" applyBorder="1" applyAlignment="1" applyProtection="1">
      <alignment vertical="center"/>
      <protection locked="0"/>
    </xf>
    <xf numFmtId="187" fontId="26" fillId="0" borderId="104" xfId="0" applyNumberFormat="1" applyFont="1" applyBorder="1" applyAlignment="1">
      <alignment vertical="center"/>
    </xf>
    <xf numFmtId="10" fontId="26" fillId="2" borderId="105" xfId="88" applyNumberFormat="1" applyFont="1" applyFill="1" applyBorder="1" applyAlignment="1">
      <alignment horizontal="right" vertical="center"/>
    </xf>
    <xf numFmtId="0" fontId="134" fillId="0" borderId="106" xfId="0" applyFont="1" applyBorder="1" applyAlignment="1" applyProtection="1">
      <alignment vertical="center"/>
      <protection locked="0"/>
    </xf>
    <xf numFmtId="0" fontId="134" fillId="0" borderId="107" xfId="0" applyFont="1" applyBorder="1" applyAlignment="1" applyProtection="1">
      <alignment vertical="center"/>
      <protection locked="0"/>
    </xf>
    <xf numFmtId="2" fontId="134" fillId="0" borderId="107" xfId="0" applyNumberFormat="1" applyFont="1" applyBorder="1" applyAlignment="1" applyProtection="1">
      <alignment vertical="center"/>
      <protection locked="0"/>
    </xf>
    <xf numFmtId="4" fontId="134" fillId="0" borderId="107" xfId="0" applyNumberFormat="1" applyFont="1" applyBorder="1" applyAlignment="1" applyProtection="1">
      <alignment vertical="center"/>
      <protection locked="0"/>
    </xf>
    <xf numFmtId="187" fontId="26" fillId="0" borderId="108" xfId="0" applyNumberFormat="1" applyFont="1" applyBorder="1" applyAlignment="1">
      <alignment vertical="center"/>
    </xf>
    <xf numFmtId="10" fontId="26" fillId="2" borderId="109" xfId="88" applyNumberFormat="1" applyFont="1" applyFill="1" applyBorder="1" applyAlignment="1">
      <alignment horizontal="right" vertical="center"/>
    </xf>
    <xf numFmtId="10" fontId="26" fillId="2" borderId="110" xfId="88" applyNumberFormat="1" applyFont="1" applyFill="1" applyBorder="1" applyAlignment="1">
      <alignment horizontal="right" vertical="center"/>
    </xf>
    <xf numFmtId="0" fontId="137" fillId="0" borderId="0" xfId="0" applyFont="1" applyAlignment="1" applyProtection="1">
      <alignment vertical="center"/>
      <protection locked="0"/>
    </xf>
    <xf numFmtId="4" fontId="137" fillId="0" borderId="0" xfId="0" applyNumberFormat="1" applyFont="1" applyAlignment="1" applyProtection="1">
      <alignment vertical="center"/>
      <protection locked="0"/>
    </xf>
    <xf numFmtId="187" fontId="26" fillId="0" borderId="0" xfId="0" applyNumberFormat="1" applyFont="1" applyAlignment="1">
      <alignment vertical="center"/>
    </xf>
    <xf numFmtId="10" fontId="58" fillId="2" borderId="0" xfId="88" applyNumberFormat="1" applyFont="1" applyFill="1" applyBorder="1" applyAlignment="1">
      <alignment horizontal="right" vertical="center"/>
    </xf>
    <xf numFmtId="0" fontId="138" fillId="4" borderId="9" xfId="16" applyFont="1" applyFill="1" applyBorder="1" applyAlignment="1">
      <alignment vertical="top" wrapText="1"/>
    </xf>
    <xf numFmtId="0" fontId="138" fillId="4" borderId="10" xfId="16" applyFont="1" applyFill="1" applyBorder="1" applyAlignment="1">
      <alignment vertical="top" wrapText="1"/>
    </xf>
    <xf numFmtId="185" fontId="27" fillId="4" borderId="10" xfId="0" applyNumberFormat="1" applyFont="1" applyFill="1" applyBorder="1" applyAlignment="1">
      <alignment vertical="center"/>
    </xf>
    <xf numFmtId="10" fontId="139" fillId="4" borderId="10" xfId="0" applyNumberFormat="1" applyFont="1" applyFill="1" applyBorder="1" applyAlignment="1">
      <alignment horizontal="center" vertical="center"/>
    </xf>
    <xf numFmtId="10" fontId="139" fillId="4" borderId="11" xfId="0" applyNumberFormat="1" applyFont="1" applyFill="1" applyBorder="1" applyAlignment="1">
      <alignment horizontal="center" vertical="center"/>
    </xf>
    <xf numFmtId="173" fontId="27" fillId="0" borderId="12" xfId="69" applyFont="1" applyBorder="1"/>
    <xf numFmtId="173" fontId="27" fillId="0" borderId="8" xfId="69" applyFont="1" applyBorder="1"/>
    <xf numFmtId="187" fontId="138" fillId="0" borderId="8" xfId="16" applyNumberFormat="1" applyFont="1" applyBorder="1" applyAlignment="1">
      <alignment vertical="top"/>
    </xf>
    <xf numFmtId="187" fontId="27" fillId="0" borderId="8" xfId="69" applyNumberFormat="1" applyFont="1" applyBorder="1"/>
    <xf numFmtId="10" fontId="139" fillId="0" borderId="8" xfId="0" applyNumberFormat="1" applyFont="1" applyBorder="1" applyAlignment="1">
      <alignment horizontal="center" vertical="center"/>
    </xf>
    <xf numFmtId="185" fontId="27" fillId="0" borderId="8" xfId="0" applyNumberFormat="1" applyFont="1" applyBorder="1" applyAlignment="1">
      <alignment vertical="center"/>
    </xf>
    <xf numFmtId="10" fontId="139" fillId="0" borderId="13" xfId="0" applyNumberFormat="1" applyFont="1" applyBorder="1" applyAlignment="1">
      <alignment horizontal="center" vertical="center"/>
    </xf>
    <xf numFmtId="173" fontId="27" fillId="0" borderId="14" xfId="69" applyFont="1" applyBorder="1"/>
    <xf numFmtId="173" fontId="27" fillId="0" borderId="15" xfId="69" applyFont="1" applyBorder="1"/>
    <xf numFmtId="187" fontId="138" fillId="0" borderId="15" xfId="16" applyNumberFormat="1" applyFont="1" applyBorder="1" applyAlignment="1">
      <alignment vertical="center"/>
    </xf>
    <xf numFmtId="173" fontId="139" fillId="0" borderId="15" xfId="69" applyFont="1" applyBorder="1"/>
    <xf numFmtId="185" fontId="27" fillId="0" borderId="15" xfId="0" applyNumberFormat="1" applyFont="1" applyBorder="1" applyAlignment="1">
      <alignment vertical="center"/>
    </xf>
    <xf numFmtId="10" fontId="139" fillId="0" borderId="15" xfId="0" applyNumberFormat="1" applyFont="1" applyBorder="1" applyAlignment="1">
      <alignment horizontal="center" vertical="center"/>
    </xf>
    <xf numFmtId="10" fontId="139" fillId="0" borderId="16" xfId="0" applyNumberFormat="1" applyFont="1" applyBorder="1" applyAlignment="1">
      <alignment horizontal="center" vertical="center"/>
    </xf>
    <xf numFmtId="173" fontId="27" fillId="0" borderId="0" xfId="69" applyFont="1"/>
    <xf numFmtId="187" fontId="138" fillId="0" borderId="0" xfId="16" applyNumberFormat="1" applyFont="1" applyAlignment="1">
      <alignment vertical="top"/>
    </xf>
    <xf numFmtId="185" fontId="27" fillId="0" borderId="0" xfId="0" applyNumberFormat="1" applyFont="1" applyAlignment="1">
      <alignment vertical="center"/>
    </xf>
    <xf numFmtId="10" fontId="27" fillId="0" borderId="0" xfId="0" applyNumberFormat="1" applyFont="1" applyAlignment="1">
      <alignment horizontal="center" vertical="center"/>
    </xf>
    <xf numFmtId="0" fontId="139" fillId="22" borderId="32" xfId="0" applyFont="1" applyFill="1" applyBorder="1" applyAlignment="1">
      <alignment vertical="center"/>
    </xf>
    <xf numFmtId="0" fontId="139" fillId="22" borderId="1" xfId="0" applyFont="1" applyFill="1" applyBorder="1" applyAlignment="1">
      <alignment horizontal="center" vertical="center"/>
    </xf>
    <xf numFmtId="185" fontId="139" fillId="22" borderId="68" xfId="0" applyNumberFormat="1" applyFont="1" applyFill="1" applyBorder="1" applyAlignment="1">
      <alignment vertical="center"/>
    </xf>
    <xf numFmtId="185" fontId="139" fillId="22" borderId="69" xfId="0" applyNumberFormat="1" applyFont="1" applyFill="1" applyBorder="1" applyAlignment="1">
      <alignment vertical="center"/>
    </xf>
    <xf numFmtId="10" fontId="139" fillId="22" borderId="69" xfId="0" applyNumberFormat="1" applyFont="1" applyFill="1" applyBorder="1" applyAlignment="1">
      <alignment horizontal="center" vertical="center"/>
    </xf>
    <xf numFmtId="10" fontId="139" fillId="22" borderId="70" xfId="0" applyNumberFormat="1" applyFont="1" applyFill="1" applyBorder="1" applyAlignment="1">
      <alignment horizontal="center" vertical="center"/>
    </xf>
    <xf numFmtId="0" fontId="27" fillId="3" borderId="0" xfId="77" applyFont="1" applyFill="1" applyAlignment="1">
      <alignment vertical="center"/>
    </xf>
    <xf numFmtId="0" fontId="134" fillId="2" borderId="103" xfId="0" applyFont="1" applyFill="1" applyBorder="1" applyAlignment="1" applyProtection="1">
      <alignment vertical="center"/>
      <protection locked="0"/>
    </xf>
    <xf numFmtId="49" fontId="0" fillId="0" borderId="0" xfId="0" applyNumberFormat="1" applyAlignment="1">
      <alignment horizontal="center"/>
    </xf>
    <xf numFmtId="185" fontId="0" fillId="0" borderId="0" xfId="0" applyNumberFormat="1"/>
    <xf numFmtId="0" fontId="28" fillId="2" borderId="0" xfId="0" applyFont="1" applyFill="1" applyAlignment="1">
      <alignment vertical="center"/>
    </xf>
    <xf numFmtId="0" fontId="100" fillId="2" borderId="0" xfId="0" applyFont="1" applyFill="1" applyAlignment="1">
      <alignment vertical="center"/>
    </xf>
    <xf numFmtId="0" fontId="101" fillId="2" borderId="0" xfId="0" applyFont="1" applyFill="1" applyAlignment="1">
      <alignment vertical="center"/>
    </xf>
    <xf numFmtId="0" fontId="36" fillId="0" borderId="0" xfId="77" applyFont="1" applyAlignment="1">
      <alignment horizontal="center" vertical="center"/>
    </xf>
    <xf numFmtId="0" fontId="48" fillId="0" borderId="25" xfId="77" applyFont="1" applyBorder="1" applyAlignment="1">
      <alignment vertical="center"/>
    </xf>
    <xf numFmtId="0" fontId="48" fillId="0" borderId="26" xfId="77" applyFont="1" applyBorder="1" applyAlignment="1">
      <alignment vertical="center"/>
    </xf>
    <xf numFmtId="0" fontId="48" fillId="0" borderId="21" xfId="77" applyFont="1" applyBorder="1" applyAlignment="1">
      <alignment vertical="center"/>
    </xf>
    <xf numFmtId="0" fontId="48" fillId="3" borderId="0" xfId="77" applyFont="1" applyFill="1" applyAlignment="1">
      <alignment horizontal="left" vertical="center"/>
    </xf>
    <xf numFmtId="0" fontId="48" fillId="0" borderId="0" xfId="77" applyFont="1" applyAlignment="1">
      <alignment horizontal="right" vertical="center"/>
    </xf>
    <xf numFmtId="0" fontId="48" fillId="0" borderId="0" xfId="77" applyFont="1"/>
    <xf numFmtId="4" fontId="48" fillId="0" borderId="0" xfId="77" applyNumberFormat="1" applyFont="1"/>
    <xf numFmtId="4" fontId="48" fillId="0" borderId="0" xfId="77" applyNumberFormat="1" applyFont="1" applyAlignment="1">
      <alignment vertical="center"/>
    </xf>
    <xf numFmtId="0" fontId="48" fillId="0" borderId="0" xfId="77" applyFont="1" applyAlignment="1">
      <alignment vertical="center" wrapText="1"/>
    </xf>
    <xf numFmtId="0" fontId="48" fillId="0" borderId="0" xfId="77" quotePrefix="1" applyFont="1" applyAlignment="1">
      <alignment vertical="center"/>
    </xf>
    <xf numFmtId="2" fontId="48" fillId="0" borderId="0" xfId="77" applyNumberFormat="1" applyFont="1" applyAlignment="1">
      <alignment horizontal="center" vertical="center"/>
    </xf>
    <xf numFmtId="2" fontId="36" fillId="0" borderId="0" xfId="77" applyNumberFormat="1" applyFont="1" applyAlignment="1">
      <alignment horizontal="center" vertical="center"/>
    </xf>
    <xf numFmtId="171" fontId="36" fillId="0" borderId="0" xfId="77" applyNumberFormat="1" applyFont="1" applyAlignment="1">
      <alignment horizontal="center" vertical="center"/>
    </xf>
    <xf numFmtId="0" fontId="48" fillId="0" borderId="0" xfId="77" applyFont="1" applyAlignment="1">
      <alignment horizontal="center" vertical="center" wrapText="1"/>
    </xf>
    <xf numFmtId="0" fontId="1" fillId="0" borderId="0" xfId="0" applyFont="1"/>
    <xf numFmtId="171" fontId="48" fillId="0" borderId="0" xfId="77" applyNumberFormat="1" applyFont="1" applyAlignment="1">
      <alignment horizontal="center" vertical="center"/>
    </xf>
    <xf numFmtId="0" fontId="36" fillId="2" borderId="0" xfId="0" applyFont="1" applyFill="1" applyAlignment="1">
      <alignment horizontal="center" vertical="center"/>
    </xf>
    <xf numFmtId="4" fontId="48" fillId="2" borderId="0" xfId="0" applyNumberFormat="1" applyFont="1" applyFill="1" applyAlignment="1">
      <alignment horizontal="center" vertical="center"/>
    </xf>
    <xf numFmtId="10" fontId="48" fillId="2" borderId="0" xfId="0" applyNumberFormat="1" applyFont="1" applyFill="1" applyAlignment="1">
      <alignment horizontal="center" vertical="center"/>
    </xf>
    <xf numFmtId="10" fontId="142" fillId="0" borderId="0" xfId="0" applyNumberFormat="1" applyFont="1" applyAlignment="1">
      <alignment vertical="center"/>
    </xf>
    <xf numFmtId="185" fontId="141" fillId="0" borderId="0" xfId="0" applyNumberFormat="1" applyFont="1"/>
    <xf numFmtId="185" fontId="143" fillId="0" borderId="0" xfId="0" applyNumberFormat="1" applyFont="1"/>
    <xf numFmtId="4" fontId="131" fillId="0" borderId="112" xfId="0" applyNumberFormat="1" applyFont="1" applyBorder="1" applyAlignment="1" applyProtection="1">
      <alignment vertical="center"/>
      <protection locked="0"/>
    </xf>
    <xf numFmtId="4" fontId="133" fillId="0" borderId="111" xfId="0" applyNumberFormat="1" applyFont="1" applyBorder="1" applyAlignment="1" applyProtection="1">
      <alignment vertical="center"/>
      <protection locked="0"/>
    </xf>
    <xf numFmtId="4" fontId="134" fillId="0" borderId="111" xfId="0" applyNumberFormat="1" applyFont="1" applyBorder="1" applyAlignment="1" applyProtection="1">
      <alignment vertical="center"/>
      <protection locked="0"/>
    </xf>
    <xf numFmtId="4" fontId="135" fillId="0" borderId="111" xfId="0" applyNumberFormat="1" applyFont="1" applyBorder="1" applyAlignment="1" applyProtection="1">
      <alignment vertical="center"/>
      <protection locked="0"/>
    </xf>
    <xf numFmtId="4" fontId="136" fillId="0" borderId="111" xfId="0" applyNumberFormat="1" applyFont="1" applyBorder="1" applyAlignment="1" applyProtection="1">
      <alignment vertical="center"/>
      <protection locked="0"/>
    </xf>
    <xf numFmtId="4" fontId="131" fillId="0" borderId="111" xfId="0" applyNumberFormat="1" applyFont="1" applyBorder="1" applyAlignment="1" applyProtection="1">
      <alignment vertical="center"/>
      <protection locked="0"/>
    </xf>
    <xf numFmtId="4" fontId="134" fillId="0" borderId="113" xfId="0" applyNumberFormat="1" applyFont="1" applyBorder="1" applyAlignment="1" applyProtection="1">
      <alignment vertical="center"/>
      <protection locked="0"/>
    </xf>
    <xf numFmtId="10" fontId="26" fillId="2" borderId="114" xfId="88" applyNumberFormat="1" applyFont="1" applyFill="1" applyBorder="1" applyAlignment="1">
      <alignment horizontal="right" vertical="center"/>
    </xf>
    <xf numFmtId="10" fontId="26" fillId="5" borderId="114" xfId="88" applyNumberFormat="1" applyFont="1" applyFill="1" applyBorder="1" applyAlignment="1">
      <alignment horizontal="right" vertical="center"/>
    </xf>
    <xf numFmtId="187" fontId="26" fillId="0" borderId="115" xfId="0" applyNumberFormat="1" applyFont="1" applyBorder="1" applyAlignment="1">
      <alignment vertical="center"/>
    </xf>
    <xf numFmtId="187" fontId="26" fillId="0" borderId="116" xfId="0" applyNumberFormat="1" applyFont="1" applyBorder="1" applyAlignment="1">
      <alignment vertical="center"/>
    </xf>
    <xf numFmtId="0" fontId="127" fillId="0" borderId="65" xfId="0" applyFont="1" applyBorder="1" applyAlignment="1">
      <alignment vertical="center"/>
    </xf>
    <xf numFmtId="14" fontId="0" fillId="2" borderId="0" xfId="0" applyNumberFormat="1" applyFill="1"/>
    <xf numFmtId="185" fontId="132" fillId="2" borderId="117" xfId="87" applyNumberFormat="1" applyFont="1" applyFill="1" applyBorder="1" applyAlignment="1">
      <alignment horizontal="right" vertical="center"/>
    </xf>
    <xf numFmtId="10" fontId="132" fillId="2" borderId="118" xfId="88" applyNumberFormat="1" applyFont="1" applyFill="1" applyBorder="1" applyAlignment="1">
      <alignment horizontal="center" vertical="center"/>
    </xf>
    <xf numFmtId="185" fontId="132" fillId="2" borderId="119" xfId="87" applyNumberFormat="1" applyFont="1" applyFill="1" applyBorder="1" applyAlignment="1">
      <alignment horizontal="right" vertical="center"/>
    </xf>
    <xf numFmtId="185" fontId="130" fillId="21" borderId="14" xfId="1" applyNumberFormat="1" applyFont="1" applyFill="1" applyBorder="1" applyAlignment="1" applyProtection="1">
      <alignment horizontal="center" vertical="center"/>
      <protection locked="0"/>
    </xf>
    <xf numFmtId="10" fontId="130" fillId="21" borderId="15" xfId="88" applyNumberFormat="1" applyFont="1" applyFill="1" applyBorder="1" applyAlignment="1" applyProtection="1">
      <alignment horizontal="center" vertical="center"/>
      <protection locked="0"/>
    </xf>
    <xf numFmtId="185" fontId="130" fillId="21" borderId="15" xfId="1" applyNumberFormat="1" applyFont="1" applyFill="1" applyBorder="1" applyAlignment="1" applyProtection="1">
      <alignment horizontal="center" vertical="center"/>
      <protection locked="0"/>
    </xf>
    <xf numFmtId="10" fontId="130" fillId="21" borderId="16" xfId="88" applyNumberFormat="1" applyFont="1" applyFill="1" applyBorder="1" applyAlignment="1" applyProtection="1">
      <alignment horizontal="center" vertical="center"/>
      <protection locked="0"/>
    </xf>
    <xf numFmtId="187" fontId="26" fillId="0" borderId="120" xfId="0" applyNumberFormat="1" applyFont="1" applyBorder="1" applyAlignment="1">
      <alignment vertical="center"/>
    </xf>
    <xf numFmtId="0" fontId="138" fillId="4" borderId="35" xfId="16" applyFont="1" applyFill="1" applyBorder="1" applyAlignment="1">
      <alignment vertical="top" wrapText="1"/>
    </xf>
    <xf numFmtId="0" fontId="138" fillId="4" borderId="12" xfId="16" applyFont="1" applyFill="1" applyBorder="1" applyAlignment="1">
      <alignment vertical="top" wrapText="1"/>
    </xf>
    <xf numFmtId="0" fontId="138" fillId="4" borderId="14" xfId="16" applyFont="1" applyFill="1" applyBorder="1" applyAlignment="1">
      <alignment vertical="top" wrapText="1"/>
    </xf>
    <xf numFmtId="187" fontId="138" fillId="0" borderId="15" xfId="16" applyNumberFormat="1" applyFont="1" applyBorder="1" applyAlignment="1">
      <alignment vertical="top"/>
    </xf>
    <xf numFmtId="187" fontId="27" fillId="0" borderId="15" xfId="69" applyNumberFormat="1" applyFont="1" applyBorder="1"/>
    <xf numFmtId="10" fontId="23" fillId="10" borderId="8" xfId="1" applyNumberFormat="1" applyFont="1" applyFill="1" applyBorder="1" applyAlignment="1">
      <alignment vertical="center"/>
    </xf>
    <xf numFmtId="4" fontId="48" fillId="2" borderId="51" xfId="0" applyNumberFormat="1" applyFont="1" applyFill="1" applyBorder="1" applyAlignment="1">
      <alignment horizontal="left" vertical="center"/>
    </xf>
    <xf numFmtId="4" fontId="48" fillId="2" borderId="56" xfId="0" applyNumberFormat="1" applyFont="1" applyFill="1" applyBorder="1" applyAlignment="1">
      <alignment horizontal="left" vertical="center"/>
    </xf>
    <xf numFmtId="4" fontId="48" fillId="2" borderId="50" xfId="0" applyNumberFormat="1" applyFont="1" applyFill="1" applyBorder="1" applyAlignment="1">
      <alignment horizontal="right" vertical="center"/>
    </xf>
    <xf numFmtId="4" fontId="48" fillId="2" borderId="51" xfId="0" applyNumberFormat="1" applyFont="1" applyFill="1" applyBorder="1" applyAlignment="1">
      <alignment horizontal="right" vertical="center"/>
    </xf>
    <xf numFmtId="4" fontId="48" fillId="2" borderId="50" xfId="0" applyNumberFormat="1" applyFont="1" applyFill="1" applyBorder="1" applyAlignment="1">
      <alignment horizontal="left" vertical="center"/>
    </xf>
    <xf numFmtId="4" fontId="48" fillId="2" borderId="25" xfId="0" applyNumberFormat="1" applyFont="1" applyFill="1" applyBorder="1" applyAlignment="1">
      <alignment horizontal="left" vertical="center"/>
    </xf>
    <xf numFmtId="4" fontId="48" fillId="2" borderId="26" xfId="0" applyNumberFormat="1" applyFont="1" applyFill="1" applyBorder="1" applyAlignment="1">
      <alignment horizontal="left" vertical="center"/>
    </xf>
    <xf numFmtId="4" fontId="48" fillId="2" borderId="21" xfId="0" applyNumberFormat="1" applyFont="1" applyFill="1" applyBorder="1" applyAlignment="1">
      <alignment horizontal="left" vertical="center"/>
    </xf>
    <xf numFmtId="4" fontId="48" fillId="2" borderId="24" xfId="0" applyNumberFormat="1" applyFont="1" applyFill="1" applyBorder="1" applyAlignment="1">
      <alignment horizontal="center" vertical="center"/>
    </xf>
    <xf numFmtId="4" fontId="48" fillId="2" borderId="17" xfId="0" applyNumberFormat="1" applyFont="1" applyFill="1" applyBorder="1" applyAlignment="1">
      <alignment horizontal="center" vertical="center"/>
    </xf>
    <xf numFmtId="0" fontId="147" fillId="0" borderId="8" xfId="0" applyFont="1" applyBorder="1" applyAlignment="1" applyProtection="1">
      <alignment horizontal="left" vertical="center" wrapText="1"/>
      <protection locked="0"/>
    </xf>
    <xf numFmtId="0" fontId="65" fillId="2" borderId="0" xfId="0" applyFont="1" applyFill="1" applyAlignment="1">
      <alignment horizontal="left" vertical="center"/>
    </xf>
    <xf numFmtId="0" fontId="152" fillId="2" borderId="0" xfId="0" applyFont="1" applyFill="1" applyAlignment="1">
      <alignment horizontal="left" vertical="center"/>
    </xf>
    <xf numFmtId="0" fontId="152" fillId="2" borderId="0" xfId="0" applyFont="1" applyFill="1" applyAlignment="1">
      <alignment horizontal="center" vertical="center"/>
    </xf>
    <xf numFmtId="0" fontId="66" fillId="2" borderId="0" xfId="0" applyFont="1" applyFill="1" applyAlignment="1">
      <alignment vertical="center"/>
    </xf>
    <xf numFmtId="14" fontId="152" fillId="2" borderId="0" xfId="0" applyNumberFormat="1" applyFont="1" applyFill="1" applyAlignment="1">
      <alignment horizontal="left" vertical="center"/>
    </xf>
    <xf numFmtId="0" fontId="153" fillId="2" borderId="0" xfId="0" applyFont="1" applyFill="1" applyAlignment="1">
      <alignment horizontal="center" vertical="center"/>
    </xf>
    <xf numFmtId="0" fontId="153" fillId="2" borderId="0" xfId="0" applyFont="1" applyFill="1" applyAlignment="1">
      <alignment horizontal="left" vertical="center"/>
    </xf>
    <xf numFmtId="0" fontId="154" fillId="2" borderId="0" xfId="0" applyFont="1" applyFill="1" applyAlignment="1">
      <alignment horizontal="left" vertical="center"/>
    </xf>
    <xf numFmtId="0" fontId="65" fillId="0" borderId="0" xfId="0" applyFont="1" applyAlignment="1">
      <alignment horizontal="left" vertical="center"/>
    </xf>
    <xf numFmtId="0" fontId="155" fillId="2" borderId="0" xfId="0" applyFont="1" applyFill="1" applyAlignment="1">
      <alignment horizontal="center" vertical="center"/>
    </xf>
    <xf numFmtId="0" fontId="155" fillId="2" borderId="0" xfId="0" applyFont="1" applyFill="1" applyAlignment="1">
      <alignment horizontal="left" vertical="center"/>
    </xf>
    <xf numFmtId="0" fontId="156" fillId="2" borderId="0" xfId="0" applyFont="1" applyFill="1" applyAlignment="1">
      <alignment vertical="center"/>
    </xf>
    <xf numFmtId="0" fontId="157" fillId="2" borderId="0" xfId="0" applyFont="1" applyFill="1" applyAlignment="1">
      <alignment horizontal="center" vertical="center"/>
    </xf>
    <xf numFmtId="0" fontId="157" fillId="2" borderId="0" xfId="0" applyFont="1" applyFill="1" applyAlignment="1">
      <alignment vertical="center"/>
    </xf>
    <xf numFmtId="0" fontId="158" fillId="2" borderId="0" xfId="0" applyFont="1" applyFill="1" applyAlignment="1">
      <alignment vertical="center"/>
    </xf>
    <xf numFmtId="0" fontId="65" fillId="0" borderId="0" xfId="0" applyFont="1"/>
    <xf numFmtId="0" fontId="160" fillId="0" borderId="0" xfId="77" applyFont="1"/>
    <xf numFmtId="0" fontId="159" fillId="2" borderId="0" xfId="17" applyFont="1" applyFill="1" applyAlignment="1">
      <alignment vertical="center" wrapText="1"/>
    </xf>
    <xf numFmtId="0" fontId="33" fillId="0" borderId="0" xfId="0" applyFont="1" applyAlignment="1">
      <alignment horizontal="left"/>
    </xf>
    <xf numFmtId="4" fontId="0" fillId="0" borderId="0" xfId="0" applyNumberFormat="1"/>
    <xf numFmtId="0" fontId="67" fillId="2" borderId="0" xfId="0" applyFont="1" applyFill="1"/>
    <xf numFmtId="49" fontId="67" fillId="2" borderId="0" xfId="0" applyNumberFormat="1" applyFont="1" applyFill="1"/>
    <xf numFmtId="0" fontId="6" fillId="2" borderId="0" xfId="1" applyFont="1" applyFill="1"/>
    <xf numFmtId="0" fontId="53" fillId="2" borderId="0" xfId="0" applyFont="1" applyFill="1"/>
    <xf numFmtId="0" fontId="43" fillId="2" borderId="0" xfId="0" applyFont="1" applyFill="1"/>
    <xf numFmtId="0" fontId="68" fillId="2" borderId="0" xfId="0" applyFont="1" applyFill="1"/>
    <xf numFmtId="0" fontId="145" fillId="2" borderId="0" xfId="0" applyFont="1" applyFill="1"/>
    <xf numFmtId="0" fontId="161" fillId="2" borderId="0" xfId="0" applyFont="1" applyFill="1"/>
    <xf numFmtId="0" fontId="6" fillId="2" borderId="0" xfId="1" applyFont="1" applyFill="1" applyAlignment="1">
      <alignment horizontal="left"/>
    </xf>
    <xf numFmtId="0" fontId="146" fillId="2" borderId="0" xfId="1" applyFont="1" applyFill="1"/>
    <xf numFmtId="0" fontId="162" fillId="2" borderId="10" xfId="78" applyFont="1" applyFill="1" applyBorder="1" applyAlignment="1">
      <alignment horizontal="center" vertical="center" wrapText="1"/>
    </xf>
    <xf numFmtId="0" fontId="54" fillId="2" borderId="8" xfId="77" applyFont="1" applyFill="1" applyBorder="1" applyAlignment="1">
      <alignment horizontal="center" vertical="center"/>
    </xf>
    <xf numFmtId="0" fontId="54" fillId="2" borderId="13" xfId="77" applyFont="1" applyFill="1" applyBorder="1" applyAlignment="1">
      <alignment horizontal="center" vertical="center"/>
    </xf>
    <xf numFmtId="171" fontId="162" fillId="2" borderId="34" xfId="77" applyNumberFormat="1" applyFont="1" applyFill="1" applyBorder="1" applyAlignment="1">
      <alignment horizontal="center"/>
    </xf>
    <xf numFmtId="0" fontId="27" fillId="2" borderId="0" xfId="77" applyFont="1" applyFill="1" applyAlignment="1">
      <alignment horizontal="center"/>
    </xf>
    <xf numFmtId="0" fontId="23" fillId="2" borderId="0" xfId="77" applyFont="1" applyFill="1" applyAlignment="1">
      <alignment horizontal="center"/>
    </xf>
    <xf numFmtId="0" fontId="2" fillId="2" borderId="0" xfId="77" applyFill="1"/>
    <xf numFmtId="0" fontId="22" fillId="2" borderId="0" xfId="77" applyFont="1" applyFill="1"/>
    <xf numFmtId="0" fontId="90" fillId="23" borderId="26" xfId="0" applyFont="1" applyFill="1" applyBorder="1" applyAlignment="1">
      <alignment vertical="center"/>
    </xf>
    <xf numFmtId="0" fontId="28" fillId="23" borderId="25" xfId="74" applyFont="1" applyFill="1" applyBorder="1" applyAlignment="1">
      <alignment vertical="center"/>
    </xf>
    <xf numFmtId="0" fontId="28" fillId="23" borderId="26" xfId="74" applyFont="1" applyFill="1" applyBorder="1" applyAlignment="1">
      <alignment vertical="center"/>
    </xf>
    <xf numFmtId="0" fontId="28" fillId="23" borderId="26" xfId="74" applyFont="1" applyFill="1" applyBorder="1" applyAlignment="1">
      <alignment horizontal="center" vertical="center"/>
    </xf>
    <xf numFmtId="0" fontId="28" fillId="23" borderId="21" xfId="74" applyFont="1" applyFill="1" applyBorder="1" applyAlignment="1">
      <alignment vertical="center"/>
    </xf>
    <xf numFmtId="0" fontId="28" fillId="23" borderId="8" xfId="74" applyFont="1" applyFill="1" applyBorder="1" applyAlignment="1">
      <alignment horizontal="center" vertical="center"/>
    </xf>
    <xf numFmtId="4" fontId="28" fillId="23" borderId="8" xfId="0" applyNumberFormat="1" applyFont="1" applyFill="1" applyBorder="1" applyAlignment="1">
      <alignment vertical="center"/>
    </xf>
    <xf numFmtId="0" fontId="28" fillId="23" borderId="8" xfId="0" applyFont="1" applyFill="1" applyBorder="1" applyAlignment="1">
      <alignment horizontal="center" vertical="center"/>
    </xf>
    <xf numFmtId="4" fontId="28" fillId="23" borderId="8" xfId="0" applyNumberFormat="1" applyFont="1" applyFill="1" applyBorder="1" applyAlignment="1">
      <alignment horizontal="center" vertical="center"/>
    </xf>
    <xf numFmtId="0" fontId="102" fillId="23" borderId="8" xfId="0" applyFont="1" applyFill="1" applyBorder="1"/>
    <xf numFmtId="4" fontId="99" fillId="23" borderId="8" xfId="0" applyNumberFormat="1" applyFont="1" applyFill="1" applyBorder="1" applyAlignment="1" applyProtection="1">
      <alignment vertical="center"/>
      <protection locked="0"/>
    </xf>
    <xf numFmtId="4" fontId="46" fillId="23" borderId="8" xfId="0" applyNumberFormat="1" applyFont="1" applyFill="1" applyBorder="1" applyAlignment="1" applyProtection="1">
      <alignment vertical="center"/>
      <protection locked="0"/>
    </xf>
    <xf numFmtId="4" fontId="102" fillId="23" borderId="8" xfId="0" applyNumberFormat="1" applyFont="1" applyFill="1" applyBorder="1" applyAlignment="1">
      <alignment horizontal="right" vertical="center"/>
    </xf>
    <xf numFmtId="0" fontId="97" fillId="24" borderId="8" xfId="0" applyFont="1" applyFill="1" applyBorder="1" applyAlignment="1">
      <alignment vertical="center"/>
    </xf>
    <xf numFmtId="4" fontId="97" fillId="24" borderId="8" xfId="0" applyNumberFormat="1" applyFont="1" applyFill="1" applyBorder="1" applyAlignment="1" applyProtection="1">
      <alignment vertical="center"/>
      <protection locked="0"/>
    </xf>
    <xf numFmtId="4" fontId="28" fillId="23" borderId="69" xfId="0" applyNumberFormat="1" applyFont="1" applyFill="1" applyBorder="1" applyAlignment="1" applyProtection="1">
      <alignment vertical="center"/>
      <protection locked="0"/>
    </xf>
    <xf numFmtId="4" fontId="99" fillId="23" borderId="69" xfId="0" applyNumberFormat="1" applyFont="1" applyFill="1" applyBorder="1" applyAlignment="1" applyProtection="1">
      <alignment horizontal="right" vertical="center"/>
      <protection locked="0"/>
    </xf>
    <xf numFmtId="10" fontId="99" fillId="23" borderId="69" xfId="0" applyNumberFormat="1" applyFont="1" applyFill="1" applyBorder="1" applyAlignment="1">
      <alignment horizontal="right" vertical="center"/>
    </xf>
    <xf numFmtId="4" fontId="28" fillId="23" borderId="69" xfId="0" applyNumberFormat="1" applyFont="1" applyFill="1" applyBorder="1" applyAlignment="1" applyProtection="1">
      <alignment horizontal="right" vertical="center"/>
      <protection locked="0"/>
    </xf>
    <xf numFmtId="4" fontId="99" fillId="23" borderId="69" xfId="0" applyNumberFormat="1" applyFont="1" applyFill="1" applyBorder="1" applyAlignment="1">
      <alignment horizontal="right" vertical="center"/>
    </xf>
    <xf numFmtId="10" fontId="99" fillId="23" borderId="70" xfId="0" applyNumberFormat="1" applyFont="1" applyFill="1" applyBorder="1" applyAlignment="1">
      <alignment horizontal="right" vertical="center"/>
    </xf>
    <xf numFmtId="0" fontId="28" fillId="23" borderId="57" xfId="0" applyFont="1" applyFill="1" applyBorder="1" applyAlignment="1">
      <alignment vertical="center"/>
    </xf>
    <xf numFmtId="0" fontId="28" fillId="23" borderId="41" xfId="0" applyFont="1" applyFill="1" applyBorder="1" applyAlignment="1">
      <alignment vertical="center"/>
    </xf>
    <xf numFmtId="2" fontId="28" fillId="23" borderId="20" xfId="102" applyNumberFormat="1" applyFont="1" applyFill="1" applyBorder="1" applyAlignment="1">
      <alignment vertical="center"/>
    </xf>
    <xf numFmtId="0" fontId="99" fillId="23" borderId="17" xfId="0" applyFont="1" applyFill="1" applyBorder="1" applyAlignment="1">
      <alignment vertical="center"/>
    </xf>
    <xf numFmtId="4" fontId="28" fillId="23" borderId="38" xfId="0" applyNumberFormat="1" applyFont="1" applyFill="1" applyBorder="1" applyAlignment="1" applyProtection="1">
      <alignment vertical="center"/>
      <protection locked="0"/>
    </xf>
    <xf numFmtId="4" fontId="28" fillId="23" borderId="17" xfId="0" applyNumberFormat="1" applyFont="1" applyFill="1" applyBorder="1" applyAlignment="1" applyProtection="1">
      <alignment vertical="center"/>
      <protection locked="0"/>
    </xf>
    <xf numFmtId="171" fontId="99" fillId="23" borderId="17" xfId="75" applyFont="1" applyFill="1" applyBorder="1" applyAlignment="1">
      <alignment vertical="center"/>
    </xf>
    <xf numFmtId="0" fontId="28" fillId="23" borderId="85" xfId="0" applyFont="1" applyFill="1" applyBorder="1" applyAlignment="1">
      <alignment vertical="center"/>
    </xf>
    <xf numFmtId="0" fontId="28" fillId="23" borderId="26" xfId="0" applyFont="1" applyFill="1" applyBorder="1" applyAlignment="1">
      <alignment vertical="center"/>
    </xf>
    <xf numFmtId="2" fontId="28" fillId="23" borderId="21" xfId="102" applyNumberFormat="1" applyFont="1" applyFill="1" applyBorder="1" applyAlignment="1">
      <alignment vertical="center"/>
    </xf>
    <xf numFmtId="0" fontId="99" fillId="23" borderId="8" xfId="0" applyFont="1" applyFill="1" applyBorder="1" applyAlignment="1">
      <alignment vertical="center"/>
    </xf>
    <xf numFmtId="4" fontId="28" fillId="23" borderId="8" xfId="0" applyNumberFormat="1" applyFont="1" applyFill="1" applyBorder="1" applyAlignment="1" applyProtection="1">
      <alignment vertical="center"/>
      <protection locked="0"/>
    </xf>
    <xf numFmtId="4" fontId="99" fillId="23" borderId="8" xfId="0" applyNumberFormat="1" applyFont="1" applyFill="1" applyBorder="1" applyAlignment="1" applyProtection="1">
      <alignment horizontal="right" vertical="center"/>
      <protection locked="0"/>
    </xf>
    <xf numFmtId="4" fontId="28" fillId="23" borderId="8" xfId="0" applyNumberFormat="1" applyFont="1" applyFill="1" applyBorder="1" applyAlignment="1" applyProtection="1">
      <alignment horizontal="right" vertical="center"/>
      <protection locked="0"/>
    </xf>
    <xf numFmtId="171" fontId="99" fillId="23" borderId="8" xfId="75" applyFont="1" applyFill="1" applyBorder="1" applyAlignment="1">
      <alignment vertical="center"/>
    </xf>
    <xf numFmtId="10" fontId="99" fillId="23" borderId="8" xfId="0" applyNumberFormat="1" applyFont="1" applyFill="1" applyBorder="1" applyAlignment="1">
      <alignment horizontal="right" vertical="center"/>
    </xf>
    <xf numFmtId="4" fontId="99" fillId="23" borderId="8" xfId="0" applyNumberFormat="1" applyFont="1" applyFill="1" applyBorder="1" applyAlignment="1">
      <alignment horizontal="right" vertical="center"/>
    </xf>
    <xf numFmtId="10" fontId="99" fillId="23" borderId="8" xfId="0" applyNumberFormat="1" applyFont="1" applyFill="1" applyBorder="1" applyAlignment="1">
      <alignment vertical="center"/>
    </xf>
    <xf numFmtId="0" fontId="28" fillId="23" borderId="58" xfId="0" applyFont="1" applyFill="1" applyBorder="1" applyAlignment="1">
      <alignment vertical="center"/>
    </xf>
    <xf numFmtId="0" fontId="28" fillId="23" borderId="51" xfId="0" applyFont="1" applyFill="1" applyBorder="1" applyAlignment="1">
      <alignment vertical="center"/>
    </xf>
    <xf numFmtId="0" fontId="99" fillId="23" borderId="24" xfId="0" applyFont="1" applyFill="1" applyBorder="1" applyAlignment="1">
      <alignment vertical="center"/>
    </xf>
    <xf numFmtId="4" fontId="101" fillId="23" borderId="69" xfId="0" applyNumberFormat="1" applyFont="1" applyFill="1" applyBorder="1" applyAlignment="1" applyProtection="1">
      <alignment vertical="center"/>
      <protection locked="0"/>
    </xf>
    <xf numFmtId="0" fontId="97" fillId="0" borderId="8" xfId="0" applyFont="1" applyBorder="1" applyAlignment="1">
      <alignment vertical="top"/>
    </xf>
    <xf numFmtId="0" fontId="12" fillId="4" borderId="8" xfId="1" applyFont="1" applyFill="1" applyBorder="1" applyAlignment="1">
      <alignment horizontal="center" vertical="center"/>
    </xf>
    <xf numFmtId="1" fontId="10" fillId="0" borderId="8" xfId="1" applyNumberFormat="1" applyFont="1" applyBorder="1" applyAlignment="1">
      <alignment horizontal="center"/>
    </xf>
    <xf numFmtId="0" fontId="10" fillId="0" borderId="8" xfId="1" applyFont="1" applyBorder="1"/>
    <xf numFmtId="10" fontId="99" fillId="23" borderId="17" xfId="0" applyNumberFormat="1" applyFont="1" applyFill="1" applyBorder="1" applyAlignment="1">
      <alignment vertical="center"/>
    </xf>
    <xf numFmtId="10" fontId="99" fillId="23" borderId="67" xfId="0" applyNumberFormat="1" applyFont="1" applyFill="1" applyBorder="1" applyAlignment="1">
      <alignment vertical="center"/>
    </xf>
    <xf numFmtId="0" fontId="65" fillId="0" borderId="0" xfId="0" applyFont="1" applyAlignment="1">
      <alignment vertical="center" wrapText="1"/>
    </xf>
    <xf numFmtId="4" fontId="146" fillId="26" borderId="126" xfId="0" applyNumberFormat="1" applyFont="1" applyFill="1" applyBorder="1" applyAlignment="1" applyProtection="1">
      <alignment vertical="center"/>
      <protection locked="0"/>
    </xf>
    <xf numFmtId="4" fontId="146" fillId="26" borderId="56" xfId="0" applyNumberFormat="1" applyFont="1" applyFill="1" applyBorder="1" applyAlignment="1" applyProtection="1">
      <alignment vertical="center"/>
      <protection locked="0"/>
    </xf>
    <xf numFmtId="10" fontId="146" fillId="26" borderId="83" xfId="0" applyNumberFormat="1" applyFont="1" applyFill="1" applyBorder="1" applyAlignment="1">
      <alignment horizontal="center" vertical="center"/>
    </xf>
    <xf numFmtId="4" fontId="146" fillId="2" borderId="90" xfId="0" applyNumberFormat="1" applyFont="1" applyFill="1" applyBorder="1" applyAlignment="1" applyProtection="1">
      <alignment vertical="center"/>
      <protection locked="0"/>
    </xf>
    <xf numFmtId="10" fontId="146" fillId="2" borderId="83" xfId="0" applyNumberFormat="1" applyFont="1" applyFill="1" applyBorder="1" applyAlignment="1" applyProtection="1">
      <alignment vertical="center"/>
      <protection locked="0"/>
    </xf>
    <xf numFmtId="0" fontId="47" fillId="0" borderId="25" xfId="0" applyFont="1" applyBorder="1" applyAlignment="1">
      <alignment horizontal="right"/>
    </xf>
    <xf numFmtId="0" fontId="47" fillId="0" borderId="26" xfId="0" applyFont="1" applyBorder="1" applyAlignment="1">
      <alignment horizontal="right"/>
    </xf>
    <xf numFmtId="0" fontId="47" fillId="0" borderId="21" xfId="0" applyFont="1" applyBorder="1" applyAlignment="1">
      <alignment horizontal="right"/>
    </xf>
    <xf numFmtId="0" fontId="0" fillId="2" borderId="0" xfId="0" applyFill="1"/>
    <xf numFmtId="14" fontId="0" fillId="27" borderId="0" xfId="0" applyNumberFormat="1" applyFill="1"/>
    <xf numFmtId="4" fontId="22" fillId="2" borderId="2" xfId="1" applyNumberFormat="1" applyFont="1" applyFill="1" applyBorder="1" applyAlignment="1">
      <alignment horizontal="center" vertical="center"/>
    </xf>
    <xf numFmtId="4" fontId="22" fillId="2" borderId="2" xfId="1" applyNumberFormat="1" applyFont="1" applyFill="1" applyBorder="1" applyAlignment="1">
      <alignment vertical="center"/>
    </xf>
    <xf numFmtId="0" fontId="163" fillId="0" borderId="8" xfId="0" applyFont="1" applyBorder="1" applyAlignment="1" applyProtection="1">
      <alignment vertical="center" wrapText="1"/>
      <protection locked="0"/>
    </xf>
    <xf numFmtId="2" fontId="97" fillId="9" borderId="24" xfId="0" applyNumberFormat="1" applyFont="1" applyFill="1" applyBorder="1" applyAlignment="1" applyProtection="1">
      <alignment vertical="center"/>
      <protection locked="0"/>
    </xf>
    <xf numFmtId="0" fontId="97" fillId="28" borderId="8" xfId="0" applyFont="1" applyFill="1" applyBorder="1" applyAlignment="1">
      <alignment horizontal="left" vertical="center" wrapText="1" readingOrder="1"/>
    </xf>
    <xf numFmtId="0" fontId="164" fillId="28" borderId="8" xfId="0" applyFont="1" applyFill="1" applyBorder="1" applyAlignment="1">
      <alignment horizontal="left" vertical="center" wrapText="1" readingOrder="1"/>
    </xf>
    <xf numFmtId="0" fontId="97" fillId="28" borderId="8" xfId="0" applyFont="1" applyFill="1" applyBorder="1" applyAlignment="1">
      <alignment horizontal="left" vertical="top" wrapText="1" readingOrder="1"/>
    </xf>
    <xf numFmtId="0" fontId="165" fillId="28" borderId="8" xfId="0" applyFont="1" applyFill="1" applyBorder="1" applyAlignment="1">
      <alignment horizontal="left" vertical="top" wrapText="1" readingOrder="1"/>
    </xf>
    <xf numFmtId="0" fontId="166" fillId="28" borderId="8" xfId="0" applyFont="1" applyFill="1" applyBorder="1" applyAlignment="1">
      <alignment horizontal="left" vertical="top" wrapText="1" readingOrder="1"/>
    </xf>
    <xf numFmtId="0" fontId="97" fillId="28" borderId="8" xfId="0" applyFont="1" applyFill="1" applyBorder="1" applyAlignment="1">
      <alignment horizontal="center" vertical="top" wrapText="1" readingOrder="1"/>
    </xf>
    <xf numFmtId="2" fontId="81" fillId="0" borderId="8" xfId="0" applyNumberFormat="1" applyFont="1" applyBorder="1"/>
    <xf numFmtId="0" fontId="97" fillId="28" borderId="8" xfId="0" applyFont="1" applyFill="1" applyBorder="1" applyAlignment="1">
      <alignment horizontal="right" vertical="top" wrapText="1" readingOrder="1"/>
    </xf>
    <xf numFmtId="0" fontId="166" fillId="28" borderId="8" xfId="0" applyFont="1" applyFill="1" applyBorder="1" applyAlignment="1">
      <alignment horizontal="right" vertical="top" wrapText="1" readingOrder="1"/>
    </xf>
    <xf numFmtId="0" fontId="167" fillId="28" borderId="8" xfId="0" applyFont="1" applyFill="1" applyBorder="1" applyAlignment="1">
      <alignment horizontal="left" vertical="top" wrapText="1" readingOrder="1"/>
    </xf>
    <xf numFmtId="0" fontId="167" fillId="28" borderId="8" xfId="0" applyFont="1" applyFill="1" applyBorder="1" applyAlignment="1">
      <alignment horizontal="right" vertical="top" wrapText="1" readingOrder="1"/>
    </xf>
    <xf numFmtId="0" fontId="164" fillId="28" borderId="8" xfId="0" applyFont="1" applyFill="1" applyBorder="1" applyAlignment="1">
      <alignment horizontal="left" vertical="top" wrapText="1" readingOrder="1"/>
    </xf>
    <xf numFmtId="0" fontId="168" fillId="28" borderId="8" xfId="0" applyFont="1" applyFill="1" applyBorder="1" applyAlignment="1">
      <alignment horizontal="left" vertical="top" wrapText="1" readingOrder="1"/>
    </xf>
    <xf numFmtId="0" fontId="97" fillId="28" borderId="24" xfId="0" applyFont="1" applyFill="1" applyBorder="1" applyAlignment="1">
      <alignment horizontal="left" vertical="top" wrapText="1" readingOrder="1"/>
    </xf>
    <xf numFmtId="0" fontId="97" fillId="28" borderId="24" xfId="0" applyFont="1" applyFill="1" applyBorder="1" applyAlignment="1">
      <alignment horizontal="center" vertical="top" wrapText="1" readingOrder="1"/>
    </xf>
    <xf numFmtId="2" fontId="81" fillId="0" borderId="24" xfId="0" applyNumberFormat="1" applyFont="1" applyBorder="1"/>
    <xf numFmtId="0" fontId="97" fillId="28" borderId="24" xfId="0" applyFont="1" applyFill="1" applyBorder="1" applyAlignment="1">
      <alignment horizontal="right" vertical="top" wrapText="1" readingOrder="1"/>
    </xf>
    <xf numFmtId="0" fontId="97" fillId="2" borderId="8" xfId="0" applyFont="1" applyFill="1" applyBorder="1" applyAlignment="1">
      <alignment horizontal="left" vertical="top" wrapText="1" readingOrder="1"/>
    </xf>
    <xf numFmtId="0" fontId="43" fillId="2" borderId="0" xfId="0" applyFont="1" applyFill="1" applyAlignment="1">
      <alignment horizontal="left"/>
    </xf>
    <xf numFmtId="0" fontId="6" fillId="29" borderId="65" xfId="0" applyFont="1" applyFill="1" applyBorder="1" applyAlignment="1">
      <alignment horizontal="left" vertical="center"/>
    </xf>
    <xf numFmtId="0" fontId="148" fillId="0" borderId="0" xfId="0" applyFont="1" applyAlignment="1">
      <alignment vertical="top" wrapText="1"/>
    </xf>
    <xf numFmtId="0" fontId="173" fillId="0" borderId="0" xfId="0" applyFont="1" applyAlignment="1" applyProtection="1">
      <alignment vertical="center"/>
      <protection locked="0"/>
    </xf>
    <xf numFmtId="0" fontId="173" fillId="0" borderId="23" xfId="0" applyFont="1" applyBorder="1" applyAlignment="1" applyProtection="1">
      <alignment vertical="center"/>
      <protection locked="0"/>
    </xf>
    <xf numFmtId="0" fontId="148" fillId="0" borderId="22" xfId="0" applyFont="1" applyBorder="1" applyAlignment="1" applyProtection="1">
      <alignment vertical="center"/>
      <protection locked="0"/>
    </xf>
    <xf numFmtId="0" fontId="137" fillId="0" borderId="22" xfId="0" applyFont="1" applyBorder="1" applyAlignment="1" applyProtection="1">
      <alignment vertical="center"/>
      <protection locked="0"/>
    </xf>
    <xf numFmtId="0" fontId="99" fillId="23" borderId="17" xfId="0" applyFont="1" applyFill="1" applyBorder="1" applyAlignment="1">
      <alignment horizontal="left" vertical="center"/>
    </xf>
    <xf numFmtId="0" fontId="99" fillId="23" borderId="8" xfId="0" applyFont="1" applyFill="1" applyBorder="1" applyAlignment="1">
      <alignment horizontal="left" vertical="center"/>
    </xf>
    <xf numFmtId="0" fontId="99" fillId="23" borderId="24" xfId="0" applyFont="1" applyFill="1" applyBorder="1" applyAlignment="1">
      <alignment horizontal="left" vertical="center"/>
    </xf>
    <xf numFmtId="0" fontId="54" fillId="2" borderId="77" xfId="77" applyFont="1" applyFill="1" applyBorder="1" applyAlignment="1">
      <alignment horizontal="left"/>
    </xf>
    <xf numFmtId="0" fontId="54" fillId="2" borderId="59" xfId="77" applyFont="1" applyFill="1" applyBorder="1" applyAlignment="1">
      <alignment horizontal="left"/>
    </xf>
    <xf numFmtId="0" fontId="162" fillId="2" borderId="3" xfId="82" applyNumberFormat="1" applyFont="1" applyFill="1" applyBorder="1" applyAlignment="1">
      <alignment horizontal="center"/>
    </xf>
    <xf numFmtId="178" fontId="0" fillId="0" borderId="0" xfId="0" applyNumberFormat="1"/>
    <xf numFmtId="0" fontId="54" fillId="2" borderId="76" xfId="77" applyFont="1" applyFill="1" applyBorder="1" applyAlignment="1">
      <alignment horizontal="left"/>
    </xf>
    <xf numFmtId="0" fontId="148" fillId="0" borderId="0" xfId="0" applyFont="1" applyAlignment="1">
      <alignment vertical="top"/>
    </xf>
    <xf numFmtId="4" fontId="102" fillId="0" borderId="0" xfId="0" applyNumberFormat="1" applyFont="1"/>
    <xf numFmtId="0" fontId="97" fillId="0" borderId="8" xfId="0" applyFont="1" applyBorder="1" applyAlignment="1">
      <alignment horizontal="center" vertical="center"/>
    </xf>
    <xf numFmtId="0" fontId="97" fillId="28" borderId="8" xfId="0" applyFont="1" applyFill="1" applyBorder="1" applyAlignment="1">
      <alignment horizontal="center" vertical="center" wrapText="1" readingOrder="1"/>
    </xf>
    <xf numFmtId="43" fontId="81" fillId="0" borderId="8" xfId="93" applyFont="1" applyBorder="1"/>
    <xf numFmtId="43" fontId="97" fillId="28" borderId="8" xfId="93" applyFont="1" applyFill="1" applyBorder="1" applyAlignment="1">
      <alignment horizontal="right" vertical="top" wrapText="1" readingOrder="1"/>
    </xf>
    <xf numFmtId="43" fontId="97" fillId="9" borderId="8" xfId="93" applyFont="1" applyFill="1" applyBorder="1" applyAlignment="1" applyProtection="1">
      <alignment vertical="center"/>
      <protection locked="0"/>
    </xf>
    <xf numFmtId="0" fontId="167" fillId="28" borderId="8" xfId="0" applyFont="1" applyFill="1" applyBorder="1" applyAlignment="1">
      <alignment horizontal="center" vertical="center" wrapText="1" readingOrder="1"/>
    </xf>
    <xf numFmtId="43" fontId="167" fillId="28" borderId="8" xfId="93" applyFont="1" applyFill="1" applyBorder="1" applyAlignment="1">
      <alignment horizontal="right" vertical="top" wrapText="1" readingOrder="1"/>
    </xf>
    <xf numFmtId="10" fontId="81" fillId="0" borderId="0" xfId="0" applyNumberFormat="1" applyFont="1"/>
    <xf numFmtId="0" fontId="97" fillId="28" borderId="24" xfId="0" applyFont="1" applyFill="1" applyBorder="1" applyAlignment="1">
      <alignment horizontal="center" vertical="center" wrapText="1" readingOrder="1"/>
    </xf>
    <xf numFmtId="43" fontId="81" fillId="0" borderId="24" xfId="93" applyFont="1" applyBorder="1"/>
    <xf numFmtId="43" fontId="97" fillId="28" borderId="24" xfId="93" applyFont="1" applyFill="1" applyBorder="1" applyAlignment="1">
      <alignment horizontal="right" vertical="top" wrapText="1" readingOrder="1"/>
    </xf>
    <xf numFmtId="166" fontId="46" fillId="0" borderId="24" xfId="0" applyNumberFormat="1" applyFont="1" applyBorder="1" applyAlignment="1" applyProtection="1">
      <alignment vertical="center"/>
      <protection locked="0"/>
    </xf>
    <xf numFmtId="10" fontId="102" fillId="0" borderId="24" xfId="0" applyNumberFormat="1" applyFont="1" applyBorder="1" applyAlignment="1">
      <alignment horizontal="right" vertical="center"/>
    </xf>
    <xf numFmtId="4" fontId="28" fillId="23" borderId="15" xfId="0" applyNumberFormat="1" applyFont="1" applyFill="1" applyBorder="1" applyAlignment="1" applyProtection="1">
      <alignment vertical="center"/>
      <protection locked="0"/>
    </xf>
    <xf numFmtId="43" fontId="157" fillId="2" borderId="0" xfId="0" applyNumberFormat="1" applyFont="1" applyFill="1" applyAlignment="1">
      <alignment vertical="center"/>
    </xf>
    <xf numFmtId="2" fontId="99" fillId="0" borderId="0" xfId="0" applyNumberFormat="1" applyFont="1" applyAlignment="1">
      <alignment vertical="center"/>
    </xf>
    <xf numFmtId="0" fontId="90" fillId="23" borderId="43" xfId="0" applyFont="1" applyFill="1" applyBorder="1" applyAlignment="1">
      <alignment vertical="center"/>
    </xf>
    <xf numFmtId="0" fontId="90" fillId="23" borderId="6" xfId="0" applyFont="1" applyFill="1" applyBorder="1" applyAlignment="1">
      <alignment horizontal="center" vertical="center"/>
    </xf>
    <xf numFmtId="0" fontId="90" fillId="23" borderId="6" xfId="0" applyFont="1" applyFill="1" applyBorder="1" applyAlignment="1">
      <alignment vertical="center"/>
    </xf>
    <xf numFmtId="0" fontId="90" fillId="23" borderId="36" xfId="0" applyFont="1" applyFill="1" applyBorder="1" applyAlignment="1">
      <alignment vertical="center"/>
    </xf>
    <xf numFmtId="0" fontId="90" fillId="23" borderId="44" xfId="0" applyFont="1" applyFill="1" applyBorder="1" applyAlignment="1">
      <alignment vertical="center"/>
    </xf>
    <xf numFmtId="0" fontId="90" fillId="23" borderId="46" xfId="0" applyFont="1" applyFill="1" applyBorder="1" applyAlignment="1">
      <alignment horizontal="center" vertical="center"/>
    </xf>
    <xf numFmtId="0" fontId="90" fillId="23" borderId="46" xfId="0" applyFont="1" applyFill="1" applyBorder="1" applyAlignment="1">
      <alignment vertical="center"/>
    </xf>
    <xf numFmtId="0" fontId="90" fillId="23" borderId="42" xfId="0" applyFont="1" applyFill="1" applyBorder="1" applyAlignment="1">
      <alignment vertical="center"/>
    </xf>
    <xf numFmtId="0" fontId="90" fillId="23" borderId="47" xfId="0" applyFont="1" applyFill="1" applyBorder="1" applyAlignment="1">
      <alignment vertical="center"/>
    </xf>
    <xf numFmtId="0" fontId="90" fillId="23" borderId="53" xfId="0" applyFont="1" applyFill="1" applyBorder="1" applyAlignment="1">
      <alignment vertical="center"/>
    </xf>
    <xf numFmtId="0" fontId="0" fillId="0" borderId="0" xfId="0" applyAlignment="1">
      <alignment horizontal="center" vertical="center"/>
    </xf>
    <xf numFmtId="14" fontId="0" fillId="2" borderId="0" xfId="0" applyNumberFormat="1" applyFill="1" applyAlignment="1">
      <alignment horizontal="center"/>
    </xf>
    <xf numFmtId="0" fontId="48" fillId="2" borderId="0" xfId="77" applyFont="1" applyFill="1"/>
    <xf numFmtId="4" fontId="48" fillId="2" borderId="25" xfId="0" applyNumberFormat="1" applyFont="1" applyFill="1" applyBorder="1" applyAlignment="1">
      <alignment horizontal="right" vertical="center"/>
    </xf>
    <xf numFmtId="4" fontId="48" fillId="2" borderId="26" xfId="0" applyNumberFormat="1" applyFont="1" applyFill="1" applyBorder="1" applyAlignment="1">
      <alignment horizontal="right" vertical="center"/>
    </xf>
    <xf numFmtId="4" fontId="102" fillId="23" borderId="8" xfId="0" applyNumberFormat="1" applyFont="1" applyFill="1" applyBorder="1" applyAlignment="1" applyProtection="1">
      <alignment vertical="center"/>
      <protection locked="0"/>
    </xf>
    <xf numFmtId="4" fontId="102" fillId="2" borderId="8" xfId="0" applyNumberFormat="1" applyFont="1" applyFill="1" applyBorder="1" applyAlignment="1" applyProtection="1">
      <alignment vertical="center"/>
      <protection locked="0"/>
    </xf>
    <xf numFmtId="10" fontId="102" fillId="2" borderId="8" xfId="0" applyNumberFormat="1" applyFont="1" applyFill="1" applyBorder="1" applyAlignment="1" applyProtection="1">
      <alignment vertical="center"/>
      <protection locked="0"/>
    </xf>
    <xf numFmtId="0" fontId="44" fillId="0" borderId="0" xfId="0" quotePrefix="1" applyFont="1" applyAlignment="1">
      <alignment horizontal="center"/>
    </xf>
    <xf numFmtId="166" fontId="0" fillId="0" borderId="0" xfId="0" applyNumberFormat="1" applyAlignment="1">
      <alignment horizontal="center"/>
    </xf>
    <xf numFmtId="10" fontId="28" fillId="23" borderId="17" xfId="0" applyNumberFormat="1" applyFont="1" applyFill="1" applyBorder="1" applyAlignment="1" applyProtection="1">
      <alignment vertical="center"/>
      <protection locked="0"/>
    </xf>
    <xf numFmtId="0" fontId="97" fillId="28" borderId="17" xfId="0" applyFont="1" applyFill="1" applyBorder="1" applyAlignment="1">
      <alignment horizontal="center" vertical="center" wrapText="1" readingOrder="1"/>
    </xf>
    <xf numFmtId="43" fontId="81" fillId="0" borderId="17" xfId="93" applyFont="1" applyBorder="1"/>
    <xf numFmtId="43" fontId="97" fillId="28" borderId="17" xfId="93" applyFont="1" applyFill="1" applyBorder="1" applyAlignment="1">
      <alignment horizontal="right" vertical="top" wrapText="1" readingOrder="1"/>
    </xf>
    <xf numFmtId="166" fontId="0" fillId="0" borderId="0" xfId="0" applyNumberFormat="1" applyAlignment="1">
      <alignment horizontal="left"/>
    </xf>
    <xf numFmtId="171" fontId="54" fillId="2" borderId="34" xfId="77" applyNumberFormat="1" applyFont="1" applyFill="1" applyBorder="1" applyAlignment="1">
      <alignment horizontal="center" vertical="center"/>
    </xf>
    <xf numFmtId="171" fontId="70" fillId="2" borderId="75" xfId="77" applyNumberFormat="1" applyFont="1" applyFill="1" applyBorder="1" applyAlignment="1">
      <alignment horizontal="center" vertical="center"/>
    </xf>
    <xf numFmtId="178" fontId="54" fillId="2" borderId="3" xfId="77" applyNumberFormat="1" applyFont="1" applyFill="1" applyBorder="1" applyAlignment="1">
      <alignment horizontal="center" vertical="center"/>
    </xf>
    <xf numFmtId="178" fontId="54" fillId="2" borderId="4" xfId="77" applyNumberFormat="1" applyFont="1" applyFill="1" applyBorder="1" applyAlignment="1">
      <alignment horizontal="center" vertical="center"/>
    </xf>
    <xf numFmtId="178" fontId="54" fillId="2" borderId="15" xfId="77" applyNumberFormat="1" applyFont="1" applyFill="1" applyBorder="1" applyAlignment="1">
      <alignment horizontal="center" vertical="center"/>
    </xf>
    <xf numFmtId="178" fontId="54" fillId="2" borderId="16" xfId="77" applyNumberFormat="1" applyFont="1" applyFill="1" applyBorder="1" applyAlignment="1">
      <alignment horizontal="center" vertical="center"/>
    </xf>
    <xf numFmtId="4" fontId="102" fillId="0" borderId="8" xfId="0" applyNumberFormat="1" applyFont="1" applyBorder="1" applyAlignment="1">
      <alignment horizontal="right" vertical="center"/>
    </xf>
    <xf numFmtId="0" fontId="28" fillId="28" borderId="8" xfId="0" applyFont="1" applyFill="1" applyBorder="1" applyAlignment="1">
      <alignment horizontal="left" vertical="top" wrapText="1" readingOrder="1"/>
    </xf>
    <xf numFmtId="0" fontId="167" fillId="28" borderId="24" xfId="0" applyFont="1" applyFill="1" applyBorder="1" applyAlignment="1">
      <alignment horizontal="left" vertical="top" wrapText="1" readingOrder="1"/>
    </xf>
    <xf numFmtId="0" fontId="46" fillId="28" borderId="8" xfId="0" applyFont="1" applyFill="1" applyBorder="1" applyAlignment="1">
      <alignment horizontal="left" vertical="top" wrapText="1" readingOrder="1"/>
    </xf>
    <xf numFmtId="2" fontId="46" fillId="0" borderId="8" xfId="0" applyNumberFormat="1" applyFont="1" applyBorder="1"/>
    <xf numFmtId="0" fontId="174" fillId="0" borderId="0" xfId="0" applyFont="1" applyAlignment="1">
      <alignment vertical="top"/>
    </xf>
    <xf numFmtId="43" fontId="81" fillId="2" borderId="17" xfId="93" applyFont="1" applyFill="1" applyBorder="1"/>
    <xf numFmtId="43" fontId="81" fillId="2" borderId="8" xfId="93" applyFont="1" applyFill="1" applyBorder="1"/>
    <xf numFmtId="43" fontId="81" fillId="2" borderId="24" xfId="93" applyFont="1" applyFill="1" applyBorder="1"/>
    <xf numFmtId="43" fontId="97" fillId="2" borderId="17" xfId="93" applyFont="1" applyFill="1" applyBorder="1" applyAlignment="1">
      <alignment horizontal="right" vertical="top" wrapText="1" readingOrder="1"/>
    </xf>
    <xf numFmtId="4" fontId="81" fillId="0" borderId="0" xfId="0" applyNumberFormat="1" applyFont="1"/>
    <xf numFmtId="2" fontId="47" fillId="0" borderId="25" xfId="0" applyNumberFormat="1" applyFont="1" applyBorder="1" applyAlignment="1">
      <alignment horizontal="right"/>
    </xf>
    <xf numFmtId="4" fontId="48" fillId="2" borderId="21" xfId="0" applyNumberFormat="1" applyFont="1" applyFill="1" applyBorder="1" applyAlignment="1">
      <alignment horizontal="right" vertical="center"/>
    </xf>
    <xf numFmtId="0" fontId="68" fillId="2" borderId="0" xfId="0" applyFont="1" applyFill="1" applyAlignment="1">
      <alignment horizontal="center" vertical="center"/>
    </xf>
    <xf numFmtId="0" fontId="161" fillId="2" borderId="0" xfId="0" applyFont="1" applyFill="1" applyAlignment="1">
      <alignment horizontal="center" vertical="center"/>
    </xf>
    <xf numFmtId="171" fontId="23" fillId="2" borderId="0" xfId="77" applyNumberFormat="1" applyFont="1" applyFill="1" applyAlignment="1">
      <alignment horizontal="center" vertical="center"/>
    </xf>
    <xf numFmtId="171" fontId="27" fillId="2" borderId="0" xfId="77" applyNumberFormat="1" applyFont="1" applyFill="1" applyAlignment="1">
      <alignment horizontal="center" vertical="center"/>
    </xf>
    <xf numFmtId="0" fontId="2" fillId="2" borderId="0" xfId="77" applyFill="1" applyAlignment="1">
      <alignment horizontal="center" vertical="center"/>
    </xf>
    <xf numFmtId="0" fontId="26" fillId="2" borderId="0" xfId="77" applyFont="1" applyFill="1" applyAlignment="1">
      <alignment horizontal="center" vertical="center"/>
    </xf>
    <xf numFmtId="0" fontId="48" fillId="2" borderId="0" xfId="77" applyFont="1" applyFill="1" applyAlignment="1">
      <alignment horizontal="center" vertical="center"/>
    </xf>
    <xf numFmtId="0" fontId="22" fillId="2" borderId="0" xfId="77" applyFont="1" applyFill="1" applyAlignment="1">
      <alignment horizontal="center" vertical="center"/>
    </xf>
    <xf numFmtId="0" fontId="48" fillId="2" borderId="50" xfId="0" applyFont="1" applyFill="1" applyBorder="1" applyAlignment="1">
      <alignment horizontal="center" vertical="center"/>
    </xf>
    <xf numFmtId="0" fontId="48" fillId="2" borderId="51" xfId="0" applyFont="1" applyFill="1" applyBorder="1" applyAlignment="1">
      <alignment horizontal="center" vertical="center"/>
    </xf>
    <xf numFmtId="0" fontId="46" fillId="2" borderId="0" xfId="77" applyFont="1" applyFill="1"/>
    <xf numFmtId="0" fontId="46" fillId="2" borderId="51" xfId="77" applyFont="1" applyFill="1" applyBorder="1"/>
    <xf numFmtId="0" fontId="46" fillId="2" borderId="0" xfId="77" applyFont="1" applyFill="1" applyAlignment="1">
      <alignment horizontal="center" vertical="center"/>
    </xf>
    <xf numFmtId="0" fontId="46" fillId="2" borderId="51" xfId="77" applyFont="1" applyFill="1" applyBorder="1" applyAlignment="1">
      <alignment horizontal="center" vertical="center"/>
    </xf>
    <xf numFmtId="188" fontId="81" fillId="0" borderId="0" xfId="0" applyNumberFormat="1" applyFont="1"/>
    <xf numFmtId="4" fontId="81" fillId="9" borderId="8" xfId="0" applyNumberFormat="1" applyFont="1" applyFill="1" applyBorder="1" applyAlignment="1" applyProtection="1">
      <alignment horizontal="center" vertical="center"/>
      <protection locked="0"/>
    </xf>
    <xf numFmtId="10" fontId="102" fillId="2" borderId="8" xfId="0" applyNumberFormat="1" applyFont="1" applyFill="1" applyBorder="1" applyAlignment="1" applyProtection="1">
      <alignment horizontal="center" vertical="center"/>
      <protection locked="0"/>
    </xf>
    <xf numFmtId="4" fontId="46" fillId="23" borderId="8" xfId="0" applyNumberFormat="1" applyFont="1" applyFill="1" applyBorder="1" applyAlignment="1" applyProtection="1">
      <alignment horizontal="center" vertical="center"/>
      <protection locked="0"/>
    </xf>
    <xf numFmtId="0" fontId="175" fillId="2" borderId="0" xfId="0" applyFont="1" applyFill="1" applyAlignment="1">
      <alignment horizontal="left" vertical="center"/>
    </xf>
    <xf numFmtId="0" fontId="176" fillId="2" borderId="0" xfId="0" applyFont="1" applyFill="1" applyAlignment="1">
      <alignment vertical="center"/>
    </xf>
    <xf numFmtId="0" fontId="46" fillId="23" borderId="26" xfId="74" applyFont="1" applyFill="1" applyBorder="1" applyAlignment="1">
      <alignment vertical="center"/>
    </xf>
    <xf numFmtId="4" fontId="46" fillId="23" borderId="8" xfId="0" applyNumberFormat="1" applyFont="1" applyFill="1" applyBorder="1" applyAlignment="1" applyProtection="1">
      <alignment horizontal="right" vertical="center"/>
      <protection locked="0"/>
    </xf>
    <xf numFmtId="2" fontId="97" fillId="24" borderId="8" xfId="0" applyNumberFormat="1" applyFont="1" applyFill="1" applyBorder="1" applyAlignment="1">
      <alignment horizontal="center" vertical="center"/>
    </xf>
    <xf numFmtId="0" fontId="25" fillId="31" borderId="8" xfId="0" applyFont="1" applyFill="1" applyBorder="1" applyAlignment="1">
      <alignment horizontal="left" vertical="center"/>
    </xf>
    <xf numFmtId="0" fontId="150" fillId="2" borderId="0" xfId="0" applyFont="1" applyFill="1" applyAlignment="1">
      <alignment horizontal="center" vertical="center"/>
    </xf>
    <xf numFmtId="4" fontId="94" fillId="0" borderId="0" xfId="0" applyNumberFormat="1" applyFont="1" applyAlignment="1">
      <alignment horizontal="center" vertical="center"/>
    </xf>
    <xf numFmtId="4" fontId="92" fillId="0" borderId="0" xfId="0" applyNumberFormat="1" applyFont="1" applyAlignment="1">
      <alignment horizontal="center"/>
    </xf>
    <xf numFmtId="10" fontId="92" fillId="0" borderId="0" xfId="0" applyNumberFormat="1" applyFont="1" applyAlignment="1">
      <alignment horizontal="center"/>
    </xf>
    <xf numFmtId="4" fontId="97" fillId="24" borderId="24" xfId="0" applyNumberFormat="1" applyFont="1" applyFill="1" applyBorder="1" applyAlignment="1" applyProtection="1">
      <alignment vertical="center"/>
      <protection locked="0"/>
    </xf>
    <xf numFmtId="2" fontId="146" fillId="2" borderId="48" xfId="0" applyNumberFormat="1" applyFont="1" applyFill="1" applyBorder="1" applyAlignment="1" applyProtection="1">
      <alignment horizontal="center" vertical="center" wrapText="1"/>
      <protection locked="0"/>
    </xf>
    <xf numFmtId="0" fontId="60" fillId="29" borderId="44" xfId="0" applyFont="1" applyFill="1" applyBorder="1"/>
    <xf numFmtId="0" fontId="6" fillId="29" borderId="64" xfId="0" applyFont="1" applyFill="1" applyBorder="1" applyAlignment="1">
      <alignment horizontal="left" vertical="center"/>
    </xf>
    <xf numFmtId="4" fontId="6" fillId="29" borderId="64" xfId="0" applyNumberFormat="1" applyFont="1" applyFill="1" applyBorder="1" applyAlignment="1" applyProtection="1">
      <alignment vertical="center"/>
      <protection locked="0"/>
    </xf>
    <xf numFmtId="4" fontId="6" fillId="29" borderId="42" xfId="0" applyNumberFormat="1" applyFont="1" applyFill="1" applyBorder="1" applyAlignment="1" applyProtection="1">
      <alignment vertical="center"/>
      <protection locked="0"/>
    </xf>
    <xf numFmtId="10" fontId="6" fillId="29" borderId="66" xfId="0" applyNumberFormat="1" applyFont="1" applyFill="1" applyBorder="1" applyAlignment="1">
      <alignment horizontal="center" vertical="center"/>
    </xf>
    <xf numFmtId="4" fontId="6" fillId="29" borderId="61" xfId="0" applyNumberFormat="1" applyFont="1" applyFill="1" applyBorder="1" applyAlignment="1" applyProtection="1">
      <alignment vertical="center"/>
      <protection locked="0"/>
    </xf>
    <xf numFmtId="10" fontId="6" fillId="29" borderId="66" xfId="0" applyNumberFormat="1" applyFont="1" applyFill="1" applyBorder="1" applyAlignment="1">
      <alignment horizontal="right" vertical="center"/>
    </xf>
    <xf numFmtId="2" fontId="146" fillId="2" borderId="43" xfId="0" applyNumberFormat="1" applyFont="1" applyFill="1" applyBorder="1" applyAlignment="1" applyProtection="1">
      <alignment horizontal="center" vertical="center" wrapText="1"/>
      <protection locked="0"/>
    </xf>
    <xf numFmtId="10" fontId="146" fillId="26" borderId="37" xfId="0" applyNumberFormat="1" applyFont="1" applyFill="1" applyBorder="1" applyAlignment="1">
      <alignment horizontal="center" vertical="center"/>
    </xf>
    <xf numFmtId="4" fontId="146" fillId="2" borderId="35" xfId="0" applyNumberFormat="1" applyFont="1" applyFill="1" applyBorder="1" applyAlignment="1" applyProtection="1">
      <alignment vertical="center"/>
      <protection locked="0"/>
    </xf>
    <xf numFmtId="10" fontId="146" fillId="2" borderId="37" xfId="0" applyNumberFormat="1" applyFont="1" applyFill="1" applyBorder="1" applyAlignment="1" applyProtection="1">
      <alignment vertical="center"/>
      <protection locked="0"/>
    </xf>
    <xf numFmtId="10" fontId="146" fillId="2" borderId="13" xfId="0" applyNumberFormat="1" applyFont="1" applyFill="1" applyBorder="1" applyAlignment="1" applyProtection="1">
      <alignment vertical="center"/>
      <protection locked="0"/>
    </xf>
    <xf numFmtId="171" fontId="6" fillId="2" borderId="35" xfId="75" applyFont="1" applyFill="1" applyBorder="1" applyAlignment="1">
      <alignment vertical="center"/>
    </xf>
    <xf numFmtId="4" fontId="146" fillId="26" borderId="86" xfId="0" applyNumberFormat="1" applyFont="1" applyFill="1" applyBorder="1" applyAlignment="1" applyProtection="1">
      <alignment vertical="center"/>
      <protection locked="0"/>
    </xf>
    <xf numFmtId="4" fontId="146" fillId="26" borderId="87" xfId="0" applyNumberFormat="1" applyFont="1" applyFill="1" applyBorder="1" applyAlignment="1" applyProtection="1">
      <alignment vertical="center"/>
      <protection locked="0"/>
    </xf>
    <xf numFmtId="4" fontId="146" fillId="2" borderId="12" xfId="0" applyNumberFormat="1" applyFont="1" applyFill="1" applyBorder="1" applyAlignment="1" applyProtection="1">
      <alignment vertical="center"/>
      <protection locked="0"/>
    </xf>
    <xf numFmtId="0" fontId="146" fillId="2" borderId="25" xfId="0" applyFont="1" applyFill="1" applyBorder="1" applyAlignment="1" applyProtection="1">
      <alignment horizontal="right" vertical="center" wrapText="1"/>
      <protection locked="0"/>
    </xf>
    <xf numFmtId="4" fontId="6" fillId="2" borderId="12" xfId="0" applyNumberFormat="1" applyFont="1" applyFill="1" applyBorder="1" applyAlignment="1" applyProtection="1">
      <alignment vertical="center"/>
      <protection locked="0"/>
    </xf>
    <xf numFmtId="0" fontId="6" fillId="10" borderId="6" xfId="74" applyFont="1" applyFill="1" applyBorder="1" applyAlignment="1">
      <alignment vertical="center"/>
    </xf>
    <xf numFmtId="0" fontId="6" fillId="10" borderId="6" xfId="74" applyFont="1" applyFill="1" applyBorder="1" applyAlignment="1">
      <alignment horizontal="center" vertical="center"/>
    </xf>
    <xf numFmtId="0" fontId="6" fillId="10" borderId="56" xfId="74" applyFont="1" applyFill="1" applyBorder="1" applyAlignment="1">
      <alignment horizontal="center" vertical="center"/>
    </xf>
    <xf numFmtId="0" fontId="6" fillId="10" borderId="83" xfId="74" applyFont="1" applyFill="1" applyBorder="1" applyAlignment="1">
      <alignment horizontal="center" vertical="center"/>
    </xf>
    <xf numFmtId="0" fontId="6" fillId="10" borderId="90" xfId="74" applyFont="1" applyFill="1" applyBorder="1" applyAlignment="1">
      <alignment horizontal="center" vertical="center"/>
    </xf>
    <xf numFmtId="10" fontId="146" fillId="2" borderId="25" xfId="0" applyNumberFormat="1" applyFont="1" applyFill="1" applyBorder="1" applyAlignment="1" applyProtection="1">
      <alignment vertical="center"/>
      <protection locked="0"/>
    </xf>
    <xf numFmtId="10" fontId="146" fillId="2" borderId="129" xfId="0" applyNumberFormat="1" applyFont="1" applyFill="1" applyBorder="1" applyAlignment="1" applyProtection="1">
      <alignment vertical="center"/>
      <protection locked="0"/>
    </xf>
    <xf numFmtId="10" fontId="6" fillId="29" borderId="13" xfId="0" applyNumberFormat="1" applyFont="1" applyFill="1" applyBorder="1" applyAlignment="1">
      <alignment horizontal="right" vertical="center"/>
    </xf>
    <xf numFmtId="0" fontId="6" fillId="10" borderId="19" xfId="74" applyFont="1" applyFill="1" applyBorder="1" applyAlignment="1">
      <alignment horizontal="center" vertical="center"/>
    </xf>
    <xf numFmtId="0" fontId="6" fillId="10" borderId="16" xfId="74" applyFont="1" applyFill="1" applyBorder="1" applyAlignment="1">
      <alignment horizontal="center" vertical="center"/>
    </xf>
    <xf numFmtId="0" fontId="6" fillId="10" borderId="14" xfId="74" applyFont="1" applyFill="1" applyBorder="1" applyAlignment="1">
      <alignment horizontal="center" vertical="center"/>
    </xf>
    <xf numFmtId="0" fontId="177" fillId="2" borderId="126" xfId="0" applyFont="1" applyFill="1" applyBorder="1" applyAlignment="1" applyProtection="1">
      <alignment vertical="center" wrapText="1"/>
      <protection locked="0"/>
    </xf>
    <xf numFmtId="0" fontId="177" fillId="2" borderId="29" xfId="0" applyFont="1" applyFill="1" applyBorder="1" applyAlignment="1" applyProtection="1">
      <alignment vertical="center" wrapText="1"/>
      <protection locked="0"/>
    </xf>
    <xf numFmtId="0" fontId="151" fillId="2" borderId="0" xfId="0" applyFont="1" applyFill="1" applyAlignment="1">
      <alignment horizontal="center" vertical="center"/>
    </xf>
    <xf numFmtId="0" fontId="90" fillId="0" borderId="46" xfId="0" applyFont="1" applyBorder="1" applyAlignment="1">
      <alignment vertical="center"/>
    </xf>
    <xf numFmtId="0" fontId="102" fillId="0" borderId="0" xfId="0" applyFont="1" applyAlignment="1">
      <alignment horizontal="center" vertical="center"/>
    </xf>
    <xf numFmtId="0" fontId="126" fillId="0" borderId="8" xfId="0" applyFont="1" applyBorder="1" applyAlignment="1" applyProtection="1">
      <alignment horizontal="center" vertical="center"/>
      <protection locked="0"/>
    </xf>
    <xf numFmtId="0" fontId="168" fillId="28" borderId="8" xfId="0" applyFont="1" applyFill="1" applyBorder="1" applyAlignment="1">
      <alignment horizontal="center" vertical="top" wrapText="1" readingOrder="1"/>
    </xf>
    <xf numFmtId="0" fontId="167" fillId="28" borderId="8" xfId="0" applyFont="1" applyFill="1" applyBorder="1" applyAlignment="1">
      <alignment horizontal="center" vertical="top" wrapText="1" readingOrder="1"/>
    </xf>
    <xf numFmtId="0" fontId="28" fillId="23" borderId="41" xfId="0" applyFont="1" applyFill="1" applyBorder="1" applyAlignment="1">
      <alignment horizontal="center" vertical="center"/>
    </xf>
    <xf numFmtId="0" fontId="28" fillId="23" borderId="26" xfId="0" applyFont="1" applyFill="1" applyBorder="1" applyAlignment="1">
      <alignment horizontal="center" vertical="center"/>
    </xf>
    <xf numFmtId="0" fontId="81" fillId="0" borderId="0" xfId="0" applyFont="1" applyAlignment="1">
      <alignment horizontal="center"/>
    </xf>
    <xf numFmtId="0" fontId="6" fillId="2" borderId="86" xfId="0" applyFont="1" applyFill="1" applyBorder="1" applyAlignment="1">
      <alignment horizontal="left" vertical="center"/>
    </xf>
    <xf numFmtId="0" fontId="146" fillId="2" borderId="87" xfId="0" applyFont="1" applyFill="1" applyBorder="1" applyAlignment="1" applyProtection="1">
      <alignment vertical="center" wrapText="1"/>
      <protection locked="0"/>
    </xf>
    <xf numFmtId="0" fontId="6" fillId="2" borderId="87" xfId="0" applyFont="1" applyFill="1" applyBorder="1" applyAlignment="1" applyProtection="1">
      <alignment vertical="center" wrapText="1"/>
      <protection locked="0"/>
    </xf>
    <xf numFmtId="0" fontId="6" fillId="2" borderId="86" xfId="0" applyFont="1" applyFill="1" applyBorder="1" applyAlignment="1">
      <alignment horizontal="center" vertical="center" wrapText="1"/>
    </xf>
    <xf numFmtId="188" fontId="146" fillId="26" borderId="87" xfId="0" applyNumberFormat="1" applyFont="1" applyFill="1" applyBorder="1" applyAlignment="1" applyProtection="1">
      <alignment vertical="center"/>
      <protection locked="0"/>
    </xf>
    <xf numFmtId="0" fontId="178" fillId="28" borderId="130" xfId="0" applyFont="1" applyFill="1" applyBorder="1" applyAlignment="1">
      <alignment horizontal="left" vertical="center" wrapText="1" readingOrder="1"/>
    </xf>
    <xf numFmtId="0" fontId="179" fillId="28" borderId="130" xfId="0" applyFont="1" applyFill="1" applyBorder="1" applyAlignment="1">
      <alignment vertical="center" wrapText="1" readingOrder="1"/>
    </xf>
    <xf numFmtId="0" fontId="146" fillId="0" borderId="130" xfId="0" applyFont="1" applyBorder="1" applyAlignment="1">
      <alignment horizontal="center" vertical="center"/>
    </xf>
    <xf numFmtId="0" fontId="181" fillId="28" borderId="130" xfId="0" applyFont="1" applyFill="1" applyBorder="1" applyAlignment="1">
      <alignment horizontal="left" vertical="top" wrapText="1" readingOrder="1"/>
    </xf>
    <xf numFmtId="0" fontId="181" fillId="28" borderId="130" xfId="0" applyFont="1" applyFill="1" applyBorder="1" applyAlignment="1">
      <alignment vertical="top" wrapText="1" readingOrder="1"/>
    </xf>
    <xf numFmtId="0" fontId="182" fillId="28" borderId="130" xfId="0" applyFont="1" applyFill="1" applyBorder="1" applyAlignment="1">
      <alignment horizontal="left" vertical="top" wrapText="1" readingOrder="1"/>
    </xf>
    <xf numFmtId="0" fontId="183" fillId="28" borderId="130" xfId="0" applyFont="1" applyFill="1" applyBorder="1" applyAlignment="1">
      <alignment vertical="top" wrapText="1" readingOrder="1"/>
    </xf>
    <xf numFmtId="0" fontId="182" fillId="28" borderId="130" xfId="0" applyFont="1" applyFill="1" applyBorder="1" applyAlignment="1">
      <alignment vertical="top" wrapText="1" readingOrder="1"/>
    </xf>
    <xf numFmtId="0" fontId="182" fillId="28" borderId="130" xfId="0" applyFont="1" applyFill="1" applyBorder="1" applyAlignment="1">
      <alignment horizontal="center" vertical="top" wrapText="1" readingOrder="1"/>
    </xf>
    <xf numFmtId="0" fontId="182" fillId="2" borderId="130" xfId="0" applyFont="1" applyFill="1" applyBorder="1" applyAlignment="1">
      <alignment horizontal="left" vertical="top" wrapText="1" readingOrder="1"/>
    </xf>
    <xf numFmtId="0" fontId="182" fillId="2" borderId="130" xfId="0" applyFont="1" applyFill="1" applyBorder="1" applyAlignment="1">
      <alignment vertical="top" wrapText="1" readingOrder="1"/>
    </xf>
    <xf numFmtId="0" fontId="182" fillId="2" borderId="130" xfId="0" applyFont="1" applyFill="1" applyBorder="1" applyAlignment="1">
      <alignment horizontal="center" vertical="top" wrapText="1" readingOrder="1"/>
    </xf>
    <xf numFmtId="0" fontId="183" fillId="28" borderId="130" xfId="0" applyFont="1" applyFill="1" applyBorder="1" applyAlignment="1">
      <alignment horizontal="left" vertical="top" wrapText="1" readingOrder="1"/>
    </xf>
    <xf numFmtId="0" fontId="184" fillId="28" borderId="130" xfId="0" applyFont="1" applyFill="1" applyBorder="1" applyAlignment="1">
      <alignment horizontal="left" vertical="top" wrapText="1" readingOrder="1"/>
    </xf>
    <xf numFmtId="0" fontId="178" fillId="28" borderId="130" xfId="0" applyFont="1" applyFill="1" applyBorder="1" applyAlignment="1">
      <alignment horizontal="left" vertical="top" wrapText="1" readingOrder="1"/>
    </xf>
    <xf numFmtId="0" fontId="179" fillId="28" borderId="130" xfId="0" applyFont="1" applyFill="1" applyBorder="1" applyAlignment="1">
      <alignment vertical="top" wrapText="1" readingOrder="1"/>
    </xf>
    <xf numFmtId="0" fontId="185" fillId="28" borderId="130" xfId="0" applyFont="1" applyFill="1" applyBorder="1" applyAlignment="1">
      <alignment horizontal="left" vertical="top" wrapText="1" readingOrder="1"/>
    </xf>
    <xf numFmtId="0" fontId="146" fillId="28" borderId="130" xfId="0" applyFont="1" applyFill="1" applyBorder="1" applyAlignment="1">
      <alignment horizontal="left" vertical="top" wrapText="1" readingOrder="1"/>
    </xf>
    <xf numFmtId="0" fontId="146" fillId="28" borderId="130" xfId="0" applyFont="1" applyFill="1" applyBorder="1" applyAlignment="1">
      <alignment vertical="top" wrapText="1" readingOrder="1"/>
    </xf>
    <xf numFmtId="0" fontId="146" fillId="28" borderId="130" xfId="0" applyFont="1" applyFill="1" applyBorder="1" applyAlignment="1">
      <alignment horizontal="center" vertical="top" wrapText="1" readingOrder="1"/>
    </xf>
    <xf numFmtId="0" fontId="178" fillId="28" borderId="131" xfId="0" applyFont="1" applyFill="1" applyBorder="1" applyAlignment="1">
      <alignment horizontal="left" vertical="top" wrapText="1" readingOrder="1"/>
    </xf>
    <xf numFmtId="0" fontId="179" fillId="28" borderId="131" xfId="0" applyFont="1" applyFill="1" applyBorder="1" applyAlignment="1">
      <alignment vertical="top" wrapText="1" readingOrder="1"/>
    </xf>
    <xf numFmtId="0" fontId="185" fillId="28" borderId="131" xfId="0" applyFont="1" applyFill="1" applyBorder="1" applyAlignment="1">
      <alignment horizontal="left" vertical="top" wrapText="1" readingOrder="1"/>
    </xf>
    <xf numFmtId="0" fontId="184" fillId="28" borderId="130" xfId="0" applyFont="1" applyFill="1" applyBorder="1" applyAlignment="1">
      <alignment vertical="top" wrapText="1" readingOrder="1"/>
    </xf>
    <xf numFmtId="0" fontId="182" fillId="0" borderId="130" xfId="0" applyFont="1" applyBorder="1" applyAlignment="1">
      <alignment vertical="top" wrapText="1" readingOrder="1"/>
    </xf>
    <xf numFmtId="4" fontId="28" fillId="23" borderId="62" xfId="0" applyNumberFormat="1" applyFont="1" applyFill="1" applyBorder="1" applyAlignment="1" applyProtection="1">
      <alignment vertical="center"/>
      <protection locked="0"/>
    </xf>
    <xf numFmtId="4" fontId="99" fillId="23" borderId="62" xfId="0" applyNumberFormat="1" applyFont="1" applyFill="1" applyBorder="1" applyAlignment="1" applyProtection="1">
      <alignment horizontal="right" vertical="center"/>
      <protection locked="0"/>
    </xf>
    <xf numFmtId="10" fontId="99" fillId="23" borderId="62" xfId="0" applyNumberFormat="1" applyFont="1" applyFill="1" applyBorder="1" applyAlignment="1">
      <alignment horizontal="right" vertical="center"/>
    </xf>
    <xf numFmtId="4" fontId="28" fillId="23" borderId="62" xfId="0" applyNumberFormat="1" applyFont="1" applyFill="1" applyBorder="1" applyAlignment="1" applyProtection="1">
      <alignment horizontal="right" vertical="center"/>
      <protection locked="0"/>
    </xf>
    <xf numFmtId="4" fontId="99" fillId="23" borderId="62" xfId="0" applyNumberFormat="1" applyFont="1" applyFill="1" applyBorder="1" applyAlignment="1">
      <alignment horizontal="right" vertical="center"/>
    </xf>
    <xf numFmtId="10" fontId="99" fillId="23" borderId="66" xfId="0" applyNumberFormat="1" applyFont="1" applyFill="1" applyBorder="1" applyAlignment="1">
      <alignment horizontal="right" vertical="center"/>
    </xf>
    <xf numFmtId="0" fontId="178" fillId="28" borderId="8" xfId="0" applyFont="1" applyFill="1" applyBorder="1" applyAlignment="1">
      <alignment horizontal="left" vertical="center" wrapText="1" readingOrder="1"/>
    </xf>
    <xf numFmtId="0" fontId="179" fillId="28" borderId="8" xfId="0" applyFont="1" applyFill="1" applyBorder="1" applyAlignment="1">
      <alignment vertical="center" wrapText="1" readingOrder="1"/>
    </xf>
    <xf numFmtId="0" fontId="146" fillId="0" borderId="8" xfId="0" applyFont="1" applyBorder="1" applyAlignment="1">
      <alignment horizontal="center" vertical="center"/>
    </xf>
    <xf numFmtId="43" fontId="146" fillId="0" borderId="8" xfId="93" applyFont="1" applyBorder="1" applyAlignment="1">
      <alignment horizontal="center" vertical="center"/>
    </xf>
    <xf numFmtId="4" fontId="146" fillId="0" borderId="8" xfId="0" applyNumberFormat="1" applyFont="1" applyBorder="1" applyAlignment="1">
      <alignment vertical="center"/>
    </xf>
    <xf numFmtId="4" fontId="180" fillId="2" borderId="8" xfId="0" applyNumberFormat="1" applyFont="1" applyFill="1" applyBorder="1" applyAlignment="1">
      <alignment vertical="center"/>
    </xf>
    <xf numFmtId="0" fontId="181" fillId="28" borderId="8" xfId="0" applyFont="1" applyFill="1" applyBorder="1" applyAlignment="1">
      <alignment horizontal="left" vertical="top" wrapText="1" readingOrder="1"/>
    </xf>
    <xf numFmtId="0" fontId="181" fillId="28" borderId="8" xfId="0" applyFont="1" applyFill="1" applyBorder="1" applyAlignment="1">
      <alignment vertical="top" wrapText="1" readingOrder="1"/>
    </xf>
    <xf numFmtId="43" fontId="180" fillId="0" borderId="8" xfId="0" applyNumberFormat="1" applyFont="1" applyBorder="1" applyAlignment="1">
      <alignment vertical="center"/>
    </xf>
    <xf numFmtId="0" fontId="182" fillId="28" borderId="8" xfId="0" applyFont="1" applyFill="1" applyBorder="1" applyAlignment="1">
      <alignment horizontal="left" vertical="top" wrapText="1" readingOrder="1"/>
    </xf>
    <xf numFmtId="0" fontId="183" fillId="28" borderId="8" xfId="0" applyFont="1" applyFill="1" applyBorder="1" applyAlignment="1">
      <alignment vertical="top" wrapText="1" readingOrder="1"/>
    </xf>
    <xf numFmtId="0" fontId="182" fillId="28" borderId="8" xfId="0" applyFont="1" applyFill="1" applyBorder="1" applyAlignment="1">
      <alignment vertical="top" wrapText="1" readingOrder="1"/>
    </xf>
    <xf numFmtId="0" fontId="182" fillId="28" borderId="8" xfId="0" applyFont="1" applyFill="1" applyBorder="1" applyAlignment="1">
      <alignment horizontal="center" vertical="top" wrapText="1" readingOrder="1"/>
    </xf>
    <xf numFmtId="0" fontId="182" fillId="28" borderId="8" xfId="0" applyFont="1" applyFill="1" applyBorder="1" applyAlignment="1">
      <alignment horizontal="right" vertical="top" wrapText="1" readingOrder="1"/>
    </xf>
    <xf numFmtId="4" fontId="146" fillId="2" borderId="8" xfId="0" applyNumberFormat="1" applyFont="1" applyFill="1" applyBorder="1" applyAlignment="1">
      <alignment vertical="center"/>
    </xf>
    <xf numFmtId="0" fontId="182" fillId="2" borderId="8" xfId="0" applyFont="1" applyFill="1" applyBorder="1" applyAlignment="1">
      <alignment horizontal="left" vertical="top" wrapText="1" readingOrder="1"/>
    </xf>
    <xf numFmtId="0" fontId="182" fillId="2" borderId="8" xfId="0" applyFont="1" applyFill="1" applyBorder="1" applyAlignment="1">
      <alignment vertical="top" wrapText="1" readingOrder="1"/>
    </xf>
    <xf numFmtId="0" fontId="182" fillId="2" borderId="8" xfId="0" applyFont="1" applyFill="1" applyBorder="1" applyAlignment="1">
      <alignment horizontal="center" vertical="top" wrapText="1" readingOrder="1"/>
    </xf>
    <xf numFmtId="43" fontId="146" fillId="2" borderId="8" xfId="93" applyFont="1" applyFill="1" applyBorder="1" applyAlignment="1">
      <alignment horizontal="center" vertical="center"/>
    </xf>
    <xf numFmtId="0" fontId="182" fillId="2" borderId="8" xfId="0" applyFont="1" applyFill="1" applyBorder="1" applyAlignment="1">
      <alignment horizontal="right" vertical="top" wrapText="1" readingOrder="1"/>
    </xf>
    <xf numFmtId="0" fontId="183" fillId="28" borderId="8" xfId="0" applyFont="1" applyFill="1" applyBorder="1" applyAlignment="1">
      <alignment horizontal="left" vertical="top" wrapText="1" readingOrder="1"/>
    </xf>
    <xf numFmtId="0" fontId="184" fillId="28" borderId="8" xfId="0" applyFont="1" applyFill="1" applyBorder="1" applyAlignment="1">
      <alignment horizontal="left" vertical="top" wrapText="1" readingOrder="1"/>
    </xf>
    <xf numFmtId="0" fontId="184" fillId="28" borderId="8" xfId="0" applyFont="1" applyFill="1" applyBorder="1" applyAlignment="1">
      <alignment horizontal="right" vertical="top" wrapText="1" readingOrder="1"/>
    </xf>
    <xf numFmtId="43" fontId="53" fillId="0" borderId="8" xfId="93" applyFont="1" applyBorder="1" applyAlignment="1">
      <alignment horizontal="center" vertical="center"/>
    </xf>
    <xf numFmtId="0" fontId="178" fillId="28" borderId="8" xfId="0" applyFont="1" applyFill="1" applyBorder="1" applyAlignment="1">
      <alignment horizontal="left" vertical="top" wrapText="1" readingOrder="1"/>
    </xf>
    <xf numFmtId="0" fontId="179" fillId="28" borderId="8" xfId="0" applyFont="1" applyFill="1" applyBorder="1" applyAlignment="1">
      <alignment vertical="top" wrapText="1" readingOrder="1"/>
    </xf>
    <xf numFmtId="0" fontId="185" fillId="28" borderId="8" xfId="0" applyFont="1" applyFill="1" applyBorder="1" applyAlignment="1">
      <alignment horizontal="left" vertical="top" wrapText="1" readingOrder="1"/>
    </xf>
    <xf numFmtId="0" fontId="183" fillId="2" borderId="8" xfId="0" applyFont="1" applyFill="1" applyBorder="1" applyAlignment="1">
      <alignment vertical="top" wrapText="1" readingOrder="1"/>
    </xf>
    <xf numFmtId="0" fontId="183" fillId="2" borderId="8" xfId="0" applyFont="1" applyFill="1" applyBorder="1" applyAlignment="1">
      <alignment horizontal="left" vertical="top" wrapText="1" readingOrder="1"/>
    </xf>
    <xf numFmtId="0" fontId="181" fillId="2" borderId="8" xfId="0" applyFont="1" applyFill="1" applyBorder="1" applyAlignment="1">
      <alignment horizontal="left" vertical="top" wrapText="1" readingOrder="1"/>
    </xf>
    <xf numFmtId="0" fontId="181" fillId="2" borderId="8" xfId="0" applyFont="1" applyFill="1" applyBorder="1" applyAlignment="1">
      <alignment vertical="top" wrapText="1" readingOrder="1"/>
    </xf>
    <xf numFmtId="0" fontId="184" fillId="2" borderId="8" xfId="0" applyFont="1" applyFill="1" applyBorder="1" applyAlignment="1">
      <alignment horizontal="left" vertical="top" wrapText="1" readingOrder="1"/>
    </xf>
    <xf numFmtId="0" fontId="184" fillId="2" borderId="8" xfId="0" applyFont="1" applyFill="1" applyBorder="1" applyAlignment="1">
      <alignment horizontal="right" vertical="top" wrapText="1" readingOrder="1"/>
    </xf>
    <xf numFmtId="0" fontId="146" fillId="2" borderId="8" xfId="0" applyFont="1" applyFill="1" applyBorder="1" applyAlignment="1">
      <alignment horizontal="left" vertical="top" wrapText="1" readingOrder="1"/>
    </xf>
    <xf numFmtId="0" fontId="146" fillId="2" borderId="8" xfId="0" applyFont="1" applyFill="1" applyBorder="1" applyAlignment="1">
      <alignment vertical="top" wrapText="1" readingOrder="1"/>
    </xf>
    <xf numFmtId="0" fontId="146" fillId="2" borderId="8" xfId="0" applyFont="1" applyFill="1" applyBorder="1" applyAlignment="1">
      <alignment horizontal="center" vertical="top" wrapText="1" readingOrder="1"/>
    </xf>
    <xf numFmtId="0" fontId="146" fillId="2" borderId="8" xfId="0" applyFont="1" applyFill="1" applyBorder="1" applyAlignment="1">
      <alignment horizontal="right" vertical="top" wrapText="1" readingOrder="1"/>
    </xf>
    <xf numFmtId="0" fontId="146" fillId="28" borderId="8" xfId="0" applyFont="1" applyFill="1" applyBorder="1" applyAlignment="1">
      <alignment horizontal="left" vertical="top" wrapText="1" readingOrder="1"/>
    </xf>
    <xf numFmtId="0" fontId="146" fillId="28" borderId="8" xfId="0" applyFont="1" applyFill="1" applyBorder="1" applyAlignment="1">
      <alignment vertical="top" wrapText="1" readingOrder="1"/>
    </xf>
    <xf numFmtId="0" fontId="146" fillId="28" borderId="8" xfId="0" applyFont="1" applyFill="1" applyBorder="1" applyAlignment="1">
      <alignment horizontal="center" vertical="top" wrapText="1" readingOrder="1"/>
    </xf>
    <xf numFmtId="0" fontId="146" fillId="28" borderId="8" xfId="0" applyFont="1" applyFill="1" applyBorder="1" applyAlignment="1">
      <alignment horizontal="right" vertical="top" wrapText="1" readingOrder="1"/>
    </xf>
    <xf numFmtId="0" fontId="182" fillId="28" borderId="8" xfId="0" applyFont="1" applyFill="1" applyBorder="1" applyAlignment="1">
      <alignment horizontal="left" vertical="top" wrapText="1" shrinkToFit="1" readingOrder="1"/>
    </xf>
    <xf numFmtId="0" fontId="182" fillId="28" borderId="8" xfId="0" applyFont="1" applyFill="1" applyBorder="1" applyAlignment="1">
      <alignment vertical="top" wrapText="1" shrinkToFit="1" readingOrder="1"/>
    </xf>
    <xf numFmtId="0" fontId="186" fillId="28" borderId="8" xfId="0" applyFont="1" applyFill="1" applyBorder="1" applyAlignment="1">
      <alignment horizontal="left" vertical="top" wrapText="1" shrinkToFit="1" readingOrder="1"/>
    </xf>
    <xf numFmtId="0" fontId="187" fillId="28" borderId="8" xfId="0" applyFont="1" applyFill="1" applyBorder="1" applyAlignment="1">
      <alignment vertical="top" wrapText="1" shrinkToFit="1" readingOrder="1"/>
    </xf>
    <xf numFmtId="0" fontId="188" fillId="28" borderId="8" xfId="0" applyFont="1" applyFill="1" applyBorder="1" applyAlignment="1">
      <alignment horizontal="left" vertical="top" wrapText="1" shrinkToFit="1" readingOrder="1"/>
    </xf>
    <xf numFmtId="0" fontId="181" fillId="28" borderId="8" xfId="0" applyFont="1" applyFill="1" applyBorder="1" applyAlignment="1">
      <alignment vertical="top" wrapText="1" shrinkToFit="1" readingOrder="1"/>
    </xf>
    <xf numFmtId="0" fontId="184" fillId="28" borderId="8" xfId="0" applyFont="1" applyFill="1" applyBorder="1" applyAlignment="1">
      <alignment horizontal="left" vertical="top" wrapText="1" shrinkToFit="1" readingOrder="1"/>
    </xf>
    <xf numFmtId="0" fontId="183" fillId="28" borderId="8" xfId="0" applyFont="1" applyFill="1" applyBorder="1" applyAlignment="1">
      <alignment horizontal="left" vertical="top" wrapText="1" shrinkToFit="1" readingOrder="1"/>
    </xf>
    <xf numFmtId="0" fontId="182" fillId="28" borderId="8" xfId="0" applyFont="1" applyFill="1" applyBorder="1" applyAlignment="1">
      <alignment horizontal="center" vertical="top" wrapText="1" shrinkToFit="1" readingOrder="1"/>
    </xf>
    <xf numFmtId="0" fontId="184" fillId="28" borderId="8" xfId="0" applyFont="1" applyFill="1" applyBorder="1" applyAlignment="1">
      <alignment vertical="top" wrapText="1" readingOrder="1"/>
    </xf>
    <xf numFmtId="0" fontId="182" fillId="0" borderId="8" xfId="0" applyFont="1" applyBorder="1" applyAlignment="1">
      <alignment vertical="top" wrapText="1" readingOrder="1"/>
    </xf>
    <xf numFmtId="0" fontId="182" fillId="0" borderId="8" xfId="0" applyFont="1" applyBorder="1" applyAlignment="1">
      <alignment horizontal="center" vertical="top" wrapText="1" readingOrder="1"/>
    </xf>
    <xf numFmtId="4" fontId="146" fillId="0" borderId="123" xfId="0" applyNumberFormat="1" applyFont="1" applyBorder="1" applyAlignment="1">
      <alignment vertical="center"/>
    </xf>
    <xf numFmtId="43" fontId="180" fillId="0" borderId="123" xfId="0" applyNumberFormat="1" applyFont="1" applyBorder="1" applyAlignment="1">
      <alignment vertical="center"/>
    </xf>
    <xf numFmtId="0" fontId="182" fillId="28" borderId="123" xfId="0" applyFont="1" applyFill="1" applyBorder="1" applyAlignment="1">
      <alignment horizontal="right" vertical="top" wrapText="1" readingOrder="1"/>
    </xf>
    <xf numFmtId="0" fontId="182" fillId="2" borderId="123" xfId="0" applyFont="1" applyFill="1" applyBorder="1" applyAlignment="1">
      <alignment horizontal="right" vertical="top" wrapText="1" readingOrder="1"/>
    </xf>
    <xf numFmtId="0" fontId="184" fillId="28" borderId="123" xfId="0" applyFont="1" applyFill="1" applyBorder="1" applyAlignment="1">
      <alignment horizontal="right" vertical="top" wrapText="1" readingOrder="1"/>
    </xf>
    <xf numFmtId="0" fontId="184" fillId="28" borderId="123" xfId="0" applyFont="1" applyFill="1" applyBorder="1" applyAlignment="1">
      <alignment horizontal="left" vertical="top" wrapText="1" readingOrder="1"/>
    </xf>
    <xf numFmtId="0" fontId="146" fillId="2" borderId="123" xfId="0" applyFont="1" applyFill="1" applyBorder="1" applyAlignment="1">
      <alignment horizontal="right" vertical="top" wrapText="1" readingOrder="1"/>
    </xf>
    <xf numFmtId="0" fontId="184" fillId="2" borderId="123" xfId="0" applyFont="1" applyFill="1" applyBorder="1" applyAlignment="1">
      <alignment horizontal="right" vertical="top" wrapText="1" readingOrder="1"/>
    </xf>
    <xf numFmtId="189" fontId="146" fillId="0" borderId="8" xfId="93" applyNumberFormat="1" applyFont="1" applyBorder="1" applyAlignment="1">
      <alignment horizontal="center" vertical="center"/>
    </xf>
    <xf numFmtId="0" fontId="53" fillId="28" borderId="8" xfId="0" applyFont="1" applyFill="1" applyBorder="1" applyAlignment="1">
      <alignment vertical="top" wrapText="1" readingOrder="1"/>
    </xf>
    <xf numFmtId="0" fontId="53" fillId="28" borderId="8" xfId="0" applyFont="1" applyFill="1" applyBorder="1" applyAlignment="1">
      <alignment horizontal="center" vertical="top" wrapText="1" readingOrder="1"/>
    </xf>
    <xf numFmtId="0" fontId="53" fillId="28" borderId="8" xfId="0" applyFont="1" applyFill="1" applyBorder="1" applyAlignment="1">
      <alignment horizontal="left" vertical="top" wrapText="1" readingOrder="1"/>
    </xf>
    <xf numFmtId="2" fontId="53" fillId="28" borderId="8" xfId="0" applyNumberFormat="1" applyFont="1" applyFill="1" applyBorder="1" applyAlignment="1">
      <alignment horizontal="right" vertical="top" wrapText="1" readingOrder="1"/>
    </xf>
    <xf numFmtId="43" fontId="189" fillId="0" borderId="8" xfId="93" applyFont="1" applyBorder="1" applyAlignment="1">
      <alignment horizontal="center" vertical="center"/>
    </xf>
    <xf numFmtId="0" fontId="146" fillId="28" borderId="8" xfId="0" applyFont="1" applyFill="1" applyBorder="1" applyAlignment="1">
      <alignment horizontal="left" vertical="top" wrapText="1" shrinkToFit="1" readingOrder="1"/>
    </xf>
    <xf numFmtId="0" fontId="146" fillId="28" borderId="8" xfId="0" applyFont="1" applyFill="1" applyBorder="1" applyAlignment="1">
      <alignment vertical="top" wrapText="1" shrinkToFit="1" readingOrder="1"/>
    </xf>
    <xf numFmtId="0" fontId="146" fillId="28" borderId="8" xfId="0" applyFont="1" applyFill="1" applyBorder="1" applyAlignment="1">
      <alignment horizontal="center" vertical="top" wrapText="1" shrinkToFit="1" readingOrder="1"/>
    </xf>
    <xf numFmtId="43" fontId="146" fillId="0" borderId="130" xfId="93" applyFont="1" applyBorder="1" applyAlignment="1">
      <alignment horizontal="center" vertical="center"/>
    </xf>
    <xf numFmtId="2" fontId="146" fillId="28" borderId="130" xfId="0" applyNumberFormat="1" applyFont="1" applyFill="1" applyBorder="1" applyAlignment="1">
      <alignment vertical="top" wrapText="1" readingOrder="1"/>
    </xf>
    <xf numFmtId="43" fontId="146" fillId="0" borderId="130" xfId="93" applyFont="1" applyBorder="1" applyAlignment="1">
      <alignment horizontal="right" vertical="center"/>
    </xf>
    <xf numFmtId="0" fontId="184" fillId="2" borderId="123" xfId="0" applyFont="1" applyFill="1" applyBorder="1" applyAlignment="1">
      <alignment horizontal="left" vertical="top" wrapText="1" readingOrder="1"/>
    </xf>
    <xf numFmtId="2" fontId="182" fillId="28" borderId="130" xfId="0" applyNumberFormat="1" applyFont="1" applyFill="1" applyBorder="1" applyAlignment="1">
      <alignment vertical="top" wrapText="1" readingOrder="1"/>
    </xf>
    <xf numFmtId="4" fontId="180" fillId="2" borderId="130" xfId="0" applyNumberFormat="1" applyFont="1" applyFill="1" applyBorder="1" applyAlignment="1">
      <alignment vertical="center"/>
    </xf>
    <xf numFmtId="4" fontId="146" fillId="2" borderId="130" xfId="0" applyNumberFormat="1" applyFont="1" applyFill="1" applyBorder="1" applyAlignment="1">
      <alignment vertical="center"/>
    </xf>
    <xf numFmtId="0" fontId="60" fillId="2" borderId="0" xfId="0" applyFont="1" applyFill="1"/>
    <xf numFmtId="0" fontId="6" fillId="2" borderId="0" xfId="0" applyFont="1" applyFill="1" applyAlignment="1">
      <alignment horizontal="left" vertical="center"/>
    </xf>
    <xf numFmtId="4" fontId="6" fillId="2" borderId="0" xfId="0" applyNumberFormat="1" applyFont="1" applyFill="1" applyAlignment="1" applyProtection="1">
      <alignment vertical="center"/>
      <protection locked="0"/>
    </xf>
    <xf numFmtId="10" fontId="6" fillId="2" borderId="0" xfId="0" applyNumberFormat="1" applyFont="1" applyFill="1" applyAlignment="1">
      <alignment horizontal="center" vertical="center"/>
    </xf>
    <xf numFmtId="10" fontId="6" fillId="2" borderId="0" xfId="0" applyNumberFormat="1" applyFont="1" applyFill="1" applyAlignment="1">
      <alignment horizontal="right" vertical="center"/>
    </xf>
    <xf numFmtId="10" fontId="6" fillId="2" borderId="13" xfId="0" applyNumberFormat="1" applyFont="1" applyFill="1" applyBorder="1" applyAlignment="1">
      <alignment horizontal="right" vertical="center"/>
    </xf>
    <xf numFmtId="0" fontId="146" fillId="2" borderId="126" xfId="0" applyFont="1" applyFill="1" applyBorder="1" applyAlignment="1" applyProtection="1">
      <alignment vertical="center" wrapText="1"/>
      <protection locked="0"/>
    </xf>
    <xf numFmtId="188" fontId="146" fillId="26" borderId="126" xfId="0" applyNumberFormat="1" applyFont="1" applyFill="1" applyBorder="1" applyAlignment="1" applyProtection="1">
      <alignment vertical="center"/>
      <protection locked="0"/>
    </xf>
    <xf numFmtId="0" fontId="191" fillId="0" borderId="0" xfId="0" applyFont="1" applyAlignment="1">
      <alignment vertical="center"/>
    </xf>
    <xf numFmtId="0" fontId="192" fillId="0" borderId="0" xfId="0" applyFont="1" applyAlignment="1">
      <alignment vertical="center"/>
    </xf>
    <xf numFmtId="4" fontId="192" fillId="0" borderId="0" xfId="0" applyNumberFormat="1" applyFont="1" applyAlignment="1">
      <alignment vertical="center"/>
    </xf>
    <xf numFmtId="0" fontId="98" fillId="0" borderId="0" xfId="0" applyFont="1"/>
    <xf numFmtId="0" fontId="2" fillId="0" borderId="0" xfId="0" applyFont="1" applyAlignment="1" applyProtection="1">
      <alignment horizontal="left" vertical="center"/>
      <protection locked="0"/>
    </xf>
    <xf numFmtId="0" fontId="169" fillId="28" borderId="0" xfId="0" applyFont="1" applyFill="1" applyAlignment="1">
      <alignment horizontal="left" vertical="top" readingOrder="1"/>
    </xf>
    <xf numFmtId="0" fontId="152" fillId="0" borderId="0" xfId="0" applyFont="1" applyAlignment="1">
      <alignment horizontal="left" vertical="center"/>
    </xf>
    <xf numFmtId="0" fontId="153" fillId="0" borderId="0" xfId="0" applyFont="1" applyAlignment="1">
      <alignment horizontal="left" vertical="center"/>
    </xf>
    <xf numFmtId="0" fontId="157" fillId="0" borderId="0" xfId="0" applyFont="1" applyAlignment="1">
      <alignment vertical="center"/>
    </xf>
    <xf numFmtId="0" fontId="28" fillId="0" borderId="26" xfId="74" applyFont="1" applyBorder="1" applyAlignment="1">
      <alignment vertical="center"/>
    </xf>
    <xf numFmtId="0" fontId="28" fillId="0" borderId="8" xfId="74" applyFont="1" applyBorder="1" applyAlignment="1">
      <alignment horizontal="center" vertical="center"/>
    </xf>
    <xf numFmtId="4" fontId="99" fillId="0" borderId="8" xfId="0" applyNumberFormat="1" applyFont="1" applyBorder="1" applyAlignment="1" applyProtection="1">
      <alignment vertical="center"/>
      <protection locked="0"/>
    </xf>
    <xf numFmtId="4" fontId="46" fillId="0" borderId="8" xfId="0" applyNumberFormat="1" applyFont="1" applyBorder="1" applyAlignment="1" applyProtection="1">
      <alignment vertical="center"/>
      <protection locked="0"/>
    </xf>
    <xf numFmtId="4" fontId="28" fillId="0" borderId="69" xfId="0" applyNumberFormat="1" applyFont="1" applyBorder="1" applyAlignment="1" applyProtection="1">
      <alignment horizontal="right" vertical="center"/>
      <protection locked="0"/>
    </xf>
    <xf numFmtId="0" fontId="99" fillId="0" borderId="17" xfId="0" applyFont="1" applyBorder="1" applyAlignment="1">
      <alignment vertical="center"/>
    </xf>
    <xf numFmtId="4" fontId="28" fillId="0" borderId="8" xfId="0" applyNumberFormat="1" applyFont="1" applyBorder="1" applyAlignment="1" applyProtection="1">
      <alignment horizontal="right" vertical="center"/>
      <protection locked="0"/>
    </xf>
    <xf numFmtId="0" fontId="97" fillId="0" borderId="8" xfId="0" applyFont="1" applyBorder="1" applyAlignment="1">
      <alignment horizontal="left" vertical="top" wrapText="1" readingOrder="1"/>
    </xf>
    <xf numFmtId="0" fontId="164" fillId="0" borderId="8" xfId="0" applyFont="1" applyBorder="1" applyAlignment="1">
      <alignment horizontal="left" vertical="top" wrapText="1" readingOrder="1"/>
    </xf>
    <xf numFmtId="0" fontId="168" fillId="0" borderId="8" xfId="0" applyFont="1" applyBorder="1" applyAlignment="1">
      <alignment horizontal="left" vertical="top" wrapText="1" readingOrder="1"/>
    </xf>
    <xf numFmtId="2" fontId="97" fillId="0" borderId="8" xfId="0" applyNumberFormat="1" applyFont="1" applyBorder="1" applyAlignment="1" applyProtection="1">
      <alignment vertical="center"/>
      <protection locked="0"/>
    </xf>
    <xf numFmtId="0" fontId="90" fillId="0" borderId="40" xfId="0" applyFont="1" applyBorder="1" applyAlignment="1">
      <alignment horizontal="center" vertical="center"/>
    </xf>
    <xf numFmtId="0" fontId="90" fillId="0" borderId="50" xfId="0" applyFont="1" applyBorder="1" applyAlignment="1">
      <alignment horizontal="center" vertical="center"/>
    </xf>
    <xf numFmtId="0" fontId="90" fillId="0" borderId="51" xfId="0" applyFont="1" applyBorder="1" applyAlignment="1">
      <alignment horizontal="center" vertical="center"/>
    </xf>
    <xf numFmtId="0" fontId="90" fillId="0" borderId="56" xfId="0" applyFont="1" applyBorder="1" applyAlignment="1">
      <alignment horizontal="center" vertical="center"/>
    </xf>
    <xf numFmtId="43" fontId="146" fillId="0" borderId="8" xfId="93" applyFont="1" applyFill="1" applyBorder="1" applyAlignment="1">
      <alignment horizontal="center" vertical="center"/>
    </xf>
    <xf numFmtId="0" fontId="81" fillId="0" borderId="8" xfId="0" applyFont="1" applyBorder="1"/>
    <xf numFmtId="4" fontId="22" fillId="2" borderId="27" xfId="1" applyNumberFormat="1" applyFont="1" applyFill="1" applyBorder="1" applyAlignment="1">
      <alignment vertical="center"/>
    </xf>
    <xf numFmtId="10" fontId="22" fillId="2" borderId="23" xfId="1" applyNumberFormat="1" applyFont="1" applyFill="1" applyBorder="1" applyAlignment="1">
      <alignment horizontal="center" vertical="center"/>
    </xf>
    <xf numFmtId="2" fontId="146" fillId="2" borderId="57" xfId="0" applyNumberFormat="1" applyFont="1" applyFill="1" applyBorder="1" applyAlignment="1" applyProtection="1">
      <alignment horizontal="center" vertical="center" wrapText="1"/>
      <protection locked="0"/>
    </xf>
    <xf numFmtId="0" fontId="6" fillId="6" borderId="126" xfId="74" applyFont="1" applyFill="1" applyBorder="1" applyAlignment="1">
      <alignment horizontal="center" vertical="center"/>
    </xf>
    <xf numFmtId="0" fontId="6" fillId="2" borderId="86" xfId="74" applyFont="1" applyFill="1" applyBorder="1" applyAlignment="1">
      <alignment horizontal="center" vertical="center"/>
    </xf>
    <xf numFmtId="2" fontId="146" fillId="2" borderId="87" xfId="0" applyNumberFormat="1" applyFont="1" applyFill="1" applyBorder="1" applyAlignment="1" applyProtection="1">
      <alignment horizontal="center" vertical="center" wrapText="1"/>
      <protection locked="0"/>
    </xf>
    <xf numFmtId="10" fontId="146" fillId="26" borderId="87" xfId="0" applyNumberFormat="1" applyFont="1" applyFill="1" applyBorder="1" applyAlignment="1">
      <alignment vertical="center"/>
    </xf>
    <xf numFmtId="4" fontId="146" fillId="2" borderId="87" xfId="0" applyNumberFormat="1" applyFont="1" applyFill="1" applyBorder="1" applyAlignment="1" applyProtection="1">
      <alignment vertical="center"/>
      <protection locked="0"/>
    </xf>
    <xf numFmtId="10" fontId="146" fillId="2" borderId="87" xfId="0" applyNumberFormat="1" applyFont="1" applyFill="1" applyBorder="1" applyAlignment="1" applyProtection="1">
      <alignment vertical="center"/>
      <protection locked="0"/>
    </xf>
    <xf numFmtId="2" fontId="146" fillId="2" borderId="124" xfId="0" applyNumberFormat="1" applyFont="1" applyFill="1" applyBorder="1" applyAlignment="1" applyProtection="1">
      <alignment horizontal="center" vertical="center" wrapText="1"/>
      <protection locked="0"/>
    </xf>
    <xf numFmtId="0" fontId="60" fillId="29" borderId="65" xfId="0" applyFont="1" applyFill="1" applyBorder="1"/>
    <xf numFmtId="4" fontId="6" fillId="32" borderId="65" xfId="0" applyNumberFormat="1" applyFont="1" applyFill="1" applyBorder="1" applyAlignment="1" applyProtection="1">
      <alignment vertical="center"/>
      <protection locked="0"/>
    </xf>
    <xf numFmtId="10" fontId="6" fillId="29" borderId="65" xfId="0" applyNumberFormat="1" applyFont="1" applyFill="1" applyBorder="1" applyAlignment="1">
      <alignment horizontal="right" vertical="center"/>
    </xf>
    <xf numFmtId="4" fontId="2" fillId="0" borderId="0" xfId="77" applyNumberFormat="1"/>
    <xf numFmtId="166" fontId="46" fillId="2" borderId="8" xfId="0" applyNumberFormat="1" applyFont="1" applyFill="1" applyBorder="1" applyAlignment="1" applyProtection="1">
      <alignment vertical="center"/>
      <protection locked="0"/>
    </xf>
    <xf numFmtId="0" fontId="102" fillId="2" borderId="0" xfId="0" applyFont="1" applyFill="1"/>
    <xf numFmtId="0" fontId="102" fillId="2" borderId="0" xfId="0" applyFont="1" applyFill="1" applyAlignment="1">
      <alignment vertical="center"/>
    </xf>
    <xf numFmtId="0" fontId="182" fillId="0" borderId="8" xfId="0" applyFont="1" applyBorder="1" applyAlignment="1">
      <alignment horizontal="left" vertical="top" wrapText="1" readingOrder="1"/>
    </xf>
    <xf numFmtId="0" fontId="182" fillId="0" borderId="8" xfId="0" applyFont="1" applyBorder="1" applyAlignment="1">
      <alignment horizontal="right" vertical="top" wrapText="1" readingOrder="1"/>
    </xf>
    <xf numFmtId="0" fontId="183" fillId="0" borderId="8" xfId="0" applyFont="1" applyBorder="1" applyAlignment="1">
      <alignment vertical="top" wrapText="1" readingOrder="1"/>
    </xf>
    <xf numFmtId="0" fontId="183" fillId="0" borderId="8" xfId="0" applyFont="1" applyBorder="1" applyAlignment="1">
      <alignment horizontal="left" vertical="top" wrapText="1" readingOrder="1"/>
    </xf>
    <xf numFmtId="0" fontId="181" fillId="0" borderId="8" xfId="0" applyFont="1" applyBorder="1" applyAlignment="1">
      <alignment horizontal="left" vertical="top" wrapText="1" readingOrder="1"/>
    </xf>
    <xf numFmtId="0" fontId="181" fillId="0" borderId="8" xfId="0" applyFont="1" applyBorder="1" applyAlignment="1">
      <alignment vertical="top" wrapText="1" readingOrder="1"/>
    </xf>
    <xf numFmtId="0" fontId="184" fillId="0" borderId="8" xfId="0" applyFont="1" applyBorder="1" applyAlignment="1">
      <alignment horizontal="left" vertical="top" wrapText="1" readingOrder="1"/>
    </xf>
    <xf numFmtId="0" fontId="184" fillId="0" borderId="8" xfId="0" applyFont="1" applyBorder="1" applyAlignment="1">
      <alignment horizontal="right" vertical="top" wrapText="1" readingOrder="1"/>
    </xf>
    <xf numFmtId="43" fontId="53" fillId="0" borderId="8" xfId="93" applyFont="1" applyFill="1" applyBorder="1" applyAlignment="1">
      <alignment horizontal="center" vertical="center"/>
    </xf>
    <xf numFmtId="0" fontId="182" fillId="0" borderId="8" xfId="0" applyFont="1" applyBorder="1" applyAlignment="1">
      <alignment horizontal="left" vertical="top" wrapText="1" shrinkToFit="1" readingOrder="1"/>
    </xf>
    <xf numFmtId="0" fontId="182" fillId="0" borderId="8" xfId="0" applyFont="1" applyBorder="1" applyAlignment="1">
      <alignment vertical="top" wrapText="1" shrinkToFit="1" readingOrder="1"/>
    </xf>
    <xf numFmtId="0" fontId="178" fillId="0" borderId="8" xfId="0" applyFont="1" applyBorder="1" applyAlignment="1">
      <alignment horizontal="left" vertical="top" wrapText="1" readingOrder="1"/>
    </xf>
    <xf numFmtId="0" fontId="179" fillId="0" borderId="8" xfId="0" applyFont="1" applyBorder="1" applyAlignment="1">
      <alignment vertical="top" wrapText="1" readingOrder="1"/>
    </xf>
    <xf numFmtId="0" fontId="185" fillId="0" borderId="8" xfId="0" applyFont="1" applyBorder="1" applyAlignment="1">
      <alignment horizontal="left" vertical="top" wrapText="1" readingOrder="1"/>
    </xf>
    <xf numFmtId="0" fontId="186" fillId="0" borderId="8" xfId="0" applyFont="1" applyBorder="1" applyAlignment="1">
      <alignment horizontal="left" vertical="top" wrapText="1" shrinkToFit="1" readingOrder="1"/>
    </xf>
    <xf numFmtId="0" fontId="187" fillId="0" borderId="8" xfId="0" applyFont="1" applyBorder="1" applyAlignment="1">
      <alignment vertical="top" wrapText="1" shrinkToFit="1" readingOrder="1"/>
    </xf>
    <xf numFmtId="0" fontId="97" fillId="0" borderId="8" xfId="0" applyFont="1" applyBorder="1" applyAlignment="1">
      <alignment horizontal="center" vertical="top" wrapText="1" readingOrder="1"/>
    </xf>
    <xf numFmtId="0" fontId="97" fillId="0" borderId="8" xfId="0" applyFont="1" applyBorder="1" applyAlignment="1">
      <alignment horizontal="right" vertical="top" wrapText="1" readingOrder="1"/>
    </xf>
    <xf numFmtId="0" fontId="165" fillId="0" borderId="8" xfId="0" applyFont="1" applyBorder="1" applyAlignment="1">
      <alignment horizontal="left" vertical="top" wrapText="1" readingOrder="1"/>
    </xf>
    <xf numFmtId="0" fontId="167" fillId="0" borderId="8" xfId="0" applyFont="1" applyBorder="1" applyAlignment="1">
      <alignment horizontal="left" vertical="top" wrapText="1" readingOrder="1"/>
    </xf>
    <xf numFmtId="0" fontId="167" fillId="0" borderId="8" xfId="0" applyFont="1" applyBorder="1" applyAlignment="1">
      <alignment horizontal="right" vertical="top" wrapText="1" readingOrder="1"/>
    </xf>
    <xf numFmtId="166" fontId="81" fillId="0" borderId="0" xfId="0" applyNumberFormat="1" applyFont="1"/>
    <xf numFmtId="0" fontId="53" fillId="0" borderId="8" xfId="0" applyFont="1" applyBorder="1" applyAlignment="1">
      <alignment horizontal="right" vertical="top" wrapText="1" readingOrder="1"/>
    </xf>
    <xf numFmtId="4" fontId="23" fillId="0" borderId="8" xfId="1" applyNumberFormat="1" applyFont="1" applyBorder="1" applyAlignment="1">
      <alignment vertical="center"/>
    </xf>
    <xf numFmtId="0" fontId="146" fillId="0" borderId="8" xfId="0" applyFont="1" applyBorder="1" applyAlignment="1">
      <alignment horizontal="left" vertical="top" wrapText="1" readingOrder="1"/>
    </xf>
    <xf numFmtId="0" fontId="146" fillId="0" borderId="8" xfId="0" applyFont="1" applyBorder="1" applyAlignment="1">
      <alignment vertical="top" wrapText="1" readingOrder="1"/>
    </xf>
    <xf numFmtId="0" fontId="146" fillId="0" borderId="8" xfId="0" applyFont="1" applyBorder="1" applyAlignment="1">
      <alignment horizontal="center" vertical="top" wrapText="1" readingOrder="1"/>
    </xf>
    <xf numFmtId="0" fontId="146" fillId="0" borderId="8" xfId="0" applyFont="1" applyBorder="1" applyAlignment="1">
      <alignment horizontal="right" vertical="top" wrapText="1" readingOrder="1"/>
    </xf>
    <xf numFmtId="4" fontId="150" fillId="2" borderId="0" xfId="0" applyNumberFormat="1" applyFont="1" applyFill="1" applyAlignment="1">
      <alignment horizontal="center" vertical="center"/>
    </xf>
    <xf numFmtId="0" fontId="174" fillId="0" borderId="0" xfId="0" applyFont="1" applyAlignment="1">
      <alignment vertical="center" wrapText="1"/>
    </xf>
    <xf numFmtId="4" fontId="174" fillId="0" borderId="0" xfId="0" applyNumberFormat="1" applyFont="1" applyAlignment="1">
      <alignment horizontal="right" vertical="center" wrapText="1"/>
    </xf>
    <xf numFmtId="8" fontId="174" fillId="0" borderId="0" xfId="0" applyNumberFormat="1" applyFont="1" applyAlignment="1">
      <alignment horizontal="right" vertical="center" wrapText="1"/>
    </xf>
    <xf numFmtId="0" fontId="190" fillId="0" borderId="0" xfId="0" applyFont="1" applyAlignment="1">
      <alignment vertical="center" wrapText="1"/>
    </xf>
    <xf numFmtId="4" fontId="190" fillId="0" borderId="0" xfId="0" applyNumberFormat="1" applyFont="1" applyAlignment="1">
      <alignment horizontal="right" vertical="center" wrapText="1"/>
    </xf>
    <xf numFmtId="8" fontId="190" fillId="0" borderId="0" xfId="0" applyNumberFormat="1" applyFont="1" applyAlignment="1">
      <alignment horizontal="right" vertical="center" wrapText="1"/>
    </xf>
    <xf numFmtId="8" fontId="190" fillId="33" borderId="0" xfId="0" applyNumberFormat="1" applyFont="1" applyFill="1" applyAlignment="1">
      <alignment horizontal="right" vertical="center" wrapText="1"/>
    </xf>
    <xf numFmtId="0" fontId="65" fillId="2" borderId="0" xfId="0" applyFont="1" applyFill="1" applyAlignment="1">
      <alignment horizontal="center" vertical="center"/>
    </xf>
    <xf numFmtId="0" fontId="175" fillId="2" borderId="0" xfId="0" applyFont="1" applyFill="1" applyAlignment="1">
      <alignment horizontal="center" vertical="center"/>
    </xf>
    <xf numFmtId="0" fontId="196" fillId="2" borderId="0" xfId="0" applyFont="1" applyFill="1" applyAlignment="1">
      <alignment horizontal="center" vertical="center"/>
    </xf>
    <xf numFmtId="0" fontId="155" fillId="0" borderId="0" xfId="0" applyFont="1" applyAlignment="1">
      <alignment horizontal="left" vertical="center"/>
    </xf>
    <xf numFmtId="0" fontId="176" fillId="2" borderId="0" xfId="0" applyFont="1" applyFill="1" applyAlignment="1">
      <alignment horizontal="center" vertical="center"/>
    </xf>
    <xf numFmtId="0" fontId="46" fillId="0" borderId="8" xfId="0" applyFont="1" applyBorder="1" applyAlignment="1">
      <alignment horizontal="center" vertical="center"/>
    </xf>
    <xf numFmtId="4" fontId="28" fillId="0" borderId="8" xfId="0" applyNumberFormat="1" applyFont="1" applyBorder="1" applyAlignment="1">
      <alignment vertical="center"/>
    </xf>
    <xf numFmtId="43" fontId="102" fillId="0" borderId="0" xfId="0" applyNumberFormat="1" applyFont="1"/>
    <xf numFmtId="49" fontId="147" fillId="0" borderId="8" xfId="0" applyNumberFormat="1" applyFont="1" applyBorder="1" applyAlignment="1" applyProtection="1">
      <alignment horizontal="left" vertical="center" wrapText="1"/>
      <protection locked="0"/>
    </xf>
    <xf numFmtId="0" fontId="100" fillId="0" borderId="8" xfId="0" applyFont="1" applyBorder="1" applyAlignment="1" applyProtection="1">
      <alignment horizontal="center" vertical="center"/>
      <protection locked="0"/>
    </xf>
    <xf numFmtId="4" fontId="97" fillId="9" borderId="8" xfId="0" applyNumberFormat="1" applyFont="1" applyFill="1" applyBorder="1" applyAlignment="1" applyProtection="1">
      <alignment horizontal="center" vertical="center"/>
      <protection locked="0"/>
    </xf>
    <xf numFmtId="4" fontId="98" fillId="0" borderId="8" xfId="0" applyNumberFormat="1" applyFont="1" applyBorder="1" applyAlignment="1" applyProtection="1">
      <alignment vertical="center"/>
      <protection locked="0"/>
    </xf>
    <xf numFmtId="0" fontId="182" fillId="2" borderId="8" xfId="0" applyFont="1" applyFill="1" applyBorder="1" applyAlignment="1">
      <alignment horizontal="left" vertical="top" wrapText="1" shrinkToFit="1" readingOrder="1"/>
    </xf>
    <xf numFmtId="0" fontId="185" fillId="28" borderId="8" xfId="0" applyFont="1" applyFill="1" applyBorder="1" applyAlignment="1">
      <alignment vertical="top" wrapText="1" readingOrder="1"/>
    </xf>
    <xf numFmtId="0" fontId="184" fillId="2" borderId="8" xfId="0" applyFont="1" applyFill="1" applyBorder="1" applyAlignment="1">
      <alignment horizontal="center" vertical="top" wrapText="1" readingOrder="1"/>
    </xf>
    <xf numFmtId="0" fontId="185" fillId="28" borderId="8" xfId="0" applyFont="1" applyFill="1" applyBorder="1" applyAlignment="1">
      <alignment horizontal="center" vertical="top" wrapText="1" readingOrder="1"/>
    </xf>
    <xf numFmtId="0" fontId="53" fillId="28" borderId="8" xfId="0" applyFont="1" applyFill="1" applyBorder="1" applyAlignment="1">
      <alignment horizontal="left" vertical="top" wrapText="1" shrinkToFit="1" readingOrder="1"/>
    </xf>
    <xf numFmtId="0" fontId="197" fillId="28" borderId="8" xfId="0" applyFont="1" applyFill="1" applyBorder="1" applyAlignment="1">
      <alignment vertical="top" wrapText="1" readingOrder="1"/>
    </xf>
    <xf numFmtId="0" fontId="184" fillId="28" borderId="8" xfId="0" applyFont="1" applyFill="1" applyBorder="1" applyAlignment="1">
      <alignment horizontal="center" vertical="top" wrapText="1" shrinkToFit="1" readingOrder="1"/>
    </xf>
    <xf numFmtId="0" fontId="184" fillId="28" borderId="8" xfId="0" applyFont="1" applyFill="1" applyBorder="1" applyAlignment="1">
      <alignment horizontal="center" vertical="center" wrapText="1" shrinkToFit="1" readingOrder="1"/>
    </xf>
    <xf numFmtId="43" fontId="146" fillId="0" borderId="8" xfId="93" applyFont="1" applyBorder="1" applyAlignment="1">
      <alignment vertical="center"/>
    </xf>
    <xf numFmtId="0" fontId="182" fillId="28" borderId="8" xfId="0" applyFont="1" applyFill="1" applyBorder="1" applyAlignment="1">
      <alignment vertical="center" wrapText="1" readingOrder="1"/>
    </xf>
    <xf numFmtId="43" fontId="182" fillId="0" borderId="8" xfId="0" applyNumberFormat="1" applyFont="1" applyBorder="1" applyAlignment="1">
      <alignment horizontal="center" vertical="top" wrapText="1" readingOrder="1"/>
    </xf>
    <xf numFmtId="0" fontId="102" fillId="0" borderId="8" xfId="0" applyFont="1" applyBorder="1" applyAlignment="1">
      <alignment horizontal="center" vertical="center"/>
    </xf>
    <xf numFmtId="0" fontId="102" fillId="0" borderId="8" xfId="0" applyFont="1" applyBorder="1" applyAlignment="1">
      <alignment vertical="center"/>
    </xf>
    <xf numFmtId="0" fontId="182" fillId="28" borderId="8" xfId="0" applyFont="1" applyFill="1" applyBorder="1" applyAlignment="1">
      <alignment horizontal="left" vertical="center" wrapText="1" readingOrder="1"/>
    </xf>
    <xf numFmtId="43" fontId="182" fillId="0" borderId="8" xfId="0" applyNumberFormat="1" applyFont="1" applyBorder="1" applyAlignment="1">
      <alignment horizontal="center" vertical="center" wrapText="1" readingOrder="1"/>
    </xf>
    <xf numFmtId="0" fontId="6" fillId="0" borderId="8" xfId="0" applyFont="1" applyBorder="1" applyAlignment="1">
      <alignment horizontal="center" vertical="center"/>
    </xf>
    <xf numFmtId="4" fontId="146" fillId="0" borderId="8" xfId="0" applyNumberFormat="1" applyFont="1" applyBorder="1" applyAlignment="1">
      <alignment horizontal="center" vertical="center"/>
    </xf>
    <xf numFmtId="4" fontId="180" fillId="0" borderId="8" xfId="0" applyNumberFormat="1" applyFont="1" applyBorder="1" applyAlignment="1">
      <alignment vertical="center"/>
    </xf>
    <xf numFmtId="43" fontId="180" fillId="0" borderId="8" xfId="0" applyNumberFormat="1" applyFont="1" applyBorder="1" applyAlignment="1">
      <alignment horizontal="center" vertical="center"/>
    </xf>
    <xf numFmtId="0" fontId="184" fillId="28" borderId="8" xfId="0" applyFont="1" applyFill="1" applyBorder="1" applyAlignment="1">
      <alignment horizontal="center" vertical="top" wrapText="1" readingOrder="1"/>
    </xf>
    <xf numFmtId="0" fontId="182" fillId="2" borderId="8" xfId="0" applyFont="1" applyFill="1" applyBorder="1" applyAlignment="1">
      <alignment horizontal="center" vertical="center" wrapText="1" readingOrder="1"/>
    </xf>
    <xf numFmtId="0" fontId="182" fillId="28" borderId="8" xfId="0" applyFont="1" applyFill="1" applyBorder="1" applyAlignment="1">
      <alignment horizontal="center" vertical="center" wrapText="1" readingOrder="1"/>
    </xf>
    <xf numFmtId="0" fontId="6" fillId="2" borderId="8" xfId="0" applyFont="1" applyFill="1" applyBorder="1" applyAlignment="1">
      <alignment horizontal="center" vertical="top" wrapText="1" readingOrder="1"/>
    </xf>
    <xf numFmtId="0" fontId="6" fillId="28" borderId="8" xfId="0" applyFont="1" applyFill="1" applyBorder="1" applyAlignment="1">
      <alignment horizontal="center" vertical="top" wrapText="1" readingOrder="1"/>
    </xf>
    <xf numFmtId="0" fontId="198" fillId="0" borderId="0" xfId="0" applyFont="1" applyAlignment="1">
      <alignment horizontal="center"/>
    </xf>
    <xf numFmtId="0" fontId="99" fillId="0" borderId="0" xfId="0" applyFont="1" applyAlignment="1">
      <alignment horizontal="center" vertical="center"/>
    </xf>
    <xf numFmtId="0" fontId="184" fillId="28" borderId="8" xfId="0" applyFont="1" applyFill="1" applyBorder="1" applyAlignment="1">
      <alignment horizontal="center" vertical="center" wrapText="1" readingOrder="1"/>
    </xf>
    <xf numFmtId="171" fontId="146" fillId="0" borderId="8" xfId="93" applyNumberFormat="1" applyFont="1" applyBorder="1" applyAlignment="1">
      <alignment horizontal="center" vertical="center"/>
    </xf>
    <xf numFmtId="0" fontId="67" fillId="28" borderId="8" xfId="0" applyFont="1" applyFill="1" applyBorder="1" applyAlignment="1">
      <alignment horizontal="center" vertical="center" wrapText="1" readingOrder="1"/>
    </xf>
    <xf numFmtId="0" fontId="146" fillId="28" borderId="8" xfId="0" applyFont="1" applyFill="1" applyBorder="1" applyAlignment="1">
      <alignment horizontal="center" vertical="center" wrapText="1" readingOrder="1"/>
    </xf>
    <xf numFmtId="2" fontId="53" fillId="28" borderId="8" xfId="0" applyNumberFormat="1" applyFont="1" applyFill="1" applyBorder="1" applyAlignment="1">
      <alignment horizontal="center" vertical="center" wrapText="1" readingOrder="1"/>
    </xf>
    <xf numFmtId="0" fontId="185" fillId="28" borderId="8" xfId="0" applyFont="1" applyFill="1" applyBorder="1" applyAlignment="1">
      <alignment horizontal="center" vertical="center" wrapText="1" readingOrder="1"/>
    </xf>
    <xf numFmtId="0" fontId="53" fillId="28" borderId="8" xfId="0" applyFont="1" applyFill="1" applyBorder="1" applyAlignment="1">
      <alignment horizontal="center" vertical="center" wrapText="1" readingOrder="1"/>
    </xf>
    <xf numFmtId="0" fontId="182" fillId="0" borderId="8" xfId="0" applyFont="1" applyBorder="1" applyAlignment="1">
      <alignment horizontal="center" vertical="center" wrapText="1" readingOrder="1"/>
    </xf>
    <xf numFmtId="2" fontId="102" fillId="0" borderId="0" xfId="0" applyNumberFormat="1" applyFont="1"/>
    <xf numFmtId="0" fontId="81" fillId="5" borderId="8" xfId="0" applyFont="1" applyFill="1" applyBorder="1" applyAlignment="1">
      <alignment horizontal="center" vertical="center"/>
    </xf>
    <xf numFmtId="4" fontId="81" fillId="0" borderId="8" xfId="0" applyNumberFormat="1" applyFont="1" applyBorder="1"/>
    <xf numFmtId="181" fontId="92" fillId="0" borderId="0" xfId="0" applyNumberFormat="1" applyFont="1" applyAlignment="1">
      <alignment horizontal="center" vertical="center"/>
    </xf>
    <xf numFmtId="2" fontId="146" fillId="2" borderId="0" xfId="0" applyNumberFormat="1" applyFont="1" applyFill="1" applyAlignment="1" applyProtection="1">
      <alignment horizontal="center" vertical="center" wrapText="1"/>
      <protection locked="0"/>
    </xf>
    <xf numFmtId="0" fontId="146" fillId="2" borderId="0" xfId="0" applyFont="1" applyFill="1" applyAlignment="1" applyProtection="1">
      <alignment horizontal="right" vertical="center" wrapText="1"/>
      <protection locked="0"/>
    </xf>
    <xf numFmtId="4" fontId="146" fillId="26" borderId="0" xfId="0" applyNumberFormat="1" applyFont="1" applyFill="1" applyAlignment="1" applyProtection="1">
      <alignment vertical="center"/>
      <protection locked="0"/>
    </xf>
    <xf numFmtId="4" fontId="146" fillId="2" borderId="0" xfId="0" applyNumberFormat="1" applyFont="1" applyFill="1" applyAlignment="1" applyProtection="1">
      <alignment vertical="center"/>
      <protection locked="0"/>
    </xf>
    <xf numFmtId="10" fontId="146" fillId="2" borderId="0" xfId="0" applyNumberFormat="1" applyFont="1" applyFill="1" applyAlignment="1" applyProtection="1">
      <alignment vertical="center"/>
      <protection locked="0"/>
    </xf>
    <xf numFmtId="4" fontId="193" fillId="0" borderId="0" xfId="0" applyNumberFormat="1" applyFont="1" applyAlignment="1">
      <alignment horizontal="right"/>
    </xf>
    <xf numFmtId="0" fontId="165" fillId="28" borderId="0" xfId="0" applyFont="1" applyFill="1" applyAlignment="1">
      <alignment horizontal="left" vertical="top" readingOrder="1"/>
    </xf>
    <xf numFmtId="0" fontId="36" fillId="19" borderId="25" xfId="0" applyFont="1" applyFill="1" applyBorder="1" applyAlignment="1">
      <alignment vertical="center"/>
    </xf>
    <xf numFmtId="0" fontId="36" fillId="19" borderId="26" xfId="0" applyFont="1" applyFill="1" applyBorder="1" applyAlignment="1">
      <alignment vertical="center"/>
    </xf>
    <xf numFmtId="0" fontId="36" fillId="19" borderId="21" xfId="0" applyFont="1" applyFill="1" applyBorder="1" applyAlignment="1">
      <alignment vertical="center"/>
    </xf>
    <xf numFmtId="4" fontId="90" fillId="0" borderId="0" xfId="0" applyNumberFormat="1" applyFont="1" applyAlignment="1">
      <alignment horizontal="center" vertical="center"/>
    </xf>
    <xf numFmtId="10" fontId="90" fillId="0" borderId="0" xfId="0" applyNumberFormat="1" applyFont="1" applyAlignment="1">
      <alignment horizontal="center" vertical="center"/>
    </xf>
    <xf numFmtId="0" fontId="10" fillId="0" borderId="0" xfId="0" applyFont="1" applyAlignment="1">
      <alignment horizontal="center" vertical="center" wrapText="1"/>
    </xf>
    <xf numFmtId="0" fontId="10" fillId="0" borderId="8" xfId="0" applyFont="1" applyBorder="1"/>
    <xf numFmtId="4" fontId="2" fillId="0" borderId="0" xfId="77" applyNumberFormat="1" applyAlignment="1">
      <alignment horizontal="center" vertical="center"/>
    </xf>
    <xf numFmtId="166" fontId="27" fillId="23" borderId="65" xfId="0" applyNumberFormat="1" applyFont="1" applyFill="1" applyBorder="1" applyAlignment="1" applyProtection="1">
      <alignment vertical="center"/>
      <protection locked="0"/>
    </xf>
    <xf numFmtId="0" fontId="2" fillId="0" borderId="43" xfId="0" applyFont="1" applyBorder="1" applyAlignment="1" applyProtection="1">
      <alignment horizontal="left" vertical="center"/>
      <protection locked="0"/>
    </xf>
    <xf numFmtId="0" fontId="2" fillId="0" borderId="6" xfId="0" applyFont="1" applyBorder="1" applyAlignment="1" applyProtection="1">
      <alignment horizontal="left" vertical="center" wrapText="1"/>
      <protection locked="0"/>
    </xf>
    <xf numFmtId="0" fontId="170" fillId="0" borderId="39" xfId="0" applyFont="1" applyBorder="1" applyAlignment="1" applyProtection="1">
      <alignment horizontal="left" vertical="center" wrapText="1"/>
      <protection locked="0"/>
    </xf>
    <xf numFmtId="166" fontId="172" fillId="0" borderId="127" xfId="0" applyNumberFormat="1" applyFont="1" applyBorder="1" applyAlignment="1" applyProtection="1">
      <alignment vertical="center"/>
      <protection locked="0"/>
    </xf>
    <xf numFmtId="166" fontId="10" fillId="0" borderId="39" xfId="0" applyNumberFormat="1" applyFont="1" applyBorder="1" applyAlignment="1">
      <alignment horizontal="center" vertical="center"/>
    </xf>
    <xf numFmtId="0" fontId="22" fillId="0" borderId="48" xfId="0" applyFont="1" applyBorder="1" applyAlignment="1" applyProtection="1">
      <alignment horizontal="left" vertical="center"/>
      <protection locked="0"/>
    </xf>
    <xf numFmtId="0" fontId="170" fillId="0" borderId="45" xfId="0" applyFont="1" applyBorder="1" applyAlignment="1" applyProtection="1">
      <alignment horizontal="left" vertical="center" wrapText="1"/>
      <protection locked="0"/>
    </xf>
    <xf numFmtId="0" fontId="164" fillId="28" borderId="0" xfId="0" applyFont="1" applyFill="1" applyAlignment="1">
      <alignment horizontal="left" vertical="top" readingOrder="1"/>
    </xf>
    <xf numFmtId="10" fontId="102" fillId="0" borderId="45" xfId="0" applyNumberFormat="1" applyFont="1" applyBorder="1" applyAlignment="1">
      <alignment horizontal="right" vertical="center"/>
    </xf>
    <xf numFmtId="0" fontId="22" fillId="0" borderId="44" xfId="0" applyFont="1" applyBorder="1" applyAlignment="1" applyProtection="1">
      <alignment horizontal="left" vertical="center"/>
      <protection locked="0"/>
    </xf>
    <xf numFmtId="0" fontId="2" fillId="0" borderId="46" xfId="0" applyFont="1" applyBorder="1" applyAlignment="1" applyProtection="1">
      <alignment horizontal="left" vertical="center"/>
      <protection locked="0"/>
    </xf>
    <xf numFmtId="0" fontId="170" fillId="0" borderId="7" xfId="0" applyFont="1" applyBorder="1" applyAlignment="1" applyProtection="1">
      <alignment horizontal="left" vertical="center" wrapText="1"/>
      <protection locked="0"/>
    </xf>
    <xf numFmtId="0" fontId="169" fillId="28" borderId="46" xfId="0" applyFont="1" applyFill="1" applyBorder="1" applyAlignment="1">
      <alignment horizontal="left" vertical="top" readingOrder="1"/>
    </xf>
    <xf numFmtId="0" fontId="171" fillId="0" borderId="46" xfId="0" applyFont="1" applyBorder="1" applyAlignment="1" applyProtection="1">
      <alignment horizontal="left" vertical="center" wrapText="1"/>
      <protection locked="0"/>
    </xf>
    <xf numFmtId="10" fontId="102" fillId="0" borderId="7" xfId="0" applyNumberFormat="1" applyFont="1" applyBorder="1" applyAlignment="1">
      <alignment horizontal="right" vertical="center"/>
    </xf>
    <xf numFmtId="166" fontId="2" fillId="2" borderId="39" xfId="0" applyNumberFormat="1" applyFont="1" applyFill="1" applyBorder="1" applyAlignment="1" applyProtection="1">
      <alignment vertical="center"/>
      <protection locked="0"/>
    </xf>
    <xf numFmtId="166" fontId="10" fillId="0" borderId="43" xfId="0" applyNumberFormat="1" applyFont="1" applyBorder="1" applyAlignment="1">
      <alignment horizontal="center" vertical="center"/>
    </xf>
    <xf numFmtId="0" fontId="97" fillId="28" borderId="124" xfId="0" applyFont="1" applyFill="1" applyBorder="1" applyAlignment="1">
      <alignment horizontal="center" vertical="center" wrapText="1" readingOrder="1"/>
    </xf>
    <xf numFmtId="4" fontId="46" fillId="2" borderId="45" xfId="0" applyNumberFormat="1" applyFont="1" applyFill="1" applyBorder="1" applyAlignment="1" applyProtection="1">
      <alignment vertical="center"/>
      <protection locked="0"/>
    </xf>
    <xf numFmtId="166" fontId="10" fillId="0" borderId="48" xfId="0" applyNumberFormat="1" applyFont="1" applyBorder="1" applyAlignment="1">
      <alignment horizontal="center" vertical="center"/>
    </xf>
    <xf numFmtId="0" fontId="97" fillId="28" borderId="64" xfId="0" applyFont="1" applyFill="1" applyBorder="1" applyAlignment="1">
      <alignment horizontal="center" vertical="center" wrapText="1" readingOrder="1"/>
    </xf>
    <xf numFmtId="166" fontId="10" fillId="0" borderId="44" xfId="0" applyNumberFormat="1" applyFont="1" applyBorder="1" applyAlignment="1">
      <alignment horizontal="center" vertical="center"/>
    </xf>
    <xf numFmtId="4" fontId="46" fillId="2" borderId="7" xfId="0" applyNumberFormat="1" applyFont="1" applyFill="1" applyBorder="1" applyAlignment="1" applyProtection="1">
      <alignment vertical="center"/>
      <protection locked="0"/>
    </xf>
    <xf numFmtId="0" fontId="10" fillId="23" borderId="26" xfId="0" applyFont="1" applyFill="1" applyBorder="1" applyAlignment="1">
      <alignment horizontal="center" vertical="justify" wrapText="1"/>
    </xf>
    <xf numFmtId="14" fontId="10" fillId="0" borderId="26" xfId="0" applyNumberFormat="1" applyFont="1" applyBorder="1" applyAlignment="1">
      <alignment horizontal="center" vertical="center"/>
    </xf>
    <xf numFmtId="4" fontId="23" fillId="4" borderId="8" xfId="1" applyNumberFormat="1" applyFont="1" applyFill="1" applyBorder="1" applyAlignment="1">
      <alignment vertical="center"/>
    </xf>
    <xf numFmtId="49" fontId="10" fillId="0" borderId="0" xfId="0" applyNumberFormat="1" applyFont="1" applyAlignment="1">
      <alignment vertical="center"/>
    </xf>
    <xf numFmtId="49" fontId="10" fillId="0" borderId="0" xfId="102" applyNumberFormat="1" applyFont="1" applyFill="1" applyAlignment="1">
      <alignment horizontal="left" vertical="center"/>
    </xf>
    <xf numFmtId="0" fontId="166" fillId="0" borderId="8" xfId="0" applyFont="1" applyBorder="1" applyAlignment="1">
      <alignment horizontal="left" vertical="top" wrapText="1" readingOrder="1"/>
    </xf>
    <xf numFmtId="2" fontId="10" fillId="0" borderId="0" xfId="0" applyNumberFormat="1" applyFont="1" applyAlignment="1">
      <alignment horizontal="center" vertical="center"/>
    </xf>
    <xf numFmtId="0" fontId="200" fillId="0" borderId="0" xfId="0" applyFont="1"/>
    <xf numFmtId="0" fontId="201" fillId="0" borderId="0" xfId="92" applyFont="1" applyAlignment="1">
      <alignment horizontal="left" vertical="center"/>
    </xf>
    <xf numFmtId="0" fontId="201" fillId="0" borderId="0" xfId="92" applyFont="1">
      <alignment vertical="center"/>
    </xf>
    <xf numFmtId="188" fontId="201" fillId="0" borderId="0" xfId="92" applyNumberFormat="1" applyFont="1" applyAlignment="1">
      <alignment horizontal="center" vertical="center"/>
    </xf>
    <xf numFmtId="0" fontId="201" fillId="0" borderId="0" xfId="92" applyFont="1" applyAlignment="1">
      <alignment horizontal="center" vertical="center"/>
    </xf>
    <xf numFmtId="0" fontId="201" fillId="0" borderId="0" xfId="92" applyFont="1" applyAlignment="1">
      <alignment horizontal="center"/>
    </xf>
    <xf numFmtId="0" fontId="201" fillId="2" borderId="0" xfId="92" applyFont="1" applyFill="1">
      <alignment vertical="center"/>
    </xf>
    <xf numFmtId="0" fontId="201" fillId="0" borderId="0" xfId="92" applyFont="1" applyAlignment="1">
      <alignment horizontal="left" vertical="center" wrapText="1"/>
    </xf>
    <xf numFmtId="0" fontId="199" fillId="0" borderId="0" xfId="92" applyFont="1" applyAlignment="1">
      <alignment horizontal="left" vertical="center" wrapText="1"/>
    </xf>
    <xf numFmtId="0" fontId="199" fillId="2" borderId="0" xfId="92" applyFont="1" applyFill="1" applyAlignment="1">
      <alignment horizontal="left" vertical="center" wrapText="1"/>
    </xf>
    <xf numFmtId="0" fontId="199" fillId="0" borderId="0" xfId="92" applyFont="1" applyAlignment="1">
      <alignment horizontal="left" vertical="center"/>
    </xf>
    <xf numFmtId="0" fontId="199" fillId="0" borderId="0" xfId="92" applyFont="1">
      <alignment vertical="center"/>
    </xf>
    <xf numFmtId="0" fontId="199" fillId="0" borderId="25" xfId="92" applyFont="1" applyBorder="1" applyAlignment="1">
      <alignment horizontal="center" vertical="center"/>
    </xf>
    <xf numFmtId="0" fontId="199" fillId="0" borderId="50" xfId="92" applyFont="1" applyBorder="1" applyAlignment="1">
      <alignment horizontal="center" vertical="center"/>
    </xf>
    <xf numFmtId="0" fontId="199" fillId="0" borderId="51" xfId="92" applyFont="1" applyBorder="1" applyAlignment="1">
      <alignment horizontal="center" vertical="center"/>
    </xf>
    <xf numFmtId="0" fontId="199" fillId="0" borderId="51" xfId="92" applyFont="1" applyBorder="1" applyAlignment="1">
      <alignment horizontal="center"/>
    </xf>
    <xf numFmtId="0" fontId="199" fillId="0" borderId="51" xfId="92" applyFont="1" applyBorder="1">
      <alignment vertical="center"/>
    </xf>
    <xf numFmtId="0" fontId="199" fillId="2" borderId="51" xfId="92" applyFont="1" applyFill="1" applyBorder="1">
      <alignment vertical="center"/>
    </xf>
    <xf numFmtId="17" fontId="199" fillId="25" borderId="8" xfId="92" applyNumberFormat="1" applyFont="1" applyFill="1" applyBorder="1" applyAlignment="1">
      <alignment horizontal="center" vertical="center"/>
    </xf>
    <xf numFmtId="0" fontId="203" fillId="28" borderId="8" xfId="0" applyFont="1" applyFill="1" applyBorder="1" applyAlignment="1">
      <alignment horizontal="left" vertical="top" wrapText="1" readingOrder="1"/>
    </xf>
    <xf numFmtId="0" fontId="204" fillId="28" borderId="8" xfId="0" applyFont="1" applyFill="1" applyBorder="1" applyAlignment="1" applyProtection="1">
      <alignment horizontal="left" vertical="center" wrapText="1" readingOrder="1"/>
      <protection locked="0"/>
    </xf>
    <xf numFmtId="0" fontId="205" fillId="0" borderId="8" xfId="0" applyFont="1" applyBorder="1" applyAlignment="1">
      <alignment horizontal="center" vertical="center"/>
    </xf>
    <xf numFmtId="188" fontId="205" fillId="0" borderId="8" xfId="0" applyNumberFormat="1" applyFont="1" applyBorder="1" applyAlignment="1">
      <alignment horizontal="center" vertical="center"/>
    </xf>
    <xf numFmtId="4" fontId="201" fillId="0" borderId="8" xfId="92" applyNumberFormat="1" applyFont="1" applyBorder="1" applyAlignment="1">
      <alignment horizontal="center" vertical="center"/>
    </xf>
    <xf numFmtId="4" fontId="201" fillId="0" borderId="8" xfId="92" applyNumberFormat="1" applyFont="1" applyBorder="1" applyAlignment="1">
      <alignment horizontal="center"/>
    </xf>
    <xf numFmtId="188" fontId="206" fillId="0" borderId="8" xfId="0" applyNumberFormat="1" applyFont="1" applyBorder="1" applyAlignment="1">
      <alignment horizontal="center" vertical="center"/>
    </xf>
    <xf numFmtId="0" fontId="201" fillId="2" borderId="8" xfId="0" applyFont="1" applyFill="1" applyBorder="1"/>
    <xf numFmtId="0" fontId="207" fillId="28" borderId="8" xfId="0" applyFont="1" applyFill="1" applyBorder="1" applyAlignment="1" applyProtection="1">
      <alignment horizontal="left" vertical="center" wrapText="1" readingOrder="1"/>
      <protection locked="0"/>
    </xf>
    <xf numFmtId="0" fontId="208" fillId="0" borderId="8" xfId="0" applyFont="1" applyBorder="1" applyAlignment="1">
      <alignment horizontal="center" vertical="center"/>
    </xf>
    <xf numFmtId="188" fontId="208" fillId="0" borderId="8" xfId="0" applyNumberFormat="1" applyFont="1" applyBorder="1" applyAlignment="1">
      <alignment horizontal="center" vertical="center"/>
    </xf>
    <xf numFmtId="0" fontId="209" fillId="28" borderId="8" xfId="0" applyFont="1" applyFill="1" applyBorder="1" applyAlignment="1" applyProtection="1">
      <alignment horizontal="left" vertical="center" wrapText="1" readingOrder="1"/>
      <protection locked="0"/>
    </xf>
    <xf numFmtId="0" fontId="201" fillId="0" borderId="8" xfId="0" applyFont="1" applyBorder="1" applyAlignment="1">
      <alignment horizontal="center" vertical="center"/>
    </xf>
    <xf numFmtId="188" fontId="201" fillId="0" borderId="8" xfId="0" applyNumberFormat="1" applyFont="1" applyBorder="1" applyAlignment="1">
      <alignment horizontal="center" vertical="center"/>
    </xf>
    <xf numFmtId="0" fontId="210" fillId="0" borderId="8" xfId="0" applyFont="1" applyBorder="1" applyAlignment="1">
      <alignment horizontal="center" vertical="center"/>
    </xf>
    <xf numFmtId="0" fontId="203" fillId="28" borderId="8" xfId="0" applyFont="1" applyFill="1" applyBorder="1" applyAlignment="1">
      <alignment horizontal="left" vertical="center" wrapText="1" readingOrder="1"/>
    </xf>
    <xf numFmtId="0" fontId="203" fillId="28" borderId="8" xfId="0" applyFont="1" applyFill="1" applyBorder="1" applyAlignment="1" applyProtection="1">
      <alignment horizontal="left" vertical="center" wrapText="1" readingOrder="1"/>
      <protection locked="0"/>
    </xf>
    <xf numFmtId="0" fontId="203" fillId="28" borderId="8" xfId="0" applyFont="1" applyFill="1" applyBorder="1" applyAlignment="1">
      <alignment horizontal="center" vertical="center" wrapText="1" readingOrder="1"/>
    </xf>
    <xf numFmtId="188" fontId="201" fillId="0" borderId="8" xfId="92" applyNumberFormat="1" applyFont="1" applyBorder="1" applyAlignment="1">
      <alignment horizontal="center" vertical="center"/>
    </xf>
    <xf numFmtId="4" fontId="199" fillId="34" borderId="8" xfId="92" applyNumberFormat="1" applyFont="1" applyFill="1" applyBorder="1" applyAlignment="1">
      <alignment horizontal="center" vertical="center"/>
    </xf>
    <xf numFmtId="4" fontId="199" fillId="0" borderId="8" xfId="92" applyNumberFormat="1" applyFont="1" applyBorder="1" applyAlignment="1">
      <alignment horizontal="center" vertical="center"/>
    </xf>
    <xf numFmtId="4" fontId="201" fillId="0" borderId="8" xfId="92" applyNumberFormat="1" applyFont="1" applyBorder="1" applyAlignment="1">
      <alignment horizontal="left" vertical="center"/>
    </xf>
    <xf numFmtId="4" fontId="201" fillId="2" borderId="8" xfId="0" applyNumberFormat="1" applyFont="1" applyFill="1" applyBorder="1" applyAlignment="1">
      <alignment horizontal="center" vertical="center"/>
    </xf>
    <xf numFmtId="0" fontId="200" fillId="0" borderId="0" xfId="0" applyFont="1" applyAlignment="1">
      <alignment horizontal="left" vertical="center"/>
    </xf>
    <xf numFmtId="4" fontId="199" fillId="35" borderId="8" xfId="92" applyNumberFormat="1" applyFont="1" applyFill="1" applyBorder="1" applyAlignment="1">
      <alignment horizontal="center" vertical="center"/>
    </xf>
    <xf numFmtId="188" fontId="200" fillId="0" borderId="8" xfId="0" applyNumberFormat="1" applyFont="1" applyBorder="1" applyAlignment="1">
      <alignment horizontal="center" vertical="center"/>
    </xf>
    <xf numFmtId="4" fontId="207" fillId="0" borderId="8" xfId="92" applyNumberFormat="1" applyFont="1" applyBorder="1" applyAlignment="1">
      <alignment horizontal="center" vertical="center"/>
    </xf>
    <xf numFmtId="4" fontId="207" fillId="0" borderId="8" xfId="92" applyNumberFormat="1" applyFont="1" applyBorder="1" applyAlignment="1">
      <alignment horizontal="left" vertical="center"/>
    </xf>
    <xf numFmtId="188" fontId="200" fillId="0" borderId="8" xfId="92" applyNumberFormat="1" applyFont="1" applyBorder="1" applyAlignment="1">
      <alignment horizontal="center" vertical="center"/>
    </xf>
    <xf numFmtId="0" fontId="203" fillId="28" borderId="8" xfId="0" applyFont="1" applyFill="1" applyBorder="1" applyAlignment="1">
      <alignment vertical="center" wrapText="1" readingOrder="1"/>
    </xf>
    <xf numFmtId="0" fontId="211" fillId="28" borderId="8" xfId="0" applyFont="1" applyFill="1" applyBorder="1" applyAlignment="1" applyProtection="1">
      <alignment horizontal="left" vertical="center" wrapText="1" readingOrder="1"/>
      <protection locked="0"/>
    </xf>
    <xf numFmtId="188" fontId="201" fillId="0" borderId="8" xfId="92" applyNumberFormat="1" applyFont="1" applyBorder="1">
      <alignment vertical="center"/>
    </xf>
    <xf numFmtId="0" fontId="210" fillId="0" borderId="8" xfId="0" applyFont="1" applyBorder="1" applyAlignment="1">
      <alignment vertical="center"/>
    </xf>
    <xf numFmtId="188" fontId="207" fillId="0" borderId="8" xfId="92" applyNumberFormat="1" applyFont="1" applyBorder="1" applyAlignment="1">
      <alignment horizontal="center" vertical="center"/>
    </xf>
    <xf numFmtId="188" fontId="201" fillId="0" borderId="8" xfId="92" applyNumberFormat="1" applyFont="1" applyBorder="1" applyAlignment="1">
      <alignment horizontal="left" vertical="center"/>
    </xf>
    <xf numFmtId="0" fontId="212" fillId="28" borderId="8" xfId="0" applyFont="1" applyFill="1" applyBorder="1" applyAlignment="1" applyProtection="1">
      <alignment horizontal="left" vertical="center" wrapText="1" readingOrder="1"/>
      <protection locked="0"/>
    </xf>
    <xf numFmtId="0" fontId="201" fillId="0" borderId="8" xfId="0" applyFont="1" applyBorder="1" applyAlignment="1">
      <alignment horizontal="left" vertical="center"/>
    </xf>
    <xf numFmtId="188" fontId="201" fillId="0" borderId="8" xfId="0" applyNumberFormat="1" applyFont="1" applyBorder="1" applyAlignment="1">
      <alignment horizontal="left" vertical="center"/>
    </xf>
    <xf numFmtId="0" fontId="210" fillId="0" borderId="8" xfId="0" applyFont="1" applyBorder="1" applyAlignment="1">
      <alignment horizontal="left" vertical="center"/>
    </xf>
    <xf numFmtId="0" fontId="200" fillId="0" borderId="8" xfId="0" applyFont="1" applyBorder="1" applyAlignment="1">
      <alignment horizontal="left" vertical="center"/>
    </xf>
    <xf numFmtId="0" fontId="208" fillId="0" borderId="8" xfId="0" applyFont="1" applyBorder="1" applyAlignment="1">
      <alignment horizontal="left" vertical="center"/>
    </xf>
    <xf numFmtId="0" fontId="205" fillId="0" borderId="8" xfId="0" applyFont="1" applyBorder="1" applyAlignment="1">
      <alignment horizontal="left" vertical="center"/>
    </xf>
    <xf numFmtId="188" fontId="203" fillId="9" borderId="8" xfId="0" applyNumberFormat="1" applyFont="1" applyFill="1" applyBorder="1" applyAlignment="1" applyProtection="1">
      <alignment horizontal="center" vertical="center"/>
      <protection locked="0"/>
    </xf>
    <xf numFmtId="188" fontId="203" fillId="28" borderId="8" xfId="0" applyNumberFormat="1" applyFont="1" applyFill="1" applyBorder="1" applyAlignment="1">
      <alignment horizontal="center" vertical="center" wrapText="1" readingOrder="1"/>
    </xf>
    <xf numFmtId="0" fontId="203" fillId="0" borderId="8" xfId="0" applyFont="1" applyBorder="1" applyAlignment="1">
      <alignment horizontal="left" vertical="center" wrapText="1" readingOrder="1"/>
    </xf>
    <xf numFmtId="0" fontId="211" fillId="0" borderId="8" xfId="0" applyFont="1" applyBorder="1" applyAlignment="1" applyProtection="1">
      <alignment horizontal="left" vertical="center" wrapText="1" readingOrder="1"/>
      <protection locked="0"/>
    </xf>
    <xf numFmtId="0" fontId="203" fillId="0" borderId="8" xfId="0" applyFont="1" applyBorder="1" applyAlignment="1">
      <alignment horizontal="center" vertical="center" wrapText="1" readingOrder="1"/>
    </xf>
    <xf numFmtId="0" fontId="212" fillId="28" borderId="8" xfId="0" applyFont="1" applyFill="1" applyBorder="1" applyAlignment="1">
      <alignment horizontal="center" vertical="center" wrapText="1" readingOrder="1"/>
    </xf>
    <xf numFmtId="0" fontId="213" fillId="28" borderId="8" xfId="0" applyFont="1" applyFill="1" applyBorder="1" applyAlignment="1" applyProtection="1">
      <alignment horizontal="left" vertical="center" wrapText="1" readingOrder="1"/>
      <protection locked="0"/>
    </xf>
    <xf numFmtId="188" fontId="213" fillId="0" borderId="8" xfId="92" applyNumberFormat="1" applyFont="1" applyBorder="1" applyAlignment="1">
      <alignment horizontal="center" vertical="center"/>
    </xf>
    <xf numFmtId="0" fontId="206" fillId="28" borderId="8" xfId="0" applyFont="1" applyFill="1" applyBorder="1" applyAlignment="1" applyProtection="1">
      <alignment horizontal="left" vertical="center" wrapText="1" readingOrder="1"/>
      <protection locked="0"/>
    </xf>
    <xf numFmtId="0" fontId="200" fillId="0" borderId="8" xfId="0" applyFont="1" applyBorder="1"/>
    <xf numFmtId="188" fontId="213" fillId="0" borderId="8" xfId="0" applyNumberFormat="1" applyFont="1" applyBorder="1" applyAlignment="1">
      <alignment horizontal="center" vertical="center"/>
    </xf>
    <xf numFmtId="0" fontId="201" fillId="28" borderId="8" xfId="0" applyFont="1" applyFill="1" applyBorder="1" applyAlignment="1">
      <alignment horizontal="center" vertical="center" wrapText="1" readingOrder="1"/>
    </xf>
    <xf numFmtId="0" fontId="214" fillId="28" borderId="8" xfId="0" applyFont="1" applyFill="1" applyBorder="1" applyAlignment="1" applyProtection="1">
      <alignment horizontal="left" vertical="center" wrapText="1" readingOrder="1"/>
      <protection locked="0"/>
    </xf>
    <xf numFmtId="0" fontId="200" fillId="0" borderId="8" xfId="0" applyFont="1" applyBorder="1" applyAlignment="1">
      <alignment horizontal="center"/>
    </xf>
    <xf numFmtId="0" fontId="215" fillId="28" borderId="8" xfId="0" applyFont="1" applyFill="1" applyBorder="1" applyAlignment="1" applyProtection="1">
      <alignment horizontal="left" vertical="center" wrapText="1" readingOrder="1"/>
      <protection locked="0"/>
    </xf>
    <xf numFmtId="0" fontId="216" fillId="28" borderId="8" xfId="0" applyFont="1" applyFill="1" applyBorder="1" applyAlignment="1">
      <alignment horizontal="left" vertical="center" wrapText="1" readingOrder="1"/>
    </xf>
    <xf numFmtId="0" fontId="217" fillId="28" borderId="8" xfId="0" applyFont="1" applyFill="1" applyBorder="1" applyAlignment="1">
      <alignment horizontal="left" vertical="center" wrapText="1" readingOrder="1"/>
    </xf>
    <xf numFmtId="188" fontId="201" fillId="2" borderId="8" xfId="0" applyNumberFormat="1" applyFont="1" applyFill="1" applyBorder="1" applyAlignment="1">
      <alignment horizontal="center" vertical="center"/>
    </xf>
    <xf numFmtId="0" fontId="218" fillId="28" borderId="8" xfId="0" applyFont="1" applyFill="1" applyBorder="1" applyAlignment="1">
      <alignment horizontal="left" vertical="top" wrapText="1" readingOrder="1"/>
    </xf>
    <xf numFmtId="0" fontId="207" fillId="28" borderId="8" xfId="0" applyFont="1" applyFill="1" applyBorder="1" applyAlignment="1">
      <alignment horizontal="left" vertical="top" wrapText="1" readingOrder="1"/>
    </xf>
    <xf numFmtId="0" fontId="216" fillId="28" borderId="8" xfId="0" applyFont="1" applyFill="1" applyBorder="1" applyAlignment="1">
      <alignment horizontal="left" vertical="top" wrapText="1" readingOrder="1"/>
    </xf>
    <xf numFmtId="0" fontId="217" fillId="28" borderId="8" xfId="0" applyFont="1" applyFill="1" applyBorder="1" applyAlignment="1">
      <alignment horizontal="left" vertical="top" wrapText="1" readingOrder="1"/>
    </xf>
    <xf numFmtId="0" fontId="219" fillId="28" borderId="8" xfId="0" applyFont="1" applyFill="1" applyBorder="1" applyAlignment="1">
      <alignment horizontal="left" vertical="top" wrapText="1" readingOrder="1"/>
    </xf>
    <xf numFmtId="0" fontId="220" fillId="28" borderId="8" xfId="0" applyFont="1" applyFill="1" applyBorder="1" applyAlignment="1">
      <alignment horizontal="left" vertical="top" wrapText="1" shrinkToFit="1" readingOrder="1"/>
    </xf>
    <xf numFmtId="0" fontId="221" fillId="28" borderId="8" xfId="0" applyFont="1" applyFill="1" applyBorder="1" applyAlignment="1">
      <alignment horizontal="left" vertical="top" wrapText="1" shrinkToFit="1" readingOrder="1"/>
    </xf>
    <xf numFmtId="188" fontId="222" fillId="0" borderId="8" xfId="0" applyNumberFormat="1" applyFont="1" applyBorder="1" applyAlignment="1">
      <alignment horizontal="center" vertical="center"/>
    </xf>
    <xf numFmtId="0" fontId="207" fillId="28" borderId="8" xfId="0" applyFont="1" applyFill="1" applyBorder="1" applyAlignment="1">
      <alignment horizontal="left" vertical="center" wrapText="1" readingOrder="1"/>
    </xf>
    <xf numFmtId="0" fontId="181" fillId="28" borderId="8" xfId="0" applyFont="1" applyFill="1" applyBorder="1" applyAlignment="1">
      <alignment horizontal="left" vertical="center" wrapText="1" readingOrder="1"/>
    </xf>
    <xf numFmtId="0" fontId="182" fillId="28" borderId="8" xfId="0" applyFont="1" applyFill="1" applyBorder="1" applyAlignment="1">
      <alignment horizontal="left" vertical="center" wrapText="1" shrinkToFit="1" readingOrder="1"/>
    </xf>
    <xf numFmtId="0" fontId="221" fillId="28" borderId="8" xfId="0" applyFont="1" applyFill="1" applyBorder="1" applyAlignment="1">
      <alignment horizontal="left" vertical="center" wrapText="1" shrinkToFit="1" readingOrder="1"/>
    </xf>
    <xf numFmtId="0" fontId="181" fillId="28" borderId="8" xfId="0" applyFont="1" applyFill="1" applyBorder="1" applyAlignment="1">
      <alignment vertical="center" wrapText="1" readingOrder="1"/>
    </xf>
    <xf numFmtId="0" fontId="212" fillId="28" borderId="8" xfId="0" applyFont="1" applyFill="1" applyBorder="1" applyAlignment="1" applyProtection="1">
      <alignment horizontal="center" vertical="center" wrapText="1" readingOrder="1"/>
      <protection locked="0"/>
    </xf>
    <xf numFmtId="0" fontId="223" fillId="0" borderId="8" xfId="92" applyFont="1" applyBorder="1" applyAlignment="1" applyProtection="1">
      <alignment horizontal="left" vertical="center"/>
      <protection locked="0"/>
    </xf>
    <xf numFmtId="188" fontId="199" fillId="0" borderId="8" xfId="92" applyNumberFormat="1" applyFont="1" applyBorder="1" applyAlignment="1">
      <alignment horizontal="left" vertical="center"/>
    </xf>
    <xf numFmtId="188" fontId="224" fillId="0" borderId="8" xfId="0" applyNumberFormat="1" applyFont="1" applyBorder="1" applyAlignment="1">
      <alignment horizontal="center"/>
    </xf>
    <xf numFmtId="0" fontId="201" fillId="0" borderId="0" xfId="92" applyFont="1" applyAlignment="1" applyProtection="1">
      <alignment horizontal="center" vertical="center"/>
      <protection locked="0"/>
    </xf>
    <xf numFmtId="4" fontId="207" fillId="0" borderId="131" xfId="92" applyNumberFormat="1" applyFont="1" applyBorder="1" applyAlignment="1">
      <alignment horizontal="center" vertical="center"/>
    </xf>
    <xf numFmtId="4" fontId="207" fillId="0" borderId="137" xfId="92" applyNumberFormat="1" applyFont="1" applyBorder="1" applyAlignment="1">
      <alignment horizontal="center" vertical="center"/>
    </xf>
    <xf numFmtId="10" fontId="199" fillId="0" borderId="137" xfId="92" applyNumberFormat="1" applyFont="1" applyBorder="1" applyAlignment="1">
      <alignment horizontal="center" vertical="center"/>
    </xf>
    <xf numFmtId="10" fontId="199" fillId="0" borderId="138" xfId="92" applyNumberFormat="1" applyFont="1" applyBorder="1" applyAlignment="1">
      <alignment horizontal="center" vertical="center"/>
    </xf>
    <xf numFmtId="10" fontId="199" fillId="0" borderId="138" xfId="92" applyNumberFormat="1" applyFont="1" applyBorder="1" applyAlignment="1">
      <alignment horizontal="center"/>
    </xf>
    <xf numFmtId="10" fontId="199" fillId="2" borderId="138" xfId="92" applyNumberFormat="1" applyFont="1" applyFill="1" applyBorder="1" applyAlignment="1">
      <alignment horizontal="center" vertical="center"/>
    </xf>
    <xf numFmtId="10" fontId="199" fillId="0" borderId="131" xfId="92" applyNumberFormat="1" applyFont="1" applyBorder="1" applyAlignment="1">
      <alignment horizontal="center" vertical="center"/>
    </xf>
    <xf numFmtId="10" fontId="199" fillId="0" borderId="142" xfId="92" applyNumberFormat="1" applyFont="1" applyBorder="1" applyAlignment="1">
      <alignment horizontal="center" vertical="center"/>
    </xf>
    <xf numFmtId="191" fontId="199" fillId="0" borderId="77" xfId="92" applyNumberFormat="1" applyFont="1" applyBorder="1" applyAlignment="1">
      <alignment horizontal="center" vertical="center"/>
    </xf>
    <xf numFmtId="191" fontId="199" fillId="0" borderId="76" xfId="92" applyNumberFormat="1" applyFont="1" applyBorder="1" applyAlignment="1">
      <alignment horizontal="center" vertical="center"/>
    </xf>
    <xf numFmtId="191" fontId="199" fillId="0" borderId="130" xfId="92" applyNumberFormat="1" applyFont="1" applyBorder="1" applyAlignment="1">
      <alignment horizontal="center" vertical="center"/>
    </xf>
    <xf numFmtId="191" fontId="199" fillId="0" borderId="134" xfId="92" applyNumberFormat="1" applyFont="1" applyBorder="1" applyAlignment="1">
      <alignment horizontal="center" vertical="center"/>
    </xf>
    <xf numFmtId="10" fontId="199" fillId="0" borderId="144" xfId="92" applyNumberFormat="1" applyFont="1" applyBorder="1" applyAlignment="1">
      <alignment horizontal="center" vertical="center"/>
    </xf>
    <xf numFmtId="10" fontId="199" fillId="0" borderId="139" xfId="92" applyNumberFormat="1" applyFont="1" applyBorder="1" applyAlignment="1">
      <alignment horizontal="center" vertical="center"/>
    </xf>
    <xf numFmtId="10" fontId="199" fillId="0" borderId="139" xfId="92" applyNumberFormat="1" applyFont="1" applyBorder="1" applyAlignment="1">
      <alignment horizontal="center"/>
    </xf>
    <xf numFmtId="10" fontId="199" fillId="0" borderId="140" xfId="92" applyNumberFormat="1" applyFont="1" applyBorder="1" applyAlignment="1">
      <alignment horizontal="center" vertical="center"/>
    </xf>
    <xf numFmtId="10" fontId="199" fillId="0" borderId="135" xfId="92" applyNumberFormat="1" applyFont="1" applyBorder="1" applyAlignment="1">
      <alignment horizontal="center" vertical="center"/>
    </xf>
    <xf numFmtId="192" fontId="199" fillId="0" borderId="144" xfId="92" applyNumberFormat="1" applyFont="1" applyBorder="1" applyAlignment="1">
      <alignment horizontal="center" vertical="center"/>
    </xf>
    <xf numFmtId="0" fontId="200" fillId="0" borderId="0" xfId="0" applyFont="1" applyAlignment="1">
      <alignment horizontal="left"/>
    </xf>
    <xf numFmtId="4" fontId="215" fillId="0" borderId="141" xfId="92" applyNumberFormat="1" applyFont="1" applyBorder="1" applyAlignment="1">
      <alignment horizontal="center" vertical="center"/>
    </xf>
    <xf numFmtId="4" fontId="215" fillId="0" borderId="136" xfId="92" applyNumberFormat="1" applyFont="1" applyBorder="1" applyAlignment="1">
      <alignment horizontal="center" vertical="center"/>
    </xf>
    <xf numFmtId="4" fontId="215" fillId="0" borderId="136" xfId="92" applyNumberFormat="1" applyFont="1" applyBorder="1" applyAlignment="1">
      <alignment horizontal="center"/>
    </xf>
    <xf numFmtId="4" fontId="215" fillId="0" borderId="133" xfId="92" applyNumberFormat="1" applyFont="1" applyBorder="1" applyAlignment="1">
      <alignment horizontal="center" vertical="center"/>
    </xf>
    <xf numFmtId="191" fontId="199" fillId="0" borderId="76" xfId="92" applyNumberFormat="1" applyFont="1" applyBorder="1" applyAlignment="1">
      <alignment horizontal="center"/>
    </xf>
    <xf numFmtId="191" fontId="199" fillId="0" borderId="130" xfId="92" applyNumberFormat="1" applyFont="1" applyBorder="1" applyAlignment="1">
      <alignment horizontal="center"/>
    </xf>
    <xf numFmtId="192" fontId="199" fillId="0" borderId="140" xfId="92" applyNumberFormat="1" applyFont="1" applyBorder="1" applyAlignment="1">
      <alignment horizontal="center" vertical="center"/>
    </xf>
    <xf numFmtId="0" fontId="200" fillId="0" borderId="0" xfId="0" applyFont="1" applyAlignment="1">
      <alignment horizontal="center" vertical="center"/>
    </xf>
    <xf numFmtId="0" fontId="199" fillId="0" borderId="0" xfId="92" applyFont="1" applyAlignment="1" applyProtection="1">
      <alignment horizontal="left" vertical="center"/>
      <protection locked="0"/>
    </xf>
    <xf numFmtId="0" fontId="201" fillId="0" borderId="0" xfId="92" applyFont="1" applyAlignment="1" applyProtection="1">
      <alignment horizontal="left" vertical="center"/>
      <protection locked="0"/>
    </xf>
    <xf numFmtId="188" fontId="201" fillId="0" borderId="0" xfId="92" applyNumberFormat="1" applyFont="1" applyAlignment="1" applyProtection="1">
      <alignment horizontal="center" vertical="center"/>
      <protection locked="0"/>
    </xf>
    <xf numFmtId="10" fontId="199" fillId="0" borderId="0" xfId="92" applyNumberFormat="1" applyFont="1" applyAlignment="1">
      <alignment horizontal="center" vertical="center"/>
    </xf>
    <xf numFmtId="10" fontId="199" fillId="0" borderId="0" xfId="92" applyNumberFormat="1" applyFont="1" applyAlignment="1">
      <alignment horizontal="center"/>
    </xf>
    <xf numFmtId="188" fontId="199" fillId="0" borderId="0" xfId="92" applyNumberFormat="1" applyFont="1" applyAlignment="1">
      <alignment horizontal="center" vertical="center"/>
    </xf>
    <xf numFmtId="188" fontId="200" fillId="0" borderId="0" xfId="0" applyNumberFormat="1" applyFont="1" applyAlignment="1">
      <alignment horizontal="center"/>
    </xf>
    <xf numFmtId="0" fontId="200" fillId="0" borderId="0" xfId="0" applyFont="1" applyAlignment="1">
      <alignment horizontal="center"/>
    </xf>
    <xf numFmtId="0" fontId="200" fillId="2" borderId="0" xfId="0" applyFont="1" applyFill="1"/>
    <xf numFmtId="188" fontId="200" fillId="0" borderId="0" xfId="0" applyNumberFormat="1" applyFont="1"/>
    <xf numFmtId="4" fontId="200" fillId="0" borderId="0" xfId="0" applyNumberFormat="1" applyFont="1"/>
    <xf numFmtId="4" fontId="200" fillId="0" borderId="0" xfId="0" applyNumberFormat="1" applyFont="1" applyAlignment="1">
      <alignment horizontal="center"/>
    </xf>
    <xf numFmtId="188" fontId="200" fillId="2" borderId="0" xfId="0" applyNumberFormat="1" applyFont="1" applyFill="1"/>
    <xf numFmtId="192" fontId="22" fillId="2" borderId="3" xfId="1" applyNumberFormat="1" applyFont="1" applyFill="1" applyBorder="1" applyAlignment="1">
      <alignment horizontal="center" vertical="center"/>
    </xf>
    <xf numFmtId="0" fontId="150" fillId="2" borderId="0" xfId="0" applyFont="1" applyFill="1" applyAlignment="1">
      <alignment vertical="center"/>
    </xf>
    <xf numFmtId="0" fontId="59" fillId="2" borderId="0" xfId="0" applyFont="1" applyFill="1" applyAlignment="1">
      <alignment vertical="center"/>
    </xf>
    <xf numFmtId="0" fontId="151" fillId="2" borderId="0" xfId="0" applyFont="1" applyFill="1" applyAlignment="1">
      <alignment vertical="center"/>
    </xf>
    <xf numFmtId="0" fontId="152" fillId="2" borderId="0" xfId="0" applyFont="1" applyFill="1" applyAlignment="1">
      <alignment vertical="center"/>
    </xf>
    <xf numFmtId="0" fontId="156" fillId="2" borderId="0" xfId="0" applyFont="1" applyFill="1" applyAlignment="1">
      <alignment horizontal="left" vertical="center"/>
    </xf>
    <xf numFmtId="0" fontId="158" fillId="2" borderId="0" xfId="0" applyFont="1" applyFill="1" applyAlignment="1">
      <alignment horizontal="left" vertical="center"/>
    </xf>
    <xf numFmtId="0" fontId="28" fillId="0" borderId="8" xfId="0" applyFont="1" applyBorder="1" applyAlignment="1">
      <alignment horizontal="left" vertical="center"/>
    </xf>
    <xf numFmtId="0" fontId="163" fillId="0" borderId="8" xfId="0" applyFont="1" applyBorder="1" applyAlignment="1" applyProtection="1">
      <alignment horizontal="left" vertical="center" wrapText="1"/>
      <protection locked="0"/>
    </xf>
    <xf numFmtId="0" fontId="192" fillId="0" borderId="8" xfId="0" applyFont="1" applyBorder="1" applyAlignment="1">
      <alignment horizontal="left" vertical="top" wrapText="1" readingOrder="1"/>
    </xf>
    <xf numFmtId="0" fontId="225" fillId="0" borderId="8" xfId="0" applyFont="1" applyBorder="1" applyAlignment="1">
      <alignment horizontal="left" vertical="top" wrapText="1" readingOrder="1"/>
    </xf>
    <xf numFmtId="0" fontId="184" fillId="2" borderId="8" xfId="0" applyFont="1" applyFill="1" applyBorder="1" applyAlignment="1">
      <alignment horizontal="center" vertical="center" wrapText="1" readingOrder="1"/>
    </xf>
    <xf numFmtId="0" fontId="197" fillId="28" borderId="8" xfId="0" applyFont="1" applyFill="1" applyBorder="1" applyAlignment="1">
      <alignment horizontal="left" vertical="center" wrapText="1" readingOrder="1"/>
    </xf>
    <xf numFmtId="2" fontId="182" fillId="28" borderId="8" xfId="0" applyNumberFormat="1" applyFont="1" applyFill="1" applyBorder="1" applyAlignment="1">
      <alignment horizontal="center" vertical="center" wrapText="1" readingOrder="1"/>
    </xf>
    <xf numFmtId="0" fontId="0" fillId="0" borderId="8" xfId="0" applyBorder="1" applyAlignment="1">
      <alignment horizontal="left" vertical="center"/>
    </xf>
    <xf numFmtId="0" fontId="226" fillId="28" borderId="8" xfId="0" applyFont="1" applyFill="1" applyBorder="1" applyAlignment="1">
      <alignment horizontal="left" vertical="top" wrapText="1" readingOrder="1"/>
    </xf>
    <xf numFmtId="0" fontId="227" fillId="28" borderId="8" xfId="0" applyFont="1" applyFill="1" applyBorder="1" applyAlignment="1">
      <alignment horizontal="left" vertical="center" wrapText="1" readingOrder="1"/>
    </xf>
    <xf numFmtId="0" fontId="6" fillId="2" borderId="8" xfId="0" applyFont="1" applyFill="1" applyBorder="1" applyAlignment="1">
      <alignment horizontal="center" vertical="center" wrapText="1" readingOrder="1"/>
    </xf>
    <xf numFmtId="0" fontId="6" fillId="28" borderId="8" xfId="0" applyFont="1" applyFill="1" applyBorder="1" applyAlignment="1">
      <alignment horizontal="center" vertical="center" wrapText="1" readingOrder="1"/>
    </xf>
    <xf numFmtId="43" fontId="184" fillId="0" borderId="8" xfId="0" applyNumberFormat="1" applyFont="1" applyBorder="1" applyAlignment="1">
      <alignment horizontal="center" vertical="top" wrapText="1" readingOrder="1"/>
    </xf>
    <xf numFmtId="2" fontId="182" fillId="28" borderId="8" xfId="0" applyNumberFormat="1" applyFont="1" applyFill="1" applyBorder="1" applyAlignment="1">
      <alignment horizontal="center" vertical="top" wrapText="1" readingOrder="1"/>
    </xf>
    <xf numFmtId="0" fontId="228" fillId="28" borderId="8" xfId="0" applyFont="1" applyFill="1" applyBorder="1" applyAlignment="1">
      <alignment horizontal="left" vertical="center" wrapText="1" readingOrder="1"/>
    </xf>
    <xf numFmtId="193" fontId="182" fillId="28" borderId="8" xfId="0" applyNumberFormat="1" applyFont="1" applyFill="1" applyBorder="1" applyAlignment="1">
      <alignment horizontal="center" vertical="top" wrapText="1" readingOrder="1"/>
    </xf>
    <xf numFmtId="0" fontId="81" fillId="0" borderId="0" xfId="0" applyFont="1" applyAlignment="1">
      <alignment horizontal="left" vertical="center"/>
    </xf>
    <xf numFmtId="0" fontId="198" fillId="0" borderId="0" xfId="0" applyFont="1" applyAlignment="1">
      <alignment horizontal="center" vertical="center"/>
    </xf>
    <xf numFmtId="4" fontId="46" fillId="0" borderId="8" xfId="0" applyNumberFormat="1" applyFont="1" applyBorder="1" applyAlignment="1">
      <alignment horizontal="center" vertical="center"/>
    </xf>
    <xf numFmtId="2" fontId="81" fillId="0" borderId="8" xfId="0" applyNumberFormat="1" applyFont="1" applyBorder="1" applyAlignment="1">
      <alignment horizontal="center" vertical="center"/>
    </xf>
    <xf numFmtId="0" fontId="165" fillId="28" borderId="25" xfId="0" applyFont="1" applyFill="1" applyBorder="1" applyAlignment="1">
      <alignment vertical="top" wrapText="1" readingOrder="1"/>
    </xf>
    <xf numFmtId="0" fontId="198" fillId="36" borderId="8" xfId="0" applyFont="1" applyFill="1" applyBorder="1" applyAlignment="1">
      <alignment horizontal="left" vertical="top" wrapText="1"/>
    </xf>
    <xf numFmtId="0" fontId="229" fillId="36" borderId="25" xfId="0" applyFont="1" applyFill="1" applyBorder="1" applyAlignment="1">
      <alignment vertical="top" wrapText="1"/>
    </xf>
    <xf numFmtId="2" fontId="81" fillId="0" borderId="8" xfId="0" applyNumberFormat="1" applyFont="1" applyBorder="1" applyAlignment="1">
      <alignment horizontal="center"/>
    </xf>
    <xf numFmtId="0" fontId="165" fillId="2" borderId="8" xfId="0" applyFont="1" applyFill="1" applyBorder="1" applyAlignment="1">
      <alignment horizontal="left" vertical="top" wrapText="1" readingOrder="1"/>
    </xf>
    <xf numFmtId="0" fontId="165" fillId="2" borderId="8" xfId="0" applyFont="1" applyFill="1" applyBorder="1" applyAlignment="1">
      <alignment vertical="top" wrapText="1" readingOrder="1"/>
    </xf>
    <xf numFmtId="0" fontId="168" fillId="28" borderId="8" xfId="0" applyFont="1" applyFill="1" applyBorder="1" applyAlignment="1">
      <alignment horizontal="center" vertical="center" wrapText="1" readingOrder="1"/>
    </xf>
    <xf numFmtId="0" fontId="198" fillId="36" borderId="8" xfId="0" applyFont="1" applyFill="1" applyBorder="1" applyAlignment="1">
      <alignment vertical="top" wrapText="1"/>
    </xf>
    <xf numFmtId="4" fontId="46" fillId="2" borderId="8" xfId="0" applyNumberFormat="1" applyFont="1" applyFill="1" applyBorder="1" applyAlignment="1">
      <alignment horizontal="center" vertical="center"/>
    </xf>
    <xf numFmtId="0" fontId="97" fillId="28" borderId="25" xfId="0" applyFont="1" applyFill="1" applyBorder="1" applyAlignment="1">
      <alignment vertical="top" wrapText="1" readingOrder="1"/>
    </xf>
    <xf numFmtId="0" fontId="165" fillId="0" borderId="8" xfId="0" applyFont="1" applyBorder="1" applyAlignment="1">
      <alignment horizontal="left" vertical="top" wrapText="1"/>
    </xf>
    <xf numFmtId="0" fontId="165" fillId="0" borderId="8" xfId="0" applyFont="1" applyBorder="1" applyAlignment="1">
      <alignment vertical="top" wrapText="1"/>
    </xf>
    <xf numFmtId="0" fontId="81" fillId="0" borderId="8" xfId="0" applyFont="1" applyBorder="1" applyAlignment="1">
      <alignment horizontal="left" vertical="top" wrapText="1"/>
    </xf>
    <xf numFmtId="0" fontId="81" fillId="0" borderId="8" xfId="0" applyFont="1" applyBorder="1" applyAlignment="1">
      <alignment vertical="top" wrapText="1"/>
    </xf>
    <xf numFmtId="0" fontId="97" fillId="28" borderId="21" xfId="0" applyFont="1" applyFill="1" applyBorder="1" applyAlignment="1">
      <alignment horizontal="center" vertical="center" wrapText="1" readingOrder="1"/>
    </xf>
    <xf numFmtId="0" fontId="97" fillId="0" borderId="8" xfId="0" applyFont="1" applyBorder="1" applyAlignment="1">
      <alignment horizontal="center" vertical="center" wrapText="1" readingOrder="1"/>
    </xf>
    <xf numFmtId="4" fontId="146" fillId="2" borderId="8" xfId="0" applyNumberFormat="1" applyFont="1" applyFill="1" applyBorder="1" applyAlignment="1">
      <alignment horizontal="center" vertical="center"/>
    </xf>
    <xf numFmtId="43" fontId="46" fillId="0" borderId="8" xfId="93" applyFont="1" applyFill="1" applyBorder="1" applyAlignment="1">
      <alignment horizontal="center" vertical="center"/>
    </xf>
    <xf numFmtId="0" fontId="231" fillId="0" borderId="8" xfId="0" applyFont="1" applyBorder="1" applyAlignment="1">
      <alignment horizontal="left" vertical="top" wrapText="1" shrinkToFit="1" readingOrder="1"/>
    </xf>
    <xf numFmtId="0" fontId="165" fillId="0" borderId="8" xfId="0" applyFont="1" applyBorder="1" applyAlignment="1">
      <alignment vertical="top" wrapText="1" shrinkToFit="1" readingOrder="1"/>
    </xf>
    <xf numFmtId="0" fontId="167" fillId="0" borderId="8" xfId="0" applyFont="1" applyBorder="1" applyAlignment="1">
      <alignment horizontal="center" vertical="top" wrapText="1" shrinkToFit="1" readingOrder="1"/>
    </xf>
    <xf numFmtId="0" fontId="232" fillId="0" borderId="8" xfId="0" applyFont="1" applyBorder="1" applyAlignment="1">
      <alignment horizontal="left" vertical="top" wrapText="1" shrinkToFit="1" readingOrder="1"/>
    </xf>
    <xf numFmtId="0" fontId="233" fillId="0" borderId="8" xfId="0" applyFont="1" applyBorder="1" applyAlignment="1">
      <alignment vertical="top" wrapText="1" shrinkToFit="1" readingOrder="1"/>
    </xf>
    <xf numFmtId="0" fontId="166" fillId="0" borderId="8" xfId="0" applyFont="1" applyBorder="1" applyAlignment="1">
      <alignment horizontal="center" vertical="top" wrapText="1" shrinkToFit="1" readingOrder="1"/>
    </xf>
    <xf numFmtId="0" fontId="97" fillId="0" borderId="8" xfId="0" applyFont="1" applyBorder="1" applyAlignment="1">
      <alignment horizontal="left" vertical="top" wrapText="1" shrinkToFit="1" readingOrder="1"/>
    </xf>
    <xf numFmtId="0" fontId="97" fillId="0" borderId="8" xfId="0" applyFont="1" applyBorder="1" applyAlignment="1">
      <alignment vertical="top" wrapText="1" shrinkToFit="1" readingOrder="1"/>
    </xf>
    <xf numFmtId="0" fontId="97" fillId="0" borderId="8" xfId="0" applyFont="1" applyBorder="1" applyAlignment="1">
      <alignment horizontal="center" vertical="top" wrapText="1" shrinkToFit="1" readingOrder="1"/>
    </xf>
    <xf numFmtId="2" fontId="97" fillId="0" borderId="8" xfId="0" applyNumberFormat="1" applyFont="1" applyBorder="1" applyAlignment="1">
      <alignment horizontal="center" vertical="center" wrapText="1" readingOrder="1"/>
    </xf>
    <xf numFmtId="0" fontId="165" fillId="28" borderId="8" xfId="0" applyFont="1" applyFill="1" applyBorder="1" applyAlignment="1">
      <alignment vertical="top" wrapText="1" readingOrder="1"/>
    </xf>
    <xf numFmtId="0" fontId="168" fillId="28" borderId="8" xfId="0" applyFont="1" applyFill="1" applyBorder="1" applyAlignment="1">
      <alignment vertical="top" wrapText="1" readingOrder="1"/>
    </xf>
    <xf numFmtId="0" fontId="97" fillId="0" borderId="8" xfId="0" applyFont="1" applyBorder="1" applyAlignment="1">
      <alignment vertical="top" wrapText="1" readingOrder="1"/>
    </xf>
    <xf numFmtId="0" fontId="182" fillId="0" borderId="8" xfId="0" applyFont="1" applyBorder="1" applyAlignment="1">
      <alignment horizontal="left" vertical="center" wrapText="1" shrinkToFit="1" readingOrder="1"/>
    </xf>
    <xf numFmtId="2" fontId="97" fillId="0" borderId="8" xfId="0" applyNumberFormat="1" applyFont="1" applyBorder="1" applyAlignment="1" applyProtection="1">
      <alignment horizontal="center" vertical="center"/>
      <protection locked="0"/>
    </xf>
    <xf numFmtId="0" fontId="166" fillId="28" borderId="8" xfId="0" applyFont="1" applyFill="1" applyBorder="1" applyAlignment="1">
      <alignment horizontal="center" vertical="top" wrapText="1" readingOrder="1"/>
    </xf>
    <xf numFmtId="0" fontId="234" fillId="0" borderId="17" xfId="0" applyFont="1" applyBorder="1" applyAlignment="1" applyProtection="1">
      <alignment horizontal="center" vertical="center"/>
      <protection locked="0"/>
    </xf>
    <xf numFmtId="4" fontId="234" fillId="0" borderId="17" xfId="0" applyNumberFormat="1" applyFont="1" applyBorder="1" applyAlignment="1" applyProtection="1">
      <alignment horizontal="center" vertical="center"/>
      <protection locked="0"/>
    </xf>
    <xf numFmtId="0" fontId="234" fillId="0" borderId="8" xfId="0" applyFont="1" applyBorder="1" applyAlignment="1" applyProtection="1">
      <alignment horizontal="center" vertical="center"/>
      <protection locked="0"/>
    </xf>
    <xf numFmtId="4" fontId="234" fillId="0" borderId="8" xfId="0" applyNumberFormat="1" applyFont="1" applyBorder="1" applyAlignment="1" applyProtection="1">
      <alignment horizontal="center" vertical="center"/>
      <protection locked="0"/>
    </xf>
    <xf numFmtId="0" fontId="235" fillId="28" borderId="8" xfId="0" applyFont="1" applyFill="1" applyBorder="1" applyAlignment="1">
      <alignment horizontal="left" vertical="top" wrapText="1" readingOrder="1"/>
    </xf>
    <xf numFmtId="0" fontId="236" fillId="28" borderId="8" xfId="0" applyFont="1" applyFill="1" applyBorder="1" applyAlignment="1">
      <alignment horizontal="left" vertical="top" wrapText="1" readingOrder="1"/>
    </xf>
    <xf numFmtId="0" fontId="237" fillId="0" borderId="8" xfId="0" applyFont="1" applyBorder="1" applyAlignment="1" applyProtection="1">
      <alignment horizontal="center" vertical="center"/>
      <protection locked="0"/>
    </xf>
    <xf numFmtId="4" fontId="237" fillId="0" borderId="8" xfId="0" applyNumberFormat="1" applyFont="1" applyBorder="1" applyAlignment="1" applyProtection="1">
      <alignment horizontal="center" vertical="center"/>
      <protection locked="0"/>
    </xf>
    <xf numFmtId="0" fontId="238" fillId="28" borderId="8" xfId="0" applyFont="1" applyFill="1" applyBorder="1" applyAlignment="1">
      <alignment horizontal="left" vertical="top" wrapText="1" readingOrder="1"/>
    </xf>
    <xf numFmtId="0" fontId="239" fillId="28" borderId="8" xfId="0" applyFont="1" applyFill="1" applyBorder="1" applyAlignment="1">
      <alignment horizontal="left" vertical="top" wrapText="1" readingOrder="1"/>
    </xf>
    <xf numFmtId="0" fontId="240" fillId="0" borderId="8" xfId="0" applyFont="1" applyBorder="1" applyAlignment="1" applyProtection="1">
      <alignment horizontal="center" vertical="center"/>
      <protection locked="0"/>
    </xf>
    <xf numFmtId="4" fontId="240" fillId="0" borderId="8" xfId="0" applyNumberFormat="1" applyFont="1" applyBorder="1" applyAlignment="1" applyProtection="1">
      <alignment horizontal="center" vertical="center"/>
      <protection locked="0"/>
    </xf>
    <xf numFmtId="0" fontId="235" fillId="0" borderId="8" xfId="0" applyFont="1" applyBorder="1" applyAlignment="1">
      <alignment horizontal="left" vertical="top" wrapText="1" readingOrder="1"/>
    </xf>
    <xf numFmtId="0" fontId="235" fillId="0" borderId="8" xfId="0" applyFont="1" applyBorder="1" applyAlignment="1">
      <alignment horizontal="center" vertical="top" wrapText="1" readingOrder="1"/>
    </xf>
    <xf numFmtId="2" fontId="47" fillId="0" borderId="8" xfId="0" applyNumberFormat="1" applyFont="1" applyBorder="1" applyAlignment="1">
      <alignment horizontal="center" vertical="center"/>
    </xf>
    <xf numFmtId="0" fontId="235" fillId="0" borderId="8" xfId="0" applyFont="1" applyBorder="1" applyAlignment="1">
      <alignment horizontal="center" vertical="center" wrapText="1" readingOrder="1"/>
    </xf>
    <xf numFmtId="0" fontId="238" fillId="0" borderId="8" xfId="0" applyFont="1" applyBorder="1" applyAlignment="1">
      <alignment horizontal="left" vertical="top" wrapText="1" readingOrder="1"/>
    </xf>
    <xf numFmtId="0" fontId="239" fillId="0" borderId="8" xfId="0" applyFont="1" applyBorder="1" applyAlignment="1">
      <alignment horizontal="left" vertical="top" wrapText="1" readingOrder="1"/>
    </xf>
    <xf numFmtId="0" fontId="241" fillId="0" borderId="8" xfId="0" applyFont="1" applyBorder="1" applyAlignment="1" applyProtection="1">
      <alignment horizontal="center" vertical="center"/>
      <protection locked="0"/>
    </xf>
    <xf numFmtId="4" fontId="241" fillId="0" borderId="8" xfId="0" applyNumberFormat="1" applyFont="1" applyBorder="1" applyAlignment="1" applyProtection="1">
      <alignment horizontal="center" vertical="center"/>
      <protection locked="0"/>
    </xf>
    <xf numFmtId="0" fontId="166" fillId="0" borderId="8" xfId="0" applyFont="1" applyBorder="1" applyAlignment="1">
      <alignment horizontal="center" vertical="center" wrapText="1" readingOrder="1"/>
    </xf>
    <xf numFmtId="0" fontId="167" fillId="0" borderId="8" xfId="0" applyFont="1" applyBorder="1" applyAlignment="1">
      <alignment horizontal="center" vertical="center" wrapText="1" readingOrder="1"/>
    </xf>
    <xf numFmtId="0" fontId="166" fillId="28" borderId="8" xfId="0" applyFont="1" applyFill="1" applyBorder="1" applyAlignment="1">
      <alignment horizontal="center" vertical="center" wrapText="1" readingOrder="1"/>
    </xf>
    <xf numFmtId="0" fontId="97" fillId="28" borderId="8" xfId="0" applyFont="1" applyFill="1" applyBorder="1" applyAlignment="1">
      <alignment horizontal="center" wrapText="1" readingOrder="1"/>
    </xf>
    <xf numFmtId="0" fontId="182" fillId="28" borderId="8" xfId="0" applyFont="1" applyFill="1" applyBorder="1" applyAlignment="1">
      <alignment horizontal="center" wrapText="1" readingOrder="1"/>
    </xf>
    <xf numFmtId="0" fontId="81" fillId="0" borderId="8" xfId="0" applyFont="1" applyBorder="1" applyAlignment="1">
      <alignment horizontal="left" vertical="center"/>
    </xf>
    <xf numFmtId="0" fontId="198" fillId="0" borderId="8" xfId="0" applyFont="1" applyBorder="1" applyAlignment="1">
      <alignment horizontal="left" vertical="center"/>
    </xf>
    <xf numFmtId="4" fontId="146" fillId="26" borderId="87" xfId="0" applyNumberFormat="1" applyFont="1" applyFill="1" applyBorder="1" applyAlignment="1" applyProtection="1">
      <alignment horizontal="right"/>
      <protection locked="0"/>
    </xf>
    <xf numFmtId="4" fontId="81" fillId="0" borderId="0" xfId="0" applyNumberFormat="1" applyFont="1" applyAlignment="1">
      <alignment horizontal="center"/>
    </xf>
    <xf numFmtId="0" fontId="203" fillId="28" borderId="17" xfId="0" applyFont="1" applyFill="1" applyBorder="1" applyAlignment="1">
      <alignment horizontal="center" vertical="center" wrapText="1" readingOrder="1"/>
    </xf>
    <xf numFmtId="188" fontId="201" fillId="0" borderId="24" xfId="92" applyNumberFormat="1" applyFont="1" applyBorder="1" applyAlignment="1">
      <alignment horizontal="center" vertical="center"/>
    </xf>
    <xf numFmtId="188" fontId="201" fillId="0" borderId="17" xfId="92" applyNumberFormat="1" applyFont="1" applyBorder="1" applyAlignment="1">
      <alignment horizontal="center" vertical="center"/>
    </xf>
    <xf numFmtId="194" fontId="200" fillId="0" borderId="0" xfId="117" applyFont="1" applyAlignment="1">
      <alignment horizontal="center" vertical="center"/>
    </xf>
    <xf numFmtId="9" fontId="200" fillId="0" borderId="0" xfId="102" applyFont="1"/>
    <xf numFmtId="9" fontId="200" fillId="0" borderId="0" xfId="102" applyFont="1" applyAlignment="1">
      <alignment horizontal="left" vertical="center"/>
    </xf>
    <xf numFmtId="194" fontId="200" fillId="0" borderId="8" xfId="117" applyFont="1" applyBorder="1" applyAlignment="1">
      <alignment horizontal="center" vertical="center"/>
    </xf>
    <xf numFmtId="0" fontId="199" fillId="0" borderId="8" xfId="0" applyFont="1" applyBorder="1" applyAlignment="1">
      <alignment horizontal="left" vertical="top" wrapText="1" readingOrder="1"/>
    </xf>
    <xf numFmtId="0" fontId="243" fillId="28" borderId="8" xfId="0" applyFont="1" applyFill="1" applyBorder="1" applyAlignment="1">
      <alignment horizontal="left" vertical="center" wrapText="1" readingOrder="1"/>
    </xf>
    <xf numFmtId="0" fontId="244" fillId="28" borderId="8" xfId="0" applyFont="1" applyFill="1" applyBorder="1" applyAlignment="1">
      <alignment horizontal="left" vertical="center" wrapText="1" readingOrder="1"/>
    </xf>
    <xf numFmtId="0" fontId="203" fillId="0" borderId="17" xfId="0" applyFont="1" applyBorder="1" applyAlignment="1">
      <alignment horizontal="center" vertical="center" wrapText="1" readingOrder="1"/>
    </xf>
    <xf numFmtId="0" fontId="212" fillId="28" borderId="8" xfId="0" applyFont="1" applyFill="1" applyBorder="1" applyAlignment="1">
      <alignment horizontal="center" vertical="center" wrapText="1" shrinkToFit="1" readingOrder="1"/>
    </xf>
    <xf numFmtId="171" fontId="203" fillId="0" borderId="8" xfId="0" applyNumberFormat="1" applyFont="1" applyBorder="1" applyAlignment="1">
      <alignment horizontal="center" vertical="top" wrapText="1" readingOrder="1"/>
    </xf>
    <xf numFmtId="0" fontId="245" fillId="28" borderId="8" xfId="0" applyFont="1" applyFill="1" applyBorder="1" applyAlignment="1">
      <alignment horizontal="left" vertical="center" wrapText="1" readingOrder="1"/>
    </xf>
    <xf numFmtId="0" fontId="243" fillId="28" borderId="24" xfId="0" applyFont="1" applyFill="1" applyBorder="1" applyAlignment="1">
      <alignment horizontal="left" vertical="center" wrapText="1" readingOrder="1"/>
    </xf>
    <xf numFmtId="0" fontId="203" fillId="0" borderId="24" xfId="0" applyFont="1" applyBorder="1" applyAlignment="1">
      <alignment horizontal="center" vertical="center" wrapText="1" readingOrder="1"/>
    </xf>
    <xf numFmtId="0" fontId="203" fillId="0" borderId="27" xfId="0" applyFont="1" applyBorder="1" applyAlignment="1">
      <alignment horizontal="center" vertical="center" wrapText="1" readingOrder="1"/>
    </xf>
    <xf numFmtId="188" fontId="201" fillId="0" borderId="27" xfId="92" applyNumberFormat="1" applyFont="1" applyBorder="1" applyAlignment="1">
      <alignment horizontal="center" vertical="center"/>
    </xf>
    <xf numFmtId="0" fontId="203" fillId="28" borderId="27" xfId="0" applyFont="1" applyFill="1" applyBorder="1" applyAlignment="1">
      <alignment horizontal="center" vertical="center" wrapText="1" readingOrder="1"/>
    </xf>
    <xf numFmtId="4" fontId="199" fillId="35" borderId="24" xfId="92" applyNumberFormat="1" applyFont="1" applyFill="1" applyBorder="1" applyAlignment="1">
      <alignment horizontal="center" vertical="center"/>
    </xf>
    <xf numFmtId="4" fontId="201" fillId="0" borderId="24" xfId="92" applyNumberFormat="1" applyFont="1" applyBorder="1" applyAlignment="1">
      <alignment horizontal="center" vertical="center"/>
    </xf>
    <xf numFmtId="188" fontId="200" fillId="0" borderId="24" xfId="0" applyNumberFormat="1" applyFont="1" applyBorder="1" applyAlignment="1">
      <alignment horizontal="center" vertical="center"/>
    </xf>
    <xf numFmtId="188" fontId="206" fillId="0" borderId="24" xfId="0" applyNumberFormat="1" applyFont="1" applyBorder="1" applyAlignment="1">
      <alignment horizontal="center" vertical="center"/>
    </xf>
    <xf numFmtId="4" fontId="199" fillId="34" borderId="17" xfId="92" applyNumberFormat="1" applyFont="1" applyFill="1" applyBorder="1" applyAlignment="1">
      <alignment horizontal="center" vertical="center"/>
    </xf>
    <xf numFmtId="4" fontId="201" fillId="0" borderId="17" xfId="92" applyNumberFormat="1" applyFont="1" applyBorder="1" applyAlignment="1">
      <alignment horizontal="center" vertical="center"/>
    </xf>
    <xf numFmtId="188" fontId="206" fillId="0" borderId="17" xfId="0" applyNumberFormat="1" applyFont="1" applyBorder="1" applyAlignment="1">
      <alignment horizontal="center" vertical="center"/>
    </xf>
    <xf numFmtId="4" fontId="199" fillId="0" borderId="17" xfId="92" applyNumberFormat="1" applyFont="1" applyBorder="1" applyAlignment="1">
      <alignment horizontal="center" vertical="center"/>
    </xf>
    <xf numFmtId="188" fontId="200" fillId="0" borderId="17" xfId="0" applyNumberFormat="1" applyFont="1" applyBorder="1" applyAlignment="1">
      <alignment horizontal="center" vertical="center"/>
    </xf>
    <xf numFmtId="188" fontId="201" fillId="0" borderId="24" xfId="0" applyNumberFormat="1" applyFont="1" applyBorder="1" applyAlignment="1">
      <alignment horizontal="center" vertical="center"/>
    </xf>
    <xf numFmtId="188" fontId="201" fillId="0" borderId="17" xfId="0" applyNumberFormat="1" applyFont="1" applyBorder="1" applyAlignment="1">
      <alignment horizontal="center" vertical="center"/>
    </xf>
    <xf numFmtId="0" fontId="215" fillId="0" borderId="8" xfId="0" applyFont="1" applyBorder="1" applyAlignment="1">
      <alignment horizontal="left" vertical="top" wrapText="1" readingOrder="1"/>
    </xf>
    <xf numFmtId="0" fontId="246" fillId="0" borderId="8" xfId="0" applyFont="1" applyBorder="1" applyAlignment="1">
      <alignment horizontal="left" vertical="top" wrapText="1" readingOrder="1"/>
    </xf>
    <xf numFmtId="0" fontId="247" fillId="28" borderId="8" xfId="0" applyFont="1" applyFill="1" applyBorder="1" applyAlignment="1">
      <alignment horizontal="left" vertical="center" wrapText="1" readingOrder="1"/>
    </xf>
    <xf numFmtId="4" fontId="199" fillId="35" borderId="17" xfId="92" applyNumberFormat="1" applyFont="1" applyFill="1" applyBorder="1" applyAlignment="1">
      <alignment horizontal="center" vertical="center"/>
    </xf>
    <xf numFmtId="0" fontId="203" fillId="0" borderId="27" xfId="0" applyFont="1" applyBorder="1" applyAlignment="1">
      <alignment horizontal="left" vertical="center" wrapText="1" readingOrder="1"/>
    </xf>
    <xf numFmtId="0" fontId="203" fillId="0" borderId="17" xfId="0" applyFont="1" applyBorder="1" applyAlignment="1">
      <alignment horizontal="left" vertical="center" wrapText="1" readingOrder="1"/>
    </xf>
    <xf numFmtId="0" fontId="203" fillId="0" borderId="17" xfId="0" applyFont="1" applyBorder="1" applyAlignment="1" applyProtection="1">
      <alignment horizontal="left" vertical="center" wrapText="1" readingOrder="1"/>
      <protection locked="0"/>
    </xf>
    <xf numFmtId="188" fontId="248" fillId="4" borderId="8" xfId="0" applyNumberFormat="1" applyFont="1" applyFill="1" applyBorder="1" applyAlignment="1">
      <alignment horizontal="center" vertical="center"/>
    </xf>
    <xf numFmtId="4" fontId="201" fillId="0" borderId="8" xfId="0" applyNumberFormat="1" applyFont="1" applyBorder="1" applyAlignment="1">
      <alignment horizontal="center" vertical="center"/>
    </xf>
    <xf numFmtId="194" fontId="200" fillId="0" borderId="0" xfId="117" applyFont="1" applyFill="1" applyAlignment="1">
      <alignment horizontal="center" vertical="center"/>
    </xf>
    <xf numFmtId="9" fontId="200" fillId="0" borderId="0" xfId="102" applyFont="1" applyAlignment="1">
      <alignment horizontal="center" vertical="center"/>
    </xf>
    <xf numFmtId="0" fontId="66" fillId="2" borderId="0" xfId="0" applyFont="1" applyFill="1" applyAlignment="1">
      <alignment horizontal="left" vertical="center"/>
    </xf>
    <xf numFmtId="0" fontId="66" fillId="2" borderId="41" xfId="0" applyFont="1" applyFill="1" applyBorder="1" applyAlignment="1">
      <alignment horizontal="left" vertical="center"/>
    </xf>
    <xf numFmtId="0" fontId="66" fillId="2" borderId="0" xfId="0" applyFont="1" applyFill="1" applyAlignment="1">
      <alignment horizontal="center" vertical="center"/>
    </xf>
    <xf numFmtId="0" fontId="57" fillId="2" borderId="10" xfId="78" applyFont="1" applyFill="1" applyBorder="1" applyAlignment="1">
      <alignment horizontal="center" vertical="center" wrapText="1"/>
    </xf>
    <xf numFmtId="0" fontId="56" fillId="2" borderId="10" xfId="78" applyFont="1" applyFill="1" applyBorder="1" applyAlignment="1">
      <alignment horizontal="center" vertical="center" wrapText="1"/>
    </xf>
    <xf numFmtId="0" fontId="57" fillId="2" borderId="3" xfId="82" applyNumberFormat="1" applyFont="1" applyFill="1" applyBorder="1" applyAlignment="1">
      <alignment horizontal="center"/>
    </xf>
    <xf numFmtId="171" fontId="57" fillId="2" borderId="34" xfId="77" applyNumberFormat="1" applyFont="1" applyFill="1" applyBorder="1" applyAlignment="1">
      <alignment horizontal="center"/>
    </xf>
    <xf numFmtId="195" fontId="200" fillId="0" borderId="0" xfId="0" applyNumberFormat="1" applyFont="1"/>
    <xf numFmtId="0" fontId="97" fillId="28" borderId="0" xfId="0" applyFont="1" applyFill="1" applyAlignment="1">
      <alignment horizontal="left" vertical="top" readingOrder="1"/>
    </xf>
    <xf numFmtId="0" fontId="171" fillId="0" borderId="0" xfId="0" applyFont="1" applyAlignment="1" applyProtection="1">
      <alignment horizontal="left" vertical="center" wrapText="1"/>
      <protection locked="0"/>
    </xf>
    <xf numFmtId="2" fontId="92" fillId="0" borderId="25" xfId="0" applyNumberFormat="1" applyFont="1" applyBorder="1" applyAlignment="1">
      <alignment horizontal="center" vertical="center"/>
    </xf>
    <xf numFmtId="2" fontId="92" fillId="0" borderId="21" xfId="0" applyNumberFormat="1" applyFont="1" applyBorder="1" applyAlignment="1">
      <alignment horizontal="center" vertical="center"/>
    </xf>
    <xf numFmtId="2" fontId="92" fillId="0" borderId="26" xfId="0" applyNumberFormat="1" applyFont="1" applyBorder="1" applyAlignment="1">
      <alignment horizontal="center" vertical="center"/>
    </xf>
    <xf numFmtId="0" fontId="90" fillId="23" borderId="47" xfId="0" applyFont="1" applyFill="1" applyBorder="1" applyAlignment="1">
      <alignment horizontal="center" vertical="center"/>
    </xf>
    <xf numFmtId="0" fontId="90" fillId="23" borderId="53" xfId="0" applyFont="1" applyFill="1" applyBorder="1" applyAlignment="1">
      <alignment horizontal="center" vertical="center"/>
    </xf>
    <xf numFmtId="0" fontId="90" fillId="0" borderId="25" xfId="0" applyFont="1" applyBorder="1" applyAlignment="1">
      <alignment horizontal="center" vertical="center"/>
    </xf>
    <xf numFmtId="0" fontId="90" fillId="0" borderId="21" xfId="0" applyFont="1" applyBorder="1" applyAlignment="1">
      <alignment horizontal="center" vertical="center"/>
    </xf>
    <xf numFmtId="0" fontId="90" fillId="0" borderId="26" xfId="0" applyFont="1" applyBorder="1" applyAlignment="1">
      <alignment horizontal="center" vertical="center"/>
    </xf>
    <xf numFmtId="0" fontId="90" fillId="0" borderId="41" xfId="0" applyFont="1" applyBorder="1" applyAlignment="1">
      <alignment horizontal="center" vertical="center"/>
    </xf>
    <xf numFmtId="0" fontId="90" fillId="0" borderId="20" xfId="0" applyFont="1" applyBorder="1" applyAlignment="1">
      <alignment horizontal="center" vertical="center"/>
    </xf>
    <xf numFmtId="0" fontId="90" fillId="23" borderId="25" xfId="0" applyFont="1" applyFill="1" applyBorder="1" applyAlignment="1">
      <alignment horizontal="center" vertical="center"/>
    </xf>
    <xf numFmtId="0" fontId="10" fillId="0" borderId="0" xfId="0" applyFont="1" applyAlignment="1">
      <alignment horizontal="left" vertical="center" wrapText="1"/>
    </xf>
    <xf numFmtId="0" fontId="10" fillId="0" borderId="0" xfId="102" quotePrefix="1" applyNumberFormat="1" applyFont="1" applyFill="1" applyAlignment="1">
      <alignment horizontal="left" vertical="center"/>
    </xf>
    <xf numFmtId="4" fontId="92" fillId="0" borderId="0" xfId="0" applyNumberFormat="1" applyFont="1" applyAlignment="1">
      <alignment horizontal="center" vertical="center"/>
    </xf>
    <xf numFmtId="0" fontId="10" fillId="0" borderId="0" xfId="0" applyFont="1" applyAlignment="1">
      <alignment horizontal="left" vertical="top" wrapText="1"/>
    </xf>
    <xf numFmtId="0" fontId="90" fillId="0" borderId="0" xfId="0" applyFont="1" applyAlignment="1">
      <alignment horizontal="center" vertical="center"/>
    </xf>
    <xf numFmtId="0" fontId="182" fillId="37" borderId="8" xfId="0" applyFont="1" applyFill="1" applyBorder="1" applyAlignment="1">
      <alignment horizontal="center" vertical="top" wrapText="1" readingOrder="1"/>
    </xf>
    <xf numFmtId="43" fontId="182" fillId="2" borderId="8" xfId="0" applyNumberFormat="1" applyFont="1" applyFill="1" applyBorder="1" applyAlignment="1">
      <alignment horizontal="center" vertical="top" wrapText="1" readingOrder="1"/>
    </xf>
    <xf numFmtId="188" fontId="92" fillId="0" borderId="0" xfId="0" applyNumberFormat="1" applyFont="1" applyAlignment="1">
      <alignment horizontal="center" vertical="center"/>
    </xf>
    <xf numFmtId="0" fontId="197" fillId="37" borderId="8" xfId="0" applyFont="1" applyFill="1" applyBorder="1" applyAlignment="1">
      <alignment horizontal="left" vertical="center" wrapText="1" readingOrder="1"/>
    </xf>
    <xf numFmtId="0" fontId="184" fillId="37" borderId="8" xfId="0" applyFont="1" applyFill="1" applyBorder="1" applyAlignment="1">
      <alignment horizontal="center" vertical="center" wrapText="1" readingOrder="1"/>
    </xf>
    <xf numFmtId="2" fontId="182" fillId="37" borderId="8" xfId="0" applyNumberFormat="1" applyFont="1" applyFill="1" applyBorder="1" applyAlignment="1">
      <alignment horizontal="center" vertical="center" wrapText="1" readingOrder="1"/>
    </xf>
    <xf numFmtId="0" fontId="97" fillId="37" borderId="8" xfId="0" applyFont="1" applyFill="1" applyBorder="1" applyAlignment="1">
      <alignment horizontal="left" vertical="top" wrapText="1" readingOrder="1"/>
    </xf>
    <xf numFmtId="0" fontId="97" fillId="37" borderId="8" xfId="0" applyFont="1" applyFill="1" applyBorder="1" applyAlignment="1">
      <alignment horizontal="center" vertical="top" wrapText="1" readingOrder="1"/>
    </xf>
    <xf numFmtId="2" fontId="81" fillId="2" borderId="8" xfId="0" applyNumberFormat="1" applyFont="1" applyFill="1" applyBorder="1" applyAlignment="1">
      <alignment horizontal="center" vertical="center"/>
    </xf>
    <xf numFmtId="0" fontId="97" fillId="37" borderId="8" xfId="0" applyFont="1" applyFill="1" applyBorder="1" applyAlignment="1">
      <alignment horizontal="center" vertical="center" wrapText="1" readingOrder="1"/>
    </xf>
    <xf numFmtId="2" fontId="97" fillId="2" borderId="8" xfId="0" applyNumberFormat="1" applyFont="1" applyFill="1" applyBorder="1" applyAlignment="1" applyProtection="1">
      <alignment horizontal="center" vertical="center"/>
      <protection locked="0"/>
    </xf>
    <xf numFmtId="4" fontId="192" fillId="2" borderId="0" xfId="0" applyNumberFormat="1" applyFont="1" applyFill="1" applyAlignment="1">
      <alignment vertical="center"/>
    </xf>
    <xf numFmtId="0" fontId="97" fillId="2" borderId="8" xfId="0" applyFont="1" applyFill="1" applyBorder="1" applyAlignment="1">
      <alignment horizontal="center" vertical="top" wrapText="1" readingOrder="1"/>
    </xf>
    <xf numFmtId="0" fontId="97" fillId="2" borderId="8" xfId="0" applyFont="1" applyFill="1" applyBorder="1" applyAlignment="1">
      <alignment horizontal="center" vertical="center" wrapText="1" readingOrder="1"/>
    </xf>
    <xf numFmtId="2" fontId="102" fillId="2" borderId="0" xfId="0" applyNumberFormat="1" applyFont="1" applyFill="1"/>
    <xf numFmtId="0" fontId="81" fillId="2" borderId="0" xfId="0" applyFont="1" applyFill="1"/>
    <xf numFmtId="0" fontId="10" fillId="0" borderId="0" xfId="0" applyFont="1" applyAlignment="1">
      <alignment horizontal="center"/>
    </xf>
    <xf numFmtId="0" fontId="57" fillId="2" borderId="8" xfId="78" applyFont="1" applyFill="1" applyBorder="1" applyAlignment="1">
      <alignment horizontal="center" vertical="center" wrapText="1"/>
    </xf>
    <xf numFmtId="0" fontId="162" fillId="2" borderId="8" xfId="82" applyNumberFormat="1" applyFont="1" applyFill="1" applyBorder="1" applyAlignment="1">
      <alignment horizontal="center"/>
    </xf>
    <xf numFmtId="4" fontId="26" fillId="2" borderId="25" xfId="0" applyNumberFormat="1" applyFont="1" applyFill="1" applyBorder="1" applyAlignment="1">
      <alignment horizontal="center" vertical="center"/>
    </xf>
    <xf numFmtId="4" fontId="26" fillId="2" borderId="26" xfId="0" applyNumberFormat="1" applyFont="1" applyFill="1" applyBorder="1" applyAlignment="1">
      <alignment horizontal="center" vertical="center"/>
    </xf>
    <xf numFmtId="4" fontId="26" fillId="2" borderId="21" xfId="0" applyNumberFormat="1" applyFont="1" applyFill="1" applyBorder="1" applyAlignment="1">
      <alignment horizontal="center" vertical="center"/>
    </xf>
    <xf numFmtId="166" fontId="46" fillId="0" borderId="8" xfId="0" applyNumberFormat="1" applyFont="1" applyBorder="1" applyAlignment="1">
      <alignment vertical="center"/>
    </xf>
    <xf numFmtId="2" fontId="81" fillId="2" borderId="8" xfId="0" applyNumberFormat="1" applyFont="1" applyFill="1" applyBorder="1"/>
    <xf numFmtId="0" fontId="97" fillId="37" borderId="8" xfId="0" applyFont="1" applyFill="1" applyBorder="1" applyAlignment="1">
      <alignment horizontal="right" vertical="top" wrapText="1" readingOrder="1"/>
    </xf>
    <xf numFmtId="2" fontId="97" fillId="26" borderId="8" xfId="0" applyNumberFormat="1" applyFont="1" applyFill="1" applyBorder="1" applyAlignment="1" applyProtection="1">
      <alignment vertical="center"/>
      <protection locked="0"/>
    </xf>
    <xf numFmtId="0" fontId="146" fillId="37" borderId="8" xfId="0" applyFont="1" applyFill="1" applyBorder="1" applyAlignment="1">
      <alignment horizontal="left" vertical="top" wrapText="1" readingOrder="1"/>
    </xf>
    <xf numFmtId="0" fontId="0" fillId="2" borderId="8" xfId="0" applyFill="1" applyBorder="1" applyAlignment="1">
      <alignment horizontal="left" vertical="center"/>
    </xf>
    <xf numFmtId="0" fontId="10" fillId="2" borderId="0" xfId="0" applyFont="1" applyFill="1" applyAlignment="1">
      <alignment horizontal="center" vertical="center"/>
    </xf>
    <xf numFmtId="4" fontId="6" fillId="29" borderId="65" xfId="0" applyNumberFormat="1" applyFont="1" applyFill="1" applyBorder="1" applyAlignment="1">
      <alignment vertical="center"/>
    </xf>
    <xf numFmtId="4" fontId="6" fillId="32" borderId="65" xfId="0" applyNumberFormat="1" applyFont="1" applyFill="1" applyBorder="1" applyAlignment="1">
      <alignment vertical="center"/>
    </xf>
    <xf numFmtId="166" fontId="102" fillId="0" borderId="0" xfId="0" applyNumberFormat="1" applyFont="1"/>
    <xf numFmtId="166" fontId="192" fillId="0" borderId="0" xfId="0" applyNumberFormat="1" applyFont="1" applyAlignment="1">
      <alignment vertical="center"/>
    </xf>
    <xf numFmtId="0" fontId="181" fillId="37" borderId="8" xfId="0" applyFont="1" applyFill="1" applyBorder="1" applyAlignment="1">
      <alignment horizontal="left" vertical="center" wrapText="1" readingOrder="1"/>
    </xf>
    <xf numFmtId="0" fontId="251" fillId="0" borderId="0" xfId="0" applyFont="1" applyAlignment="1">
      <alignment vertical="center"/>
    </xf>
    <xf numFmtId="0" fontId="252" fillId="0" borderId="0" xfId="0" applyFont="1" applyAlignment="1">
      <alignment horizontal="center" vertical="center"/>
    </xf>
    <xf numFmtId="0" fontId="253" fillId="0" borderId="0" xfId="0" applyFont="1" applyAlignment="1">
      <alignment vertical="center"/>
    </xf>
    <xf numFmtId="0" fontId="254" fillId="0" borderId="0" xfId="0" applyFont="1" applyAlignment="1">
      <alignment vertical="center"/>
    </xf>
    <xf numFmtId="0" fontId="255" fillId="0" borderId="0" xfId="0" applyFont="1" applyAlignment="1">
      <alignment horizontal="center" vertical="center"/>
    </xf>
    <xf numFmtId="0" fontId="2" fillId="0" borderId="0" xfId="0" applyFont="1"/>
    <xf numFmtId="14" fontId="254" fillId="2" borderId="0" xfId="0" applyNumberFormat="1" applyFont="1" applyFill="1" applyAlignment="1">
      <alignment horizontal="center" vertical="center"/>
    </xf>
    <xf numFmtId="0" fontId="254" fillId="2" borderId="0" xfId="0" applyFont="1" applyFill="1" applyAlignment="1">
      <alignment horizontal="center" vertical="center"/>
    </xf>
    <xf numFmtId="14" fontId="253" fillId="2" borderId="0" xfId="0" applyNumberFormat="1" applyFont="1" applyFill="1" applyAlignment="1">
      <alignment horizontal="center" vertical="center"/>
    </xf>
    <xf numFmtId="0" fontId="253" fillId="0" borderId="0" xfId="0" applyFont="1" applyAlignment="1">
      <alignment horizontal="center" vertical="center"/>
    </xf>
    <xf numFmtId="0" fontId="254" fillId="38" borderId="0" xfId="0" applyFont="1" applyFill="1" applyAlignment="1">
      <alignment horizontal="center" vertical="center"/>
    </xf>
    <xf numFmtId="14" fontId="254" fillId="38" borderId="0" xfId="0" applyNumberFormat="1" applyFont="1" applyFill="1" applyAlignment="1">
      <alignment horizontal="center" vertical="center"/>
    </xf>
    <xf numFmtId="14" fontId="10" fillId="0" borderId="0" xfId="0" applyNumberFormat="1" applyFont="1" applyAlignment="1">
      <alignment horizontal="center" vertical="center"/>
    </xf>
    <xf numFmtId="0" fontId="166" fillId="37" borderId="8" xfId="0" applyFont="1" applyFill="1" applyBorder="1" applyAlignment="1">
      <alignment horizontal="left" vertical="top" wrapText="1" readingOrder="1"/>
    </xf>
    <xf numFmtId="0" fontId="167" fillId="37" borderId="8" xfId="0" applyFont="1" applyFill="1" applyBorder="1" applyAlignment="1">
      <alignment horizontal="left" vertical="top" wrapText="1" readingOrder="1"/>
    </xf>
    <xf numFmtId="0" fontId="167" fillId="37" borderId="8" xfId="0" applyFont="1" applyFill="1" applyBorder="1" applyAlignment="1">
      <alignment horizontal="right" vertical="top" wrapText="1" readingOrder="1"/>
    </xf>
    <xf numFmtId="0" fontId="165" fillId="37" borderId="8" xfId="0" applyFont="1" applyFill="1" applyBorder="1" applyAlignment="1">
      <alignment horizontal="left" vertical="top" wrapText="1" readingOrder="1"/>
    </xf>
    <xf numFmtId="0" fontId="164" fillId="37" borderId="8" xfId="0" applyFont="1" applyFill="1" applyBorder="1" applyAlignment="1">
      <alignment horizontal="left" vertical="top" wrapText="1" readingOrder="1"/>
    </xf>
    <xf numFmtId="0" fontId="168" fillId="37" borderId="8" xfId="0" applyFont="1" applyFill="1" applyBorder="1" applyAlignment="1">
      <alignment horizontal="left" vertical="top" wrapText="1" readingOrder="1"/>
    </xf>
    <xf numFmtId="0" fontId="182" fillId="37" borderId="8" xfId="0" applyFont="1" applyFill="1" applyBorder="1" applyAlignment="1">
      <alignment horizontal="left" vertical="top" wrapText="1" readingOrder="1"/>
    </xf>
    <xf numFmtId="0" fontId="182" fillId="37" borderId="8" xfId="0" applyFont="1" applyFill="1" applyBorder="1" applyAlignment="1">
      <alignment vertical="top" wrapText="1" readingOrder="1"/>
    </xf>
    <xf numFmtId="0" fontId="184" fillId="37" borderId="8" xfId="0" applyFont="1" applyFill="1" applyBorder="1" applyAlignment="1">
      <alignment horizontal="center" vertical="top" wrapText="1" readingOrder="1"/>
    </xf>
    <xf numFmtId="166" fontId="46" fillId="2" borderId="8" xfId="0" applyNumberFormat="1" applyFont="1" applyFill="1" applyBorder="1" applyAlignment="1">
      <alignment vertical="center"/>
    </xf>
    <xf numFmtId="0" fontId="181" fillId="37" borderId="8" xfId="0" applyFont="1" applyFill="1" applyBorder="1" applyAlignment="1">
      <alignment vertical="top" wrapText="1" readingOrder="1"/>
    </xf>
    <xf numFmtId="166" fontId="230" fillId="2" borderId="8" xfId="0" applyNumberFormat="1" applyFont="1" applyFill="1" applyBorder="1" applyAlignment="1" applyProtection="1">
      <alignment vertical="center"/>
      <protection locked="0"/>
    </xf>
    <xf numFmtId="0" fontId="197" fillId="2" borderId="8" xfId="0" applyFont="1" applyFill="1" applyBorder="1" applyAlignment="1">
      <alignment horizontal="left" vertical="center" wrapText="1" readingOrder="1"/>
    </xf>
    <xf numFmtId="0" fontId="192" fillId="2" borderId="8" xfId="0" applyFont="1" applyFill="1" applyBorder="1" applyAlignment="1">
      <alignment horizontal="left" vertical="top" wrapText="1" readingOrder="1"/>
    </xf>
    <xf numFmtId="0" fontId="225" fillId="2" borderId="8" xfId="0" applyFont="1" applyFill="1" applyBorder="1" applyAlignment="1">
      <alignment horizontal="left" vertical="top" wrapText="1" readingOrder="1"/>
    </xf>
    <xf numFmtId="0" fontId="100" fillId="2" borderId="8" xfId="0" applyFont="1" applyFill="1" applyBorder="1" applyAlignment="1" applyProtection="1">
      <alignment horizontal="center" vertical="center"/>
      <protection locked="0"/>
    </xf>
    <xf numFmtId="4" fontId="97" fillId="26" borderId="8" xfId="0" applyNumberFormat="1" applyFont="1" applyFill="1" applyBorder="1" applyAlignment="1" applyProtection="1">
      <alignment horizontal="center" vertical="center"/>
      <protection locked="0"/>
    </xf>
    <xf numFmtId="4" fontId="28" fillId="2" borderId="8" xfId="0" applyNumberFormat="1" applyFont="1" applyFill="1" applyBorder="1" applyAlignment="1">
      <alignment horizontal="center" vertical="center"/>
    </xf>
    <xf numFmtId="0" fontId="165" fillId="37" borderId="25" xfId="0" applyFont="1" applyFill="1" applyBorder="1" applyAlignment="1">
      <alignment vertical="top" wrapText="1" readingOrder="1"/>
    </xf>
    <xf numFmtId="4" fontId="98" fillId="2" borderId="8" xfId="0" applyNumberFormat="1" applyFont="1" applyFill="1" applyBorder="1" applyAlignment="1" applyProtection="1">
      <alignment horizontal="center" vertical="center"/>
      <protection locked="0"/>
    </xf>
    <xf numFmtId="0" fontId="198" fillId="2" borderId="8" xfId="0" applyFont="1" applyFill="1" applyBorder="1" applyAlignment="1">
      <alignment horizontal="left" vertical="top" wrapText="1"/>
    </xf>
    <xf numFmtId="0" fontId="229" fillId="2" borderId="25" xfId="0" applyFont="1" applyFill="1" applyBorder="1" applyAlignment="1">
      <alignment vertical="top" wrapText="1"/>
    </xf>
    <xf numFmtId="0" fontId="28" fillId="2" borderId="8" xfId="0" applyFont="1" applyFill="1" applyBorder="1" applyAlignment="1">
      <alignment horizontal="center" vertical="center"/>
    </xf>
    <xf numFmtId="2" fontId="81" fillId="2" borderId="8" xfId="0" applyNumberFormat="1" applyFont="1" applyFill="1" applyBorder="1" applyAlignment="1">
      <alignment horizontal="center"/>
    </xf>
    <xf numFmtId="4" fontId="230" fillId="2" borderId="8" xfId="0" applyNumberFormat="1" applyFont="1" applyFill="1" applyBorder="1" applyAlignment="1">
      <alignment horizontal="center" vertical="center"/>
    </xf>
    <xf numFmtId="0" fontId="81" fillId="2" borderId="8" xfId="0" applyFont="1" applyFill="1" applyBorder="1" applyAlignment="1">
      <alignment horizontal="left" vertical="top" wrapText="1"/>
    </xf>
    <xf numFmtId="0" fontId="81" fillId="2" borderId="25" xfId="0" applyFont="1" applyFill="1" applyBorder="1" applyAlignment="1">
      <alignment vertical="top" wrapText="1"/>
    </xf>
    <xf numFmtId="0" fontId="168" fillId="37" borderId="8" xfId="0" applyFont="1" applyFill="1" applyBorder="1" applyAlignment="1">
      <alignment horizontal="center" vertical="center" wrapText="1" readingOrder="1"/>
    </xf>
    <xf numFmtId="171" fontId="46" fillId="2" borderId="8" xfId="87" applyFont="1" applyFill="1" applyBorder="1" applyAlignment="1">
      <alignment horizontal="center" vertical="center"/>
    </xf>
    <xf numFmtId="0" fontId="198" fillId="2" borderId="8" xfId="0" applyFont="1" applyFill="1" applyBorder="1" applyAlignment="1">
      <alignment vertical="top" wrapText="1"/>
    </xf>
    <xf numFmtId="0" fontId="167" fillId="37" borderId="8" xfId="0" applyFont="1" applyFill="1" applyBorder="1" applyAlignment="1">
      <alignment horizontal="center" vertical="center" wrapText="1" readingOrder="1"/>
    </xf>
    <xf numFmtId="0" fontId="81" fillId="2" borderId="8" xfId="0" applyFont="1" applyFill="1" applyBorder="1" applyAlignment="1">
      <alignment vertical="top" wrapText="1"/>
    </xf>
    <xf numFmtId="0" fontId="97" fillId="37" borderId="17" xfId="0" applyFont="1" applyFill="1" applyBorder="1" applyAlignment="1">
      <alignment horizontal="left" vertical="top" wrapText="1" readingOrder="1"/>
    </xf>
    <xf numFmtId="0" fontId="97" fillId="2" borderId="0" xfId="0" applyFont="1" applyFill="1"/>
    <xf numFmtId="0" fontId="181" fillId="37" borderId="8" xfId="0" applyFont="1" applyFill="1" applyBorder="1" applyAlignment="1">
      <alignment horizontal="left" vertical="top" wrapText="1" readingOrder="1"/>
    </xf>
    <xf numFmtId="0" fontId="6" fillId="2" borderId="8" xfId="0" applyFont="1" applyFill="1" applyBorder="1" applyAlignment="1">
      <alignment horizontal="center" vertical="center"/>
    </xf>
    <xf numFmtId="43" fontId="180" fillId="2" borderId="8" xfId="0" applyNumberFormat="1" applyFont="1" applyFill="1" applyBorder="1" applyAlignment="1">
      <alignment horizontal="center" vertical="center"/>
    </xf>
    <xf numFmtId="0" fontId="182" fillId="2" borderId="8" xfId="0" applyFont="1" applyFill="1" applyBorder="1" applyAlignment="1">
      <alignment horizontal="left" vertical="center" wrapText="1" shrinkToFit="1" readingOrder="1"/>
    </xf>
    <xf numFmtId="0" fontId="184" fillId="37" borderId="8" xfId="0" applyFont="1" applyFill="1" applyBorder="1" applyAlignment="1">
      <alignment horizontal="left" vertical="top" wrapText="1" readingOrder="1"/>
    </xf>
    <xf numFmtId="0" fontId="184" fillId="2" borderId="8" xfId="0" applyFont="1" applyFill="1" applyBorder="1" applyAlignment="1">
      <alignment vertical="top" wrapText="1" readingOrder="1"/>
    </xf>
    <xf numFmtId="0" fontId="242" fillId="2" borderId="8" xfId="0" applyFont="1" applyFill="1" applyBorder="1" applyAlignment="1">
      <alignment horizontal="center" vertical="top" wrapText="1" readingOrder="1"/>
    </xf>
    <xf numFmtId="0" fontId="242" fillId="2" borderId="8" xfId="0" applyFont="1" applyFill="1" applyBorder="1" applyAlignment="1">
      <alignment horizontal="center" vertical="center" wrapText="1" readingOrder="1"/>
    </xf>
    <xf numFmtId="0" fontId="48" fillId="2" borderId="8" xfId="0" applyFont="1" applyFill="1" applyBorder="1" applyAlignment="1">
      <alignment vertical="center"/>
    </xf>
    <xf numFmtId="0" fontId="240" fillId="2" borderId="8" xfId="0" applyFont="1" applyFill="1" applyBorder="1" applyAlignment="1" applyProtection="1">
      <alignment horizontal="center" vertical="center"/>
      <protection locked="0"/>
    </xf>
    <xf numFmtId="4" fontId="240" fillId="2" borderId="8" xfId="0" applyNumberFormat="1" applyFont="1" applyFill="1" applyBorder="1" applyAlignment="1" applyProtection="1">
      <alignment horizontal="center" vertical="center"/>
      <protection locked="0"/>
    </xf>
    <xf numFmtId="0" fontId="85" fillId="2" borderId="0" xfId="0" applyFont="1" applyFill="1" applyAlignment="1">
      <alignment vertical="center"/>
    </xf>
    <xf numFmtId="0" fontId="10" fillId="2" borderId="0" xfId="0" applyFont="1" applyFill="1"/>
    <xf numFmtId="0" fontId="45" fillId="2" borderId="0" xfId="0" applyFont="1" applyFill="1" applyAlignment="1">
      <alignment vertical="top"/>
    </xf>
    <xf numFmtId="49" fontId="13" fillId="0" borderId="0" xfId="102" applyNumberFormat="1" applyFont="1" applyFill="1" applyAlignment="1">
      <alignment vertical="center" wrapText="1"/>
    </xf>
    <xf numFmtId="0" fontId="257" fillId="28" borderId="0" xfId="0" applyFont="1" applyFill="1" applyAlignment="1">
      <alignment horizontal="left" vertical="top" readingOrder="1"/>
    </xf>
    <xf numFmtId="0" fontId="22" fillId="0" borderId="0" xfId="0" applyFont="1" applyAlignment="1" applyProtection="1">
      <alignment horizontal="left" vertical="center"/>
      <protection locked="0"/>
    </xf>
    <xf numFmtId="0" fontId="170" fillId="0" borderId="0" xfId="0" applyFont="1" applyAlignment="1" applyProtection="1">
      <alignment horizontal="left" vertical="center" wrapText="1"/>
      <protection locked="0"/>
    </xf>
    <xf numFmtId="0" fontId="97" fillId="28" borderId="0" xfId="0" applyFont="1" applyFill="1" applyAlignment="1">
      <alignment horizontal="center" vertical="center" wrapText="1" readingOrder="1"/>
    </xf>
    <xf numFmtId="4" fontId="46" fillId="2" borderId="0" xfId="0" applyNumberFormat="1" applyFont="1" applyFill="1" applyAlignment="1" applyProtection="1">
      <alignment vertical="center"/>
      <protection locked="0"/>
    </xf>
    <xf numFmtId="10" fontId="102" fillId="0" borderId="0" xfId="0" applyNumberFormat="1" applyFont="1" applyAlignment="1">
      <alignment horizontal="right" vertical="center"/>
    </xf>
    <xf numFmtId="4" fontId="215" fillId="5" borderId="136" xfId="92" applyNumberFormat="1" applyFont="1" applyFill="1" applyBorder="1" applyAlignment="1">
      <alignment horizontal="center" vertical="center"/>
    </xf>
    <xf numFmtId="4" fontId="10" fillId="0" borderId="0" xfId="0" applyNumberFormat="1" applyFont="1" applyAlignment="1">
      <alignment vertical="center"/>
    </xf>
    <xf numFmtId="166" fontId="27" fillId="23" borderId="49" xfId="0" applyNumberFormat="1" applyFont="1" applyFill="1" applyBorder="1" applyAlignment="1" applyProtection="1">
      <alignment horizontal="center" vertical="center"/>
      <protection locked="0"/>
    </xf>
    <xf numFmtId="0" fontId="167" fillId="37" borderId="8" xfId="0" applyFont="1" applyFill="1" applyBorder="1" applyAlignment="1">
      <alignment horizontal="center" vertical="top" wrapText="1" readingOrder="1"/>
    </xf>
    <xf numFmtId="0" fontId="166" fillId="37" borderId="8" xfId="0" applyFont="1" applyFill="1" applyBorder="1" applyAlignment="1">
      <alignment horizontal="right" vertical="top" wrapText="1" readingOrder="1"/>
    </xf>
    <xf numFmtId="0" fontId="6" fillId="37" borderId="8" xfId="0" applyFont="1" applyFill="1" applyBorder="1" applyAlignment="1">
      <alignment horizontal="center" vertical="top" wrapText="1" readingOrder="1"/>
    </xf>
    <xf numFmtId="0" fontId="146" fillId="37" borderId="8" xfId="0" applyFont="1" applyFill="1" applyBorder="1" applyAlignment="1">
      <alignment horizontal="center" vertical="top" wrapText="1" readingOrder="1"/>
    </xf>
    <xf numFmtId="0" fontId="97" fillId="40" borderId="8" xfId="0" applyFont="1" applyFill="1" applyBorder="1" applyAlignment="1">
      <alignment horizontal="left" vertical="top" wrapText="1" readingOrder="1"/>
    </xf>
    <xf numFmtId="0" fontId="97" fillId="40" borderId="8" xfId="0" applyFont="1" applyFill="1" applyBorder="1" applyAlignment="1">
      <alignment horizontal="center" vertical="top" wrapText="1" readingOrder="1"/>
    </xf>
    <xf numFmtId="2" fontId="81" fillId="5" borderId="8" xfId="0" applyNumberFormat="1" applyFont="1" applyFill="1" applyBorder="1"/>
    <xf numFmtId="4" fontId="97" fillId="41" borderId="8" xfId="0" applyNumberFormat="1" applyFont="1" applyFill="1" applyBorder="1" applyAlignment="1" applyProtection="1">
      <alignment vertical="center"/>
      <protection locked="0"/>
    </xf>
    <xf numFmtId="166" fontId="46" fillId="5" borderId="8" xfId="0" applyNumberFormat="1" applyFont="1" applyFill="1" applyBorder="1" applyAlignment="1" applyProtection="1">
      <alignment vertical="center"/>
      <protection locked="0"/>
    </xf>
    <xf numFmtId="10" fontId="102" fillId="5" borderId="8" xfId="0" applyNumberFormat="1" applyFont="1" applyFill="1" applyBorder="1" applyAlignment="1">
      <alignment horizontal="right" vertical="center"/>
    </xf>
    <xf numFmtId="0" fontId="97" fillId="41" borderId="8" xfId="0" applyFont="1" applyFill="1" applyBorder="1" applyAlignment="1">
      <alignment vertical="center"/>
    </xf>
    <xf numFmtId="4" fontId="102" fillId="5" borderId="8" xfId="0" applyNumberFormat="1" applyFont="1" applyFill="1" applyBorder="1" applyAlignment="1">
      <alignment horizontal="right" vertical="center"/>
    </xf>
    <xf numFmtId="0" fontId="102" fillId="5" borderId="0" xfId="0" applyFont="1" applyFill="1"/>
    <xf numFmtId="0" fontId="100" fillId="5" borderId="0" xfId="0" applyFont="1" applyFill="1" applyAlignment="1">
      <alignment vertical="center"/>
    </xf>
    <xf numFmtId="0" fontId="97" fillId="40" borderId="8" xfId="0" applyFont="1" applyFill="1" applyBorder="1" applyAlignment="1">
      <alignment horizontal="right" vertical="top" wrapText="1" readingOrder="1"/>
    </xf>
    <xf numFmtId="2" fontId="97" fillId="41" borderId="8" xfId="0" applyNumberFormat="1" applyFont="1" applyFill="1" applyBorder="1" applyAlignment="1" applyProtection="1">
      <alignment vertical="center"/>
      <protection locked="0"/>
    </xf>
    <xf numFmtId="4" fontId="46" fillId="5" borderId="8" xfId="0" applyNumberFormat="1" applyFont="1" applyFill="1" applyBorder="1" applyAlignment="1" applyProtection="1">
      <alignment vertical="center"/>
      <protection locked="0"/>
    </xf>
    <xf numFmtId="0" fontId="203" fillId="5" borderId="8" xfId="0" applyFont="1" applyFill="1" applyBorder="1" applyAlignment="1">
      <alignment horizontal="center" vertical="center" wrapText="1" readingOrder="1"/>
    </xf>
    <xf numFmtId="188" fontId="201" fillId="5" borderId="8" xfId="92" applyNumberFormat="1" applyFont="1" applyFill="1" applyBorder="1" applyAlignment="1">
      <alignment horizontal="center" vertical="center"/>
    </xf>
    <xf numFmtId="4" fontId="199" fillId="5" borderId="8" xfId="92" applyNumberFormat="1" applyFont="1" applyFill="1" applyBorder="1" applyAlignment="1">
      <alignment horizontal="center" vertical="center"/>
    </xf>
    <xf numFmtId="4" fontId="207" fillId="5" borderId="8" xfId="92" applyNumberFormat="1" applyFont="1" applyFill="1" applyBorder="1" applyAlignment="1">
      <alignment horizontal="center" vertical="center"/>
    </xf>
    <xf numFmtId="188" fontId="206" fillId="5" borderId="8" xfId="0" applyNumberFormat="1" applyFont="1" applyFill="1" applyBorder="1" applyAlignment="1">
      <alignment horizontal="center" vertical="center"/>
    </xf>
    <xf numFmtId="4" fontId="201" fillId="5" borderId="8" xfId="92" applyNumberFormat="1" applyFont="1" applyFill="1" applyBorder="1" applyAlignment="1">
      <alignment horizontal="left" vertical="center"/>
    </xf>
    <xf numFmtId="4" fontId="201" fillId="5" borderId="8" xfId="0" applyNumberFormat="1" applyFont="1" applyFill="1" applyBorder="1" applyAlignment="1">
      <alignment horizontal="center" vertical="center"/>
    </xf>
    <xf numFmtId="194" fontId="200" fillId="5" borderId="0" xfId="117" applyFont="1" applyFill="1" applyAlignment="1">
      <alignment horizontal="center" vertical="center"/>
    </xf>
    <xf numFmtId="9" fontId="200" fillId="5" borderId="0" xfId="102" applyFont="1" applyFill="1" applyAlignment="1">
      <alignment horizontal="left" vertical="center"/>
    </xf>
    <xf numFmtId="0" fontId="200" fillId="5" borderId="0" xfId="0" applyFont="1" applyFill="1" applyAlignment="1">
      <alignment horizontal="left" vertical="center"/>
    </xf>
    <xf numFmtId="188" fontId="200" fillId="5" borderId="8" xfId="0" applyNumberFormat="1" applyFont="1" applyFill="1" applyBorder="1" applyAlignment="1">
      <alignment horizontal="center" vertical="center"/>
    </xf>
    <xf numFmtId="4" fontId="201" fillId="5" borderId="8" xfId="92" applyNumberFormat="1" applyFont="1" applyFill="1" applyBorder="1" applyAlignment="1">
      <alignment horizontal="center" vertical="center"/>
    </xf>
    <xf numFmtId="188" fontId="199" fillId="5" borderId="25" xfId="90" applyNumberFormat="1" applyFont="1" applyFill="1" applyBorder="1" applyAlignment="1">
      <alignment horizontal="center" vertical="center"/>
    </xf>
    <xf numFmtId="0" fontId="200" fillId="5" borderId="8" xfId="0" applyFont="1" applyFill="1" applyBorder="1" applyAlignment="1">
      <alignment horizontal="left" vertical="center"/>
    </xf>
    <xf numFmtId="0" fontId="200" fillId="5" borderId="0" xfId="0" applyFont="1" applyFill="1"/>
    <xf numFmtId="0" fontId="192" fillId="5" borderId="8" xfId="0" applyFont="1" applyFill="1" applyBorder="1" applyAlignment="1">
      <alignment horizontal="left" vertical="top" wrapText="1" readingOrder="1"/>
    </xf>
    <xf numFmtId="0" fontId="225" fillId="5" borderId="8" xfId="0" applyFont="1" applyFill="1" applyBorder="1" applyAlignment="1">
      <alignment horizontal="left" vertical="top" wrapText="1" readingOrder="1"/>
    </xf>
    <xf numFmtId="4" fontId="199" fillId="5" borderId="17" xfId="92" applyNumberFormat="1" applyFont="1" applyFill="1" applyBorder="1" applyAlignment="1">
      <alignment horizontal="center" vertical="center"/>
    </xf>
    <xf numFmtId="4" fontId="201" fillId="5" borderId="17" xfId="92" applyNumberFormat="1" applyFont="1" applyFill="1" applyBorder="1" applyAlignment="1">
      <alignment horizontal="center" vertical="center"/>
    </xf>
    <xf numFmtId="188" fontId="200" fillId="5" borderId="17" xfId="0" applyNumberFormat="1" applyFont="1" applyFill="1" applyBorder="1" applyAlignment="1">
      <alignment horizontal="center" vertical="center"/>
    </xf>
    <xf numFmtId="188" fontId="206" fillId="5" borderId="17" xfId="0" applyNumberFormat="1" applyFont="1" applyFill="1" applyBorder="1" applyAlignment="1">
      <alignment horizontal="center" vertical="center"/>
    </xf>
    <xf numFmtId="2" fontId="200" fillId="0" borderId="0" xfId="102" applyNumberFormat="1" applyFont="1"/>
    <xf numFmtId="10" fontId="200" fillId="0" borderId="0" xfId="0" applyNumberFormat="1" applyFont="1"/>
    <xf numFmtId="4" fontId="260" fillId="0" borderId="0" xfId="92" applyNumberFormat="1" applyFont="1" applyAlignment="1">
      <alignment horizontal="center" vertical="center"/>
    </xf>
    <xf numFmtId="4" fontId="260" fillId="5" borderId="0" xfId="92" applyNumberFormat="1" applyFont="1" applyFill="1" applyAlignment="1">
      <alignment horizontal="center" vertical="center"/>
    </xf>
    <xf numFmtId="0" fontId="162" fillId="2" borderId="33" xfId="82" applyNumberFormat="1" applyFont="1" applyFill="1" applyBorder="1" applyAlignment="1">
      <alignment horizontal="center"/>
    </xf>
    <xf numFmtId="0" fontId="97" fillId="42" borderId="8" xfId="0" applyFont="1" applyFill="1" applyBorder="1" applyAlignment="1">
      <alignment vertical="center"/>
    </xf>
    <xf numFmtId="0" fontId="28" fillId="2" borderId="8" xfId="0" applyFont="1" applyFill="1" applyBorder="1" applyAlignment="1">
      <alignment vertical="center"/>
    </xf>
    <xf numFmtId="4" fontId="28" fillId="2" borderId="8" xfId="0" applyNumberFormat="1" applyFont="1" applyFill="1" applyBorder="1" applyAlignment="1">
      <alignment vertical="center"/>
    </xf>
    <xf numFmtId="0" fontId="147" fillId="2" borderId="8" xfId="0" applyFont="1" applyFill="1" applyBorder="1" applyAlignment="1" applyProtection="1">
      <alignment horizontal="left" vertical="center" wrapText="1"/>
      <protection locked="0"/>
    </xf>
    <xf numFmtId="0" fontId="163" fillId="2" borderId="8" xfId="0" applyFont="1" applyFill="1" applyBorder="1" applyAlignment="1" applyProtection="1">
      <alignment vertical="center" wrapText="1"/>
      <protection locked="0"/>
    </xf>
    <xf numFmtId="0" fontId="126" fillId="2" borderId="8" xfId="0" applyFont="1" applyFill="1" applyBorder="1" applyAlignment="1" applyProtection="1">
      <alignment horizontal="center" vertical="center"/>
      <protection locked="0"/>
    </xf>
    <xf numFmtId="4" fontId="97" fillId="26" borderId="8" xfId="0" applyNumberFormat="1" applyFont="1" applyFill="1" applyBorder="1" applyAlignment="1" applyProtection="1">
      <alignment vertical="center"/>
      <protection locked="0"/>
    </xf>
    <xf numFmtId="4" fontId="98" fillId="26" borderId="8" xfId="0" applyNumberFormat="1" applyFont="1" applyFill="1" applyBorder="1" applyAlignment="1" applyProtection="1">
      <alignment vertical="center"/>
      <protection locked="0"/>
    </xf>
    <xf numFmtId="0" fontId="168" fillId="37" borderId="8" xfId="0" applyFont="1" applyFill="1" applyBorder="1" applyAlignment="1">
      <alignment horizontal="center" vertical="top" wrapText="1" readingOrder="1"/>
    </xf>
    <xf numFmtId="0" fontId="97" fillId="37" borderId="8" xfId="0" applyFont="1" applyFill="1" applyBorder="1" applyAlignment="1">
      <alignment horizontal="right" wrapText="1" readingOrder="1"/>
    </xf>
    <xf numFmtId="2" fontId="97" fillId="26" borderId="8" xfId="0" applyNumberFormat="1" applyFont="1" applyFill="1" applyBorder="1" applyProtection="1">
      <protection locked="0"/>
    </xf>
    <xf numFmtId="0" fontId="97" fillId="37" borderId="8" xfId="0" applyFont="1" applyFill="1" applyBorder="1" applyAlignment="1">
      <alignment horizontal="left" wrapText="1" readingOrder="1"/>
    </xf>
    <xf numFmtId="0" fontId="97" fillId="37" borderId="24" xfId="0" applyFont="1" applyFill="1" applyBorder="1" applyAlignment="1">
      <alignment horizontal="left" vertical="top" wrapText="1" readingOrder="1"/>
    </xf>
    <xf numFmtId="0" fontId="97" fillId="37" borderId="24" xfId="0" applyFont="1" applyFill="1" applyBorder="1" applyAlignment="1">
      <alignment horizontal="center" vertical="top" wrapText="1" readingOrder="1"/>
    </xf>
    <xf numFmtId="2" fontId="97" fillId="37" borderId="24" xfId="0" applyNumberFormat="1" applyFont="1" applyFill="1" applyBorder="1" applyAlignment="1">
      <alignment horizontal="right" wrapText="1" readingOrder="1"/>
    </xf>
    <xf numFmtId="4" fontId="28" fillId="5" borderId="62" xfId="0" applyNumberFormat="1" applyFont="1" applyFill="1" applyBorder="1" applyAlignment="1" applyProtection="1">
      <alignment vertical="center"/>
      <protection locked="0"/>
    </xf>
    <xf numFmtId="196" fontId="200" fillId="0" borderId="0" xfId="0" applyNumberFormat="1" applyFont="1"/>
    <xf numFmtId="0" fontId="182" fillId="37" borderId="8" xfId="0" applyFont="1" applyFill="1" applyBorder="1" applyAlignment="1">
      <alignment horizontal="left" vertical="center" wrapText="1" readingOrder="1"/>
    </xf>
    <xf numFmtId="0" fontId="184" fillId="37" borderId="8" xfId="0" applyFont="1" applyFill="1" applyBorder="1" applyAlignment="1">
      <alignment horizontal="center" vertical="center" wrapText="1" shrinkToFit="1" readingOrder="1"/>
    </xf>
    <xf numFmtId="0" fontId="182" fillId="37" borderId="8" xfId="0" applyFont="1" applyFill="1" applyBorder="1" applyAlignment="1">
      <alignment horizontal="center" vertical="center" wrapText="1" readingOrder="1"/>
    </xf>
    <xf numFmtId="4" fontId="102" fillId="2" borderId="8" xfId="0" applyNumberFormat="1" applyFont="1" applyFill="1" applyBorder="1" applyAlignment="1">
      <alignment horizontal="right" vertical="center"/>
    </xf>
    <xf numFmtId="0" fontId="171" fillId="0" borderId="6" xfId="0" applyFont="1" applyBorder="1" applyAlignment="1" applyProtection="1">
      <alignment vertical="center" wrapText="1"/>
      <protection locked="0"/>
    </xf>
    <xf numFmtId="0" fontId="171" fillId="0" borderId="39" xfId="0" applyFont="1" applyBorder="1" applyAlignment="1" applyProtection="1">
      <alignment vertical="center" wrapText="1"/>
      <protection locked="0"/>
    </xf>
    <xf numFmtId="0" fontId="263" fillId="28" borderId="0" xfId="0" applyFont="1" applyFill="1" applyAlignment="1">
      <alignment horizontal="left" vertical="top" readingOrder="1"/>
    </xf>
    <xf numFmtId="0" fontId="264" fillId="28" borderId="0" xfId="0" applyFont="1" applyFill="1" applyAlignment="1">
      <alignment horizontal="left" vertical="top" readingOrder="1"/>
    </xf>
    <xf numFmtId="0" fontId="265" fillId="28" borderId="0" xfId="0" applyFont="1" applyFill="1" applyAlignment="1">
      <alignment horizontal="left" vertical="top" readingOrder="1"/>
    </xf>
    <xf numFmtId="0" fontId="0" fillId="0" borderId="46" xfId="0" applyBorder="1"/>
    <xf numFmtId="0" fontId="2" fillId="0" borderId="24" xfId="77" applyBorder="1" applyAlignment="1">
      <alignment horizontal="center" vertical="center"/>
    </xf>
    <xf numFmtId="4" fontId="201" fillId="2" borderId="8" xfId="92" applyNumberFormat="1" applyFont="1" applyFill="1" applyBorder="1" applyAlignment="1">
      <alignment horizontal="center" vertical="center"/>
    </xf>
    <xf numFmtId="9" fontId="200" fillId="2" borderId="0" xfId="102" applyFont="1" applyFill="1" applyAlignment="1">
      <alignment horizontal="left" vertical="center"/>
    </xf>
    <xf numFmtId="0" fontId="200" fillId="2" borderId="0" xfId="0" applyFont="1" applyFill="1" applyAlignment="1">
      <alignment horizontal="left" vertical="center"/>
    </xf>
    <xf numFmtId="4" fontId="199" fillId="2" borderId="8" xfId="92" applyNumberFormat="1" applyFont="1" applyFill="1" applyBorder="1" applyAlignment="1">
      <alignment horizontal="center" vertical="center"/>
    </xf>
    <xf numFmtId="4" fontId="207" fillId="2" borderId="8" xfId="92" applyNumberFormat="1" applyFont="1" applyFill="1" applyBorder="1" applyAlignment="1">
      <alignment horizontal="center" vertical="center"/>
    </xf>
    <xf numFmtId="4" fontId="201" fillId="2" borderId="8" xfId="92" applyNumberFormat="1" applyFont="1" applyFill="1" applyBorder="1" applyAlignment="1">
      <alignment horizontal="left" vertical="center"/>
    </xf>
    <xf numFmtId="188" fontId="206" fillId="2" borderId="8" xfId="0" applyNumberFormat="1" applyFont="1" applyFill="1" applyBorder="1" applyAlignment="1">
      <alignment horizontal="center" vertical="center"/>
    </xf>
    <xf numFmtId="194" fontId="200" fillId="2" borderId="0" xfId="117" applyFont="1" applyFill="1" applyAlignment="1">
      <alignment horizontal="center" vertical="center"/>
    </xf>
    <xf numFmtId="188" fontId="200" fillId="2" borderId="0" xfId="102" applyNumberFormat="1" applyFont="1" applyFill="1" applyAlignment="1">
      <alignment horizontal="left" vertical="center"/>
    </xf>
    <xf numFmtId="188" fontId="200" fillId="2" borderId="8" xfId="0" applyNumberFormat="1" applyFont="1" applyFill="1" applyBorder="1" applyAlignment="1">
      <alignment horizontal="center" vertical="center"/>
    </xf>
    <xf numFmtId="0" fontId="2" fillId="3" borderId="0" xfId="77" applyFill="1" applyAlignment="1">
      <alignment wrapText="1"/>
    </xf>
    <xf numFmtId="0" fontId="2" fillId="0" borderId="0" xfId="77" applyAlignment="1">
      <alignment horizontal="center" wrapText="1"/>
    </xf>
    <xf numFmtId="0" fontId="97" fillId="28" borderId="46" xfId="0" applyFont="1" applyFill="1" applyBorder="1" applyAlignment="1">
      <alignment horizontal="left" vertical="top" readingOrder="1"/>
    </xf>
    <xf numFmtId="0" fontId="259" fillId="28" borderId="46" xfId="0" applyFont="1" applyFill="1" applyBorder="1" applyAlignment="1">
      <alignment horizontal="left" vertical="top" readingOrder="1"/>
    </xf>
    <xf numFmtId="0" fontId="2" fillId="0" borderId="48" xfId="0" applyFont="1" applyBorder="1" applyAlignment="1" applyProtection="1">
      <alignment horizontal="left" vertical="center"/>
      <protection locked="0"/>
    </xf>
    <xf numFmtId="166" fontId="2" fillId="2" borderId="45" xfId="0" applyNumberFormat="1" applyFont="1" applyFill="1" applyBorder="1" applyAlignment="1" applyProtection="1">
      <alignment vertical="center"/>
      <protection locked="0"/>
    </xf>
    <xf numFmtId="166" fontId="172" fillId="0" borderId="39" xfId="0" applyNumberFormat="1" applyFont="1" applyBorder="1" applyAlignment="1" applyProtection="1">
      <alignment vertical="center"/>
      <protection locked="0"/>
    </xf>
    <xf numFmtId="166" fontId="172" fillId="0" borderId="45" xfId="0" applyNumberFormat="1" applyFont="1" applyBorder="1" applyAlignment="1" applyProtection="1">
      <alignment vertical="center"/>
      <protection locked="0"/>
    </xf>
    <xf numFmtId="166" fontId="27" fillId="23" borderId="49" xfId="0" applyNumberFormat="1" applyFont="1" applyFill="1" applyBorder="1" applyAlignment="1" applyProtection="1">
      <alignment vertical="center"/>
      <protection locked="0"/>
    </xf>
    <xf numFmtId="0" fontId="97" fillId="28" borderId="45" xfId="0" applyFont="1" applyFill="1" applyBorder="1" applyAlignment="1">
      <alignment horizontal="center" vertical="center" wrapText="1" readingOrder="1"/>
    </xf>
    <xf numFmtId="0" fontId="97" fillId="28" borderId="7" xfId="0" applyFont="1" applyFill="1" applyBorder="1" applyAlignment="1">
      <alignment horizontal="center" vertical="center" wrapText="1" readingOrder="1"/>
    </xf>
    <xf numFmtId="0" fontId="171" fillId="0" borderId="45" xfId="0" applyFont="1" applyBorder="1" applyAlignment="1" applyProtection="1">
      <alignment vertical="center" wrapText="1"/>
      <protection locked="0"/>
    </xf>
    <xf numFmtId="0" fontId="171" fillId="0" borderId="45" xfId="0" applyFont="1" applyBorder="1" applyAlignment="1" applyProtection="1">
      <alignment horizontal="left" vertical="center" wrapText="1"/>
      <protection locked="0"/>
    </xf>
    <xf numFmtId="0" fontId="171" fillId="0" borderId="7" xfId="0" applyFont="1" applyBorder="1" applyAlignment="1" applyProtection="1">
      <alignment horizontal="left" vertical="center" wrapText="1"/>
      <protection locked="0"/>
    </xf>
    <xf numFmtId="166" fontId="2" fillId="0" borderId="43" xfId="0" applyNumberFormat="1" applyFont="1" applyBorder="1" applyAlignment="1">
      <alignment horizontal="center" vertical="center"/>
    </xf>
    <xf numFmtId="166" fontId="2" fillId="0" borderId="39" xfId="0" applyNumberFormat="1" applyFont="1" applyBorder="1" applyAlignment="1">
      <alignment horizontal="center" vertical="center"/>
    </xf>
    <xf numFmtId="166" fontId="2" fillId="0" borderId="48" xfId="0" applyNumberFormat="1" applyFont="1" applyBorder="1" applyAlignment="1">
      <alignment horizontal="center" vertical="center"/>
    </xf>
    <xf numFmtId="166" fontId="2" fillId="0" borderId="45" xfId="0" applyNumberFormat="1" applyFont="1" applyBorder="1" applyAlignment="1">
      <alignment horizontal="center" vertical="center"/>
    </xf>
    <xf numFmtId="0" fontId="268" fillId="0" borderId="6" xfId="0" applyFont="1" applyBorder="1"/>
    <xf numFmtId="0" fontId="264" fillId="28" borderId="45" xfId="0" applyFont="1" applyFill="1" applyBorder="1" applyAlignment="1">
      <alignment horizontal="center" vertical="center" wrapText="1" readingOrder="1"/>
    </xf>
    <xf numFmtId="0" fontId="268" fillId="0" borderId="39" xfId="0" applyFont="1" applyBorder="1"/>
    <xf numFmtId="0" fontId="268" fillId="0" borderId="45" xfId="0" applyFont="1" applyBorder="1"/>
    <xf numFmtId="0" fontId="0" fillId="0" borderId="45" xfId="0" applyBorder="1"/>
    <xf numFmtId="0" fontId="139" fillId="0" borderId="0" xfId="0" applyFont="1" applyAlignment="1" applyProtection="1">
      <alignment horizontal="left" vertical="center"/>
      <protection locked="0"/>
    </xf>
    <xf numFmtId="0" fontId="268" fillId="0" borderId="0" xfId="0" applyFont="1"/>
    <xf numFmtId="0" fontId="171" fillId="0" borderId="0" xfId="0" applyFont="1" applyAlignment="1" applyProtection="1">
      <alignment vertical="center" wrapText="1"/>
      <protection locked="0"/>
    </xf>
    <xf numFmtId="0" fontId="269" fillId="0" borderId="0" xfId="0" applyFont="1"/>
    <xf numFmtId="0" fontId="270" fillId="0" borderId="0" xfId="0" applyFont="1"/>
    <xf numFmtId="0" fontId="271" fillId="0" borderId="0" xfId="0" applyFont="1"/>
    <xf numFmtId="0" fontId="272" fillId="0" borderId="0" xfId="0" applyFont="1"/>
    <xf numFmtId="0" fontId="191" fillId="0" borderId="0" xfId="0" applyFont="1"/>
    <xf numFmtId="0" fontId="266" fillId="0" borderId="0" xfId="0" applyFont="1" applyAlignment="1" applyProtection="1">
      <alignment horizontal="left" vertical="center"/>
      <protection locked="0"/>
    </xf>
    <xf numFmtId="0" fontId="267" fillId="28" borderId="0" xfId="0" applyFont="1" applyFill="1" applyAlignment="1">
      <alignment horizontal="left" vertical="top" readingOrder="1"/>
    </xf>
    <xf numFmtId="0" fontId="192" fillId="28" borderId="0" xfId="0" applyFont="1" applyFill="1" applyAlignment="1">
      <alignment horizontal="left" vertical="top" readingOrder="1"/>
    </xf>
    <xf numFmtId="0" fontId="258" fillId="28" borderId="0" xfId="0" applyFont="1" applyFill="1" applyAlignment="1">
      <alignment horizontal="left" vertical="top" readingOrder="1"/>
    </xf>
    <xf numFmtId="0" fontId="261" fillId="28" borderId="0" xfId="0" applyFont="1" applyFill="1" applyAlignment="1">
      <alignment horizontal="left" vertical="top" readingOrder="1"/>
    </xf>
    <xf numFmtId="0" fontId="262" fillId="28" borderId="0" xfId="0" applyFont="1" applyFill="1" applyAlignment="1">
      <alignment horizontal="left" vertical="top" readingOrder="1"/>
    </xf>
    <xf numFmtId="0" fontId="225" fillId="28" borderId="0" xfId="0" applyFont="1" applyFill="1" applyAlignment="1">
      <alignment horizontal="left" vertical="top" readingOrder="1"/>
    </xf>
    <xf numFmtId="0" fontId="259" fillId="28" borderId="0" xfId="0" applyFont="1" applyFill="1" applyAlignment="1">
      <alignment horizontal="left" vertical="top" readingOrder="1"/>
    </xf>
    <xf numFmtId="0" fontId="167" fillId="40" borderId="8" xfId="0" applyFont="1" applyFill="1" applyBorder="1" applyAlignment="1">
      <alignment horizontal="left" vertical="top" wrapText="1" readingOrder="1"/>
    </xf>
    <xf numFmtId="0" fontId="167" fillId="40" borderId="8" xfId="0" applyFont="1" applyFill="1" applyBorder="1" applyAlignment="1">
      <alignment horizontal="right" vertical="top" wrapText="1" readingOrder="1"/>
    </xf>
    <xf numFmtId="0" fontId="184" fillId="5" borderId="8" xfId="0" applyFont="1" applyFill="1" applyBorder="1" applyAlignment="1">
      <alignment horizontal="left" vertical="top" wrapText="1" readingOrder="1"/>
    </xf>
    <xf numFmtId="0" fontId="184" fillId="5" borderId="8" xfId="0" applyFont="1" applyFill="1" applyBorder="1" applyAlignment="1">
      <alignment vertical="top" wrapText="1" readingOrder="1"/>
    </xf>
    <xf numFmtId="43" fontId="146" fillId="5" borderId="8" xfId="93" applyFont="1" applyFill="1" applyBorder="1" applyAlignment="1">
      <alignment horizontal="center" vertical="center"/>
    </xf>
    <xf numFmtId="0" fontId="184" fillId="5" borderId="8" xfId="0" applyFont="1" applyFill="1" applyBorder="1" applyAlignment="1">
      <alignment horizontal="right" vertical="top" wrapText="1" readingOrder="1"/>
    </xf>
    <xf numFmtId="4" fontId="146" fillId="5" borderId="8" xfId="0" applyNumberFormat="1" applyFont="1" applyFill="1" applyBorder="1" applyAlignment="1">
      <alignment vertical="center"/>
    </xf>
    <xf numFmtId="0" fontId="102" fillId="5" borderId="0" xfId="0" applyFont="1" applyFill="1" applyAlignment="1">
      <alignment vertical="center"/>
    </xf>
    <xf numFmtId="0" fontId="197" fillId="40" borderId="8" xfId="0" applyFont="1" applyFill="1" applyBorder="1" applyAlignment="1">
      <alignment horizontal="left" vertical="center" wrapText="1" readingOrder="1"/>
    </xf>
    <xf numFmtId="0" fontId="184" fillId="40" borderId="8" xfId="0" applyFont="1" applyFill="1" applyBorder="1" applyAlignment="1">
      <alignment horizontal="center" vertical="center" wrapText="1" readingOrder="1"/>
    </xf>
    <xf numFmtId="2" fontId="182" fillId="40" borderId="8" xfId="0" applyNumberFormat="1" applyFont="1" applyFill="1" applyBorder="1" applyAlignment="1">
      <alignment horizontal="center" vertical="center" wrapText="1" readingOrder="1"/>
    </xf>
    <xf numFmtId="0" fontId="182" fillId="40" borderId="8" xfId="0" applyFont="1" applyFill="1" applyBorder="1" applyAlignment="1">
      <alignment horizontal="center" vertical="top" wrapText="1" readingOrder="1"/>
    </xf>
    <xf numFmtId="43" fontId="182" fillId="5" borderId="8" xfId="0" applyNumberFormat="1" applyFont="1" applyFill="1" applyBorder="1" applyAlignment="1">
      <alignment horizontal="center" vertical="top" wrapText="1" readingOrder="1"/>
    </xf>
    <xf numFmtId="0" fontId="146" fillId="43" borderId="8" xfId="0" applyFont="1" applyFill="1" applyBorder="1" applyAlignment="1">
      <alignment horizontal="left" vertical="top" wrapText="1" readingOrder="1"/>
    </xf>
    <xf numFmtId="0" fontId="0" fillId="18" borderId="8" xfId="0" applyFill="1" applyBorder="1" applyAlignment="1">
      <alignment horizontal="left" vertical="center"/>
    </xf>
    <xf numFmtId="0" fontId="184" fillId="43" borderId="8" xfId="0" applyFont="1" applyFill="1" applyBorder="1" applyAlignment="1">
      <alignment horizontal="center" vertical="center" wrapText="1" readingOrder="1"/>
    </xf>
    <xf numFmtId="2" fontId="182" fillId="43" borderId="8" xfId="0" applyNumberFormat="1" applyFont="1" applyFill="1" applyBorder="1" applyAlignment="1">
      <alignment horizontal="center" vertical="center" wrapText="1" readingOrder="1"/>
    </xf>
    <xf numFmtId="0" fontId="182" fillId="43" borderId="8" xfId="0" applyFont="1" applyFill="1" applyBorder="1" applyAlignment="1">
      <alignment horizontal="center" vertical="top" wrapText="1" readingOrder="1"/>
    </xf>
    <xf numFmtId="43" fontId="182" fillId="18" borderId="8" xfId="0" applyNumberFormat="1" applyFont="1" applyFill="1" applyBorder="1" applyAlignment="1">
      <alignment horizontal="center" vertical="top" wrapText="1" readingOrder="1"/>
    </xf>
    <xf numFmtId="4" fontId="97" fillId="44" borderId="8" xfId="0" applyNumberFormat="1" applyFont="1" applyFill="1" applyBorder="1" applyAlignment="1" applyProtection="1">
      <alignment vertical="center"/>
      <protection locked="0"/>
    </xf>
    <xf numFmtId="166" fontId="46" fillId="18" borderId="8" xfId="0" applyNumberFormat="1" applyFont="1" applyFill="1" applyBorder="1" applyAlignment="1" applyProtection="1">
      <alignment vertical="center"/>
      <protection locked="0"/>
    </xf>
    <xf numFmtId="10" fontId="102" fillId="18" borderId="8" xfId="0" applyNumberFormat="1" applyFont="1" applyFill="1" applyBorder="1" applyAlignment="1">
      <alignment horizontal="right" vertical="center"/>
    </xf>
    <xf numFmtId="0" fontId="102" fillId="18" borderId="0" xfId="0" applyFont="1" applyFill="1"/>
    <xf numFmtId="0" fontId="102" fillId="18" borderId="0" xfId="0" applyFont="1" applyFill="1" applyAlignment="1">
      <alignment vertical="center"/>
    </xf>
    <xf numFmtId="0" fontId="97" fillId="45" borderId="8" xfId="0" applyFont="1" applyFill="1" applyBorder="1" applyAlignment="1">
      <alignment horizontal="left" vertical="top" wrapText="1" readingOrder="1"/>
    </xf>
    <xf numFmtId="0" fontId="97" fillId="45" borderId="8" xfId="0" applyFont="1" applyFill="1" applyBorder="1" applyAlignment="1">
      <alignment horizontal="center" vertical="top" wrapText="1" readingOrder="1"/>
    </xf>
    <xf numFmtId="2" fontId="81" fillId="27" borderId="8" xfId="0" applyNumberFormat="1" applyFont="1" applyFill="1" applyBorder="1"/>
    <xf numFmtId="0" fontId="97" fillId="45" borderId="8" xfId="0" applyFont="1" applyFill="1" applyBorder="1" applyAlignment="1">
      <alignment horizontal="right" vertical="top" wrapText="1" readingOrder="1"/>
    </xf>
    <xf numFmtId="2" fontId="97" fillId="46" borderId="8" xfId="0" applyNumberFormat="1" applyFont="1" applyFill="1" applyBorder="1" applyAlignment="1" applyProtection="1">
      <alignment vertical="center"/>
      <protection locked="0"/>
    </xf>
    <xf numFmtId="4" fontId="97" fillId="46" borderId="8" xfId="0" applyNumberFormat="1" applyFont="1" applyFill="1" applyBorder="1" applyAlignment="1" applyProtection="1">
      <alignment vertical="center"/>
      <protection locked="0"/>
    </xf>
    <xf numFmtId="166" fontId="46" fillId="27" borderId="8" xfId="0" applyNumberFormat="1" applyFont="1" applyFill="1" applyBorder="1" applyAlignment="1" applyProtection="1">
      <alignment vertical="center"/>
      <protection locked="0"/>
    </xf>
    <xf numFmtId="10" fontId="102" fillId="27" borderId="8" xfId="0" applyNumberFormat="1" applyFont="1" applyFill="1" applyBorder="1" applyAlignment="1">
      <alignment horizontal="right" vertical="center"/>
    </xf>
    <xf numFmtId="0" fontId="102" fillId="27" borderId="0" xfId="0" applyFont="1" applyFill="1"/>
    <xf numFmtId="0" fontId="100" fillId="27" borderId="0" xfId="0" applyFont="1" applyFill="1" applyAlignment="1">
      <alignment vertical="center"/>
    </xf>
    <xf numFmtId="0" fontId="28" fillId="5" borderId="0" xfId="0" applyFont="1" applyFill="1" applyAlignment="1">
      <alignment vertical="center"/>
    </xf>
    <xf numFmtId="0" fontId="190" fillId="33" borderId="0" xfId="0" applyFont="1" applyFill="1" applyAlignment="1">
      <alignment horizontal="center" vertical="center" wrapText="1"/>
    </xf>
    <xf numFmtId="0" fontId="6" fillId="10" borderId="43" xfId="0" applyFont="1" applyFill="1" applyBorder="1" applyAlignment="1">
      <alignment horizontal="center" vertical="center"/>
    </xf>
    <xf numFmtId="0" fontId="6" fillId="10" borderId="48" xfId="0" applyFont="1" applyFill="1" applyBorder="1" applyAlignment="1">
      <alignment horizontal="center" vertical="center"/>
    </xf>
    <xf numFmtId="0" fontId="6" fillId="10" borderId="127" xfId="0" applyFont="1" applyFill="1" applyBorder="1" applyAlignment="1">
      <alignment horizontal="center" vertical="center"/>
    </xf>
    <xf numFmtId="0" fontId="6" fillId="10" borderId="124" xfId="0" applyFont="1" applyFill="1" applyBorder="1" applyAlignment="1">
      <alignment horizontal="center" vertical="center"/>
    </xf>
    <xf numFmtId="0" fontId="6" fillId="10" borderId="86" xfId="0" applyFont="1" applyFill="1" applyBorder="1" applyAlignment="1">
      <alignment horizontal="center" vertical="center" wrapText="1"/>
    </xf>
    <xf numFmtId="0" fontId="6" fillId="10" borderId="87" xfId="0" applyFont="1" applyFill="1" applyBorder="1" applyAlignment="1">
      <alignment horizontal="center" vertical="center" wrapText="1"/>
    </xf>
    <xf numFmtId="0" fontId="6" fillId="10" borderId="126" xfId="0" applyFont="1" applyFill="1" applyBorder="1" applyAlignment="1">
      <alignment horizontal="center" vertical="center" wrapText="1"/>
    </xf>
    <xf numFmtId="0" fontId="6" fillId="10" borderId="43" xfId="74" applyFont="1" applyFill="1" applyBorder="1" applyAlignment="1">
      <alignment horizontal="center" vertical="center"/>
    </xf>
    <xf numFmtId="0" fontId="6" fillId="10" borderId="39" xfId="74" applyFont="1" applyFill="1" applyBorder="1" applyAlignment="1">
      <alignment horizontal="center" vertical="center"/>
    </xf>
    <xf numFmtId="0" fontId="6" fillId="10" borderId="57" xfId="74" applyFont="1" applyFill="1" applyBorder="1" applyAlignment="1">
      <alignment horizontal="center" vertical="center"/>
    </xf>
    <xf numFmtId="0" fontId="6" fillId="10" borderId="125" xfId="74" applyFont="1" applyFill="1" applyBorder="1" applyAlignment="1">
      <alignment horizontal="center" vertical="center"/>
    </xf>
    <xf numFmtId="0" fontId="6" fillId="10" borderId="30" xfId="74" applyFont="1" applyFill="1" applyBorder="1" applyAlignment="1">
      <alignment horizontal="center" vertical="center"/>
    </xf>
    <xf numFmtId="0" fontId="6" fillId="10" borderId="31" xfId="74" applyFont="1" applyFill="1" applyBorder="1" applyAlignment="1">
      <alignment horizontal="center" vertical="center"/>
    </xf>
    <xf numFmtId="0" fontId="6" fillId="10" borderId="28" xfId="74" applyFont="1" applyFill="1" applyBorder="1" applyAlignment="1">
      <alignment horizontal="center" vertical="center"/>
    </xf>
    <xf numFmtId="0" fontId="6" fillId="29" borderId="43" xfId="0" applyFont="1" applyFill="1" applyBorder="1" applyAlignment="1">
      <alignment horizontal="left" vertical="center" wrapText="1"/>
    </xf>
    <xf numFmtId="0" fontId="6" fillId="29" borderId="6" xfId="0" applyFont="1" applyFill="1" applyBorder="1" applyAlignment="1">
      <alignment horizontal="left" vertical="center" wrapText="1"/>
    </xf>
    <xf numFmtId="0" fontId="6" fillId="29" borderId="39" xfId="0" applyFont="1" applyFill="1" applyBorder="1" applyAlignment="1">
      <alignment horizontal="left" vertical="center" wrapText="1"/>
    </xf>
    <xf numFmtId="0" fontId="6" fillId="29" borderId="48" xfId="0" applyFont="1" applyFill="1" applyBorder="1" applyAlignment="1">
      <alignment horizontal="left" vertical="center" wrapText="1"/>
    </xf>
    <xf numFmtId="0" fontId="6" fillId="29" borderId="0" xfId="0" applyFont="1" applyFill="1" applyAlignment="1">
      <alignment horizontal="left" vertical="center" wrapText="1"/>
    </xf>
    <xf numFmtId="0" fontId="6" fillId="29" borderId="45" xfId="0" applyFont="1" applyFill="1" applyBorder="1" applyAlignment="1">
      <alignment horizontal="left" vertical="center" wrapText="1"/>
    </xf>
    <xf numFmtId="0" fontId="6" fillId="29" borderId="44" xfId="0" applyFont="1" applyFill="1" applyBorder="1" applyAlignment="1">
      <alignment horizontal="left" vertical="center" wrapText="1"/>
    </xf>
    <xf numFmtId="0" fontId="6" fillId="29" borderId="46" xfId="0" applyFont="1" applyFill="1" applyBorder="1" applyAlignment="1">
      <alignment horizontal="left" vertical="center" wrapText="1"/>
    </xf>
    <xf numFmtId="0" fontId="6" fillId="29" borderId="7" xfId="0" applyFont="1" applyFill="1" applyBorder="1" applyAlignment="1">
      <alignment horizontal="left" vertical="center" wrapText="1"/>
    </xf>
    <xf numFmtId="0" fontId="66" fillId="2" borderId="8" xfId="0" applyFont="1" applyFill="1" applyBorder="1" applyAlignment="1">
      <alignment horizontal="left" vertical="center"/>
    </xf>
    <xf numFmtId="0" fontId="66" fillId="2" borderId="8" xfId="0" applyFont="1" applyFill="1" applyBorder="1" applyAlignment="1">
      <alignment horizontal="center" vertical="center"/>
    </xf>
    <xf numFmtId="0" fontId="6" fillId="6" borderId="32" xfId="74" applyFont="1" applyFill="1" applyBorder="1" applyAlignment="1">
      <alignment horizontal="center" vertical="center"/>
    </xf>
    <xf numFmtId="0" fontId="6" fillId="6" borderId="1" xfId="74" applyFont="1" applyFill="1" applyBorder="1" applyAlignment="1">
      <alignment horizontal="center" vertical="center"/>
    </xf>
    <xf numFmtId="0" fontId="6" fillId="6" borderId="49" xfId="74" applyFont="1" applyFill="1" applyBorder="1" applyAlignment="1">
      <alignment horizontal="center" vertical="center"/>
    </xf>
    <xf numFmtId="0" fontId="152" fillId="0" borderId="122" xfId="0" applyFont="1" applyBorder="1" applyAlignment="1">
      <alignment horizontal="left" vertical="center" wrapText="1"/>
    </xf>
    <xf numFmtId="0" fontId="152" fillId="0" borderId="123" xfId="0" applyFont="1" applyBorder="1" applyAlignment="1">
      <alignment horizontal="left" vertical="center" wrapText="1"/>
    </xf>
    <xf numFmtId="0" fontId="65" fillId="0" borderId="122" xfId="0" applyFont="1" applyBorder="1" applyAlignment="1">
      <alignment horizontal="left" vertical="center" wrapText="1"/>
    </xf>
    <xf numFmtId="0" fontId="65" fillId="0" borderId="77" xfId="0" applyFont="1" applyBorder="1" applyAlignment="1">
      <alignment horizontal="left" vertical="center" wrapText="1"/>
    </xf>
    <xf numFmtId="0" fontId="65" fillId="0" borderId="123" xfId="0" applyFont="1" applyBorder="1" applyAlignment="1">
      <alignment horizontal="left" vertical="center" wrapText="1"/>
    </xf>
    <xf numFmtId="0" fontId="150" fillId="2" borderId="0" xfId="0" applyFont="1" applyFill="1" applyAlignment="1">
      <alignment horizontal="center" vertical="center"/>
    </xf>
    <xf numFmtId="0" fontId="151" fillId="2" borderId="0" xfId="0" applyFont="1" applyFill="1" applyAlignment="1">
      <alignment horizontal="center" vertical="center"/>
    </xf>
    <xf numFmtId="0" fontId="6" fillId="10" borderId="44" xfId="0" applyFont="1" applyFill="1" applyBorder="1" applyAlignment="1">
      <alignment horizontal="center" vertical="center"/>
    </xf>
    <xf numFmtId="0" fontId="152" fillId="2" borderId="0" xfId="0" applyFont="1" applyFill="1" applyAlignment="1">
      <alignment horizontal="left" vertical="center" wrapText="1"/>
    </xf>
    <xf numFmtId="0" fontId="6" fillId="10" borderId="88" xfId="0" applyFont="1" applyFill="1" applyBorder="1" applyAlignment="1">
      <alignment horizontal="center" vertical="center" wrapText="1"/>
    </xf>
    <xf numFmtId="0" fontId="6" fillId="10" borderId="64" xfId="0" applyFont="1" applyFill="1" applyBorder="1" applyAlignment="1">
      <alignment horizontal="center" vertical="center"/>
    </xf>
    <xf numFmtId="0" fontId="6" fillId="6" borderId="127" xfId="0" applyFont="1" applyFill="1" applyBorder="1" applyAlignment="1">
      <alignment horizontal="center" vertical="center"/>
    </xf>
    <xf numFmtId="0" fontId="6" fillId="6" borderId="124" xfId="0" applyFont="1" applyFill="1" applyBorder="1" applyAlignment="1">
      <alignment horizontal="center" vertical="center"/>
    </xf>
    <xf numFmtId="0" fontId="6" fillId="6" borderId="64" xfId="0" applyFont="1" applyFill="1" applyBorder="1" applyAlignment="1">
      <alignment horizontal="center" vertical="center"/>
    </xf>
    <xf numFmtId="0" fontId="6" fillId="6" borderId="86" xfId="0" applyFont="1" applyFill="1" applyBorder="1" applyAlignment="1">
      <alignment horizontal="center" vertical="center" wrapText="1"/>
    </xf>
    <xf numFmtId="0" fontId="6" fillId="6" borderId="87" xfId="0" applyFont="1" applyFill="1" applyBorder="1" applyAlignment="1">
      <alignment horizontal="center" vertical="center" wrapText="1"/>
    </xf>
    <xf numFmtId="0" fontId="6" fillId="6" borderId="126" xfId="0" applyFont="1" applyFill="1" applyBorder="1" applyAlignment="1">
      <alignment horizontal="center" vertical="center" wrapText="1"/>
    </xf>
    <xf numFmtId="0" fontId="6" fillId="6" borderId="127" xfId="74" applyFont="1" applyFill="1" applyBorder="1" applyAlignment="1">
      <alignment horizontal="center" vertical="center"/>
    </xf>
    <xf numFmtId="0" fontId="6" fillId="6" borderId="89" xfId="74" applyFont="1" applyFill="1" applyBorder="1" applyAlignment="1">
      <alignment horizontal="center" vertical="center"/>
    </xf>
    <xf numFmtId="0" fontId="6" fillId="6" borderId="86" xfId="74" applyFont="1" applyFill="1" applyBorder="1" applyAlignment="1">
      <alignment horizontal="center" vertical="center"/>
    </xf>
    <xf numFmtId="0" fontId="0" fillId="0" borderId="0" xfId="0" applyAlignment="1">
      <alignment horizontal="left"/>
    </xf>
    <xf numFmtId="0" fontId="0" fillId="5" borderId="0" xfId="0" applyFill="1" applyAlignment="1">
      <alignment horizontal="left" wrapText="1"/>
    </xf>
    <xf numFmtId="0" fontId="0" fillId="15" borderId="0" xfId="0" applyFill="1" applyAlignment="1">
      <alignment horizontal="left" wrapText="1"/>
    </xf>
    <xf numFmtId="0" fontId="13" fillId="23" borderId="25" xfId="0" applyFont="1" applyFill="1" applyBorder="1" applyAlignment="1">
      <alignment horizontal="left" vertical="center"/>
    </xf>
    <xf numFmtId="0" fontId="13" fillId="23" borderId="26" xfId="0" applyFont="1" applyFill="1" applyBorder="1" applyAlignment="1">
      <alignment horizontal="left" vertical="center"/>
    </xf>
    <xf numFmtId="0" fontId="13" fillId="23" borderId="21" xfId="0" applyFont="1" applyFill="1" applyBorder="1" applyAlignment="1">
      <alignment horizontal="left" vertical="center"/>
    </xf>
    <xf numFmtId="14" fontId="10" fillId="0" borderId="25" xfId="0" applyNumberFormat="1" applyFont="1" applyBorder="1" applyAlignment="1">
      <alignment horizontal="left" vertical="center"/>
    </xf>
    <xf numFmtId="14" fontId="10" fillId="0" borderId="26" xfId="0" applyNumberFormat="1" applyFont="1" applyBorder="1" applyAlignment="1">
      <alignment horizontal="left" vertical="center"/>
    </xf>
    <xf numFmtId="14" fontId="10" fillId="0" borderId="21" xfId="0" applyNumberFormat="1" applyFont="1" applyBorder="1" applyAlignment="1">
      <alignment horizontal="left" vertical="center"/>
    </xf>
    <xf numFmtId="0" fontId="10" fillId="0" borderId="25" xfId="1" applyFont="1" applyBorder="1" applyAlignment="1">
      <alignment horizontal="left"/>
    </xf>
    <xf numFmtId="0" fontId="10" fillId="0" borderId="26" xfId="1" applyFont="1" applyBorder="1" applyAlignment="1">
      <alignment horizontal="left"/>
    </xf>
    <xf numFmtId="0" fontId="10" fillId="0" borderId="21" xfId="1" applyFont="1" applyBorder="1" applyAlignment="1">
      <alignment horizontal="left"/>
    </xf>
    <xf numFmtId="0" fontId="17" fillId="0" borderId="0" xfId="0" applyFont="1" applyAlignment="1">
      <alignment horizontal="center" vertical="center"/>
    </xf>
    <xf numFmtId="0" fontId="87" fillId="0" borderId="0" xfId="0" applyFont="1" applyAlignment="1">
      <alignment horizontal="center" vertical="center"/>
    </xf>
    <xf numFmtId="0" fontId="9" fillId="0" borderId="0" xfId="0" applyFont="1" applyAlignment="1">
      <alignment horizontal="center" vertical="center"/>
    </xf>
    <xf numFmtId="49" fontId="10" fillId="0" borderId="25" xfId="0" applyNumberFormat="1" applyFont="1" applyBorder="1" applyAlignment="1">
      <alignment horizontal="left" vertical="center" wrapText="1"/>
    </xf>
    <xf numFmtId="49" fontId="10" fillId="0" borderId="26" xfId="0" applyNumberFormat="1" applyFont="1" applyBorder="1" applyAlignment="1">
      <alignment horizontal="left" vertical="center" wrapText="1"/>
    </xf>
    <xf numFmtId="49" fontId="10" fillId="0" borderId="21" xfId="0" applyNumberFormat="1" applyFont="1" applyBorder="1" applyAlignment="1">
      <alignment horizontal="left" vertical="center" wrapText="1"/>
    </xf>
    <xf numFmtId="0" fontId="10" fillId="0" borderId="25" xfId="0" applyFont="1" applyBorder="1" applyAlignment="1">
      <alignment horizontal="left" vertical="top" wrapText="1"/>
    </xf>
    <xf numFmtId="0" fontId="10" fillId="0" borderId="26" xfId="0" applyFont="1" applyBorder="1" applyAlignment="1">
      <alignment horizontal="left" vertical="top" wrapText="1"/>
    </xf>
    <xf numFmtId="0" fontId="10" fillId="0" borderId="21" xfId="0" applyFont="1" applyBorder="1" applyAlignment="1">
      <alignment horizontal="left" vertical="top" wrapText="1"/>
    </xf>
    <xf numFmtId="0" fontId="10" fillId="0" borderId="0" xfId="0" applyFont="1" applyAlignment="1">
      <alignment horizontal="left" vertical="center"/>
    </xf>
    <xf numFmtId="49" fontId="13" fillId="0" borderId="0" xfId="102" applyNumberFormat="1" applyFont="1" applyFill="1" applyAlignment="1">
      <alignment horizontal="center" vertical="center" wrapText="1"/>
    </xf>
    <xf numFmtId="0" fontId="10" fillId="0" borderId="25" xfId="0" applyFont="1" applyBorder="1" applyAlignment="1">
      <alignment vertical="center"/>
    </xf>
    <xf numFmtId="0" fontId="10" fillId="0" borderId="26" xfId="0" applyFont="1" applyBorder="1" applyAlignment="1">
      <alignment vertical="center"/>
    </xf>
    <xf numFmtId="0" fontId="10" fillId="0" borderId="21" xfId="0" applyFont="1" applyBorder="1" applyAlignment="1">
      <alignment vertical="center"/>
    </xf>
    <xf numFmtId="0" fontId="10" fillId="0" borderId="25" xfId="0" applyFont="1" applyBorder="1" applyAlignment="1">
      <alignment horizontal="left" vertical="center"/>
    </xf>
    <xf numFmtId="0" fontId="10" fillId="0" borderId="26" xfId="0" applyFont="1" applyBorder="1" applyAlignment="1">
      <alignment horizontal="left" vertical="center"/>
    </xf>
    <xf numFmtId="0" fontId="10" fillId="0" borderId="21" xfId="0" applyFont="1" applyBorder="1" applyAlignment="1">
      <alignment horizontal="left" vertical="center"/>
    </xf>
    <xf numFmtId="0" fontId="10" fillId="0" borderId="22" xfId="0" applyFont="1" applyBorder="1" applyAlignment="1">
      <alignment horizontal="left" vertical="center"/>
    </xf>
    <xf numFmtId="169" fontId="10" fillId="0" borderId="25" xfId="0" applyNumberFormat="1" applyFont="1" applyBorder="1" applyAlignment="1">
      <alignment horizontal="center" vertical="center"/>
    </xf>
    <xf numFmtId="169" fontId="10" fillId="0" borderId="26" xfId="0" applyNumberFormat="1" applyFont="1" applyBorder="1" applyAlignment="1">
      <alignment horizontal="center" vertical="center"/>
    </xf>
    <xf numFmtId="169" fontId="10" fillId="0" borderId="21" xfId="0" applyNumberFormat="1" applyFont="1" applyBorder="1" applyAlignment="1">
      <alignment horizontal="center" vertical="center"/>
    </xf>
    <xf numFmtId="0" fontId="10" fillId="0" borderId="0" xfId="102" quotePrefix="1" applyNumberFormat="1" applyFont="1" applyFill="1" applyAlignment="1">
      <alignment horizontal="left" vertical="center"/>
    </xf>
    <xf numFmtId="169" fontId="10" fillId="2" borderId="25" xfId="0" applyNumberFormat="1" applyFont="1" applyFill="1" applyBorder="1" applyAlignment="1">
      <alignment horizontal="center" vertical="center"/>
    </xf>
    <xf numFmtId="169" fontId="10" fillId="2" borderId="26" xfId="0" applyNumberFormat="1" applyFont="1" applyFill="1" applyBorder="1" applyAlignment="1">
      <alignment horizontal="center" vertical="center"/>
    </xf>
    <xf numFmtId="169" fontId="10" fillId="2" borderId="21" xfId="0" applyNumberFormat="1" applyFont="1" applyFill="1" applyBorder="1" applyAlignment="1">
      <alignment horizontal="center" vertical="center"/>
    </xf>
    <xf numFmtId="0" fontId="10" fillId="23" borderId="8" xfId="0" applyFont="1" applyFill="1" applyBorder="1" applyAlignment="1">
      <alignment horizontal="center" vertical="center" wrapText="1"/>
    </xf>
    <xf numFmtId="0" fontId="10" fillId="0" borderId="8" xfId="0" applyFont="1" applyBorder="1" applyAlignment="1">
      <alignment horizontal="center" vertical="center"/>
    </xf>
    <xf numFmtId="0" fontId="10" fillId="0" borderId="8" xfId="0" applyFont="1" applyBorder="1" applyAlignment="1">
      <alignment horizontal="center"/>
    </xf>
    <xf numFmtId="169" fontId="13" fillId="0" borderId="25" xfId="0" applyNumberFormat="1" applyFont="1" applyBorder="1" applyAlignment="1">
      <alignment horizontal="center" vertical="center"/>
    </xf>
    <xf numFmtId="169" fontId="13" fillId="0" borderId="26" xfId="0" applyNumberFormat="1" applyFont="1" applyBorder="1" applyAlignment="1">
      <alignment horizontal="center" vertical="center"/>
    </xf>
    <xf numFmtId="169" fontId="13" fillId="0" borderId="21" xfId="0" applyNumberFormat="1" applyFont="1" applyBorder="1" applyAlignment="1">
      <alignment horizontal="center" vertical="center"/>
    </xf>
    <xf numFmtId="0" fontId="90" fillId="23" borderId="47" xfId="0" applyFont="1" applyFill="1" applyBorder="1" applyAlignment="1">
      <alignment horizontal="center" vertical="center"/>
    </xf>
    <xf numFmtId="0" fontId="90" fillId="23" borderId="19" xfId="0" applyFont="1" applyFill="1" applyBorder="1" applyAlignment="1">
      <alignment horizontal="center" vertical="center"/>
    </xf>
    <xf numFmtId="0" fontId="90" fillId="23" borderId="128" xfId="0" applyFont="1" applyFill="1" applyBorder="1" applyAlignment="1">
      <alignment horizontal="center" vertical="center"/>
    </xf>
    <xf numFmtId="0" fontId="90" fillId="23" borderId="129" xfId="0" applyFont="1" applyFill="1" applyBorder="1" applyAlignment="1">
      <alignment horizontal="center" vertical="center" wrapText="1"/>
    </xf>
    <xf numFmtId="0" fontId="90" fillId="23" borderId="6" xfId="0" applyFont="1" applyFill="1" applyBorder="1" applyAlignment="1">
      <alignment horizontal="center" vertical="center" wrapText="1"/>
    </xf>
    <xf numFmtId="0" fontId="90" fillId="23" borderId="36" xfId="0" applyFont="1" applyFill="1" applyBorder="1" applyAlignment="1">
      <alignment horizontal="center" vertical="center" wrapText="1"/>
    </xf>
    <xf numFmtId="0" fontId="90" fillId="23" borderId="63" xfId="0" applyFont="1" applyFill="1" applyBorder="1" applyAlignment="1">
      <alignment horizontal="center" vertical="center" wrapText="1"/>
    </xf>
    <xf numFmtId="0" fontId="90" fillId="23" borderId="46" xfId="0" applyFont="1" applyFill="1" applyBorder="1" applyAlignment="1">
      <alignment horizontal="center" vertical="center" wrapText="1"/>
    </xf>
    <xf numFmtId="0" fontId="90" fillId="23" borderId="42" xfId="0" applyFont="1" applyFill="1" applyBorder="1" applyAlignment="1">
      <alignment horizontal="center" vertical="center" wrapText="1"/>
    </xf>
    <xf numFmtId="0" fontId="90" fillId="23" borderId="29" xfId="0" applyFont="1" applyFill="1" applyBorder="1" applyAlignment="1">
      <alignment horizontal="center" vertical="center"/>
    </xf>
    <xf numFmtId="0" fontId="90" fillId="23" borderId="30" xfId="0" applyFont="1" applyFill="1" applyBorder="1" applyAlignment="1">
      <alignment horizontal="center" vertical="center"/>
    </xf>
    <xf numFmtId="0" fontId="90" fillId="23" borderId="18" xfId="0" applyFont="1" applyFill="1" applyBorder="1" applyAlignment="1">
      <alignment horizontal="center" vertical="center"/>
    </xf>
    <xf numFmtId="14" fontId="10" fillId="0" borderId="8" xfId="0" applyNumberFormat="1" applyFont="1" applyBorder="1" applyAlignment="1">
      <alignment horizontal="center" vertical="center"/>
    </xf>
    <xf numFmtId="0" fontId="10" fillId="2" borderId="8" xfId="0" applyFont="1" applyFill="1" applyBorder="1" applyAlignment="1">
      <alignment horizontal="center" vertical="center"/>
    </xf>
    <xf numFmtId="0" fontId="27" fillId="23" borderId="32" xfId="0" applyFont="1" applyFill="1" applyBorder="1" applyAlignment="1" applyProtection="1">
      <alignment horizontal="center" vertical="center"/>
      <protection locked="0"/>
    </xf>
    <xf numFmtId="0" fontId="27" fillId="23" borderId="1" xfId="0" applyFont="1" applyFill="1" applyBorder="1" applyAlignment="1" applyProtection="1">
      <alignment horizontal="center" vertical="center"/>
      <protection locked="0"/>
    </xf>
    <xf numFmtId="0" fontId="27" fillId="23" borderId="49" xfId="0" applyFont="1" applyFill="1" applyBorder="1" applyAlignment="1" applyProtection="1">
      <alignment horizontal="center" vertical="center"/>
      <protection locked="0"/>
    </xf>
    <xf numFmtId="166" fontId="27" fillId="23" borderId="32" xfId="0" applyNumberFormat="1" applyFont="1" applyFill="1" applyBorder="1" applyAlignment="1" applyProtection="1">
      <alignment horizontal="center" vertical="center"/>
      <protection locked="0"/>
    </xf>
    <xf numFmtId="166" fontId="27" fillId="23" borderId="49" xfId="0" applyNumberFormat="1" applyFont="1" applyFill="1" applyBorder="1" applyAlignment="1" applyProtection="1">
      <alignment horizontal="center" vertical="center"/>
      <protection locked="0"/>
    </xf>
    <xf numFmtId="0" fontId="10" fillId="0" borderId="0" xfId="0" applyFont="1" applyAlignment="1">
      <alignment horizontal="left" vertical="center" wrapText="1"/>
    </xf>
    <xf numFmtId="0" fontId="90" fillId="0" borderId="52" xfId="0" applyFont="1" applyBorder="1" applyAlignment="1">
      <alignment horizontal="center" vertical="center"/>
    </xf>
    <xf numFmtId="0" fontId="90" fillId="0" borderId="53" xfId="0" applyFont="1" applyBorder="1" applyAlignment="1">
      <alignment horizontal="center" vertical="center"/>
    </xf>
    <xf numFmtId="0" fontId="90" fillId="0" borderId="19" xfId="0" applyFont="1" applyBorder="1" applyAlignment="1">
      <alignment horizontal="center" vertical="center"/>
    </xf>
    <xf numFmtId="4" fontId="92" fillId="0" borderId="47" xfId="0" applyNumberFormat="1" applyFont="1" applyBorder="1" applyAlignment="1">
      <alignment horizontal="center" vertical="center"/>
    </xf>
    <xf numFmtId="4" fontId="92" fillId="0" borderId="53" xfId="0" applyNumberFormat="1" applyFont="1" applyBorder="1" applyAlignment="1">
      <alignment horizontal="center" vertical="center"/>
    </xf>
    <xf numFmtId="4" fontId="92" fillId="0" borderId="19" xfId="0" applyNumberFormat="1" applyFont="1" applyBorder="1" applyAlignment="1">
      <alignment horizontal="center" vertical="center"/>
    </xf>
    <xf numFmtId="10" fontId="92" fillId="0" borderId="47" xfId="0" applyNumberFormat="1" applyFont="1" applyBorder="1" applyAlignment="1">
      <alignment horizontal="center" vertical="center"/>
    </xf>
    <xf numFmtId="10" fontId="92" fillId="0" borderId="19" xfId="0" applyNumberFormat="1" applyFont="1" applyBorder="1" applyAlignment="1">
      <alignment horizontal="center" vertical="center"/>
    </xf>
    <xf numFmtId="4" fontId="94" fillId="0" borderId="47" xfId="0" applyNumberFormat="1" applyFont="1" applyBorder="1" applyAlignment="1">
      <alignment horizontal="center" vertical="center"/>
    </xf>
    <xf numFmtId="4" fontId="94" fillId="0" borderId="53" xfId="0" applyNumberFormat="1" applyFont="1" applyBorder="1" applyAlignment="1">
      <alignment horizontal="center" vertical="center"/>
    </xf>
    <xf numFmtId="4" fontId="94" fillId="0" borderId="19" xfId="0" applyNumberFormat="1" applyFont="1" applyBorder="1" applyAlignment="1">
      <alignment horizontal="center" vertical="center"/>
    </xf>
    <xf numFmtId="10" fontId="92" fillId="0" borderId="53" xfId="0" applyNumberFormat="1" applyFont="1" applyBorder="1" applyAlignment="1">
      <alignment horizontal="center" vertical="center"/>
    </xf>
    <xf numFmtId="0" fontId="90" fillId="0" borderId="28" xfId="0" applyFont="1" applyBorder="1" applyAlignment="1">
      <alignment horizontal="center" vertical="center"/>
    </xf>
    <xf numFmtId="0" fontId="90" fillId="0" borderId="30" xfId="0" applyFont="1" applyBorder="1" applyAlignment="1">
      <alignment horizontal="center" vertical="center"/>
    </xf>
    <xf numFmtId="0" fontId="90" fillId="0" borderId="18" xfId="0" applyFont="1" applyBorder="1" applyAlignment="1">
      <alignment horizontal="center" vertical="center"/>
    </xf>
    <xf numFmtId="4" fontId="92" fillId="0" borderId="29" xfId="0" applyNumberFormat="1" applyFont="1" applyBorder="1" applyAlignment="1">
      <alignment horizontal="center" vertical="center"/>
    </xf>
    <xf numFmtId="4" fontId="92" fillId="0" borderId="30" xfId="0" applyNumberFormat="1" applyFont="1" applyBorder="1" applyAlignment="1">
      <alignment horizontal="center" vertical="center"/>
    </xf>
    <xf numFmtId="4" fontId="92" fillId="0" borderId="18" xfId="0" applyNumberFormat="1" applyFont="1" applyBorder="1" applyAlignment="1">
      <alignment horizontal="center" vertical="center"/>
    </xf>
    <xf numFmtId="10" fontId="92" fillId="0" borderId="29" xfId="0" applyNumberFormat="1" applyFont="1" applyBorder="1" applyAlignment="1">
      <alignment horizontal="center" vertical="center"/>
    </xf>
    <xf numFmtId="10" fontId="92" fillId="0" borderId="18" xfId="0" applyNumberFormat="1" applyFont="1" applyBorder="1" applyAlignment="1">
      <alignment horizontal="center" vertical="center"/>
    </xf>
    <xf numFmtId="4" fontId="94" fillId="0" borderId="29" xfId="0" applyNumberFormat="1" applyFont="1" applyBorder="1" applyAlignment="1">
      <alignment horizontal="center" vertical="center"/>
    </xf>
    <xf numFmtId="4" fontId="94" fillId="0" borderId="30" xfId="0" applyNumberFormat="1" applyFont="1" applyBorder="1" applyAlignment="1">
      <alignment horizontal="center" vertical="center"/>
    </xf>
    <xf numFmtId="4" fontId="94" fillId="0" borderId="18" xfId="0" applyNumberFormat="1" applyFont="1" applyBorder="1" applyAlignment="1">
      <alignment horizontal="center" vertical="center"/>
    </xf>
    <xf numFmtId="10" fontId="92" fillId="0" borderId="30" xfId="0" applyNumberFormat="1" applyFont="1" applyBorder="1" applyAlignment="1">
      <alignment horizontal="center" vertical="center"/>
    </xf>
    <xf numFmtId="0" fontId="90" fillId="23" borderId="31" xfId="0" applyFont="1" applyFill="1" applyBorder="1" applyAlignment="1">
      <alignment horizontal="center" vertical="center"/>
    </xf>
    <xf numFmtId="0" fontId="90" fillId="23" borderId="53" xfId="0" applyFont="1" applyFill="1" applyBorder="1" applyAlignment="1">
      <alignment horizontal="center" vertical="center"/>
    </xf>
    <xf numFmtId="10" fontId="92" fillId="0" borderId="31" xfId="0" applyNumberFormat="1" applyFont="1" applyBorder="1" applyAlignment="1">
      <alignment horizontal="center" vertical="center"/>
    </xf>
    <xf numFmtId="10" fontId="92" fillId="0" borderId="128" xfId="0" applyNumberFormat="1" applyFont="1" applyBorder="1" applyAlignment="1">
      <alignment horizontal="center" vertical="center"/>
    </xf>
    <xf numFmtId="4" fontId="249" fillId="0" borderId="47" xfId="0" applyNumberFormat="1" applyFont="1" applyBorder="1" applyAlignment="1">
      <alignment horizontal="center" vertical="center"/>
    </xf>
    <xf numFmtId="4" fontId="249" fillId="0" borderId="53" xfId="0" applyNumberFormat="1" applyFont="1" applyBorder="1" applyAlignment="1">
      <alignment horizontal="center" vertical="center"/>
    </xf>
    <xf numFmtId="4" fontId="249" fillId="0" borderId="19" xfId="0" applyNumberFormat="1" applyFont="1" applyBorder="1" applyAlignment="1">
      <alignment horizontal="center" vertical="center"/>
    </xf>
    <xf numFmtId="4" fontId="249" fillId="0" borderId="29" xfId="0" applyNumberFormat="1" applyFont="1" applyBorder="1" applyAlignment="1">
      <alignment horizontal="center" vertical="center"/>
    </xf>
    <xf numFmtId="4" fontId="249" fillId="0" borderId="30" xfId="0" applyNumberFormat="1" applyFont="1" applyBorder="1" applyAlignment="1">
      <alignment horizontal="center" vertical="center"/>
    </xf>
    <xf numFmtId="4" fontId="249" fillId="0" borderId="18" xfId="0" applyNumberFormat="1" applyFont="1" applyBorder="1" applyAlignment="1">
      <alignment horizontal="center" vertical="center"/>
    </xf>
    <xf numFmtId="0" fontId="90" fillId="0" borderId="85" xfId="0" applyFont="1" applyBorder="1" applyAlignment="1">
      <alignment horizontal="center" vertical="center"/>
    </xf>
    <xf numFmtId="0" fontId="90" fillId="0" borderId="26" xfId="0" applyFont="1" applyBorder="1" applyAlignment="1">
      <alignment horizontal="center" vertical="center"/>
    </xf>
    <xf numFmtId="0" fontId="90" fillId="0" borderId="21" xfId="0" applyFont="1" applyBorder="1" applyAlignment="1">
      <alignment horizontal="center" vertical="center"/>
    </xf>
    <xf numFmtId="4" fontId="92" fillId="0" borderId="25" xfId="0" applyNumberFormat="1" applyFont="1" applyBorder="1" applyAlignment="1">
      <alignment horizontal="center" vertical="center"/>
    </xf>
    <xf numFmtId="4" fontId="92" fillId="0" borderId="26" xfId="0" applyNumberFormat="1" applyFont="1" applyBorder="1" applyAlignment="1">
      <alignment horizontal="center" vertical="center"/>
    </xf>
    <xf numFmtId="4" fontId="92" fillId="0" borderId="21" xfId="0" applyNumberFormat="1" applyFont="1" applyBorder="1" applyAlignment="1">
      <alignment horizontal="center" vertical="center"/>
    </xf>
    <xf numFmtId="10" fontId="92" fillId="0" borderId="25" xfId="0" applyNumberFormat="1" applyFont="1" applyBorder="1" applyAlignment="1">
      <alignment horizontal="center" vertical="center"/>
    </xf>
    <xf numFmtId="10" fontId="92" fillId="0" borderId="21" xfId="0" applyNumberFormat="1" applyFont="1" applyBorder="1" applyAlignment="1">
      <alignment horizontal="center" vertical="center"/>
    </xf>
    <xf numFmtId="4" fontId="249" fillId="0" borderId="25" xfId="0" applyNumberFormat="1" applyFont="1" applyBorder="1" applyAlignment="1">
      <alignment horizontal="center" vertical="center"/>
    </xf>
    <xf numFmtId="4" fontId="249" fillId="0" borderId="26" xfId="0" applyNumberFormat="1" applyFont="1" applyBorder="1" applyAlignment="1">
      <alignment horizontal="center" vertical="center"/>
    </xf>
    <xf numFmtId="4" fontId="249" fillId="0" borderId="21" xfId="0" applyNumberFormat="1" applyFont="1" applyBorder="1" applyAlignment="1">
      <alignment horizontal="center" vertical="center"/>
    </xf>
    <xf numFmtId="10" fontId="92" fillId="0" borderId="26" xfId="0" applyNumberFormat="1" applyFont="1" applyBorder="1" applyAlignment="1">
      <alignment horizontal="center" vertical="center"/>
    </xf>
    <xf numFmtId="181" fontId="92" fillId="0" borderId="47" xfId="0" applyNumberFormat="1" applyFont="1" applyBorder="1" applyAlignment="1">
      <alignment horizontal="center" vertical="center"/>
    </xf>
    <xf numFmtId="181" fontId="92" fillId="0" borderId="53" xfId="0" applyNumberFormat="1" applyFont="1" applyBorder="1" applyAlignment="1">
      <alignment horizontal="center" vertical="center"/>
    </xf>
    <xf numFmtId="181" fontId="92" fillId="0" borderId="19" xfId="0" applyNumberFormat="1" applyFont="1" applyBorder="1" applyAlignment="1">
      <alignment horizontal="center" vertical="center"/>
    </xf>
    <xf numFmtId="10" fontId="92" fillId="0" borderId="132" xfId="0" applyNumberFormat="1" applyFont="1" applyBorder="1" applyAlignment="1">
      <alignment horizontal="center" vertical="center"/>
    </xf>
    <xf numFmtId="4" fontId="249" fillId="2" borderId="25" xfId="0" applyNumberFormat="1" applyFont="1" applyFill="1" applyBorder="1" applyAlignment="1">
      <alignment horizontal="center" vertical="center"/>
    </xf>
    <xf numFmtId="4" fontId="249" fillId="2" borderId="26" xfId="0" applyNumberFormat="1" applyFont="1" applyFill="1" applyBorder="1" applyAlignment="1">
      <alignment horizontal="center" vertical="center"/>
    </xf>
    <xf numFmtId="4" fontId="249" fillId="2" borderId="21" xfId="0" applyNumberFormat="1" applyFont="1" applyFill="1" applyBorder="1" applyAlignment="1">
      <alignment horizontal="center" vertical="center"/>
    </xf>
    <xf numFmtId="4" fontId="249" fillId="2" borderId="29" xfId="0" applyNumberFormat="1" applyFont="1" applyFill="1" applyBorder="1" applyAlignment="1">
      <alignment horizontal="center" vertical="center"/>
    </xf>
    <xf numFmtId="4" fontId="249" fillId="2" borderId="30" xfId="0" applyNumberFormat="1" applyFont="1" applyFill="1" applyBorder="1" applyAlignment="1">
      <alignment horizontal="center" vertical="center"/>
    </xf>
    <xf numFmtId="4" fontId="249" fillId="2" borderId="18" xfId="0" applyNumberFormat="1" applyFont="1" applyFill="1" applyBorder="1" applyAlignment="1">
      <alignment horizontal="center" vertical="center"/>
    </xf>
    <xf numFmtId="4" fontId="249" fillId="2" borderId="47" xfId="0" applyNumberFormat="1" applyFont="1" applyFill="1" applyBorder="1" applyAlignment="1">
      <alignment horizontal="center" vertical="center"/>
    </xf>
    <xf numFmtId="4" fontId="249" fillId="2" borderId="53" xfId="0" applyNumberFormat="1" applyFont="1" applyFill="1" applyBorder="1" applyAlignment="1">
      <alignment horizontal="center" vertical="center"/>
    </xf>
    <xf numFmtId="4" fontId="249" fillId="2" borderId="19" xfId="0" applyNumberFormat="1" applyFont="1" applyFill="1" applyBorder="1" applyAlignment="1">
      <alignment horizontal="center" vertical="center"/>
    </xf>
    <xf numFmtId="4" fontId="92" fillId="2" borderId="25" xfId="0" applyNumberFormat="1" applyFont="1" applyFill="1" applyBorder="1" applyAlignment="1">
      <alignment horizontal="center" vertical="center"/>
    </xf>
    <xf numFmtId="4" fontId="92" fillId="2" borderId="26" xfId="0" applyNumberFormat="1" applyFont="1" applyFill="1" applyBorder="1" applyAlignment="1">
      <alignment horizontal="center" vertical="center"/>
    </xf>
    <xf numFmtId="4" fontId="92" fillId="2" borderId="21" xfId="0" applyNumberFormat="1" applyFont="1" applyFill="1" applyBorder="1" applyAlignment="1">
      <alignment horizontal="center" vertical="center"/>
    </xf>
    <xf numFmtId="4" fontId="92" fillId="2" borderId="29" xfId="0" applyNumberFormat="1" applyFont="1" applyFill="1" applyBorder="1" applyAlignment="1">
      <alignment horizontal="center" vertical="center"/>
    </xf>
    <xf numFmtId="4" fontId="92" fillId="2" borderId="30" xfId="0" applyNumberFormat="1" applyFont="1" applyFill="1" applyBorder="1" applyAlignment="1">
      <alignment horizontal="center" vertical="center"/>
    </xf>
    <xf numFmtId="4" fontId="92" fillId="2" borderId="18" xfId="0" applyNumberFormat="1" applyFont="1" applyFill="1" applyBorder="1" applyAlignment="1">
      <alignment horizontal="center" vertical="center"/>
    </xf>
    <xf numFmtId="4" fontId="92" fillId="2" borderId="47" xfId="0" applyNumberFormat="1" applyFont="1" applyFill="1" applyBorder="1" applyAlignment="1">
      <alignment horizontal="center" vertical="center"/>
    </xf>
    <xf numFmtId="4" fontId="92" fillId="2" borderId="53" xfId="0" applyNumberFormat="1" applyFont="1" applyFill="1" applyBorder="1" applyAlignment="1">
      <alignment horizontal="center" vertical="center"/>
    </xf>
    <xf numFmtId="4" fontId="92" fillId="2" borderId="19" xfId="0" applyNumberFormat="1" applyFont="1" applyFill="1" applyBorder="1" applyAlignment="1">
      <alignment horizontal="center" vertical="center"/>
    </xf>
    <xf numFmtId="4" fontId="92" fillId="23" borderId="29" xfId="0" applyNumberFormat="1" applyFont="1" applyFill="1" applyBorder="1" applyAlignment="1">
      <alignment horizontal="center" vertical="center"/>
    </xf>
    <xf numFmtId="4" fontId="92" fillId="23" borderId="30" xfId="0" applyNumberFormat="1" applyFont="1" applyFill="1" applyBorder="1" applyAlignment="1">
      <alignment horizontal="center" vertical="center"/>
    </xf>
    <xf numFmtId="4" fontId="92" fillId="23" borderId="18" xfId="0" applyNumberFormat="1" applyFont="1" applyFill="1" applyBorder="1" applyAlignment="1">
      <alignment horizontal="center" vertical="center"/>
    </xf>
    <xf numFmtId="10" fontId="92" fillId="23" borderId="29" xfId="0" applyNumberFormat="1" applyFont="1" applyFill="1" applyBorder="1" applyAlignment="1">
      <alignment horizontal="center" vertical="center"/>
    </xf>
    <xf numFmtId="10" fontId="92" fillId="23" borderId="18" xfId="0" applyNumberFormat="1" applyFont="1" applyFill="1" applyBorder="1" applyAlignment="1">
      <alignment horizontal="center" vertical="center"/>
    </xf>
    <xf numFmtId="10" fontId="92" fillId="23" borderId="29" xfId="102" applyNumberFormat="1" applyFont="1" applyFill="1" applyBorder="1" applyAlignment="1">
      <alignment horizontal="center" vertical="center"/>
    </xf>
    <xf numFmtId="10" fontId="92" fillId="23" borderId="31" xfId="102" applyNumberFormat="1" applyFont="1" applyFill="1" applyBorder="1" applyAlignment="1">
      <alignment horizontal="center" vertical="center"/>
    </xf>
    <xf numFmtId="0" fontId="90" fillId="0" borderId="58" xfId="0" applyFont="1" applyBorder="1" applyAlignment="1">
      <alignment horizontal="center" vertical="center"/>
    </xf>
    <xf numFmtId="0" fontId="90" fillId="0" borderId="51" xfId="0" applyFont="1" applyBorder="1" applyAlignment="1">
      <alignment horizontal="center" vertical="center"/>
    </xf>
    <xf numFmtId="0" fontId="90" fillId="0" borderId="56" xfId="0" applyFont="1" applyBorder="1" applyAlignment="1">
      <alignment horizontal="center" vertical="center"/>
    </xf>
    <xf numFmtId="0" fontId="90" fillId="23" borderId="28" xfId="0" applyFont="1" applyFill="1" applyBorder="1" applyAlignment="1">
      <alignment horizontal="center" vertical="center"/>
    </xf>
    <xf numFmtId="4" fontId="92" fillId="23" borderId="29" xfId="0" applyNumberFormat="1" applyFont="1" applyFill="1" applyBorder="1" applyAlignment="1">
      <alignment horizontal="center" vertical="center" wrapText="1"/>
    </xf>
    <xf numFmtId="4" fontId="92" fillId="23" borderId="30" xfId="0" applyNumberFormat="1" applyFont="1" applyFill="1" applyBorder="1" applyAlignment="1">
      <alignment horizontal="center" vertical="center" wrapText="1"/>
    </xf>
    <xf numFmtId="4" fontId="92" fillId="23" borderId="18" xfId="0" applyNumberFormat="1" applyFont="1" applyFill="1" applyBorder="1" applyAlignment="1">
      <alignment horizontal="center" vertical="center" wrapText="1"/>
    </xf>
    <xf numFmtId="4" fontId="92" fillId="39" borderId="29" xfId="0" applyNumberFormat="1" applyFont="1" applyFill="1" applyBorder="1" applyAlignment="1">
      <alignment horizontal="center" vertical="center"/>
    </xf>
    <xf numFmtId="4" fontId="92" fillId="39" borderId="30" xfId="0" applyNumberFormat="1" applyFont="1" applyFill="1" applyBorder="1" applyAlignment="1">
      <alignment horizontal="center" vertical="center"/>
    </xf>
    <xf numFmtId="4" fontId="92" fillId="39" borderId="18" xfId="0" applyNumberFormat="1" applyFont="1" applyFill="1" applyBorder="1" applyAlignment="1">
      <alignment horizontal="center" vertical="center"/>
    </xf>
    <xf numFmtId="10" fontId="92" fillId="39" borderId="29" xfId="102" applyNumberFormat="1" applyFont="1" applyFill="1" applyBorder="1" applyAlignment="1">
      <alignment horizontal="center" vertical="center"/>
    </xf>
    <xf numFmtId="10" fontId="92" fillId="39" borderId="18" xfId="102" applyNumberFormat="1" applyFont="1" applyFill="1" applyBorder="1" applyAlignment="1">
      <alignment horizontal="center" vertical="center"/>
    </xf>
    <xf numFmtId="2" fontId="92" fillId="39" borderId="29" xfId="0" applyNumberFormat="1" applyFont="1" applyFill="1" applyBorder="1" applyAlignment="1">
      <alignment horizontal="center" vertical="center"/>
    </xf>
    <xf numFmtId="2" fontId="92" fillId="39" borderId="30" xfId="0" applyNumberFormat="1" applyFont="1" applyFill="1" applyBorder="1" applyAlignment="1">
      <alignment horizontal="center" vertical="center"/>
    </xf>
    <xf numFmtId="2" fontId="92" fillId="39" borderId="18" xfId="0" applyNumberFormat="1" applyFont="1" applyFill="1" applyBorder="1" applyAlignment="1">
      <alignment horizontal="center" vertical="center"/>
    </xf>
    <xf numFmtId="10" fontId="92" fillId="39" borderId="30" xfId="102" applyNumberFormat="1" applyFont="1" applyFill="1" applyBorder="1" applyAlignment="1">
      <alignment horizontal="center" vertical="center"/>
    </xf>
    <xf numFmtId="0" fontId="90" fillId="0" borderId="57" xfId="0" applyFont="1" applyBorder="1" applyAlignment="1">
      <alignment horizontal="center" vertical="center"/>
    </xf>
    <xf numFmtId="0" fontId="90" fillId="0" borderId="41" xfId="0" applyFont="1" applyBorder="1" applyAlignment="1">
      <alignment horizontal="center" vertical="center"/>
    </xf>
    <xf numFmtId="0" fontId="90" fillId="0" borderId="20" xfId="0" applyFont="1" applyBorder="1" applyAlignment="1">
      <alignment horizontal="center" vertical="center"/>
    </xf>
    <xf numFmtId="4" fontId="195" fillId="2" borderId="25" xfId="0" applyNumberFormat="1" applyFont="1" applyFill="1" applyBorder="1" applyAlignment="1">
      <alignment horizontal="center" vertical="center"/>
    </xf>
    <xf numFmtId="4" fontId="195" fillId="2" borderId="26" xfId="0" applyNumberFormat="1" applyFont="1" applyFill="1" applyBorder="1" applyAlignment="1">
      <alignment horizontal="center" vertical="center"/>
    </xf>
    <xf numFmtId="4" fontId="195" fillId="2" borderId="21" xfId="0" applyNumberFormat="1" applyFont="1" applyFill="1" applyBorder="1" applyAlignment="1">
      <alignment horizontal="center" vertical="center"/>
    </xf>
    <xf numFmtId="10" fontId="92" fillId="0" borderId="40" xfId="0" applyNumberFormat="1" applyFont="1" applyBorder="1" applyAlignment="1">
      <alignment horizontal="center" vertical="center"/>
    </xf>
    <xf numFmtId="10" fontId="92" fillId="0" borderId="125" xfId="0" applyNumberFormat="1" applyFont="1" applyBorder="1" applyAlignment="1">
      <alignment horizontal="center" vertical="center"/>
    </xf>
    <xf numFmtId="4" fontId="92" fillId="0" borderId="8" xfId="0" applyNumberFormat="1" applyFont="1" applyBorder="1" applyAlignment="1">
      <alignment horizontal="center" vertical="center"/>
    </xf>
    <xf numFmtId="10" fontId="92" fillId="0" borderId="17" xfId="0" applyNumberFormat="1" applyFont="1" applyBorder="1" applyAlignment="1">
      <alignment horizontal="center" vertical="center"/>
    </xf>
    <xf numFmtId="4" fontId="92" fillId="0" borderId="40" xfId="0" applyNumberFormat="1" applyFont="1" applyBorder="1" applyAlignment="1">
      <alignment horizontal="center" vertical="center"/>
    </xf>
    <xf numFmtId="4" fontId="92" fillId="0" borderId="41" xfId="0" applyNumberFormat="1" applyFont="1" applyBorder="1" applyAlignment="1">
      <alignment horizontal="center" vertical="center"/>
    </xf>
    <xf numFmtId="4" fontId="92" fillId="0" borderId="20" xfId="0" applyNumberFormat="1" applyFont="1" applyBorder="1" applyAlignment="1">
      <alignment horizontal="center" vertical="center"/>
    </xf>
    <xf numFmtId="10" fontId="92" fillId="0" borderId="20" xfId="0" applyNumberFormat="1" applyFont="1" applyBorder="1" applyAlignment="1">
      <alignment horizontal="center" vertical="center"/>
    </xf>
    <xf numFmtId="0" fontId="90" fillId="0" borderId="12" xfId="0" applyFont="1" applyBorder="1" applyAlignment="1">
      <alignment horizontal="center" vertical="center"/>
    </xf>
    <xf numFmtId="0" fontId="90" fillId="0" borderId="8" xfId="0" applyFont="1" applyBorder="1" applyAlignment="1">
      <alignment horizontal="center" vertical="center"/>
    </xf>
    <xf numFmtId="10" fontId="92" fillId="0" borderId="50" xfId="0" applyNumberFormat="1" applyFont="1" applyBorder="1" applyAlignment="1">
      <alignment horizontal="center" vertical="center"/>
    </xf>
    <xf numFmtId="10" fontId="92" fillId="0" borderId="145" xfId="0" applyNumberFormat="1" applyFont="1" applyBorder="1" applyAlignment="1">
      <alignment horizontal="center" vertical="center"/>
    </xf>
    <xf numFmtId="4" fontId="92" fillId="0" borderId="10" xfId="0" applyNumberFormat="1" applyFont="1" applyBorder="1" applyAlignment="1">
      <alignment horizontal="center" vertical="center"/>
    </xf>
    <xf numFmtId="10" fontId="92" fillId="0" borderId="10" xfId="0" applyNumberFormat="1" applyFont="1" applyBorder="1" applyAlignment="1">
      <alignment horizontal="center" vertical="center"/>
    </xf>
    <xf numFmtId="4" fontId="92" fillId="0" borderId="24" xfId="0" applyNumberFormat="1" applyFont="1" applyBorder="1" applyAlignment="1">
      <alignment horizontal="center" vertical="center"/>
    </xf>
    <xf numFmtId="4" fontId="92" fillId="2" borderId="50" xfId="0" applyNumberFormat="1" applyFont="1" applyFill="1" applyBorder="1" applyAlignment="1">
      <alignment horizontal="center" vertical="center"/>
    </xf>
    <xf numFmtId="4" fontId="92" fillId="2" borderId="51" xfId="0" applyNumberFormat="1" applyFont="1" applyFill="1" applyBorder="1" applyAlignment="1">
      <alignment horizontal="center" vertical="center"/>
    </xf>
    <xf numFmtId="4" fontId="92" fillId="2" borderId="56" xfId="0" applyNumberFormat="1" applyFont="1" applyFill="1" applyBorder="1" applyAlignment="1">
      <alignment horizontal="center" vertical="center"/>
    </xf>
    <xf numFmtId="10" fontId="92" fillId="0" borderId="27" xfId="0" applyNumberFormat="1" applyFont="1" applyBorder="1" applyAlignment="1">
      <alignment horizontal="center" vertical="center"/>
    </xf>
    <xf numFmtId="4" fontId="92" fillId="0" borderId="50" xfId="0" applyNumberFormat="1" applyFont="1" applyBorder="1" applyAlignment="1">
      <alignment horizontal="center" vertical="center"/>
    </xf>
    <xf numFmtId="4" fontId="92" fillId="0" borderId="51" xfId="0" applyNumberFormat="1" applyFont="1" applyBorder="1" applyAlignment="1">
      <alignment horizontal="center" vertical="center"/>
    </xf>
    <xf numFmtId="4" fontId="92" fillId="0" borderId="56" xfId="0" applyNumberFormat="1" applyFont="1" applyBorder="1" applyAlignment="1">
      <alignment horizontal="center" vertical="center"/>
    </xf>
    <xf numFmtId="10" fontId="92" fillId="0" borderId="56" xfId="0" applyNumberFormat="1" applyFont="1" applyBorder="1" applyAlignment="1">
      <alignment horizontal="center" vertical="center"/>
    </xf>
    <xf numFmtId="4" fontId="92" fillId="0" borderId="17" xfId="0" applyNumberFormat="1" applyFont="1" applyBorder="1" applyAlignment="1">
      <alignment horizontal="center" vertical="center"/>
    </xf>
    <xf numFmtId="4" fontId="92" fillId="2" borderId="40" xfId="0" applyNumberFormat="1" applyFont="1" applyFill="1" applyBorder="1" applyAlignment="1">
      <alignment horizontal="center" vertical="center"/>
    </xf>
    <xf numFmtId="4" fontId="92" fillId="2" borderId="41" xfId="0" applyNumberFormat="1" applyFont="1" applyFill="1" applyBorder="1" applyAlignment="1">
      <alignment horizontal="center" vertical="center"/>
    </xf>
    <xf numFmtId="4" fontId="92" fillId="2" borderId="20" xfId="0" applyNumberFormat="1" applyFont="1" applyFill="1" applyBorder="1" applyAlignment="1">
      <alignment horizontal="center" vertical="center"/>
    </xf>
    <xf numFmtId="4" fontId="92" fillId="0" borderId="15" xfId="0" applyNumberFormat="1" applyFont="1" applyBorder="1" applyAlignment="1">
      <alignment horizontal="center" vertical="center"/>
    </xf>
    <xf numFmtId="10" fontId="92" fillId="0" borderId="62" xfId="0" applyNumberFormat="1" applyFont="1" applyBorder="1" applyAlignment="1">
      <alignment horizontal="center" vertical="center"/>
    </xf>
    <xf numFmtId="0" fontId="90" fillId="0" borderId="32" xfId="0" applyFont="1" applyBorder="1" applyAlignment="1">
      <alignment horizontal="center" vertical="center"/>
    </xf>
    <xf numFmtId="0" fontId="90" fillId="0" borderId="1" xfId="0" applyFont="1" applyBorder="1" applyAlignment="1">
      <alignment horizontal="center" vertical="center"/>
    </xf>
    <xf numFmtId="0" fontId="90" fillId="0" borderId="55" xfId="0" applyFont="1" applyBorder="1" applyAlignment="1">
      <alignment horizontal="center" vertical="center"/>
    </xf>
    <xf numFmtId="4" fontId="90" fillId="2" borderId="69" xfId="0" applyNumberFormat="1" applyFont="1" applyFill="1" applyBorder="1" applyAlignment="1">
      <alignment horizontal="center" vertical="center"/>
    </xf>
    <xf numFmtId="10" fontId="90" fillId="2" borderId="69" xfId="0" applyNumberFormat="1" applyFont="1" applyFill="1" applyBorder="1" applyAlignment="1">
      <alignment horizontal="center" vertical="center"/>
    </xf>
    <xf numFmtId="4" fontId="90" fillId="2" borderId="143" xfId="0" applyNumberFormat="1" applyFont="1" applyFill="1" applyBorder="1" applyAlignment="1">
      <alignment horizontal="center" vertical="center"/>
    </xf>
    <xf numFmtId="4" fontId="90" fillId="2" borderId="1" xfId="0" applyNumberFormat="1" applyFont="1" applyFill="1" applyBorder="1" applyAlignment="1">
      <alignment horizontal="center" vertical="center"/>
    </xf>
    <xf numFmtId="4" fontId="90" fillId="2" borderId="55" xfId="0" applyNumberFormat="1" applyFont="1" applyFill="1" applyBorder="1" applyAlignment="1">
      <alignment horizontal="center" vertical="center"/>
    </xf>
    <xf numFmtId="10" fontId="90" fillId="2" borderId="143" xfId="0" applyNumberFormat="1" applyFont="1" applyFill="1" applyBorder="1" applyAlignment="1">
      <alignment horizontal="center" vertical="center"/>
    </xf>
    <xf numFmtId="10" fontId="90" fillId="2" borderId="55" xfId="0" applyNumberFormat="1" applyFont="1" applyFill="1" applyBorder="1" applyAlignment="1">
      <alignment horizontal="center" vertical="center"/>
    </xf>
    <xf numFmtId="10" fontId="90" fillId="2" borderId="49" xfId="0" applyNumberFormat="1" applyFont="1" applyFill="1" applyBorder="1" applyAlignment="1">
      <alignment horizontal="center" vertical="center"/>
    </xf>
    <xf numFmtId="0" fontId="85" fillId="0" borderId="46" xfId="0" applyFont="1" applyBorder="1" applyAlignment="1">
      <alignment horizontal="left" vertical="center"/>
    </xf>
    <xf numFmtId="0" fontId="90" fillId="23" borderId="43" xfId="0" applyFont="1" applyFill="1" applyBorder="1" applyAlignment="1">
      <alignment horizontal="center" vertical="justify"/>
    </xf>
    <xf numFmtId="0" fontId="90" fillId="23" borderId="6" xfId="0" applyFont="1" applyFill="1" applyBorder="1" applyAlignment="1">
      <alignment horizontal="center" vertical="justify"/>
    </xf>
    <xf numFmtId="0" fontId="90" fillId="23" borderId="36" xfId="0" applyFont="1" applyFill="1" applyBorder="1" applyAlignment="1">
      <alignment horizontal="center" vertical="justify"/>
    </xf>
    <xf numFmtId="0" fontId="90" fillId="23" borderId="44" xfId="0" applyFont="1" applyFill="1" applyBorder="1" applyAlignment="1">
      <alignment horizontal="center" vertical="justify"/>
    </xf>
    <xf numFmtId="0" fontId="90" fillId="23" borderId="46" xfId="0" applyFont="1" applyFill="1" applyBorder="1" applyAlignment="1">
      <alignment horizontal="center" vertical="justify"/>
    </xf>
    <xf numFmtId="0" fontId="90" fillId="23" borderId="42" xfId="0" applyFont="1" applyFill="1" applyBorder="1" applyAlignment="1">
      <alignment horizontal="center" vertical="justify"/>
    </xf>
    <xf numFmtId="4" fontId="250" fillId="2" borderId="29" xfId="0" applyNumberFormat="1" applyFont="1" applyFill="1" applyBorder="1" applyAlignment="1">
      <alignment horizontal="center" vertical="center"/>
    </xf>
    <xf numFmtId="4" fontId="250" fillId="2" borderId="30" xfId="0" applyNumberFormat="1" applyFont="1" applyFill="1" applyBorder="1" applyAlignment="1">
      <alignment horizontal="center" vertical="center"/>
    </xf>
    <xf numFmtId="4" fontId="250" fillId="2" borderId="18" xfId="0" applyNumberFormat="1" applyFont="1" applyFill="1" applyBorder="1" applyAlignment="1">
      <alignment horizontal="center" vertical="center"/>
    </xf>
    <xf numFmtId="10" fontId="92" fillId="0" borderId="41" xfId="0" applyNumberFormat="1" applyFont="1" applyBorder="1" applyAlignment="1">
      <alignment horizontal="center" vertical="center"/>
    </xf>
    <xf numFmtId="0" fontId="92" fillId="0" borderId="25" xfId="0" applyFont="1" applyBorder="1" applyAlignment="1">
      <alignment horizontal="center" vertical="center"/>
    </xf>
    <xf numFmtId="0" fontId="92" fillId="0" borderId="26" xfId="0" applyFont="1" applyBorder="1" applyAlignment="1">
      <alignment horizontal="center" vertical="center"/>
    </xf>
    <xf numFmtId="0" fontId="92" fillId="0" borderId="21" xfId="0" applyFont="1" applyBorder="1" applyAlignment="1">
      <alignment horizontal="center" vertical="center"/>
    </xf>
    <xf numFmtId="16" fontId="92" fillId="2" borderId="25" xfId="0" applyNumberFormat="1" applyFont="1" applyFill="1" applyBorder="1" applyAlignment="1">
      <alignment horizontal="center" vertical="center"/>
    </xf>
    <xf numFmtId="16" fontId="92" fillId="2" borderId="26" xfId="0" applyNumberFormat="1" applyFont="1" applyFill="1" applyBorder="1" applyAlignment="1">
      <alignment horizontal="center" vertical="center"/>
    </xf>
    <xf numFmtId="16" fontId="92" fillId="2" borderId="21" xfId="0" applyNumberFormat="1" applyFont="1" applyFill="1" applyBorder="1" applyAlignment="1">
      <alignment horizontal="center" vertical="center"/>
    </xf>
    <xf numFmtId="0" fontId="10" fillId="0" borderId="22" xfId="0" applyFont="1" applyBorder="1" applyAlignment="1">
      <alignment horizontal="center" vertical="center"/>
    </xf>
    <xf numFmtId="0" fontId="92" fillId="23" borderId="25" xfId="0" applyFont="1" applyFill="1" applyBorder="1" applyAlignment="1">
      <alignment horizontal="center" vertical="center" wrapText="1"/>
    </xf>
    <xf numFmtId="0" fontId="92" fillId="23" borderId="26" xfId="0" applyFont="1" applyFill="1" applyBorder="1" applyAlignment="1">
      <alignment horizontal="center" vertical="center" wrapText="1"/>
    </xf>
    <xf numFmtId="0" fontId="92" fillId="23" borderId="21" xfId="0" applyFont="1" applyFill="1" applyBorder="1" applyAlignment="1">
      <alignment horizontal="center" vertical="center" wrapText="1"/>
    </xf>
    <xf numFmtId="2" fontId="92" fillId="0" borderId="25" xfId="0" applyNumberFormat="1" applyFont="1" applyBorder="1" applyAlignment="1">
      <alignment horizontal="center" vertical="center"/>
    </xf>
    <xf numFmtId="2" fontId="92" fillId="0" borderId="26" xfId="0" applyNumberFormat="1" applyFont="1" applyBorder="1" applyAlignment="1">
      <alignment horizontal="center" vertical="center"/>
    </xf>
    <xf numFmtId="2" fontId="92" fillId="0" borderId="21" xfId="0" applyNumberFormat="1" applyFont="1" applyBorder="1" applyAlignment="1">
      <alignment horizontal="center" vertical="center"/>
    </xf>
    <xf numFmtId="0" fontId="10" fillId="23" borderId="25" xfId="0" applyFont="1" applyFill="1" applyBorder="1" applyAlignment="1">
      <alignment horizontal="center" vertical="center" wrapText="1"/>
    </xf>
    <xf numFmtId="0" fontId="10" fillId="23" borderId="26" xfId="0" applyFont="1" applyFill="1" applyBorder="1" applyAlignment="1">
      <alignment horizontal="center" vertical="center" wrapText="1"/>
    </xf>
    <xf numFmtId="0" fontId="10" fillId="23" borderId="21" xfId="0" applyFont="1" applyFill="1" applyBorder="1" applyAlignment="1">
      <alignment horizontal="center" vertical="center" wrapText="1"/>
    </xf>
    <xf numFmtId="0" fontId="88" fillId="23" borderId="50" xfId="0" applyFont="1" applyFill="1" applyBorder="1" applyAlignment="1">
      <alignment horizontal="center" vertical="center" wrapText="1"/>
    </xf>
    <xf numFmtId="0" fontId="88" fillId="23" borderId="51" xfId="0" applyFont="1" applyFill="1" applyBorder="1" applyAlignment="1">
      <alignment horizontal="center" vertical="center" wrapText="1"/>
    </xf>
    <xf numFmtId="0" fontId="88" fillId="23" borderId="56" xfId="0" applyFont="1" applyFill="1" applyBorder="1" applyAlignment="1">
      <alignment horizontal="center" vertical="center" wrapText="1"/>
    </xf>
    <xf numFmtId="0" fontId="88" fillId="23" borderId="40" xfId="0" applyFont="1" applyFill="1" applyBorder="1" applyAlignment="1">
      <alignment horizontal="center" vertical="center" wrapText="1"/>
    </xf>
    <xf numFmtId="0" fontId="88" fillId="23" borderId="41" xfId="0" applyFont="1" applyFill="1" applyBorder="1" applyAlignment="1">
      <alignment horizontal="center" vertical="center" wrapText="1"/>
    </xf>
    <xf numFmtId="0" fontId="88" fillId="23" borderId="20" xfId="0" applyFont="1" applyFill="1" applyBorder="1" applyAlignment="1">
      <alignment horizontal="center" vertical="center" wrapText="1"/>
    </xf>
    <xf numFmtId="0" fontId="88" fillId="23" borderId="25" xfId="0" applyFont="1" applyFill="1" applyBorder="1" applyAlignment="1">
      <alignment horizontal="center" vertical="center" wrapText="1"/>
    </xf>
    <xf numFmtId="0" fontId="88" fillId="23" borderId="26" xfId="0" applyFont="1" applyFill="1" applyBorder="1" applyAlignment="1">
      <alignment horizontal="center" vertical="center" wrapText="1"/>
    </xf>
    <xf numFmtId="0" fontId="88" fillId="23" borderId="21" xfId="0" applyFont="1" applyFill="1" applyBorder="1" applyAlignment="1">
      <alignment horizontal="center" vertical="center" wrapText="1"/>
    </xf>
    <xf numFmtId="188" fontId="92" fillId="2" borderId="25" xfId="0" applyNumberFormat="1" applyFont="1" applyFill="1" applyBorder="1" applyAlignment="1">
      <alignment horizontal="center" vertical="center"/>
    </xf>
    <xf numFmtId="188" fontId="92" fillId="2" borderId="26" xfId="0" applyNumberFormat="1" applyFont="1" applyFill="1" applyBorder="1" applyAlignment="1">
      <alignment horizontal="center" vertical="center"/>
    </xf>
    <xf numFmtId="188" fontId="92" fillId="0" borderId="25" xfId="0" applyNumberFormat="1" applyFont="1" applyBorder="1" applyAlignment="1">
      <alignment horizontal="center" vertical="center"/>
    </xf>
    <xf numFmtId="188" fontId="92" fillId="0" borderId="26" xfId="0" applyNumberFormat="1" applyFont="1" applyBorder="1" applyAlignment="1">
      <alignment horizontal="center" vertical="center"/>
    </xf>
    <xf numFmtId="188" fontId="92" fillId="0" borderId="21" xfId="0" applyNumberFormat="1" applyFont="1" applyBorder="1" applyAlignment="1">
      <alignment horizontal="center" vertical="center"/>
    </xf>
    <xf numFmtId="0" fontId="10" fillId="0" borderId="56" xfId="0" applyFont="1" applyBorder="1" applyAlignment="1">
      <alignment horizontal="center" vertical="center"/>
    </xf>
    <xf numFmtId="0" fontId="10" fillId="0" borderId="20" xfId="0" applyFont="1" applyBorder="1" applyAlignment="1">
      <alignment horizontal="center" vertical="center"/>
    </xf>
    <xf numFmtId="188" fontId="88" fillId="0" borderId="25" xfId="0" applyNumberFormat="1" applyFont="1" applyBorder="1" applyAlignment="1">
      <alignment horizontal="center" vertical="center" wrapText="1"/>
    </xf>
    <xf numFmtId="188" fontId="88" fillId="0" borderId="26" xfId="0" applyNumberFormat="1" applyFont="1" applyBorder="1" applyAlignment="1">
      <alignment horizontal="center" vertical="center" wrapText="1"/>
    </xf>
    <xf numFmtId="0" fontId="13" fillId="0" borderId="25" xfId="0" applyFont="1" applyBorder="1" applyAlignment="1">
      <alignment horizontal="center" vertical="center"/>
    </xf>
    <xf numFmtId="0" fontId="13" fillId="0" borderId="26" xfId="0" applyFont="1" applyBorder="1" applyAlignment="1">
      <alignment horizontal="center" vertical="center"/>
    </xf>
    <xf numFmtId="0" fontId="13" fillId="0" borderId="21" xfId="0" applyFont="1" applyBorder="1" applyAlignment="1">
      <alignment horizontal="center" vertical="center"/>
    </xf>
    <xf numFmtId="188" fontId="92" fillId="0" borderId="25" xfId="0" applyNumberFormat="1" applyFont="1" applyBorder="1" applyAlignment="1">
      <alignment horizontal="center" vertical="center" wrapText="1"/>
    </xf>
    <xf numFmtId="188" fontId="92" fillId="0" borderId="26" xfId="0" applyNumberFormat="1" applyFont="1" applyBorder="1" applyAlignment="1">
      <alignment horizontal="center" vertical="center" wrapText="1"/>
    </xf>
    <xf numFmtId="188" fontId="92" fillId="0" borderId="21" xfId="0" applyNumberFormat="1" applyFont="1" applyBorder="1" applyAlignment="1">
      <alignment horizontal="center" vertical="center" wrapText="1"/>
    </xf>
    <xf numFmtId="0" fontId="13" fillId="0" borderId="85" xfId="0" applyFont="1" applyBorder="1" applyAlignment="1">
      <alignment horizontal="center" vertical="center"/>
    </xf>
    <xf numFmtId="0" fontId="13" fillId="0" borderId="132" xfId="0" applyFont="1" applyBorder="1" applyAlignment="1">
      <alignment horizontal="center" vertical="center"/>
    </xf>
    <xf numFmtId="0" fontId="90" fillId="23" borderId="25" xfId="0" applyFont="1" applyFill="1" applyBorder="1" applyAlignment="1">
      <alignment horizontal="center" vertical="center"/>
    </xf>
    <xf numFmtId="0" fontId="90" fillId="23" borderId="26" xfId="0" applyFont="1" applyFill="1" applyBorder="1" applyAlignment="1">
      <alignment horizontal="center" vertical="center"/>
    </xf>
    <xf numFmtId="0" fontId="90" fillId="23" borderId="21" xfId="0" applyFont="1" applyFill="1" applyBorder="1" applyAlignment="1">
      <alignment horizontal="center" vertical="center"/>
    </xf>
    <xf numFmtId="0" fontId="10" fillId="0" borderId="52" xfId="0" applyFont="1" applyBorder="1" applyAlignment="1">
      <alignment horizontal="center" vertical="center" wrapText="1"/>
    </xf>
    <xf numFmtId="0" fontId="10" fillId="0" borderId="53" xfId="0" applyFont="1" applyBorder="1" applyAlignment="1">
      <alignment horizontal="center" vertical="center" wrapText="1"/>
    </xf>
    <xf numFmtId="0" fontId="10" fillId="0" borderId="128" xfId="0" applyFont="1" applyBorder="1" applyAlignment="1">
      <alignment horizontal="center" vertical="center" wrapText="1"/>
    </xf>
    <xf numFmtId="0" fontId="10" fillId="2" borderId="50" xfId="0" applyFont="1" applyFill="1" applyBorder="1" applyAlignment="1">
      <alignment horizontal="left" vertical="top" wrapText="1"/>
    </xf>
    <xf numFmtId="0" fontId="10" fillId="2" borderId="51" xfId="0" applyFont="1" applyFill="1" applyBorder="1" applyAlignment="1">
      <alignment horizontal="left" vertical="top" wrapText="1"/>
    </xf>
    <xf numFmtId="0" fontId="10" fillId="2" borderId="56" xfId="0" applyFont="1" applyFill="1" applyBorder="1" applyAlignment="1">
      <alignment horizontal="left" vertical="top" wrapText="1"/>
    </xf>
    <xf numFmtId="0" fontId="10" fillId="2" borderId="22" xfId="0" applyFont="1" applyFill="1" applyBorder="1" applyAlignment="1">
      <alignment horizontal="left" vertical="top" wrapText="1"/>
    </xf>
    <xf numFmtId="0" fontId="10" fillId="2" borderId="0" xfId="0" applyFont="1" applyFill="1" applyAlignment="1">
      <alignment horizontal="left" vertical="top" wrapText="1"/>
    </xf>
    <xf numFmtId="0" fontId="10" fillId="2" borderId="23" xfId="0" applyFont="1" applyFill="1" applyBorder="1" applyAlignment="1">
      <alignment horizontal="left" vertical="top" wrapText="1"/>
    </xf>
    <xf numFmtId="0" fontId="10" fillId="2" borderId="40" xfId="0" applyFont="1" applyFill="1" applyBorder="1" applyAlignment="1">
      <alignment horizontal="left" vertical="top" wrapText="1"/>
    </xf>
    <xf numFmtId="0" fontId="10" fillId="2" borderId="41" xfId="0" applyFont="1" applyFill="1" applyBorder="1" applyAlignment="1">
      <alignment horizontal="left" vertical="top" wrapText="1"/>
    </xf>
    <xf numFmtId="0" fontId="10" fillId="2" borderId="20" xfId="0" applyFont="1" applyFill="1" applyBorder="1" applyAlignment="1">
      <alignment horizontal="left" vertical="top" wrapText="1"/>
    </xf>
    <xf numFmtId="0" fontId="13" fillId="23" borderId="68" xfId="0" applyFont="1" applyFill="1" applyBorder="1" applyAlignment="1">
      <alignment horizontal="center" vertical="center"/>
    </xf>
    <xf numFmtId="0" fontId="13" fillId="23" borderId="69" xfId="0" applyFont="1" applyFill="1" applyBorder="1" applyAlignment="1">
      <alignment horizontal="center" vertical="center"/>
    </xf>
    <xf numFmtId="0" fontId="13" fillId="23" borderId="70" xfId="0" applyFont="1" applyFill="1" applyBorder="1" applyAlignment="1">
      <alignment horizontal="center" vertical="center"/>
    </xf>
    <xf numFmtId="0" fontId="90" fillId="0" borderId="25" xfId="0" applyFont="1" applyBorder="1" applyAlignment="1">
      <alignment horizontal="center" vertical="center"/>
    </xf>
    <xf numFmtId="4" fontId="92" fillId="0" borderId="25" xfId="77" applyNumberFormat="1" applyFont="1" applyBorder="1" applyAlignment="1">
      <alignment horizontal="center" vertical="center"/>
    </xf>
    <xf numFmtId="4" fontId="92" fillId="0" borderId="26" xfId="77" applyNumberFormat="1" applyFont="1" applyBorder="1" applyAlignment="1">
      <alignment horizontal="center" vertical="center"/>
    </xf>
    <xf numFmtId="4" fontId="92" fillId="0" borderId="21" xfId="77" applyNumberFormat="1" applyFont="1" applyBorder="1" applyAlignment="1">
      <alignment horizontal="center" vertical="center"/>
    </xf>
    <xf numFmtId="183" fontId="92" fillId="0" borderId="25" xfId="0" applyNumberFormat="1" applyFont="1" applyBorder="1" applyAlignment="1">
      <alignment horizontal="center" vertical="center"/>
    </xf>
    <xf numFmtId="183" fontId="92" fillId="0" borderId="21" xfId="0" applyNumberFormat="1" applyFont="1" applyBorder="1" applyAlignment="1">
      <alignment horizontal="center" vertical="center"/>
    </xf>
    <xf numFmtId="0" fontId="90" fillId="0" borderId="50" xfId="0" applyFont="1" applyBorder="1" applyAlignment="1">
      <alignment horizontal="center" vertical="center" wrapText="1"/>
    </xf>
    <xf numFmtId="0" fontId="90" fillId="0" borderId="51" xfId="0" applyFont="1" applyBorder="1" applyAlignment="1">
      <alignment horizontal="center" vertical="center" wrapText="1"/>
    </xf>
    <xf numFmtId="0" fontId="90" fillId="0" borderId="56" xfId="0" applyFont="1" applyBorder="1" applyAlignment="1">
      <alignment horizontal="center" vertical="center" wrapText="1"/>
    </xf>
    <xf numFmtId="0" fontId="90" fillId="0" borderId="40" xfId="0" applyFont="1" applyBorder="1" applyAlignment="1">
      <alignment horizontal="center" vertical="center" wrapText="1"/>
    </xf>
    <xf numFmtId="0" fontId="90" fillId="0" borderId="41" xfId="0" applyFont="1" applyBorder="1" applyAlignment="1">
      <alignment horizontal="center" vertical="center" wrapText="1"/>
    </xf>
    <xf numFmtId="0" fontId="90" fillId="0" borderId="20" xfId="0" applyFont="1" applyBorder="1" applyAlignment="1">
      <alignment horizontal="center" vertical="center" wrapText="1"/>
    </xf>
    <xf numFmtId="4" fontId="94" fillId="2" borderId="25" xfId="0" applyNumberFormat="1" applyFont="1" applyFill="1" applyBorder="1" applyAlignment="1">
      <alignment horizontal="center" vertical="center"/>
    </xf>
    <xf numFmtId="4" fontId="94" fillId="2" borderId="26" xfId="0" applyNumberFormat="1" applyFont="1" applyFill="1" applyBorder="1" applyAlignment="1">
      <alignment horizontal="center" vertical="center"/>
    </xf>
    <xf numFmtId="4" fontId="94" fillId="2" borderId="21" xfId="0" applyNumberFormat="1" applyFont="1" applyFill="1" applyBorder="1" applyAlignment="1">
      <alignment horizontal="center" vertical="center"/>
    </xf>
    <xf numFmtId="0" fontId="13" fillId="0" borderId="28" xfId="0" applyFont="1" applyBorder="1" applyAlignment="1">
      <alignment horizontal="center" vertical="center"/>
    </xf>
    <xf numFmtId="0" fontId="13" fillId="0" borderId="30" xfId="0" applyFont="1" applyBorder="1" applyAlignment="1">
      <alignment horizontal="center" vertical="center"/>
    </xf>
    <xf numFmtId="0" fontId="13" fillId="0" borderId="31" xfId="0" applyFont="1" applyBorder="1" applyAlignment="1">
      <alignment horizontal="center" vertical="center"/>
    </xf>
    <xf numFmtId="4" fontId="250" fillId="2" borderId="25" xfId="0" applyNumberFormat="1" applyFont="1" applyFill="1" applyBorder="1" applyAlignment="1">
      <alignment horizontal="center" vertical="center"/>
    </xf>
    <xf numFmtId="4" fontId="250" fillId="2" borderId="26" xfId="0" applyNumberFormat="1" applyFont="1" applyFill="1" applyBorder="1" applyAlignment="1">
      <alignment horizontal="center" vertical="center"/>
    </xf>
    <xf numFmtId="4" fontId="250" fillId="2" borderId="21" xfId="0" applyNumberFormat="1" applyFont="1" applyFill="1" applyBorder="1" applyAlignment="1">
      <alignment horizontal="center" vertical="center"/>
    </xf>
    <xf numFmtId="0" fontId="30" fillId="0" borderId="43" xfId="0" applyFont="1" applyBorder="1" applyAlignment="1" applyProtection="1">
      <alignment horizontal="left" vertical="center" wrapText="1"/>
      <protection locked="0"/>
    </xf>
    <xf numFmtId="0" fontId="30" fillId="0" borderId="6" xfId="0" applyFont="1" applyBorder="1" applyAlignment="1" applyProtection="1">
      <alignment horizontal="left" vertical="center" wrapText="1"/>
      <protection locked="0"/>
    </xf>
    <xf numFmtId="0" fontId="97" fillId="28" borderId="46" xfId="0" applyFont="1" applyFill="1" applyBorder="1" applyAlignment="1">
      <alignment horizontal="left" vertical="top" readingOrder="1"/>
    </xf>
    <xf numFmtId="0" fontId="90" fillId="23" borderId="50" xfId="0" applyFont="1" applyFill="1" applyBorder="1" applyAlignment="1">
      <alignment horizontal="center" vertical="center" wrapText="1"/>
    </xf>
    <xf numFmtId="0" fontId="90" fillId="23" borderId="51" xfId="0" applyFont="1" applyFill="1" applyBorder="1" applyAlignment="1">
      <alignment horizontal="center" vertical="center" wrapText="1"/>
    </xf>
    <xf numFmtId="0" fontId="90" fillId="23" borderId="56" xfId="0" applyFont="1" applyFill="1" applyBorder="1" applyAlignment="1">
      <alignment horizontal="center" vertical="center" wrapText="1"/>
    </xf>
    <xf numFmtId="0" fontId="90" fillId="23" borderId="40" xfId="0" applyFont="1" applyFill="1" applyBorder="1" applyAlignment="1">
      <alignment horizontal="center" vertical="center" wrapText="1"/>
    </xf>
    <xf numFmtId="0" fontId="90" fillId="23" borderId="41" xfId="0" applyFont="1" applyFill="1" applyBorder="1" applyAlignment="1">
      <alignment horizontal="center" vertical="center" wrapText="1"/>
    </xf>
    <xf numFmtId="0" fontId="90" fillId="23" borderId="20" xfId="0" applyFont="1" applyFill="1" applyBorder="1" applyAlignment="1">
      <alignment horizontal="center" vertical="center" wrapText="1"/>
    </xf>
    <xf numFmtId="0" fontId="0" fillId="0" borderId="0" xfId="0" applyAlignment="1">
      <alignment horizontal="center" vertical="center"/>
    </xf>
    <xf numFmtId="0" fontId="118" fillId="0" borderId="0" xfId="0" applyFont="1" applyAlignment="1">
      <alignment horizontal="center" vertical="center"/>
    </xf>
    <xf numFmtId="0" fontId="36" fillId="0" borderId="0" xfId="0" applyFont="1" applyAlignment="1">
      <alignment horizontal="center" vertical="center"/>
    </xf>
    <xf numFmtId="0" fontId="144" fillId="0" borderId="0" xfId="0" applyFont="1" applyAlignment="1">
      <alignment horizontal="center" vertical="center"/>
    </xf>
    <xf numFmtId="0" fontId="25" fillId="31" borderId="8" xfId="0" applyFont="1" applyFill="1" applyBorder="1" applyAlignment="1">
      <alignment horizontal="left" vertical="center"/>
    </xf>
    <xf numFmtId="0" fontId="25" fillId="0" borderId="25" xfId="0" applyFont="1" applyBorder="1" applyAlignment="1">
      <alignment horizontal="left" vertical="center"/>
    </xf>
    <xf numFmtId="0" fontId="25" fillId="0" borderId="26" xfId="0" applyFont="1" applyBorder="1" applyAlignment="1">
      <alignment horizontal="left" vertical="center"/>
    </xf>
    <xf numFmtId="0" fontId="25" fillId="0" borderId="21" xfId="0" applyFont="1" applyBorder="1" applyAlignment="1">
      <alignment horizontal="left" vertical="center"/>
    </xf>
    <xf numFmtId="0" fontId="25" fillId="0" borderId="8" xfId="0" applyFont="1" applyBorder="1" applyAlignment="1">
      <alignment horizontal="center" vertical="center"/>
    </xf>
    <xf numFmtId="0" fontId="27" fillId="0" borderId="43" xfId="0" applyFont="1" applyBorder="1" applyAlignment="1">
      <alignment horizontal="center" vertical="center" wrapText="1"/>
    </xf>
    <xf numFmtId="0" fontId="27" fillId="0" borderId="6" xfId="0" applyFont="1" applyBorder="1" applyAlignment="1">
      <alignment horizontal="center" vertical="center" wrapText="1"/>
    </xf>
    <xf numFmtId="0" fontId="27" fillId="0" borderId="39" xfId="0" applyFont="1" applyBorder="1" applyAlignment="1">
      <alignment horizontal="center" vertical="center" wrapText="1"/>
    </xf>
    <xf numFmtId="0" fontId="27" fillId="0" borderId="48" xfId="0" applyFont="1" applyBorder="1" applyAlignment="1">
      <alignment horizontal="center" vertical="center" wrapText="1"/>
    </xf>
    <xf numFmtId="0" fontId="27" fillId="0" borderId="0" xfId="0" applyFont="1" applyAlignment="1">
      <alignment horizontal="center" vertical="center" wrapText="1"/>
    </xf>
    <xf numFmtId="0" fontId="27" fillId="0" borderId="45" xfId="0" applyFont="1" applyBorder="1" applyAlignment="1">
      <alignment horizontal="center" vertical="center" wrapText="1"/>
    </xf>
    <xf numFmtId="0" fontId="27" fillId="0" borderId="44" xfId="0" applyFont="1" applyBorder="1" applyAlignment="1">
      <alignment horizontal="center" vertical="center" wrapText="1"/>
    </xf>
    <xf numFmtId="0" fontId="27" fillId="0" borderId="46" xfId="0" applyFont="1" applyBorder="1" applyAlignment="1">
      <alignment horizontal="center" vertical="center" wrapText="1"/>
    </xf>
    <xf numFmtId="0" fontId="27" fillId="0" borderId="7" xfId="0" applyFont="1" applyBorder="1" applyAlignment="1">
      <alignment horizontal="center" vertical="center" wrapText="1"/>
    </xf>
    <xf numFmtId="0" fontId="10" fillId="0" borderId="8" xfId="1" applyFont="1" applyBorder="1" applyAlignment="1">
      <alignment horizontal="left"/>
    </xf>
    <xf numFmtId="0" fontId="10" fillId="0" borderId="8" xfId="1" applyFont="1" applyBorder="1" applyAlignment="1">
      <alignment horizontal="left" wrapText="1"/>
    </xf>
    <xf numFmtId="0" fontId="9" fillId="0" borderId="0" xfId="1" applyFont="1" applyAlignment="1">
      <alignment horizontal="center" vertical="center"/>
    </xf>
    <xf numFmtId="0" fontId="11" fillId="0" borderId="0" xfId="1" applyFont="1" applyAlignment="1">
      <alignment horizontal="center"/>
    </xf>
    <xf numFmtId="0" fontId="16" fillId="0" borderId="0" xfId="1" applyFont="1" applyAlignment="1">
      <alignment horizontal="right" vertical="center"/>
    </xf>
    <xf numFmtId="0" fontId="9" fillId="0" borderId="0" xfId="1" applyFont="1" applyAlignment="1">
      <alignment horizontal="center"/>
    </xf>
    <xf numFmtId="49" fontId="13" fillId="0" borderId="0" xfId="1" applyNumberFormat="1" applyFont="1" applyAlignment="1">
      <alignment horizontal="center" vertical="center"/>
    </xf>
    <xf numFmtId="0" fontId="12" fillId="4" borderId="8" xfId="1" applyFont="1" applyFill="1" applyBorder="1" applyAlignment="1">
      <alignment horizontal="center" vertical="center"/>
    </xf>
    <xf numFmtId="49" fontId="13" fillId="0" borderId="0" xfId="1" applyNumberFormat="1" applyFont="1" applyAlignment="1">
      <alignment horizontal="center" vertical="top" wrapText="1"/>
    </xf>
    <xf numFmtId="49" fontId="17" fillId="0" borderId="0" xfId="1" applyNumberFormat="1" applyFont="1" applyAlignment="1">
      <alignment horizontal="center" vertical="top" wrapText="1"/>
    </xf>
    <xf numFmtId="0" fontId="10" fillId="0" borderId="21" xfId="1" applyFont="1" applyBorder="1" applyAlignment="1">
      <alignment horizontal="left" wrapText="1"/>
    </xf>
    <xf numFmtId="0" fontId="10" fillId="0" borderId="25" xfId="1" applyFont="1" applyBorder="1" applyAlignment="1">
      <alignment horizontal="left" wrapText="1"/>
    </xf>
    <xf numFmtId="0" fontId="101" fillId="23" borderId="32" xfId="0" applyFont="1" applyFill="1" applyBorder="1" applyAlignment="1">
      <alignment horizontal="left" vertical="center"/>
    </xf>
    <xf numFmtId="0" fontId="101" fillId="23" borderId="1" xfId="0" applyFont="1" applyFill="1" applyBorder="1" applyAlignment="1">
      <alignment horizontal="left" vertical="center"/>
    </xf>
    <xf numFmtId="0" fontId="101" fillId="23" borderId="55" xfId="0" applyFont="1" applyFill="1" applyBorder="1" applyAlignment="1">
      <alignment horizontal="left" vertical="center"/>
    </xf>
    <xf numFmtId="0" fontId="28" fillId="23" borderId="8" xfId="74" applyFont="1" applyFill="1" applyBorder="1" applyAlignment="1">
      <alignment horizontal="center" vertical="center"/>
    </xf>
    <xf numFmtId="0" fontId="28" fillId="23" borderId="32" xfId="0" applyFont="1" applyFill="1" applyBorder="1" applyAlignment="1">
      <alignment horizontal="left" vertical="center"/>
    </xf>
    <xf numFmtId="0" fontId="28" fillId="23" borderId="1" xfId="0" applyFont="1" applyFill="1" applyBorder="1" applyAlignment="1">
      <alignment horizontal="left" vertical="center"/>
    </xf>
    <xf numFmtId="0" fontId="28" fillId="23" borderId="55" xfId="0" applyFont="1" applyFill="1" applyBorder="1" applyAlignment="1">
      <alignment horizontal="left" vertical="center"/>
    </xf>
    <xf numFmtId="0" fontId="28" fillId="23" borderId="8" xfId="0" applyFont="1" applyFill="1" applyBorder="1" applyAlignment="1">
      <alignment horizontal="center" vertical="center"/>
    </xf>
    <xf numFmtId="0" fontId="65" fillId="0" borderId="121" xfId="0" applyFont="1" applyBorder="1" applyAlignment="1">
      <alignment horizontal="left" vertical="center" wrapText="1"/>
    </xf>
    <xf numFmtId="0" fontId="65" fillId="0" borderId="0" xfId="0" applyFont="1" applyAlignment="1">
      <alignment horizontal="center" vertical="center"/>
    </xf>
    <xf numFmtId="0" fontId="59" fillId="2" borderId="0" xfId="0" applyFont="1" applyFill="1" applyAlignment="1">
      <alignment horizontal="center" vertical="center"/>
    </xf>
    <xf numFmtId="0" fontId="28" fillId="23" borderId="25" xfId="74" applyFont="1" applyFill="1" applyBorder="1" applyAlignment="1">
      <alignment horizontal="center" vertical="center"/>
    </xf>
    <xf numFmtId="0" fontId="28" fillId="23" borderId="26" xfId="74" applyFont="1" applyFill="1" applyBorder="1" applyAlignment="1">
      <alignment horizontal="center" vertical="center"/>
    </xf>
    <xf numFmtId="0" fontId="28" fillId="23" borderId="21" xfId="74" applyFont="1" applyFill="1" applyBorder="1" applyAlignment="1">
      <alignment horizontal="center" vertical="center"/>
    </xf>
    <xf numFmtId="0" fontId="150" fillId="0" borderId="0" xfId="0" applyFont="1" applyAlignment="1">
      <alignment horizontal="center" vertical="center"/>
    </xf>
    <xf numFmtId="0" fontId="115" fillId="0" borderId="0" xfId="0" applyFont="1" applyAlignment="1">
      <alignment horizontal="center" wrapText="1"/>
    </xf>
    <xf numFmtId="0" fontId="107" fillId="0" borderId="0" xfId="0" applyFont="1" applyAlignment="1">
      <alignment horizontal="center" vertical="center" wrapText="1"/>
    </xf>
    <xf numFmtId="0" fontId="62" fillId="0" borderId="0" xfId="0" applyFont="1" applyAlignment="1">
      <alignment horizontal="center" vertical="center" wrapText="1"/>
    </xf>
    <xf numFmtId="0" fontId="6" fillId="0" borderId="24" xfId="77" applyFont="1" applyBorder="1" applyAlignment="1">
      <alignment horizontal="center" vertical="center" wrapText="1"/>
    </xf>
    <xf numFmtId="0" fontId="6" fillId="0" borderId="17" xfId="77" applyFont="1" applyBorder="1" applyAlignment="1">
      <alignment horizontal="center" vertical="center" wrapText="1"/>
    </xf>
    <xf numFmtId="0" fontId="59" fillId="0" borderId="0" xfId="77" applyFont="1" applyAlignment="1">
      <alignment horizontal="center"/>
    </xf>
    <xf numFmtId="0" fontId="27" fillId="0" borderId="0" xfId="77" applyFont="1" applyAlignment="1">
      <alignment horizontal="center"/>
    </xf>
    <xf numFmtId="0" fontId="28" fillId="0" borderId="0" xfId="77" applyFont="1" applyAlignment="1">
      <alignment horizontal="center"/>
    </xf>
    <xf numFmtId="4" fontId="28" fillId="0" borderId="0" xfId="77" applyNumberFormat="1" applyFont="1" applyAlignment="1">
      <alignment horizontal="center"/>
    </xf>
    <xf numFmtId="0" fontId="29" fillId="0" borderId="24" xfId="77" applyFont="1" applyBorder="1" applyAlignment="1">
      <alignment horizontal="center" vertical="center"/>
    </xf>
    <xf numFmtId="0" fontId="29" fillId="0" borderId="27" xfId="77" applyFont="1" applyBorder="1" applyAlignment="1">
      <alignment horizontal="center" vertical="center"/>
    </xf>
    <xf numFmtId="0" fontId="29" fillId="0" borderId="17" xfId="77" applyFont="1" applyBorder="1" applyAlignment="1">
      <alignment horizontal="center" vertical="center"/>
    </xf>
    <xf numFmtId="0" fontId="29" fillId="0" borderId="50" xfId="77" applyFont="1" applyBorder="1" applyAlignment="1">
      <alignment horizontal="center" vertical="center" wrapText="1"/>
    </xf>
    <xf numFmtId="0" fontId="29" fillId="0" borderId="51" xfId="77" applyFont="1" applyBorder="1" applyAlignment="1">
      <alignment horizontal="center" vertical="center" wrapText="1"/>
    </xf>
    <xf numFmtId="0" fontId="29" fillId="0" borderId="56" xfId="77" applyFont="1" applyBorder="1" applyAlignment="1">
      <alignment horizontal="center" vertical="center" wrapText="1"/>
    </xf>
    <xf numFmtId="0" fontId="29" fillId="0" borderId="40" xfId="77" applyFont="1" applyBorder="1" applyAlignment="1">
      <alignment horizontal="center" vertical="center" wrapText="1"/>
    </xf>
    <xf numFmtId="0" fontId="29" fillId="0" borderId="41" xfId="77" applyFont="1" applyBorder="1" applyAlignment="1">
      <alignment horizontal="center" vertical="center" wrapText="1"/>
    </xf>
    <xf numFmtId="0" fontId="29" fillId="0" borderId="20" xfId="77" applyFont="1" applyBorder="1" applyAlignment="1">
      <alignment horizontal="center" vertical="center" wrapText="1"/>
    </xf>
    <xf numFmtId="4" fontId="22" fillId="0" borderId="0" xfId="77" applyNumberFormat="1" applyFont="1" applyAlignment="1">
      <alignment horizontal="center" vertical="center" wrapText="1"/>
    </xf>
    <xf numFmtId="0" fontId="47" fillId="0" borderId="0" xfId="0" applyFont="1" applyAlignment="1">
      <alignment horizontal="center" vertical="center" wrapText="1"/>
    </xf>
    <xf numFmtId="0" fontId="54" fillId="10" borderId="29" xfId="77" applyFont="1" applyFill="1" applyBorder="1" applyAlignment="1">
      <alignment horizontal="center" vertical="center"/>
    </xf>
    <xf numFmtId="0" fontId="54" fillId="10" borderId="30" xfId="77" applyFont="1" applyFill="1" applyBorder="1" applyAlignment="1">
      <alignment horizontal="center" vertical="center"/>
    </xf>
    <xf numFmtId="0" fontId="54" fillId="10" borderId="31" xfId="77" applyFont="1" applyFill="1" applyBorder="1" applyAlignment="1">
      <alignment horizontal="center" vertical="center"/>
    </xf>
    <xf numFmtId="0" fontId="28" fillId="23" borderId="14" xfId="0" applyFont="1" applyFill="1" applyBorder="1" applyAlignment="1">
      <alignment horizontal="left" vertical="center"/>
    </xf>
    <xf numFmtId="0" fontId="28" fillId="23" borderId="15" xfId="0" applyFont="1" applyFill="1" applyBorder="1" applyAlignment="1">
      <alignment horizontal="left" vertical="center"/>
    </xf>
    <xf numFmtId="0" fontId="28" fillId="23" borderId="81" xfId="0" applyFont="1" applyFill="1" applyBorder="1" applyAlignment="1">
      <alignment horizontal="left" vertical="center"/>
    </xf>
    <xf numFmtId="0" fontId="28" fillId="23" borderId="17" xfId="0" applyFont="1" applyFill="1" applyBorder="1" applyAlignment="1">
      <alignment horizontal="left" vertical="center"/>
    </xf>
    <xf numFmtId="0" fontId="46" fillId="23" borderId="8" xfId="0" applyFont="1" applyFill="1" applyBorder="1" applyAlignment="1">
      <alignment horizontal="center" vertical="center"/>
    </xf>
    <xf numFmtId="0" fontId="28" fillId="23" borderId="44" xfId="0" applyFont="1" applyFill="1" applyBorder="1" applyAlignment="1">
      <alignment horizontal="left" vertical="center"/>
    </xf>
    <xf numFmtId="0" fontId="28" fillId="23" borderId="46" xfId="0" applyFont="1" applyFill="1" applyBorder="1" applyAlignment="1">
      <alignment horizontal="left" vertical="center"/>
    </xf>
    <xf numFmtId="0" fontId="28" fillId="23" borderId="42" xfId="0" applyFont="1" applyFill="1" applyBorder="1" applyAlignment="1">
      <alignment horizontal="left" vertical="center"/>
    </xf>
    <xf numFmtId="4" fontId="81" fillId="0" borderId="25" xfId="0" applyNumberFormat="1" applyFont="1" applyBorder="1" applyAlignment="1">
      <alignment horizontal="center"/>
    </xf>
    <xf numFmtId="4" fontId="81" fillId="0" borderId="21" xfId="0" applyNumberFormat="1" applyFont="1" applyBorder="1" applyAlignment="1">
      <alignment horizontal="center"/>
    </xf>
    <xf numFmtId="4" fontId="198" fillId="0" borderId="25" xfId="0" applyNumberFormat="1" applyFont="1" applyBorder="1" applyAlignment="1">
      <alignment horizontal="center"/>
    </xf>
    <xf numFmtId="4" fontId="198" fillId="0" borderId="21" xfId="0" applyNumberFormat="1" applyFont="1" applyBorder="1" applyAlignment="1">
      <alignment horizontal="center"/>
    </xf>
    <xf numFmtId="0" fontId="198" fillId="0" borderId="25" xfId="0" applyFont="1" applyBorder="1" applyAlignment="1">
      <alignment horizontal="center"/>
    </xf>
    <xf numFmtId="0" fontId="198" fillId="0" borderId="21" xfId="0" applyFont="1" applyBorder="1" applyAlignment="1">
      <alignment horizontal="center"/>
    </xf>
    <xf numFmtId="0" fontId="28" fillId="23" borderId="8" xfId="0" applyFont="1" applyFill="1" applyBorder="1" applyAlignment="1">
      <alignment horizontal="left" vertical="center"/>
    </xf>
    <xf numFmtId="0" fontId="128" fillId="20" borderId="9" xfId="0" applyFont="1" applyFill="1" applyBorder="1" applyAlignment="1" applyProtection="1">
      <alignment horizontal="center" vertical="center" wrapText="1"/>
      <protection locked="0"/>
    </xf>
    <xf numFmtId="0" fontId="128" fillId="20" borderId="12" xfId="0" applyFont="1" applyFill="1" applyBorder="1" applyAlignment="1" applyProtection="1">
      <alignment horizontal="center" vertical="center" wrapText="1"/>
      <protection locked="0"/>
    </xf>
    <xf numFmtId="0" fontId="128" fillId="20" borderId="90" xfId="0" applyFont="1" applyFill="1" applyBorder="1" applyAlignment="1" applyProtection="1">
      <alignment horizontal="center" vertical="center" wrapText="1"/>
      <protection locked="0"/>
    </xf>
    <xf numFmtId="0" fontId="129" fillId="20" borderId="10" xfId="0" applyFont="1" applyFill="1" applyBorder="1" applyAlignment="1" applyProtection="1">
      <alignment horizontal="center" vertical="center"/>
      <protection locked="0"/>
    </xf>
    <xf numFmtId="0" fontId="129" fillId="20" borderId="8" xfId="0" applyFont="1" applyFill="1" applyBorder="1" applyAlignment="1" applyProtection="1">
      <alignment horizontal="center" vertical="center"/>
      <protection locked="0"/>
    </xf>
    <xf numFmtId="0" fontId="129" fillId="20" borderId="24" xfId="0" applyFont="1" applyFill="1" applyBorder="1" applyAlignment="1" applyProtection="1">
      <alignment horizontal="center" vertical="center"/>
      <protection locked="0"/>
    </xf>
    <xf numFmtId="0" fontId="128" fillId="20" borderId="10" xfId="0" applyFont="1" applyFill="1" applyBorder="1" applyAlignment="1" applyProtection="1">
      <alignment horizontal="center" vertical="center"/>
      <protection locked="0"/>
    </xf>
    <xf numFmtId="0" fontId="128" fillId="20" borderId="8" xfId="0" applyFont="1" applyFill="1" applyBorder="1" applyAlignment="1" applyProtection="1">
      <alignment horizontal="center" vertical="center"/>
      <protection locked="0"/>
    </xf>
    <xf numFmtId="0" fontId="128" fillId="20" borderId="24" xfId="0" applyFont="1" applyFill="1" applyBorder="1" applyAlignment="1" applyProtection="1">
      <alignment horizontal="center" vertical="center"/>
      <protection locked="0"/>
    </xf>
    <xf numFmtId="0" fontId="128" fillId="20" borderId="38" xfId="0" applyFont="1" applyFill="1" applyBorder="1" applyAlignment="1" applyProtection="1">
      <alignment horizontal="center" vertical="center"/>
      <protection locked="0"/>
    </xf>
    <xf numFmtId="0" fontId="128" fillId="20" borderId="27" xfId="0" applyFont="1" applyFill="1" applyBorder="1" applyAlignment="1" applyProtection="1">
      <alignment horizontal="center" vertical="center"/>
      <protection locked="0"/>
    </xf>
    <xf numFmtId="0" fontId="128" fillId="20" borderId="62" xfId="0" applyFont="1" applyFill="1" applyBorder="1" applyAlignment="1" applyProtection="1">
      <alignment horizontal="center" vertical="center"/>
      <protection locked="0"/>
    </xf>
    <xf numFmtId="0" fontId="27" fillId="3" borderId="0" xfId="77" applyFont="1" applyFill="1" applyAlignment="1">
      <alignment horizontal="center" vertical="center"/>
    </xf>
    <xf numFmtId="0" fontId="15" fillId="0" borderId="0" xfId="0" applyFont="1" applyAlignment="1">
      <alignment horizontal="center"/>
    </xf>
    <xf numFmtId="185" fontId="130" fillId="21" borderId="8" xfId="1" applyNumberFormat="1" applyFont="1" applyFill="1" applyBorder="1" applyAlignment="1">
      <alignment horizontal="center" vertical="center"/>
    </xf>
    <xf numFmtId="185" fontId="128" fillId="20" borderId="29" xfId="0" applyNumberFormat="1" applyFont="1" applyFill="1" applyBorder="1" applyAlignment="1" applyProtection="1">
      <alignment horizontal="center" vertical="center" wrapText="1"/>
      <protection locked="0"/>
    </xf>
    <xf numFmtId="185" fontId="128" fillId="20" borderId="25" xfId="0" applyNumberFormat="1" applyFont="1" applyFill="1" applyBorder="1" applyAlignment="1" applyProtection="1">
      <alignment horizontal="center" vertical="center" wrapText="1"/>
      <protection locked="0"/>
    </xf>
    <xf numFmtId="185" fontId="128" fillId="20" borderId="50" xfId="0" applyNumberFormat="1" applyFont="1" applyFill="1" applyBorder="1" applyAlignment="1" applyProtection="1">
      <alignment horizontal="center" vertical="center" wrapText="1"/>
      <protection locked="0"/>
    </xf>
    <xf numFmtId="185" fontId="130" fillId="21" borderId="12" xfId="1" applyNumberFormat="1" applyFont="1" applyFill="1" applyBorder="1" applyAlignment="1">
      <alignment horizontal="center" vertical="center"/>
    </xf>
    <xf numFmtId="0" fontId="25" fillId="0" borderId="32" xfId="0" applyFont="1" applyBorder="1" applyAlignment="1">
      <alignment horizontal="center" vertical="center" wrapText="1"/>
    </xf>
    <xf numFmtId="0" fontId="25" fillId="0" borderId="1" xfId="0" applyFont="1" applyBorder="1" applyAlignment="1">
      <alignment horizontal="center" vertical="center" wrapText="1"/>
    </xf>
    <xf numFmtId="0" fontId="25" fillId="0" borderId="49" xfId="0" applyFont="1" applyBorder="1" applyAlignment="1">
      <alignment horizontal="center" vertical="center" wrapText="1"/>
    </xf>
    <xf numFmtId="185" fontId="130" fillId="21" borderId="13" xfId="1" applyNumberFormat="1" applyFont="1" applyFill="1" applyBorder="1" applyAlignment="1">
      <alignment horizontal="center" vertical="center"/>
    </xf>
    <xf numFmtId="185" fontId="130" fillId="21" borderId="28" xfId="1" applyNumberFormat="1" applyFont="1" applyFill="1" applyBorder="1" applyAlignment="1">
      <alignment horizontal="center" vertical="center" wrapText="1"/>
    </xf>
    <xf numFmtId="185" fontId="130" fillId="21" borderId="30" xfId="1" applyNumberFormat="1" applyFont="1" applyFill="1" applyBorder="1" applyAlignment="1">
      <alignment horizontal="center" vertical="center" wrapText="1"/>
    </xf>
    <xf numFmtId="185" fontId="130" fillId="21" borderId="31" xfId="1" applyNumberFormat="1" applyFont="1" applyFill="1" applyBorder="1" applyAlignment="1">
      <alignment horizontal="center" vertical="center" wrapText="1"/>
    </xf>
    <xf numFmtId="0" fontId="140" fillId="0" borderId="46" xfId="0" applyFont="1" applyBorder="1" applyAlignment="1">
      <alignment horizontal="center" vertical="center"/>
    </xf>
    <xf numFmtId="0" fontId="25" fillId="0" borderId="6" xfId="0" applyFont="1" applyBorder="1" applyAlignment="1">
      <alignment horizontal="center" vertical="center" wrapText="1"/>
    </xf>
    <xf numFmtId="0" fontId="25" fillId="0" borderId="39" xfId="0" applyFont="1" applyBorder="1" applyAlignment="1">
      <alignment horizontal="center" vertical="center" wrapText="1"/>
    </xf>
    <xf numFmtId="185" fontId="128" fillId="20" borderId="10" xfId="0" applyNumberFormat="1" applyFont="1" applyFill="1" applyBorder="1" applyAlignment="1" applyProtection="1">
      <alignment horizontal="center" vertical="center" wrapText="1"/>
      <protection locked="0"/>
    </xf>
    <xf numFmtId="185" fontId="128" fillId="20" borderId="8" xfId="0" applyNumberFormat="1" applyFont="1" applyFill="1" applyBorder="1" applyAlignment="1" applyProtection="1">
      <alignment horizontal="center" vertical="center" wrapText="1"/>
      <protection locked="0"/>
    </xf>
    <xf numFmtId="185" fontId="128" fillId="20" borderId="24" xfId="0" applyNumberFormat="1" applyFont="1" applyFill="1" applyBorder="1" applyAlignment="1" applyProtection="1">
      <alignment horizontal="center" vertical="center" wrapText="1"/>
      <protection locked="0"/>
    </xf>
    <xf numFmtId="185" fontId="130" fillId="21" borderId="29" xfId="1" applyNumberFormat="1" applyFont="1" applyFill="1" applyBorder="1" applyAlignment="1">
      <alignment horizontal="center" vertical="center" wrapText="1"/>
    </xf>
    <xf numFmtId="0" fontId="23" fillId="10" borderId="8" xfId="1" applyFont="1" applyFill="1" applyBorder="1" applyAlignment="1">
      <alignment horizontal="center" vertical="center"/>
    </xf>
    <xf numFmtId="0" fontId="23" fillId="10" borderId="50" xfId="1" applyFont="1" applyFill="1" applyBorder="1" applyAlignment="1">
      <alignment horizontal="center" vertical="center"/>
    </xf>
    <xf numFmtId="0" fontId="23" fillId="10" borderId="56" xfId="1" applyFont="1" applyFill="1" applyBorder="1" applyAlignment="1">
      <alignment horizontal="center" vertical="center"/>
    </xf>
    <xf numFmtId="0" fontId="23" fillId="10" borderId="22" xfId="1" applyFont="1" applyFill="1" applyBorder="1" applyAlignment="1">
      <alignment horizontal="center" vertical="center"/>
    </xf>
    <xf numFmtId="0" fontId="23" fillId="10" borderId="23" xfId="1" applyFont="1" applyFill="1" applyBorder="1" applyAlignment="1">
      <alignment horizontal="center" vertical="center"/>
    </xf>
    <xf numFmtId="0" fontId="23" fillId="10" borderId="40" xfId="1" applyFont="1" applyFill="1" applyBorder="1" applyAlignment="1">
      <alignment horizontal="center" vertical="center"/>
    </xf>
    <xf numFmtId="0" fontId="23" fillId="10" borderId="20" xfId="1" applyFont="1" applyFill="1" applyBorder="1" applyAlignment="1">
      <alignment horizontal="center" vertical="center"/>
    </xf>
    <xf numFmtId="0" fontId="23" fillId="10" borderId="24" xfId="1" applyFont="1" applyFill="1" applyBorder="1" applyAlignment="1">
      <alignment horizontal="center" vertical="center"/>
    </xf>
    <xf numFmtId="0" fontId="23" fillId="10" borderId="17" xfId="1" applyFont="1" applyFill="1" applyBorder="1" applyAlignment="1">
      <alignment horizontal="center" vertical="center"/>
    </xf>
    <xf numFmtId="0" fontId="159" fillId="2" borderId="0" xfId="17" applyFont="1" applyFill="1" applyAlignment="1">
      <alignment horizontal="center" vertical="center" wrapText="1"/>
    </xf>
    <xf numFmtId="49" fontId="54" fillId="2" borderId="76" xfId="77" applyNumberFormat="1" applyFont="1" applyFill="1" applyBorder="1" applyAlignment="1">
      <alignment horizontal="left"/>
    </xf>
    <xf numFmtId="49" fontId="54" fillId="2" borderId="77" xfId="77" applyNumberFormat="1" applyFont="1" applyFill="1" applyBorder="1" applyAlignment="1">
      <alignment horizontal="left"/>
    </xf>
    <xf numFmtId="49" fontId="54" fillId="2" borderId="59" xfId="77" applyNumberFormat="1" applyFont="1" applyFill="1" applyBorder="1" applyAlignment="1">
      <alignment horizontal="left"/>
    </xf>
    <xf numFmtId="0" fontId="60" fillId="23" borderId="76" xfId="77" applyFont="1" applyFill="1" applyBorder="1"/>
    <xf numFmtId="0" fontId="60" fillId="23" borderId="77" xfId="77" applyFont="1" applyFill="1" applyBorder="1"/>
    <xf numFmtId="0" fontId="60" fillId="23" borderId="59" xfId="77" applyFont="1" applyFill="1" applyBorder="1"/>
    <xf numFmtId="0" fontId="53" fillId="2" borderId="0" xfId="0" applyFont="1" applyFill="1" applyAlignment="1">
      <alignment horizontal="left"/>
    </xf>
    <xf numFmtId="0" fontId="60" fillId="2" borderId="48" xfId="77" applyFont="1" applyFill="1" applyBorder="1" applyAlignment="1">
      <alignment horizontal="center"/>
    </xf>
    <xf numFmtId="0" fontId="60" fillId="2" borderId="0" xfId="77" applyFont="1" applyFill="1" applyAlignment="1">
      <alignment horizontal="center"/>
    </xf>
    <xf numFmtId="0" fontId="54" fillId="2" borderId="76" xfId="77" quotePrefix="1" applyFont="1" applyFill="1" applyBorder="1" applyAlignment="1">
      <alignment horizontal="left" wrapText="1"/>
    </xf>
    <xf numFmtId="0" fontId="54" fillId="2" borderId="77" xfId="77" quotePrefix="1" applyFont="1" applyFill="1" applyBorder="1" applyAlignment="1">
      <alignment horizontal="left" wrapText="1"/>
    </xf>
    <xf numFmtId="0" fontId="54" fillId="2" borderId="59" xfId="77" quotePrefix="1" applyFont="1" applyFill="1" applyBorder="1" applyAlignment="1">
      <alignment horizontal="left" wrapText="1"/>
    </xf>
    <xf numFmtId="0" fontId="64" fillId="2" borderId="0" xfId="77" applyFont="1" applyFill="1" applyAlignment="1">
      <alignment horizontal="center"/>
    </xf>
    <xf numFmtId="0" fontId="66" fillId="2" borderId="0" xfId="77" applyFont="1" applyFill="1" applyAlignment="1">
      <alignment horizontal="center"/>
    </xf>
    <xf numFmtId="49" fontId="53" fillId="2" borderId="0" xfId="0" applyNumberFormat="1" applyFont="1" applyFill="1" applyAlignment="1">
      <alignment horizontal="left" wrapText="1"/>
    </xf>
    <xf numFmtId="0" fontId="53" fillId="2" borderId="0" xfId="0" applyFont="1" applyFill="1" applyAlignment="1">
      <alignment horizontal="left" wrapText="1"/>
    </xf>
    <xf numFmtId="0" fontId="60" fillId="2" borderId="43" xfId="77" applyFont="1" applyFill="1" applyBorder="1" applyAlignment="1">
      <alignment horizontal="center" vertical="center"/>
    </xf>
    <xf numFmtId="0" fontId="60" fillId="2" borderId="6" xfId="77" applyFont="1" applyFill="1" applyBorder="1" applyAlignment="1">
      <alignment horizontal="center" vertical="center"/>
    </xf>
    <xf numFmtId="0" fontId="60" fillId="2" borderId="36" xfId="77" applyFont="1" applyFill="1" applyBorder="1" applyAlignment="1">
      <alignment horizontal="center" vertical="center"/>
    </xf>
    <xf numFmtId="0" fontId="60" fillId="2" borderId="57" xfId="77" applyFont="1" applyFill="1" applyBorder="1" applyAlignment="1">
      <alignment horizontal="center" vertical="center"/>
    </xf>
    <xf numFmtId="0" fontId="60" fillId="2" borderId="41" xfId="77" applyFont="1" applyFill="1" applyBorder="1" applyAlignment="1">
      <alignment horizontal="center" vertical="center"/>
    </xf>
    <xf numFmtId="0" fontId="60" fillId="2" borderId="20" xfId="77" applyFont="1" applyFill="1" applyBorder="1" applyAlignment="1">
      <alignment horizontal="center" vertical="center"/>
    </xf>
    <xf numFmtId="0" fontId="54" fillId="2" borderId="29" xfId="77" applyFont="1" applyFill="1" applyBorder="1" applyAlignment="1">
      <alignment horizontal="center" vertical="center"/>
    </xf>
    <xf numFmtId="0" fontId="54" fillId="2" borderId="30" xfId="77" applyFont="1" applyFill="1" applyBorder="1" applyAlignment="1">
      <alignment horizontal="center" vertical="center"/>
    </xf>
    <xf numFmtId="0" fontId="54" fillId="2" borderId="31" xfId="77" applyFont="1" applyFill="1" applyBorder="1" applyAlignment="1">
      <alignment horizontal="center" vertical="center"/>
    </xf>
    <xf numFmtId="0" fontId="60" fillId="23" borderId="72" xfId="77" applyFont="1" applyFill="1" applyBorder="1" applyAlignment="1">
      <alignment horizontal="left" indent="10"/>
    </xf>
    <xf numFmtId="0" fontId="60" fillId="23" borderId="73" xfId="77" applyFont="1" applyFill="1" applyBorder="1" applyAlignment="1">
      <alignment horizontal="left" indent="10"/>
    </xf>
    <xf numFmtId="0" fontId="60" fillId="23" borderId="74" xfId="77" applyFont="1" applyFill="1" applyBorder="1" applyAlignment="1">
      <alignment horizontal="left" indent="10"/>
    </xf>
    <xf numFmtId="0" fontId="60" fillId="23" borderId="76" xfId="77" applyFont="1" applyFill="1" applyBorder="1" applyAlignment="1">
      <alignment horizontal="left" wrapText="1"/>
    </xf>
    <xf numFmtId="0" fontId="60" fillId="23" borderId="77" xfId="77" applyFont="1" applyFill="1" applyBorder="1" applyAlignment="1">
      <alignment horizontal="left" wrapText="1"/>
    </xf>
    <xf numFmtId="0" fontId="60" fillId="23" borderId="59" xfId="77" applyFont="1" applyFill="1" applyBorder="1" applyAlignment="1">
      <alignment horizontal="left" wrapText="1"/>
    </xf>
    <xf numFmtId="0" fontId="54" fillId="2" borderId="76" xfId="77" quotePrefix="1" applyFont="1" applyFill="1" applyBorder="1" applyAlignment="1">
      <alignment horizontal="left"/>
    </xf>
    <xf numFmtId="0" fontId="54" fillId="2" borderId="77" xfId="77" quotePrefix="1" applyFont="1" applyFill="1" applyBorder="1" applyAlignment="1">
      <alignment horizontal="left"/>
    </xf>
    <xf numFmtId="0" fontId="54" fillId="2" borderId="59" xfId="77" quotePrefix="1" applyFont="1" applyFill="1" applyBorder="1" applyAlignment="1">
      <alignment horizontal="left"/>
    </xf>
    <xf numFmtId="0" fontId="54" fillId="2" borderId="78" xfId="77" applyFont="1" applyFill="1" applyBorder="1" applyAlignment="1">
      <alignment horizontal="left"/>
    </xf>
    <xf numFmtId="0" fontId="54" fillId="2" borderId="79" xfId="77" applyFont="1" applyFill="1" applyBorder="1" applyAlignment="1">
      <alignment horizontal="left"/>
    </xf>
    <xf numFmtId="0" fontId="54" fillId="2" borderId="80" xfId="77" applyFont="1" applyFill="1" applyBorder="1" applyAlignment="1">
      <alignment horizontal="left"/>
    </xf>
    <xf numFmtId="0" fontId="10" fillId="0" borderId="0" xfId="102" applyNumberFormat="1" applyFont="1" applyFill="1" applyAlignment="1">
      <alignment horizontal="left" vertical="center"/>
    </xf>
    <xf numFmtId="4" fontId="36" fillId="30" borderId="8" xfId="0" applyNumberFormat="1" applyFont="1" applyFill="1" applyBorder="1" applyAlignment="1">
      <alignment horizontal="center" vertical="center"/>
    </xf>
    <xf numFmtId="4" fontId="36" fillId="30" borderId="8" xfId="0" applyNumberFormat="1" applyFont="1" applyFill="1" applyBorder="1" applyAlignment="1">
      <alignment horizontal="right" vertical="center"/>
    </xf>
    <xf numFmtId="0" fontId="48" fillId="2" borderId="24" xfId="0" applyFont="1" applyFill="1" applyBorder="1" applyAlignment="1">
      <alignment horizontal="center" vertical="center"/>
    </xf>
    <xf numFmtId="4" fontId="48" fillId="2" borderId="24" xfId="0" applyNumberFormat="1" applyFont="1" applyFill="1" applyBorder="1" applyAlignment="1">
      <alignment horizontal="left" vertical="center"/>
    </xf>
    <xf numFmtId="4" fontId="48" fillId="2" borderId="24" xfId="0" applyNumberFormat="1" applyFont="1" applyFill="1" applyBorder="1" applyAlignment="1">
      <alignment horizontal="right" vertical="center"/>
    </xf>
    <xf numFmtId="0" fontId="48" fillId="2" borderId="8" xfId="0" applyFont="1" applyFill="1" applyBorder="1" applyAlignment="1">
      <alignment horizontal="center" vertical="center"/>
    </xf>
    <xf numFmtId="0" fontId="47" fillId="0" borderId="25" xfId="0" applyFont="1" applyBorder="1"/>
    <xf numFmtId="0" fontId="47" fillId="0" borderId="26" xfId="0" applyFont="1" applyBorder="1"/>
    <xf numFmtId="0" fontId="47" fillId="0" borderId="21" xfId="0" applyFont="1" applyBorder="1"/>
    <xf numFmtId="0" fontId="47" fillId="0" borderId="25" xfId="0" applyFont="1" applyBorder="1" applyAlignment="1">
      <alignment horizontal="right"/>
    </xf>
    <xf numFmtId="0" fontId="47" fillId="0" borderId="26" xfId="0" applyFont="1" applyBorder="1" applyAlignment="1">
      <alignment horizontal="right"/>
    </xf>
    <xf numFmtId="0" fontId="47" fillId="0" borderId="21" xfId="0" applyFont="1" applyBorder="1" applyAlignment="1">
      <alignment horizontal="right"/>
    </xf>
    <xf numFmtId="2" fontId="47" fillId="0" borderId="25" xfId="0" applyNumberFormat="1" applyFont="1" applyBorder="1" applyAlignment="1">
      <alignment horizontal="right"/>
    </xf>
    <xf numFmtId="2" fontId="47" fillId="0" borderId="26" xfId="0" applyNumberFormat="1" applyFont="1" applyBorder="1" applyAlignment="1">
      <alignment horizontal="right"/>
    </xf>
    <xf numFmtId="2" fontId="47" fillId="0" borderId="21" xfId="0" applyNumberFormat="1" applyFont="1" applyBorder="1" applyAlignment="1">
      <alignment horizontal="right"/>
    </xf>
    <xf numFmtId="4" fontId="48" fillId="2" borderId="8" xfId="0" applyNumberFormat="1" applyFont="1" applyFill="1" applyBorder="1" applyAlignment="1">
      <alignment horizontal="left" vertical="center"/>
    </xf>
    <xf numFmtId="4" fontId="48" fillId="2" borderId="26" xfId="0" applyNumberFormat="1" applyFont="1" applyFill="1" applyBorder="1" applyAlignment="1">
      <alignment horizontal="center" vertical="center"/>
    </xf>
    <xf numFmtId="4" fontId="48" fillId="2" borderId="21" xfId="0" applyNumberFormat="1" applyFont="1" applyFill="1" applyBorder="1" applyAlignment="1">
      <alignment horizontal="center" vertical="center"/>
    </xf>
    <xf numFmtId="4" fontId="48" fillId="2" borderId="25" xfId="0" applyNumberFormat="1" applyFont="1" applyFill="1" applyBorder="1" applyAlignment="1">
      <alignment horizontal="left" vertical="center"/>
    </xf>
    <xf numFmtId="4" fontId="48" fillId="2" borderId="26" xfId="0" applyNumberFormat="1" applyFont="1" applyFill="1" applyBorder="1" applyAlignment="1">
      <alignment horizontal="left" vertical="center"/>
    </xf>
    <xf numFmtId="0" fontId="48" fillId="2" borderId="27" xfId="0" applyFont="1" applyFill="1" applyBorder="1" applyAlignment="1">
      <alignment horizontal="center" vertical="center"/>
    </xf>
    <xf numFmtId="4" fontId="48" fillId="2" borderId="25" xfId="0" applyNumberFormat="1" applyFont="1" applyFill="1" applyBorder="1" applyAlignment="1">
      <alignment horizontal="right" vertical="center"/>
    </xf>
    <xf numFmtId="4" fontId="48" fillId="2" borderId="26" xfId="0" applyNumberFormat="1" applyFont="1" applyFill="1" applyBorder="1" applyAlignment="1">
      <alignment horizontal="right" vertical="center"/>
    </xf>
    <xf numFmtId="4" fontId="48" fillId="2" borderId="21" xfId="0" applyNumberFormat="1" applyFont="1" applyFill="1" applyBorder="1" applyAlignment="1">
      <alignment horizontal="right" vertical="center"/>
    </xf>
    <xf numFmtId="0" fontId="36" fillId="2" borderId="25" xfId="0" applyFont="1" applyFill="1" applyBorder="1" applyAlignment="1">
      <alignment horizontal="center" vertical="center"/>
    </xf>
    <xf numFmtId="0" fontId="36" fillId="2" borderId="26" xfId="0" applyFont="1" applyFill="1" applyBorder="1" applyAlignment="1">
      <alignment horizontal="center" vertical="center"/>
    </xf>
    <xf numFmtId="0" fontId="36" fillId="2" borderId="21" xfId="0" applyFont="1" applyFill="1" applyBorder="1" applyAlignment="1">
      <alignment horizontal="center" vertical="center"/>
    </xf>
    <xf numFmtId="4" fontId="36" fillId="2" borderId="25" xfId="0" applyNumberFormat="1" applyFont="1" applyFill="1" applyBorder="1" applyAlignment="1">
      <alignment horizontal="right" vertical="center"/>
    </xf>
    <xf numFmtId="4" fontId="36" fillId="2" borderId="26" xfId="0" applyNumberFormat="1" applyFont="1" applyFill="1" applyBorder="1" applyAlignment="1">
      <alignment horizontal="right" vertical="center"/>
    </xf>
    <xf numFmtId="4" fontId="36" fillId="2" borderId="21" xfId="0" applyNumberFormat="1" applyFont="1" applyFill="1" applyBorder="1" applyAlignment="1">
      <alignment horizontal="right" vertical="center"/>
    </xf>
    <xf numFmtId="4" fontId="48" fillId="2" borderId="27" xfId="0" applyNumberFormat="1" applyFont="1" applyFill="1" applyBorder="1" applyAlignment="1">
      <alignment horizontal="right" vertical="center"/>
    </xf>
    <xf numFmtId="0" fontId="2" fillId="0" borderId="50" xfId="77" applyBorder="1" applyAlignment="1">
      <alignment horizontal="center" vertical="center"/>
    </xf>
    <xf numFmtId="0" fontId="2" fillId="0" borderId="51" xfId="77" applyBorder="1" applyAlignment="1">
      <alignment horizontal="center" vertical="center"/>
    </xf>
    <xf numFmtId="0" fontId="2" fillId="0" borderId="56" xfId="77" applyBorder="1" applyAlignment="1">
      <alignment horizontal="center" vertical="center"/>
    </xf>
    <xf numFmtId="0" fontId="2" fillId="0" borderId="25" xfId="77" applyBorder="1" applyAlignment="1">
      <alignment horizontal="left" vertical="center"/>
    </xf>
    <xf numFmtId="0" fontId="2" fillId="0" borderId="26" xfId="77" applyBorder="1" applyAlignment="1">
      <alignment horizontal="left" vertical="center"/>
    </xf>
    <xf numFmtId="0" fontId="2" fillId="0" borderId="21" xfId="77" applyBorder="1" applyAlignment="1">
      <alignment horizontal="left" vertical="center"/>
    </xf>
    <xf numFmtId="0" fontId="2" fillId="0" borderId="25" xfId="77" applyBorder="1" applyAlignment="1">
      <alignment horizontal="right" vertical="center"/>
    </xf>
    <xf numFmtId="0" fontId="2" fillId="0" borderId="26" xfId="77" applyBorder="1" applyAlignment="1">
      <alignment horizontal="right" vertical="center"/>
    </xf>
    <xf numFmtId="0" fontId="2" fillId="0" borderId="21" xfId="77" applyBorder="1" applyAlignment="1">
      <alignment horizontal="right" vertical="center"/>
    </xf>
    <xf numFmtId="4" fontId="36" fillId="30" borderId="22" xfId="0" applyNumberFormat="1" applyFont="1" applyFill="1" applyBorder="1" applyAlignment="1">
      <alignment horizontal="center" vertical="center"/>
    </xf>
    <xf numFmtId="4" fontId="36" fillId="30" borderId="0" xfId="0" applyNumberFormat="1" applyFont="1" applyFill="1" applyAlignment="1">
      <alignment horizontal="center" vertical="center"/>
    </xf>
    <xf numFmtId="2" fontId="36" fillId="30" borderId="25" xfId="0" applyNumberFormat="1" applyFont="1" applyFill="1" applyBorder="1" applyAlignment="1">
      <alignment horizontal="right" vertical="center"/>
    </xf>
    <xf numFmtId="2" fontId="36" fillId="30" borderId="26" xfId="0" applyNumberFormat="1" applyFont="1" applyFill="1" applyBorder="1" applyAlignment="1">
      <alignment horizontal="right" vertical="center"/>
    </xf>
    <xf numFmtId="2" fontId="36" fillId="30" borderId="21" xfId="0" applyNumberFormat="1" applyFont="1" applyFill="1" applyBorder="1" applyAlignment="1">
      <alignment horizontal="right" vertical="center"/>
    </xf>
    <xf numFmtId="4" fontId="48" fillId="2" borderId="24" xfId="0" applyNumberFormat="1" applyFont="1" applyFill="1" applyBorder="1" applyAlignment="1">
      <alignment horizontal="center" vertical="center"/>
    </xf>
    <xf numFmtId="4" fontId="48" fillId="2" borderId="27" xfId="0" applyNumberFormat="1" applyFont="1" applyFill="1" applyBorder="1" applyAlignment="1">
      <alignment horizontal="center" vertical="center"/>
    </xf>
    <xf numFmtId="4" fontId="48" fillId="2" borderId="8" xfId="0" applyNumberFormat="1" applyFont="1" applyFill="1" applyBorder="1" applyAlignment="1">
      <alignment horizontal="right" vertical="center"/>
    </xf>
    <xf numFmtId="0" fontId="48" fillId="2" borderId="25" xfId="0" applyFont="1" applyFill="1" applyBorder="1" applyAlignment="1">
      <alignment horizontal="left" vertical="center"/>
    </xf>
    <xf numFmtId="0" fontId="48" fillId="2" borderId="26" xfId="0" applyFont="1" applyFill="1" applyBorder="1" applyAlignment="1">
      <alignment horizontal="left" vertical="center"/>
    </xf>
    <xf numFmtId="0" fontId="48" fillId="2" borderId="21" xfId="0" applyFont="1" applyFill="1" applyBorder="1" applyAlignment="1">
      <alignment horizontal="left" vertical="center"/>
    </xf>
    <xf numFmtId="4" fontId="48" fillId="2" borderId="25" xfId="0" applyNumberFormat="1" applyFont="1" applyFill="1" applyBorder="1" applyAlignment="1">
      <alignment horizontal="right" vertical="center" wrapText="1"/>
    </xf>
    <xf numFmtId="4" fontId="48" fillId="2" borderId="26" xfId="0" applyNumberFormat="1" applyFont="1" applyFill="1" applyBorder="1" applyAlignment="1">
      <alignment horizontal="right" vertical="center" wrapText="1"/>
    </xf>
    <xf numFmtId="4" fontId="48" fillId="2" borderId="21" xfId="0" applyNumberFormat="1" applyFont="1" applyFill="1" applyBorder="1" applyAlignment="1">
      <alignment horizontal="right" vertical="center" wrapText="1"/>
    </xf>
    <xf numFmtId="0" fontId="36" fillId="25" borderId="8" xfId="0" applyFont="1" applyFill="1" applyBorder="1" applyAlignment="1">
      <alignment horizontal="center" vertical="center" wrapText="1"/>
    </xf>
    <xf numFmtId="4" fontId="36" fillId="25" borderId="8" xfId="0" applyNumberFormat="1" applyFont="1" applyFill="1" applyBorder="1" applyAlignment="1">
      <alignment horizontal="center" vertical="center"/>
    </xf>
    <xf numFmtId="0" fontId="92" fillId="2" borderId="29" xfId="0" applyFont="1" applyFill="1" applyBorder="1" applyAlignment="1">
      <alignment horizontal="center" vertical="center"/>
    </xf>
    <xf numFmtId="0" fontId="92" fillId="2" borderId="30" xfId="0" applyFont="1" applyFill="1" applyBorder="1" applyAlignment="1">
      <alignment horizontal="center" vertical="center"/>
    </xf>
    <xf numFmtId="0" fontId="92" fillId="2" borderId="18" xfId="0" applyFont="1" applyFill="1" applyBorder="1" applyAlignment="1">
      <alignment horizontal="center" vertical="center"/>
    </xf>
    <xf numFmtId="10" fontId="26" fillId="2" borderId="25" xfId="0" applyNumberFormat="1" applyFont="1" applyFill="1" applyBorder="1" applyAlignment="1">
      <alignment horizontal="center" vertical="center"/>
    </xf>
    <xf numFmtId="10" fontId="26" fillId="2" borderId="21" xfId="0" applyNumberFormat="1" applyFont="1" applyFill="1" applyBorder="1" applyAlignment="1">
      <alignment horizontal="center" vertical="center"/>
    </xf>
    <xf numFmtId="4" fontId="26" fillId="2" borderId="25" xfId="0" applyNumberFormat="1" applyFont="1" applyFill="1" applyBorder="1" applyAlignment="1">
      <alignment horizontal="center" vertical="center"/>
    </xf>
    <xf numFmtId="4" fontId="26" fillId="2" borderId="26" xfId="0" applyNumberFormat="1" applyFont="1" applyFill="1" applyBorder="1" applyAlignment="1">
      <alignment horizontal="center" vertical="center"/>
    </xf>
    <xf numFmtId="4" fontId="26" fillId="2" borderId="21" xfId="0" applyNumberFormat="1" applyFont="1" applyFill="1" applyBorder="1" applyAlignment="1">
      <alignment horizontal="center" vertical="center"/>
    </xf>
    <xf numFmtId="10" fontId="48" fillId="2" borderId="25" xfId="0" applyNumberFormat="1" applyFont="1" applyFill="1" applyBorder="1" applyAlignment="1">
      <alignment horizontal="center" vertical="center"/>
    </xf>
    <xf numFmtId="10" fontId="48" fillId="2" borderId="21" xfId="0" applyNumberFormat="1" applyFont="1" applyFill="1" applyBorder="1" applyAlignment="1">
      <alignment horizontal="center" vertical="center"/>
    </xf>
    <xf numFmtId="0" fontId="36" fillId="19" borderId="50" xfId="0" applyFont="1" applyFill="1" applyBorder="1" applyAlignment="1">
      <alignment horizontal="center" vertical="justify"/>
    </xf>
    <xf numFmtId="0" fontId="36" fillId="19" borderId="51" xfId="0" applyFont="1" applyFill="1" applyBorder="1" applyAlignment="1">
      <alignment horizontal="center" vertical="justify"/>
    </xf>
    <xf numFmtId="0" fontId="36" fillId="19" borderId="56" xfId="0" applyFont="1" applyFill="1" applyBorder="1" applyAlignment="1">
      <alignment horizontal="center" vertical="justify"/>
    </xf>
    <xf numFmtId="0" fontId="36" fillId="19" borderId="40" xfId="0" applyFont="1" applyFill="1" applyBorder="1" applyAlignment="1">
      <alignment horizontal="center" vertical="justify"/>
    </xf>
    <xf numFmtId="0" fontId="36" fillId="19" borderId="41" xfId="0" applyFont="1" applyFill="1" applyBorder="1" applyAlignment="1">
      <alignment horizontal="center" vertical="justify"/>
    </xf>
    <xf numFmtId="0" fontId="36" fillId="19" borderId="20" xfId="0" applyFont="1" applyFill="1" applyBorder="1" applyAlignment="1">
      <alignment horizontal="center" vertical="justify"/>
    </xf>
    <xf numFmtId="0" fontId="36" fillId="19" borderId="50" xfId="0" applyFont="1" applyFill="1" applyBorder="1" applyAlignment="1">
      <alignment horizontal="center" vertical="center" wrapText="1"/>
    </xf>
    <xf numFmtId="0" fontId="36" fillId="19" borderId="51" xfId="0" applyFont="1" applyFill="1" applyBorder="1" applyAlignment="1">
      <alignment horizontal="center" vertical="center" wrapText="1"/>
    </xf>
    <xf numFmtId="0" fontId="36" fillId="19" borderId="56" xfId="0" applyFont="1" applyFill="1" applyBorder="1" applyAlignment="1">
      <alignment horizontal="center" vertical="center" wrapText="1"/>
    </xf>
    <xf numFmtId="0" fontId="36" fillId="19" borderId="40" xfId="0" applyFont="1" applyFill="1" applyBorder="1" applyAlignment="1">
      <alignment horizontal="center" vertical="center" wrapText="1"/>
    </xf>
    <xf numFmtId="0" fontId="36" fillId="19" borderId="41" xfId="0" applyFont="1" applyFill="1" applyBorder="1" applyAlignment="1">
      <alignment horizontal="center" vertical="center" wrapText="1"/>
    </xf>
    <xf numFmtId="0" fontId="36" fillId="19" borderId="20" xfId="0" applyFont="1" applyFill="1" applyBorder="1" applyAlignment="1">
      <alignment horizontal="center" vertical="center" wrapText="1"/>
    </xf>
    <xf numFmtId="0" fontId="36" fillId="19" borderId="25" xfId="0" applyFont="1" applyFill="1" applyBorder="1" applyAlignment="1">
      <alignment horizontal="center" vertical="center"/>
    </xf>
    <xf numFmtId="0" fontId="36" fillId="19" borderId="26" xfId="0" applyFont="1" applyFill="1" applyBorder="1" applyAlignment="1">
      <alignment horizontal="center" vertical="center"/>
    </xf>
    <xf numFmtId="0" fontId="36" fillId="19" borderId="21" xfId="0" applyFont="1" applyFill="1" applyBorder="1" applyAlignment="1">
      <alignment horizontal="center" vertical="center"/>
    </xf>
    <xf numFmtId="0" fontId="36" fillId="2" borderId="50" xfId="0" applyFont="1" applyFill="1" applyBorder="1" applyAlignment="1">
      <alignment horizontal="center" vertical="center" wrapText="1"/>
    </xf>
    <xf numFmtId="0" fontId="36" fillId="2" borderId="51" xfId="0" applyFont="1" applyFill="1" applyBorder="1" applyAlignment="1">
      <alignment horizontal="center" vertical="center" wrapText="1"/>
    </xf>
    <xf numFmtId="0" fontId="36" fillId="2" borderId="56" xfId="0" applyFont="1" applyFill="1" applyBorder="1" applyAlignment="1">
      <alignment horizontal="center" vertical="center" wrapText="1"/>
    </xf>
    <xf numFmtId="0" fontId="36" fillId="2" borderId="40" xfId="0" applyFont="1" applyFill="1" applyBorder="1" applyAlignment="1">
      <alignment horizontal="center" vertical="center" wrapText="1"/>
    </xf>
    <xf numFmtId="0" fontId="36" fillId="2" borderId="41" xfId="0" applyFont="1" applyFill="1" applyBorder="1" applyAlignment="1">
      <alignment horizontal="center" vertical="center" wrapText="1"/>
    </xf>
    <xf numFmtId="0" fontId="36" fillId="2" borderId="20" xfId="0" applyFont="1" applyFill="1" applyBorder="1" applyAlignment="1">
      <alignment horizontal="center" vertical="center" wrapText="1"/>
    </xf>
    <xf numFmtId="0" fontId="36" fillId="0" borderId="25" xfId="0" applyFont="1" applyBorder="1" applyAlignment="1">
      <alignment horizontal="center" vertical="center"/>
    </xf>
    <xf numFmtId="0" fontId="36" fillId="0" borderId="26" xfId="0" applyFont="1" applyBorder="1" applyAlignment="1">
      <alignment horizontal="center" vertical="center"/>
    </xf>
    <xf numFmtId="0" fontId="36" fillId="0" borderId="21" xfId="0" applyFont="1" applyBorder="1" applyAlignment="1">
      <alignment horizontal="center" vertical="center"/>
    </xf>
    <xf numFmtId="4" fontId="48" fillId="2" borderId="25" xfId="0" applyNumberFormat="1" applyFont="1" applyFill="1" applyBorder="1" applyAlignment="1">
      <alignment horizontal="center" vertical="center"/>
    </xf>
    <xf numFmtId="0" fontId="25" fillId="2" borderId="25" xfId="0" applyFont="1" applyFill="1" applyBorder="1" applyAlignment="1">
      <alignment horizontal="center" vertical="center"/>
    </xf>
    <xf numFmtId="0" fontId="25" fillId="2" borderId="26" xfId="0" applyFont="1" applyFill="1" applyBorder="1" applyAlignment="1">
      <alignment horizontal="center" vertical="center"/>
    </xf>
    <xf numFmtId="0" fontId="25" fillId="2" borderId="21" xfId="0" applyFont="1" applyFill="1" applyBorder="1" applyAlignment="1">
      <alignment horizontal="center" vertical="center"/>
    </xf>
    <xf numFmtId="0" fontId="36" fillId="2" borderId="50" xfId="0" applyFont="1" applyFill="1" applyBorder="1" applyAlignment="1">
      <alignment horizontal="center" vertical="justify"/>
    </xf>
    <xf numFmtId="0" fontId="36" fillId="2" borderId="51" xfId="0" applyFont="1" applyFill="1" applyBorder="1" applyAlignment="1">
      <alignment horizontal="center" vertical="justify"/>
    </xf>
    <xf numFmtId="0" fontId="36" fillId="2" borderId="56" xfId="0" applyFont="1" applyFill="1" applyBorder="1" applyAlignment="1">
      <alignment horizontal="center" vertical="justify"/>
    </xf>
    <xf numFmtId="0" fontId="36" fillId="2" borderId="40" xfId="0" applyFont="1" applyFill="1" applyBorder="1" applyAlignment="1">
      <alignment horizontal="center" vertical="justify"/>
    </xf>
    <xf numFmtId="0" fontId="36" fillId="2" borderId="41" xfId="0" applyFont="1" applyFill="1" applyBorder="1" applyAlignment="1">
      <alignment horizontal="center" vertical="justify"/>
    </xf>
    <xf numFmtId="0" fontId="36" fillId="2" borderId="20" xfId="0" applyFont="1" applyFill="1" applyBorder="1" applyAlignment="1">
      <alignment horizontal="center" vertical="justify"/>
    </xf>
    <xf numFmtId="0" fontId="2" fillId="3" borderId="25" xfId="77" applyFill="1" applyBorder="1" applyAlignment="1">
      <alignment horizontal="center" vertical="center"/>
    </xf>
    <xf numFmtId="0" fontId="2" fillId="3" borderId="26" xfId="77" applyFill="1" applyBorder="1" applyAlignment="1">
      <alignment horizontal="center" vertical="center"/>
    </xf>
    <xf numFmtId="0" fontId="2" fillId="3" borderId="21" xfId="77" applyFill="1" applyBorder="1" applyAlignment="1">
      <alignment horizontal="center" vertical="center"/>
    </xf>
    <xf numFmtId="0" fontId="27" fillId="0" borderId="25" xfId="77" applyFont="1" applyBorder="1" applyAlignment="1">
      <alignment horizontal="center" vertical="center" wrapText="1"/>
    </xf>
    <xf numFmtId="0" fontId="27" fillId="0" borderId="26" xfId="77" applyFont="1" applyBorder="1" applyAlignment="1">
      <alignment horizontal="center" vertical="center" wrapText="1"/>
    </xf>
    <xf numFmtId="0" fontId="27" fillId="0" borderId="21" xfId="77" applyFont="1" applyBorder="1" applyAlignment="1">
      <alignment horizontal="center" vertical="center" wrapText="1"/>
    </xf>
    <xf numFmtId="4" fontId="27" fillId="0" borderId="25" xfId="77" applyNumberFormat="1" applyFont="1" applyBorder="1" applyAlignment="1">
      <alignment horizontal="center"/>
    </xf>
    <xf numFmtId="4" fontId="27" fillId="0" borderId="26" xfId="77" applyNumberFormat="1" applyFont="1" applyBorder="1" applyAlignment="1">
      <alignment horizontal="center"/>
    </xf>
    <xf numFmtId="4" fontId="27" fillId="0" borderId="21" xfId="77" applyNumberFormat="1" applyFont="1" applyBorder="1" applyAlignment="1">
      <alignment horizontal="center"/>
    </xf>
    <xf numFmtId="0" fontId="25" fillId="0" borderId="50" xfId="77" applyFont="1" applyBorder="1" applyAlignment="1">
      <alignment horizontal="center" vertical="justify"/>
    </xf>
    <xf numFmtId="0" fontId="25" fillId="0" borderId="51" xfId="77" applyFont="1" applyBorder="1" applyAlignment="1">
      <alignment horizontal="center" vertical="justify"/>
    </xf>
    <xf numFmtId="0" fontId="25" fillId="0" borderId="56" xfId="77" applyFont="1" applyBorder="1" applyAlignment="1">
      <alignment horizontal="center" vertical="justify"/>
    </xf>
    <xf numFmtId="0" fontId="25" fillId="0" borderId="40" xfId="77" applyFont="1" applyBorder="1" applyAlignment="1">
      <alignment horizontal="center" vertical="justify"/>
    </xf>
    <xf numFmtId="0" fontId="25" fillId="0" borderId="41" xfId="77" applyFont="1" applyBorder="1" applyAlignment="1">
      <alignment horizontal="center" vertical="justify"/>
    </xf>
    <xf numFmtId="0" fontId="25" fillId="0" borderId="20" xfId="77" applyFont="1" applyBorder="1" applyAlignment="1">
      <alignment horizontal="center" vertical="justify"/>
    </xf>
    <xf numFmtId="0" fontId="25" fillId="0" borderId="50" xfId="77" applyFont="1" applyBorder="1" applyAlignment="1">
      <alignment horizontal="center" vertical="center" wrapText="1"/>
    </xf>
    <xf numFmtId="0" fontId="25" fillId="0" borderId="51" xfId="77" applyFont="1" applyBorder="1" applyAlignment="1">
      <alignment horizontal="center" vertical="center" wrapText="1"/>
    </xf>
    <xf numFmtId="0" fontId="25" fillId="0" borderId="56" xfId="77" applyFont="1" applyBorder="1" applyAlignment="1">
      <alignment horizontal="center" vertical="center" wrapText="1"/>
    </xf>
    <xf numFmtId="0" fontId="25" fillId="0" borderId="40" xfId="77" applyFont="1" applyBorder="1" applyAlignment="1">
      <alignment horizontal="center" vertical="center" wrapText="1"/>
    </xf>
    <xf numFmtId="0" fontId="25" fillId="0" borderId="41" xfId="77" applyFont="1" applyBorder="1" applyAlignment="1">
      <alignment horizontal="center" vertical="center" wrapText="1"/>
    </xf>
    <xf numFmtId="0" fontId="25" fillId="0" borderId="20" xfId="77" applyFont="1" applyBorder="1" applyAlignment="1">
      <alignment horizontal="center" vertical="center" wrapText="1"/>
    </xf>
    <xf numFmtId="0" fontId="25" fillId="0" borderId="25" xfId="77" applyFont="1" applyBorder="1" applyAlignment="1">
      <alignment horizontal="center" vertical="center"/>
    </xf>
    <xf numFmtId="0" fontId="25" fillId="0" borderId="26" xfId="77" applyFont="1" applyBorder="1" applyAlignment="1">
      <alignment horizontal="center" vertical="center"/>
    </xf>
    <xf numFmtId="0" fontId="25" fillId="0" borderId="21" xfId="77" applyFont="1" applyBorder="1" applyAlignment="1">
      <alignment horizontal="center" vertical="center"/>
    </xf>
    <xf numFmtId="0" fontId="2" fillId="0" borderId="25" xfId="77" applyBorder="1" applyAlignment="1">
      <alignment horizontal="center"/>
    </xf>
    <xf numFmtId="0" fontId="2" fillId="0" borderId="26" xfId="77" applyBorder="1" applyAlignment="1">
      <alignment horizontal="center"/>
    </xf>
    <xf numFmtId="0" fontId="2" fillId="0" borderId="21" xfId="77" applyBorder="1" applyAlignment="1">
      <alignment horizontal="center"/>
    </xf>
    <xf numFmtId="4" fontId="2" fillId="0" borderId="25" xfId="77" applyNumberFormat="1" applyBorder="1" applyAlignment="1">
      <alignment horizontal="center"/>
    </xf>
    <xf numFmtId="4" fontId="2" fillId="0" borderId="26" xfId="77" applyNumberFormat="1" applyBorder="1" applyAlignment="1">
      <alignment horizontal="center"/>
    </xf>
    <xf numFmtId="4" fontId="2" fillId="0" borderId="21" xfId="77" applyNumberFormat="1" applyBorder="1" applyAlignment="1">
      <alignment horizontal="center"/>
    </xf>
    <xf numFmtId="0" fontId="2" fillId="0" borderId="25" xfId="77" applyBorder="1" applyAlignment="1">
      <alignment horizontal="center" wrapText="1"/>
    </xf>
    <xf numFmtId="0" fontId="2" fillId="0" borderId="26" xfId="77" applyBorder="1" applyAlignment="1">
      <alignment horizontal="center" wrapText="1"/>
    </xf>
    <xf numFmtId="0" fontId="2" fillId="0" borderId="21" xfId="77" applyBorder="1" applyAlignment="1">
      <alignment horizontal="center" wrapText="1"/>
    </xf>
    <xf numFmtId="0" fontId="26" fillId="0" borderId="25" xfId="77" applyFont="1" applyBorder="1" applyAlignment="1">
      <alignment horizontal="center" vertical="center" wrapText="1"/>
    </xf>
    <xf numFmtId="0" fontId="26" fillId="0" borderId="26" xfId="77" applyFont="1" applyBorder="1" applyAlignment="1">
      <alignment horizontal="center" vertical="center" wrapText="1"/>
    </xf>
    <xf numFmtId="0" fontId="26" fillId="0" borderId="21" xfId="77" applyFont="1" applyBorder="1" applyAlignment="1">
      <alignment horizontal="center" vertical="center" wrapText="1"/>
    </xf>
    <xf numFmtId="4" fontId="2" fillId="0" borderId="25" xfId="77" applyNumberFormat="1" applyBorder="1" applyAlignment="1">
      <alignment horizontal="center" wrapText="1"/>
    </xf>
    <xf numFmtId="4" fontId="2" fillId="0" borderId="26" xfId="77" applyNumberFormat="1" applyBorder="1" applyAlignment="1">
      <alignment horizontal="center" wrapText="1"/>
    </xf>
    <xf numFmtId="4" fontId="2" fillId="0" borderId="21" xfId="77" applyNumberFormat="1" applyBorder="1" applyAlignment="1">
      <alignment horizontal="center" wrapText="1"/>
    </xf>
    <xf numFmtId="0" fontId="27" fillId="0" borderId="25" xfId="77" applyFont="1" applyBorder="1" applyAlignment="1">
      <alignment horizontal="center"/>
    </xf>
    <xf numFmtId="0" fontId="27" fillId="0" borderId="26" xfId="77" applyFont="1" applyBorder="1" applyAlignment="1">
      <alignment horizontal="center"/>
    </xf>
    <xf numFmtId="0" fontId="27" fillId="0" borderId="21" xfId="77" applyFont="1" applyBorder="1" applyAlignment="1">
      <alignment horizontal="center"/>
    </xf>
    <xf numFmtId="4" fontId="48" fillId="2" borderId="47" xfId="0" applyNumberFormat="1" applyFont="1" applyFill="1" applyBorder="1" applyAlignment="1">
      <alignment horizontal="center" vertical="center"/>
    </xf>
    <xf numFmtId="4" fontId="48" fillId="2" borderId="53" xfId="0" applyNumberFormat="1" applyFont="1" applyFill="1" applyBorder="1" applyAlignment="1">
      <alignment horizontal="center" vertical="center"/>
    </xf>
    <xf numFmtId="4" fontId="48" fillId="2" borderId="19" xfId="0" applyNumberFormat="1" applyFont="1" applyFill="1" applyBorder="1" applyAlignment="1">
      <alignment horizontal="center" vertical="center"/>
    </xf>
    <xf numFmtId="10" fontId="48" fillId="2" borderId="47" xfId="0" applyNumberFormat="1" applyFont="1" applyFill="1" applyBorder="1" applyAlignment="1">
      <alignment horizontal="center" vertical="center"/>
    </xf>
    <xf numFmtId="10" fontId="48" fillId="2" borderId="19" xfId="0" applyNumberFormat="1" applyFont="1" applyFill="1" applyBorder="1" applyAlignment="1">
      <alignment horizontal="center" vertical="center"/>
    </xf>
    <xf numFmtId="10" fontId="48" fillId="2" borderId="128" xfId="0" applyNumberFormat="1" applyFont="1" applyFill="1" applyBorder="1" applyAlignment="1">
      <alignment horizontal="center" vertical="center"/>
    </xf>
    <xf numFmtId="0" fontId="25" fillId="0" borderId="50" xfId="77" applyFont="1" applyBorder="1" applyAlignment="1">
      <alignment horizontal="center"/>
    </xf>
    <xf numFmtId="0" fontId="25" fillId="0" borderId="51" xfId="77" applyFont="1" applyBorder="1" applyAlignment="1">
      <alignment horizontal="center"/>
    </xf>
    <xf numFmtId="0" fontId="25" fillId="0" borderId="56" xfId="77" applyFont="1" applyBorder="1" applyAlignment="1">
      <alignment horizontal="center"/>
    </xf>
    <xf numFmtId="0" fontId="25" fillId="0" borderId="40" xfId="77" applyFont="1" applyBorder="1" applyAlignment="1">
      <alignment horizontal="center"/>
    </xf>
    <xf numFmtId="0" fontId="25" fillId="0" borderId="41" xfId="77" applyFont="1" applyBorder="1" applyAlignment="1">
      <alignment horizontal="center"/>
    </xf>
    <xf numFmtId="0" fontId="25" fillId="0" borderId="20" xfId="77" applyFont="1" applyBorder="1" applyAlignment="1">
      <alignment horizontal="center"/>
    </xf>
    <xf numFmtId="4" fontId="48" fillId="2" borderId="29" xfId="0" applyNumberFormat="1" applyFont="1" applyFill="1" applyBorder="1" applyAlignment="1">
      <alignment horizontal="center" vertical="center"/>
    </xf>
    <xf numFmtId="4" fontId="48" fillId="2" borderId="30" xfId="0" applyNumberFormat="1" applyFont="1" applyFill="1" applyBorder="1" applyAlignment="1">
      <alignment horizontal="center" vertical="center"/>
    </xf>
    <xf numFmtId="4" fontId="48" fillId="2" borderId="18" xfId="0" applyNumberFormat="1" applyFont="1" applyFill="1" applyBorder="1" applyAlignment="1">
      <alignment horizontal="center" vertical="center"/>
    </xf>
    <xf numFmtId="10" fontId="2" fillId="2" borderId="29" xfId="0" applyNumberFormat="1" applyFont="1" applyFill="1" applyBorder="1" applyAlignment="1">
      <alignment horizontal="center" vertical="center"/>
    </xf>
    <xf numFmtId="10" fontId="2" fillId="2" borderId="18" xfId="0" applyNumberFormat="1" applyFont="1" applyFill="1" applyBorder="1" applyAlignment="1">
      <alignment horizontal="center" vertical="center"/>
    </xf>
    <xf numFmtId="10" fontId="48" fillId="2" borderId="29" xfId="0" applyNumberFormat="1" applyFont="1" applyFill="1" applyBorder="1" applyAlignment="1">
      <alignment horizontal="center" vertical="center"/>
    </xf>
    <xf numFmtId="10" fontId="48" fillId="2" borderId="31" xfId="0" applyNumberFormat="1" applyFont="1" applyFill="1" applyBorder="1" applyAlignment="1">
      <alignment horizontal="center" vertical="center"/>
    </xf>
    <xf numFmtId="0" fontId="36" fillId="2" borderId="52" xfId="0" applyFont="1" applyFill="1" applyBorder="1" applyAlignment="1">
      <alignment horizontal="center" vertical="center"/>
    </xf>
    <xf numFmtId="0" fontId="36" fillId="2" borderId="53" xfId="0" applyFont="1" applyFill="1" applyBorder="1" applyAlignment="1">
      <alignment horizontal="center" vertical="center"/>
    </xf>
    <xf numFmtId="0" fontId="36" fillId="2" borderId="19" xfId="0" applyFont="1" applyFill="1" applyBorder="1" applyAlignment="1">
      <alignment horizontal="center" vertical="center"/>
    </xf>
    <xf numFmtId="4" fontId="48" fillId="0" borderId="47" xfId="0" applyNumberFormat="1" applyFont="1" applyBorder="1" applyAlignment="1">
      <alignment horizontal="center" vertical="center"/>
    </xf>
    <xf numFmtId="4" fontId="48" fillId="0" borderId="53" xfId="0" applyNumberFormat="1" applyFont="1" applyBorder="1" applyAlignment="1">
      <alignment horizontal="center" vertical="center"/>
    </xf>
    <xf numFmtId="4" fontId="48" fillId="0" borderId="19" xfId="0" applyNumberFormat="1" applyFont="1" applyBorder="1" applyAlignment="1">
      <alignment horizontal="center" vertical="center"/>
    </xf>
    <xf numFmtId="0" fontId="36" fillId="19" borderId="47" xfId="0" applyFont="1" applyFill="1" applyBorder="1" applyAlignment="1">
      <alignment horizontal="center" vertical="center"/>
    </xf>
    <xf numFmtId="0" fontId="36" fillId="19" borderId="53" xfId="0" applyFont="1" applyFill="1" applyBorder="1" applyAlignment="1">
      <alignment horizontal="center" vertical="center"/>
    </xf>
    <xf numFmtId="0" fontId="36" fillId="19" borderId="19" xfId="0" applyFont="1" applyFill="1" applyBorder="1" applyAlignment="1">
      <alignment horizontal="center" vertical="center"/>
    </xf>
    <xf numFmtId="0" fontId="36" fillId="19" borderId="128" xfId="0" applyFont="1" applyFill="1" applyBorder="1" applyAlignment="1">
      <alignment horizontal="center" vertical="center"/>
    </xf>
    <xf numFmtId="0" fontId="36" fillId="2" borderId="28" xfId="0" applyFont="1" applyFill="1" applyBorder="1" applyAlignment="1">
      <alignment horizontal="center" vertical="center"/>
    </xf>
    <xf numFmtId="0" fontId="36" fillId="2" borderId="30" xfId="0" applyFont="1" applyFill="1" applyBorder="1" applyAlignment="1">
      <alignment horizontal="center" vertical="center"/>
    </xf>
    <xf numFmtId="0" fontId="36" fillId="2" borderId="18" xfId="0" applyFont="1" applyFill="1" applyBorder="1" applyAlignment="1">
      <alignment horizontal="center" vertical="center"/>
    </xf>
    <xf numFmtId="4" fontId="48" fillId="0" borderId="29" xfId="0" applyNumberFormat="1" applyFont="1" applyBorder="1" applyAlignment="1">
      <alignment horizontal="center" vertical="center"/>
    </xf>
    <xf numFmtId="4" fontId="48" fillId="0" borderId="30" xfId="0" applyNumberFormat="1" applyFont="1" applyBorder="1" applyAlignment="1">
      <alignment horizontal="center" vertical="center"/>
    </xf>
    <xf numFmtId="4" fontId="48" fillId="0" borderId="18" xfId="0" applyNumberFormat="1" applyFont="1" applyBorder="1" applyAlignment="1">
      <alignment horizontal="center" vertical="center"/>
    </xf>
    <xf numFmtId="10" fontId="48" fillId="2" borderId="18" xfId="0" applyNumberFormat="1" applyFont="1" applyFill="1" applyBorder="1" applyAlignment="1">
      <alignment horizontal="center" vertical="center"/>
    </xf>
    <xf numFmtId="0" fontId="36" fillId="19" borderId="43" xfId="0" applyFont="1" applyFill="1" applyBorder="1" applyAlignment="1">
      <alignment horizontal="center" vertical="justify"/>
    </xf>
    <xf numFmtId="0" fontId="36" fillId="19" borderId="6" xfId="0" applyFont="1" applyFill="1" applyBorder="1" applyAlignment="1">
      <alignment horizontal="center" vertical="justify"/>
    </xf>
    <xf numFmtId="0" fontId="36" fillId="19" borderId="36" xfId="0" applyFont="1" applyFill="1" applyBorder="1" applyAlignment="1">
      <alignment horizontal="center" vertical="justify"/>
    </xf>
    <xf numFmtId="0" fontId="36" fillId="19" borderId="44" xfId="0" applyFont="1" applyFill="1" applyBorder="1" applyAlignment="1">
      <alignment horizontal="center" vertical="justify"/>
    </xf>
    <xf numFmtId="0" fontId="36" fillId="19" borderId="46" xfId="0" applyFont="1" applyFill="1" applyBorder="1" applyAlignment="1">
      <alignment horizontal="center" vertical="justify"/>
    </xf>
    <xf numFmtId="0" fontId="36" fillId="19" borderId="42" xfId="0" applyFont="1" applyFill="1" applyBorder="1" applyAlignment="1">
      <alignment horizontal="center" vertical="justify"/>
    </xf>
    <xf numFmtId="0" fontId="36" fillId="19" borderId="129" xfId="0" applyFont="1" applyFill="1" applyBorder="1" applyAlignment="1">
      <alignment horizontal="center" vertical="center" wrapText="1"/>
    </xf>
    <xf numFmtId="0" fontId="36" fillId="19" borderId="6" xfId="0" applyFont="1" applyFill="1" applyBorder="1" applyAlignment="1">
      <alignment horizontal="center" vertical="center" wrapText="1"/>
    </xf>
    <xf numFmtId="0" fontId="36" fillId="19" borderId="36" xfId="0" applyFont="1" applyFill="1" applyBorder="1" applyAlignment="1">
      <alignment horizontal="center" vertical="center" wrapText="1"/>
    </xf>
    <xf numFmtId="0" fontId="36" fillId="19" borderId="63" xfId="0" applyFont="1" applyFill="1" applyBorder="1" applyAlignment="1">
      <alignment horizontal="center" vertical="center" wrapText="1"/>
    </xf>
    <xf numFmtId="0" fontId="36" fillId="19" borderId="46" xfId="0" applyFont="1" applyFill="1" applyBorder="1" applyAlignment="1">
      <alignment horizontal="center" vertical="center" wrapText="1"/>
    </xf>
    <xf numFmtId="0" fontId="36" fillId="19" borderId="42" xfId="0" applyFont="1" applyFill="1" applyBorder="1" applyAlignment="1">
      <alignment horizontal="center" vertical="center" wrapText="1"/>
    </xf>
    <xf numFmtId="0" fontId="36" fillId="19" borderId="29" xfId="0" applyFont="1" applyFill="1" applyBorder="1" applyAlignment="1">
      <alignment horizontal="center" vertical="center"/>
    </xf>
    <xf numFmtId="0" fontId="36" fillId="19" borderId="30" xfId="0" applyFont="1" applyFill="1" applyBorder="1" applyAlignment="1">
      <alignment horizontal="center" vertical="center"/>
    </xf>
    <xf numFmtId="0" fontId="36" fillId="19" borderId="18" xfId="0" applyFont="1" applyFill="1" applyBorder="1" applyAlignment="1">
      <alignment horizontal="center" vertical="center"/>
    </xf>
    <xf numFmtId="0" fontId="36" fillId="19" borderId="31" xfId="0" applyFont="1" applyFill="1" applyBorder="1" applyAlignment="1">
      <alignment horizontal="center" vertical="center"/>
    </xf>
    <xf numFmtId="0" fontId="48" fillId="0" borderId="50" xfId="77" applyFont="1" applyBorder="1" applyAlignment="1">
      <alignment horizontal="left" vertical="center" wrapText="1"/>
    </xf>
    <xf numFmtId="0" fontId="48" fillId="0" borderId="51" xfId="77" applyFont="1" applyBorder="1" applyAlignment="1">
      <alignment horizontal="left" vertical="center" wrapText="1"/>
    </xf>
    <xf numFmtId="0" fontId="48" fillId="0" borderId="56" xfId="77" applyFont="1" applyBorder="1" applyAlignment="1">
      <alignment horizontal="left" vertical="center" wrapText="1"/>
    </xf>
    <xf numFmtId="0" fontId="48" fillId="0" borderId="22" xfId="77" applyFont="1" applyBorder="1" applyAlignment="1">
      <alignment horizontal="left" vertical="center" wrapText="1"/>
    </xf>
    <xf numFmtId="0" fontId="48" fillId="0" borderId="0" xfId="77" applyFont="1" applyAlignment="1">
      <alignment horizontal="left" vertical="center" wrapText="1"/>
    </xf>
    <xf numFmtId="0" fontId="48" fillId="0" borderId="23" xfId="77" applyFont="1" applyBorder="1" applyAlignment="1">
      <alignment horizontal="left" vertical="center" wrapText="1"/>
    </xf>
    <xf numFmtId="0" fontId="48" fillId="0" borderId="40" xfId="77" applyFont="1" applyBorder="1" applyAlignment="1">
      <alignment horizontal="left" vertical="center" wrapText="1"/>
    </xf>
    <xf numFmtId="0" fontId="48" fillId="0" borderId="41" xfId="77" applyFont="1" applyBorder="1" applyAlignment="1">
      <alignment horizontal="left" vertical="center" wrapText="1"/>
    </xf>
    <xf numFmtId="0" fontId="48" fillId="0" borderId="20" xfId="77" applyFont="1" applyBorder="1" applyAlignment="1">
      <alignment horizontal="left" vertical="center" wrapText="1"/>
    </xf>
    <xf numFmtId="0" fontId="10" fillId="23" borderId="25" xfId="0" applyFont="1" applyFill="1" applyBorder="1" applyAlignment="1">
      <alignment horizontal="center" vertical="justify" wrapText="1"/>
    </xf>
    <xf numFmtId="0" fontId="10" fillId="23" borderId="26" xfId="0" applyFont="1" applyFill="1" applyBorder="1" applyAlignment="1">
      <alignment horizontal="center" vertical="justify" wrapText="1"/>
    </xf>
    <xf numFmtId="0" fontId="10" fillId="23" borderId="21" xfId="0" applyFont="1" applyFill="1" applyBorder="1" applyAlignment="1">
      <alignment horizontal="center" vertical="justify" wrapText="1"/>
    </xf>
    <xf numFmtId="14" fontId="10" fillId="0" borderId="25" xfId="0" applyNumberFormat="1" applyFont="1" applyBorder="1" applyAlignment="1">
      <alignment horizontal="center" vertical="center"/>
    </xf>
    <xf numFmtId="14" fontId="10" fillId="0" borderId="26" xfId="0" applyNumberFormat="1" applyFont="1" applyBorder="1" applyAlignment="1">
      <alignment horizontal="center" vertical="center"/>
    </xf>
    <xf numFmtId="14" fontId="10" fillId="0" borderId="21" xfId="0" applyNumberFormat="1" applyFont="1" applyBorder="1" applyAlignment="1">
      <alignment horizontal="center" vertical="center"/>
    </xf>
    <xf numFmtId="0" fontId="48" fillId="2" borderId="22" xfId="77" applyFont="1" applyFill="1" applyBorder="1" applyAlignment="1">
      <alignment horizontal="center" vertical="center"/>
    </xf>
    <xf numFmtId="0" fontId="48" fillId="2" borderId="0" xfId="77" applyFont="1" applyFill="1" applyAlignment="1">
      <alignment horizontal="center" vertical="center"/>
    </xf>
    <xf numFmtId="169" fontId="13" fillId="2" borderId="25" xfId="0" applyNumberFormat="1" applyFont="1" applyFill="1" applyBorder="1" applyAlignment="1">
      <alignment horizontal="center" vertical="center"/>
    </xf>
    <xf numFmtId="169" fontId="13" fillId="2" borderId="26" xfId="0" applyNumberFormat="1" applyFont="1" applyFill="1" applyBorder="1" applyAlignment="1">
      <alignment horizontal="center" vertical="center"/>
    </xf>
    <xf numFmtId="169" fontId="13" fillId="2" borderId="21" xfId="0" applyNumberFormat="1" applyFont="1" applyFill="1" applyBorder="1" applyAlignment="1">
      <alignment horizontal="center" vertical="center"/>
    </xf>
    <xf numFmtId="169" fontId="48" fillId="0" borderId="0" xfId="77" applyNumberFormat="1" applyFont="1" applyAlignment="1">
      <alignment horizontal="center" vertical="center"/>
    </xf>
    <xf numFmtId="169" fontId="48" fillId="0" borderId="22" xfId="77" applyNumberFormat="1" applyFont="1" applyBorder="1" applyAlignment="1">
      <alignment horizontal="center" vertical="center"/>
    </xf>
    <xf numFmtId="0" fontId="36" fillId="3" borderId="0" xfId="77" applyFont="1" applyFill="1" applyAlignment="1">
      <alignment horizontal="center" vertical="center"/>
    </xf>
    <xf numFmtId="0" fontId="51" fillId="3" borderId="0" xfId="77" applyFont="1" applyFill="1" applyAlignment="1">
      <alignment horizontal="center" vertical="center"/>
    </xf>
    <xf numFmtId="0" fontId="36" fillId="0" borderId="0" xfId="77" applyFont="1" applyAlignment="1">
      <alignment horizontal="center" vertical="center"/>
    </xf>
    <xf numFmtId="0" fontId="48" fillId="19" borderId="25" xfId="77" applyFont="1" applyFill="1" applyBorder="1" applyAlignment="1">
      <alignment horizontal="left" vertical="center"/>
    </xf>
    <xf numFmtId="0" fontId="48" fillId="19" borderId="26" xfId="77" applyFont="1" applyFill="1" applyBorder="1" applyAlignment="1">
      <alignment horizontal="left" vertical="center"/>
    </xf>
    <xf numFmtId="0" fontId="48" fillId="19" borderId="21" xfId="77" applyFont="1" applyFill="1" applyBorder="1" applyAlignment="1">
      <alignment horizontal="left" vertical="center"/>
    </xf>
    <xf numFmtId="0" fontId="48" fillId="0" borderId="25" xfId="77" applyFont="1" applyBorder="1" applyAlignment="1">
      <alignment horizontal="left" vertical="center" wrapText="1"/>
    </xf>
    <xf numFmtId="0" fontId="48" fillId="0" borderId="26" xfId="77" applyFont="1" applyBorder="1" applyAlignment="1">
      <alignment horizontal="left" vertical="center" wrapText="1"/>
    </xf>
    <xf numFmtId="0" fontId="48" fillId="0" borderId="21" xfId="77" applyFont="1" applyBorder="1" applyAlignment="1">
      <alignment horizontal="left" vertical="center" wrapText="1"/>
    </xf>
    <xf numFmtId="0" fontId="48" fillId="0" borderId="8" xfId="77" applyFont="1" applyBorder="1" applyAlignment="1">
      <alignment horizontal="left" vertical="center"/>
    </xf>
    <xf numFmtId="0" fontId="48" fillId="0" borderId="25" xfId="77" applyFont="1" applyBorder="1" applyAlignment="1">
      <alignment vertical="center"/>
    </xf>
    <xf numFmtId="0" fontId="48" fillId="0" borderId="26" xfId="77" applyFont="1" applyBorder="1" applyAlignment="1">
      <alignment vertical="center"/>
    </xf>
    <xf numFmtId="0" fontId="48" fillId="0" borderId="21" xfId="77" applyFont="1" applyBorder="1" applyAlignment="1">
      <alignment vertical="center"/>
    </xf>
    <xf numFmtId="0" fontId="48" fillId="0" borderId="25" xfId="77" applyFont="1" applyBorder="1" applyAlignment="1">
      <alignment horizontal="left" vertical="center"/>
    </xf>
    <xf numFmtId="0" fontId="48" fillId="0" borderId="26" xfId="77" applyFont="1" applyBorder="1" applyAlignment="1">
      <alignment horizontal="left" vertical="center"/>
    </xf>
    <xf numFmtId="0" fontId="48" fillId="0" borderId="21" xfId="77" applyFont="1" applyBorder="1" applyAlignment="1">
      <alignment horizontal="left" vertical="center"/>
    </xf>
    <xf numFmtId="4" fontId="48" fillId="0" borderId="0" xfId="77" applyNumberFormat="1" applyFont="1" applyAlignment="1">
      <alignment horizontal="center" vertical="center" wrapText="1"/>
    </xf>
    <xf numFmtId="169" fontId="24" fillId="0" borderId="0" xfId="0" applyNumberFormat="1" applyFont="1" applyAlignment="1">
      <alignment horizontal="center" vertical="center"/>
    </xf>
    <xf numFmtId="14" fontId="48" fillId="0" borderId="25" xfId="77" applyNumberFormat="1" applyFont="1" applyBorder="1" applyAlignment="1">
      <alignment horizontal="left" vertical="center"/>
    </xf>
    <xf numFmtId="0" fontId="48" fillId="0" borderId="25" xfId="77" applyFont="1" applyBorder="1" applyAlignment="1">
      <alignment horizontal="center" vertical="center"/>
    </xf>
    <xf numFmtId="0" fontId="48" fillId="0" borderId="26" xfId="77" applyFont="1" applyBorder="1" applyAlignment="1">
      <alignment horizontal="center" vertical="center"/>
    </xf>
    <xf numFmtId="0" fontId="48" fillId="0" borderId="21" xfId="77" applyFont="1" applyBorder="1" applyAlignment="1">
      <alignment horizontal="center" vertical="center"/>
    </xf>
    <xf numFmtId="0" fontId="256" fillId="0" borderId="0" xfId="0" applyFont="1" applyAlignment="1">
      <alignment horizontal="left" vertical="center"/>
    </xf>
    <xf numFmtId="0" fontId="254" fillId="38" borderId="62" xfId="0" applyFont="1" applyFill="1" applyBorder="1" applyAlignment="1">
      <alignment horizontal="center" vertical="center"/>
    </xf>
    <xf numFmtId="0" fontId="254" fillId="38" borderId="66" xfId="0" applyFont="1" applyFill="1" applyBorder="1" applyAlignment="1">
      <alignment horizontal="center" vertical="center"/>
    </xf>
    <xf numFmtId="0" fontId="254" fillId="18" borderId="32" xfId="0" applyFont="1" applyFill="1" applyBorder="1" applyAlignment="1">
      <alignment horizontal="center" vertical="center" wrapText="1"/>
    </xf>
    <xf numFmtId="0" fontId="254" fillId="18" borderId="1" xfId="0" applyFont="1" applyFill="1" applyBorder="1" applyAlignment="1">
      <alignment horizontal="center" vertical="center" wrapText="1"/>
    </xf>
    <xf numFmtId="0" fontId="254" fillId="18" borderId="55" xfId="0" applyFont="1" applyFill="1" applyBorder="1" applyAlignment="1">
      <alignment horizontal="center" vertical="center" wrapText="1"/>
    </xf>
    <xf numFmtId="0" fontId="254" fillId="18" borderId="143" xfId="0" applyFont="1" applyFill="1" applyBorder="1" applyAlignment="1">
      <alignment horizontal="center" vertical="center" wrapText="1"/>
    </xf>
    <xf numFmtId="0" fontId="254" fillId="18" borderId="32" xfId="0" applyFont="1" applyFill="1" applyBorder="1" applyAlignment="1">
      <alignment horizontal="center" vertical="justify" wrapText="1"/>
    </xf>
    <xf numFmtId="0" fontId="254" fillId="18" borderId="1" xfId="0" applyFont="1" applyFill="1" applyBorder="1" applyAlignment="1">
      <alignment horizontal="center" vertical="justify" wrapText="1"/>
    </xf>
    <xf numFmtId="0" fontId="254" fillId="18" borderId="49" xfId="0" applyFont="1" applyFill="1" applyBorder="1" applyAlignment="1">
      <alignment horizontal="center" vertical="justify" wrapText="1"/>
    </xf>
    <xf numFmtId="14" fontId="254" fillId="2" borderId="32" xfId="0" applyNumberFormat="1" applyFont="1" applyFill="1" applyBorder="1" applyAlignment="1">
      <alignment horizontal="center" vertical="center"/>
    </xf>
    <xf numFmtId="14" fontId="254" fillId="2" borderId="1" xfId="0" applyNumberFormat="1" applyFont="1" applyFill="1" applyBorder="1" applyAlignment="1">
      <alignment horizontal="center" vertical="center"/>
    </xf>
    <xf numFmtId="14" fontId="254" fillId="2" borderId="55" xfId="0" applyNumberFormat="1" applyFont="1" applyFill="1" applyBorder="1" applyAlignment="1">
      <alignment horizontal="center" vertical="center"/>
    </xf>
    <xf numFmtId="0" fontId="254" fillId="2" borderId="143" xfId="0" applyFont="1" applyFill="1" applyBorder="1" applyAlignment="1">
      <alignment horizontal="center" vertical="center"/>
    </xf>
    <xf numFmtId="0" fontId="254" fillId="2" borderId="1" xfId="0" applyFont="1" applyFill="1" applyBorder="1" applyAlignment="1">
      <alignment horizontal="center" vertical="center"/>
    </xf>
    <xf numFmtId="0" fontId="254" fillId="2" borderId="55" xfId="0" applyFont="1" applyFill="1" applyBorder="1" applyAlignment="1">
      <alignment horizontal="center" vertical="center"/>
    </xf>
    <xf numFmtId="14" fontId="253" fillId="2" borderId="143" xfId="0" applyNumberFormat="1" applyFont="1" applyFill="1" applyBorder="1" applyAlignment="1">
      <alignment horizontal="center" vertical="center"/>
    </xf>
    <xf numFmtId="14" fontId="253" fillId="2" borderId="1" xfId="0" applyNumberFormat="1" applyFont="1" applyFill="1" applyBorder="1" applyAlignment="1">
      <alignment horizontal="center" vertical="center"/>
    </xf>
    <xf numFmtId="0" fontId="253" fillId="0" borderId="61" xfId="0" applyFont="1" applyBorder="1" applyAlignment="1">
      <alignment horizontal="center" vertical="center"/>
    </xf>
    <xf numFmtId="0" fontId="253" fillId="0" borderId="62" xfId="0" applyFont="1" applyBorder="1" applyAlignment="1">
      <alignment horizontal="center" vertical="center"/>
    </xf>
    <xf numFmtId="188" fontId="200" fillId="2" borderId="0" xfId="0" applyNumberFormat="1" applyFont="1" applyFill="1" applyAlignment="1">
      <alignment horizontal="center"/>
    </xf>
    <xf numFmtId="0" fontId="199" fillId="0" borderId="48" xfId="92" applyFont="1" applyBorder="1" applyAlignment="1" applyProtection="1">
      <alignment horizontal="left" vertical="center"/>
      <protection locked="0"/>
    </xf>
    <xf numFmtId="0" fontId="199" fillId="0" borderId="44" xfId="92" applyFont="1" applyBorder="1" applyAlignment="1" applyProtection="1">
      <alignment horizontal="left" vertical="center"/>
      <protection locked="0"/>
    </xf>
    <xf numFmtId="0" fontId="201" fillId="0" borderId="48" xfId="92" applyFont="1" applyBorder="1" applyAlignment="1" applyProtection="1">
      <alignment horizontal="center" vertical="center"/>
      <protection locked="0"/>
    </xf>
    <xf numFmtId="0" fontId="201" fillId="0" borderId="0" xfId="92" applyFont="1" applyAlignment="1" applyProtection="1">
      <alignment horizontal="center" vertical="center"/>
      <protection locked="0"/>
    </xf>
    <xf numFmtId="0" fontId="201" fillId="0" borderId="45" xfId="92" applyFont="1" applyBorder="1" applyAlignment="1" applyProtection="1">
      <alignment horizontal="center" vertical="center"/>
      <protection locked="0"/>
    </xf>
    <xf numFmtId="0" fontId="201" fillId="0" borderId="44" xfId="92" applyFont="1" applyBorder="1" applyAlignment="1" applyProtection="1">
      <alignment horizontal="center" vertical="center"/>
      <protection locked="0"/>
    </xf>
    <xf numFmtId="0" fontId="201" fillId="0" borderId="46" xfId="92" applyFont="1" applyBorder="1" applyAlignment="1" applyProtection="1">
      <alignment horizontal="center" vertical="center"/>
      <protection locked="0"/>
    </xf>
    <xf numFmtId="0" fontId="201" fillId="0" borderId="7" xfId="92" applyFont="1" applyBorder="1" applyAlignment="1" applyProtection="1">
      <alignment horizontal="center" vertical="center"/>
      <protection locked="0"/>
    </xf>
    <xf numFmtId="0" fontId="199" fillId="0" borderId="43" xfId="92" applyFont="1" applyBorder="1" applyAlignment="1" applyProtection="1">
      <alignment horizontal="left" vertical="center"/>
      <protection locked="0"/>
    </xf>
    <xf numFmtId="0" fontId="201" fillId="0" borderId="43" xfId="92" applyFont="1" applyBorder="1" applyAlignment="1" applyProtection="1">
      <alignment horizontal="center" vertical="center"/>
      <protection locked="0"/>
    </xf>
    <xf numFmtId="0" fontId="201" fillId="0" borderId="6" xfId="92" applyFont="1" applyBorder="1" applyAlignment="1" applyProtection="1">
      <alignment horizontal="center" vertical="center"/>
      <protection locked="0"/>
    </xf>
    <xf numFmtId="0" fontId="201" fillId="0" borderId="39" xfId="92" applyFont="1" applyBorder="1" applyAlignment="1" applyProtection="1">
      <alignment horizontal="center" vertical="center"/>
      <protection locked="0"/>
    </xf>
    <xf numFmtId="0" fontId="203" fillId="28" borderId="24" xfId="0" applyFont="1" applyFill="1" applyBorder="1" applyAlignment="1">
      <alignment horizontal="left" vertical="center" wrapText="1" readingOrder="1"/>
    </xf>
    <xf numFmtId="0" fontId="203" fillId="28" borderId="17" xfId="0" applyFont="1" applyFill="1" applyBorder="1" applyAlignment="1">
      <alignment horizontal="left" vertical="center" wrapText="1" readingOrder="1"/>
    </xf>
    <xf numFmtId="0" fontId="203" fillId="28" borderId="24" xfId="0" applyFont="1" applyFill="1" applyBorder="1" applyAlignment="1" applyProtection="1">
      <alignment horizontal="left" vertical="center" wrapText="1" readingOrder="1"/>
      <protection locked="0"/>
    </xf>
    <xf numFmtId="0" fontId="203" fillId="28" borderId="17" xfId="0" applyFont="1" applyFill="1" applyBorder="1" applyAlignment="1" applyProtection="1">
      <alignment horizontal="left" vertical="center" wrapText="1" readingOrder="1"/>
      <protection locked="0"/>
    </xf>
    <xf numFmtId="0" fontId="203" fillId="28" borderId="24" xfId="0" applyFont="1" applyFill="1" applyBorder="1" applyAlignment="1">
      <alignment horizontal="center" vertical="center" wrapText="1" readingOrder="1"/>
    </xf>
    <xf numFmtId="0" fontId="203" fillId="28" borderId="17" xfId="0" applyFont="1" applyFill="1" applyBorder="1" applyAlignment="1">
      <alignment horizontal="center" vertical="center" wrapText="1" readingOrder="1"/>
    </xf>
    <xf numFmtId="188" fontId="201" fillId="0" borderId="24" xfId="92" applyNumberFormat="1" applyFont="1" applyBorder="1" applyAlignment="1">
      <alignment horizontal="center" vertical="center"/>
    </xf>
    <xf numFmtId="188" fontId="201" fillId="0" borderId="17" xfId="92" applyNumberFormat="1" applyFont="1" applyBorder="1" applyAlignment="1">
      <alignment horizontal="center" vertical="center"/>
    </xf>
    <xf numFmtId="0" fontId="203" fillId="28" borderId="27" xfId="0" applyFont="1" applyFill="1" applyBorder="1" applyAlignment="1">
      <alignment horizontal="left" vertical="center" wrapText="1" readingOrder="1"/>
    </xf>
    <xf numFmtId="0" fontId="203" fillId="28" borderId="27" xfId="0" applyFont="1" applyFill="1" applyBorder="1" applyAlignment="1" applyProtection="1">
      <alignment horizontal="left" vertical="center" wrapText="1" readingOrder="1"/>
      <protection locked="0"/>
    </xf>
    <xf numFmtId="0" fontId="203" fillId="28" borderId="27" xfId="0" applyFont="1" applyFill="1" applyBorder="1" applyAlignment="1">
      <alignment horizontal="center" vertical="center" wrapText="1" readingOrder="1"/>
    </xf>
    <xf numFmtId="188" fontId="201" fillId="0" borderId="27" xfId="92" applyNumberFormat="1" applyFont="1" applyBorder="1" applyAlignment="1">
      <alignment horizontal="center" vertical="center"/>
    </xf>
    <xf numFmtId="0" fontId="243" fillId="28" borderId="24" xfId="0" applyFont="1" applyFill="1" applyBorder="1" applyAlignment="1">
      <alignment horizontal="left" vertical="center" wrapText="1" readingOrder="1"/>
    </xf>
    <xf numFmtId="0" fontId="243" fillId="28" borderId="17" xfId="0" applyFont="1" applyFill="1" applyBorder="1" applyAlignment="1">
      <alignment horizontal="left" vertical="center" wrapText="1" readingOrder="1"/>
    </xf>
    <xf numFmtId="0" fontId="243" fillId="28" borderId="24" xfId="0" applyFont="1" applyFill="1" applyBorder="1" applyAlignment="1" applyProtection="1">
      <alignment horizontal="left" vertical="center" wrapText="1" readingOrder="1"/>
      <protection locked="0"/>
    </xf>
    <xf numFmtId="0" fontId="243" fillId="28" borderId="17" xfId="0" applyFont="1" applyFill="1" applyBorder="1" applyAlignment="1" applyProtection="1">
      <alignment horizontal="left" vertical="center" wrapText="1" readingOrder="1"/>
      <protection locked="0"/>
    </xf>
    <xf numFmtId="0" fontId="203" fillId="0" borderId="24" xfId="0" applyFont="1" applyBorder="1" applyAlignment="1">
      <alignment horizontal="center" vertical="center" wrapText="1" readingOrder="1"/>
    </xf>
    <xf numFmtId="0" fontId="203" fillId="0" borderId="17" xfId="0" applyFont="1" applyBorder="1" applyAlignment="1">
      <alignment horizontal="center" vertical="center" wrapText="1" readingOrder="1"/>
    </xf>
    <xf numFmtId="188" fontId="201" fillId="0" borderId="8" xfId="92" applyNumberFormat="1" applyFont="1" applyBorder="1" applyAlignment="1">
      <alignment horizontal="center" vertical="center"/>
    </xf>
    <xf numFmtId="0" fontId="203" fillId="28" borderId="8" xfId="0" applyFont="1" applyFill="1" applyBorder="1" applyAlignment="1">
      <alignment horizontal="left" vertical="center" wrapText="1" readingOrder="1"/>
    </xf>
    <xf numFmtId="0" fontId="203" fillId="28" borderId="8" xfId="0" applyFont="1" applyFill="1" applyBorder="1" applyAlignment="1" applyProtection="1">
      <alignment horizontal="left" vertical="center" wrapText="1" readingOrder="1"/>
      <protection locked="0"/>
    </xf>
    <xf numFmtId="0" fontId="203" fillId="28" borderId="8" xfId="0" applyFont="1" applyFill="1" applyBorder="1" applyAlignment="1">
      <alignment horizontal="center" vertical="center" wrapText="1" readingOrder="1"/>
    </xf>
    <xf numFmtId="0" fontId="203" fillId="5" borderId="8" xfId="0" applyFont="1" applyFill="1" applyBorder="1" applyAlignment="1">
      <alignment horizontal="left" vertical="center" wrapText="1" readingOrder="1"/>
    </xf>
    <xf numFmtId="0" fontId="203" fillId="5" borderId="8" xfId="0" applyFont="1" applyFill="1" applyBorder="1" applyAlignment="1" applyProtection="1">
      <alignment horizontal="left" vertical="center" wrapText="1" readingOrder="1"/>
      <protection locked="0"/>
    </xf>
    <xf numFmtId="0" fontId="203" fillId="5" borderId="8" xfId="0" applyFont="1" applyFill="1" applyBorder="1" applyAlignment="1">
      <alignment horizontal="center" vertical="center" wrapText="1" readingOrder="1"/>
    </xf>
    <xf numFmtId="188" fontId="201" fillId="5" borderId="8" xfId="92" applyNumberFormat="1" applyFont="1" applyFill="1" applyBorder="1" applyAlignment="1">
      <alignment horizontal="center" vertical="center"/>
    </xf>
    <xf numFmtId="0" fontId="203" fillId="2" borderId="8" xfId="0" applyFont="1" applyFill="1" applyBorder="1" applyAlignment="1">
      <alignment horizontal="left" vertical="center" wrapText="1" readingOrder="1"/>
    </xf>
    <xf numFmtId="0" fontId="203" fillId="2" borderId="8" xfId="0" applyFont="1" applyFill="1" applyBorder="1" applyAlignment="1" applyProtection="1">
      <alignment horizontal="left" vertical="center" wrapText="1" readingOrder="1"/>
      <protection locked="0"/>
    </xf>
    <xf numFmtId="0" fontId="203" fillId="2" borderId="8" xfId="0" applyFont="1" applyFill="1" applyBorder="1" applyAlignment="1">
      <alignment horizontal="center" vertical="center" wrapText="1" readingOrder="1"/>
    </xf>
    <xf numFmtId="188" fontId="201" fillId="2" borderId="8" xfId="92" applyNumberFormat="1" applyFont="1" applyFill="1" applyBorder="1" applyAlignment="1">
      <alignment horizontal="center" vertical="center"/>
    </xf>
    <xf numFmtId="17" fontId="199" fillId="25" borderId="8" xfId="92" applyNumberFormat="1" applyFont="1" applyFill="1" applyBorder="1" applyAlignment="1">
      <alignment horizontal="center" vertical="center"/>
    </xf>
    <xf numFmtId="0" fontId="199" fillId="0" borderId="0" xfId="92" applyFont="1" applyAlignment="1">
      <alignment horizontal="center" vertical="center"/>
    </xf>
    <xf numFmtId="0" fontId="199" fillId="0" borderId="0" xfId="92" applyFont="1" applyAlignment="1">
      <alignment horizontal="center" vertical="center" wrapText="1"/>
    </xf>
    <xf numFmtId="0" fontId="199" fillId="0" borderId="0" xfId="92" applyFont="1" applyAlignment="1">
      <alignment horizontal="left" vertical="center"/>
    </xf>
    <xf numFmtId="0" fontId="199" fillId="0" borderId="0" xfId="92" applyFont="1" applyAlignment="1">
      <alignment horizontal="left" vertical="center" wrapText="1"/>
    </xf>
    <xf numFmtId="0" fontId="199" fillId="0" borderId="8" xfId="92" applyFont="1" applyBorder="1" applyAlignment="1">
      <alignment horizontal="center" vertical="center"/>
    </xf>
    <xf numFmtId="190" fontId="199" fillId="0" borderId="25" xfId="92" applyNumberFormat="1" applyFont="1" applyBorder="1" applyAlignment="1">
      <alignment horizontal="center" vertical="center"/>
    </xf>
    <xf numFmtId="190" fontId="199" fillId="0" borderId="21" xfId="92" applyNumberFormat="1" applyFont="1" applyBorder="1" applyAlignment="1">
      <alignment horizontal="center" vertical="center"/>
    </xf>
    <xf numFmtId="0" fontId="202" fillId="25" borderId="8" xfId="0" applyFont="1" applyFill="1" applyBorder="1" applyAlignment="1">
      <alignment horizontal="center" vertical="center"/>
    </xf>
    <xf numFmtId="0" fontId="199" fillId="0" borderId="24" xfId="92" applyFont="1" applyBorder="1" applyAlignment="1">
      <alignment horizontal="center" vertical="center"/>
    </xf>
    <xf numFmtId="0" fontId="199" fillId="0" borderId="50" xfId="92" applyFont="1" applyBorder="1" applyAlignment="1">
      <alignment horizontal="center" vertical="center"/>
    </xf>
    <xf numFmtId="0" fontId="199" fillId="0" borderId="51" xfId="92" applyFont="1" applyBorder="1" applyAlignment="1">
      <alignment horizontal="center" vertical="center"/>
    </xf>
    <xf numFmtId="0" fontId="199" fillId="25" borderId="8" xfId="92" applyFont="1" applyFill="1" applyBorder="1" applyAlignment="1" applyProtection="1">
      <alignment horizontal="left" vertical="center"/>
      <protection locked="0"/>
    </xf>
    <xf numFmtId="0" fontId="199" fillId="25" borderId="8" xfId="92" applyFont="1" applyFill="1" applyBorder="1" applyAlignment="1" applyProtection="1">
      <alignment horizontal="center" vertical="center"/>
      <protection locked="0"/>
    </xf>
    <xf numFmtId="188" fontId="199" fillId="25" borderId="8" xfId="92" applyNumberFormat="1" applyFont="1" applyFill="1" applyBorder="1" applyAlignment="1" applyProtection="1">
      <alignment horizontal="center" vertical="center"/>
      <protection locked="0"/>
    </xf>
    <xf numFmtId="191" fontId="199" fillId="25" borderId="8" xfId="92" applyNumberFormat="1" applyFont="1" applyFill="1" applyBorder="1" applyAlignment="1" applyProtection="1">
      <alignment horizontal="center" vertical="center"/>
      <protection locked="0"/>
    </xf>
    <xf numFmtId="0" fontId="74" fillId="0" borderId="50" xfId="85" applyFont="1" applyBorder="1" applyAlignment="1">
      <alignment horizontal="center"/>
    </xf>
    <xf numFmtId="0" fontId="74" fillId="0" borderId="51" xfId="85" applyFont="1" applyBorder="1" applyAlignment="1">
      <alignment horizontal="center"/>
    </xf>
    <xf numFmtId="0" fontId="74" fillId="0" borderId="56" xfId="85" applyFont="1" applyBorder="1" applyAlignment="1">
      <alignment horizontal="center"/>
    </xf>
    <xf numFmtId="0" fontId="3" fillId="0" borderId="22" xfId="85" applyFont="1" applyBorder="1" applyAlignment="1">
      <alignment horizontal="center" vertical="center"/>
    </xf>
    <xf numFmtId="0" fontId="55" fillId="0" borderId="0" xfId="85" applyFont="1" applyAlignment="1">
      <alignment horizontal="center" vertical="center" wrapText="1"/>
    </xf>
    <xf numFmtId="0" fontId="55" fillId="0" borderId="23" xfId="85" applyFont="1" applyBorder="1" applyAlignment="1">
      <alignment horizontal="center" vertical="center" wrapText="1"/>
    </xf>
    <xf numFmtId="4" fontId="34" fillId="0" borderId="25" xfId="85" applyNumberFormat="1" applyFont="1" applyBorder="1" applyAlignment="1">
      <alignment horizontal="center"/>
    </xf>
    <xf numFmtId="4" fontId="34" fillId="0" borderId="26" xfId="85" applyNumberFormat="1" applyFont="1" applyBorder="1" applyAlignment="1">
      <alignment horizontal="center"/>
    </xf>
    <xf numFmtId="4" fontId="34" fillId="0" borderId="21" xfId="85" applyNumberFormat="1" applyFont="1" applyBorder="1" applyAlignment="1">
      <alignment horizontal="center"/>
    </xf>
    <xf numFmtId="0" fontId="39" fillId="0" borderId="0" xfId="86" applyFont="1" applyAlignment="1">
      <alignment horizontal="center"/>
    </xf>
    <xf numFmtId="4" fontId="27" fillId="0" borderId="0" xfId="86" applyNumberFormat="1" applyFont="1" applyAlignment="1">
      <alignment horizontal="left" vertical="top" wrapText="1"/>
    </xf>
    <xf numFmtId="4" fontId="27" fillId="0" borderId="0" xfId="86" applyNumberFormat="1" applyFont="1" applyAlignment="1">
      <alignment horizontal="left" vertical="top"/>
    </xf>
  </cellXfs>
  <cellStyles count="134">
    <cellStyle name="Comma" xfId="93" xr:uid="{00000000-0005-0000-0000-000000000000}"/>
    <cellStyle name="Comma 2" xfId="19" xr:uid="{00000000-0005-0000-0000-000001000000}"/>
    <cellStyle name="Comma 2 2" xfId="99" xr:uid="{D3C623E8-187B-45E1-8862-C19EBFC8D52A}"/>
    <cellStyle name="Comma 2 2 2" xfId="112" xr:uid="{3BFC3BC8-5964-4110-B877-C5F17C22B172}"/>
    <cellStyle name="Comma 2 2 2 2" xfId="128" xr:uid="{668958E8-1ACF-4ABD-9F9A-52E56C404732}"/>
    <cellStyle name="Comma 2 2 3" xfId="116" xr:uid="{D484E671-55AC-45A8-A530-36BBFA75AFFD}"/>
    <cellStyle name="Comma 2 2 3 2" xfId="132" xr:uid="{E5E8F5CA-0059-429D-B5B4-9BB9458DDE19}"/>
    <cellStyle name="Comma 2 2 4" xfId="120" xr:uid="{B68E0013-18D0-4EDD-8649-69CA81A4BA19}"/>
    <cellStyle name="Comma 3" xfId="118" xr:uid="{A4857FFA-3137-46E7-A6A8-E68E2C175EFF}"/>
    <cellStyle name="Currency" xfId="83" xr:uid="{00000000-0005-0000-0000-000002000000}"/>
    <cellStyle name="Currency 2" xfId="20" xr:uid="{00000000-0005-0000-0000-000003000000}"/>
    <cellStyle name="Date" xfId="21" xr:uid="{00000000-0005-0000-0000-000004000000}"/>
    <cellStyle name="Date 2" xfId="22" xr:uid="{00000000-0005-0000-0000-000005000000}"/>
    <cellStyle name="Dia" xfId="23" xr:uid="{00000000-0005-0000-0000-000006000000}"/>
    <cellStyle name="Dia 2" xfId="24" xr:uid="{00000000-0005-0000-0000-000007000000}"/>
    <cellStyle name="Encabez1" xfId="25" xr:uid="{00000000-0005-0000-0000-000008000000}"/>
    <cellStyle name="Encabez1 2" xfId="26" xr:uid="{00000000-0005-0000-0000-000009000000}"/>
    <cellStyle name="Encabez2" xfId="27" xr:uid="{00000000-0005-0000-0000-00000A000000}"/>
    <cellStyle name="Encabez2 2" xfId="28" xr:uid="{00000000-0005-0000-0000-00000B000000}"/>
    <cellStyle name="Euro" xfId="2" xr:uid="{00000000-0005-0000-0000-00000C000000}"/>
    <cellStyle name="Euro 2" xfId="8" xr:uid="{00000000-0005-0000-0000-00000D000000}"/>
    <cellStyle name="Euro 3" xfId="29" xr:uid="{00000000-0005-0000-0000-00000E000000}"/>
    <cellStyle name="Euro 4" xfId="30" xr:uid="{00000000-0005-0000-0000-00000F000000}"/>
    <cellStyle name="F2" xfId="31" xr:uid="{00000000-0005-0000-0000-000010000000}"/>
    <cellStyle name="F2 2" xfId="32" xr:uid="{00000000-0005-0000-0000-000011000000}"/>
    <cellStyle name="F3" xfId="33" xr:uid="{00000000-0005-0000-0000-000012000000}"/>
    <cellStyle name="F3 2" xfId="34" xr:uid="{00000000-0005-0000-0000-000013000000}"/>
    <cellStyle name="F4" xfId="35" xr:uid="{00000000-0005-0000-0000-000014000000}"/>
    <cellStyle name="F4 2" xfId="36" xr:uid="{00000000-0005-0000-0000-000015000000}"/>
    <cellStyle name="F5" xfId="37" xr:uid="{00000000-0005-0000-0000-000016000000}"/>
    <cellStyle name="F5 2" xfId="38" xr:uid="{00000000-0005-0000-0000-000017000000}"/>
    <cellStyle name="F6" xfId="39" xr:uid="{00000000-0005-0000-0000-000018000000}"/>
    <cellStyle name="F6 2" xfId="40" xr:uid="{00000000-0005-0000-0000-000019000000}"/>
    <cellStyle name="F7" xfId="41" xr:uid="{00000000-0005-0000-0000-00001A000000}"/>
    <cellStyle name="F7 2" xfId="42" xr:uid="{00000000-0005-0000-0000-00001B000000}"/>
    <cellStyle name="F8" xfId="43" xr:uid="{00000000-0005-0000-0000-00001C000000}"/>
    <cellStyle name="F8 2" xfId="44" xr:uid="{00000000-0005-0000-0000-00001D000000}"/>
    <cellStyle name="Fijo" xfId="45" xr:uid="{00000000-0005-0000-0000-00001E000000}"/>
    <cellStyle name="Fijo 2" xfId="46" xr:uid="{00000000-0005-0000-0000-00001F000000}"/>
    <cellStyle name="Financiero" xfId="47" xr:uid="{00000000-0005-0000-0000-000020000000}"/>
    <cellStyle name="Financiero 2" xfId="48" xr:uid="{00000000-0005-0000-0000-000021000000}"/>
    <cellStyle name="Fixed" xfId="49" xr:uid="{00000000-0005-0000-0000-000022000000}"/>
    <cellStyle name="Fixed 2" xfId="50" xr:uid="{00000000-0005-0000-0000-000023000000}"/>
    <cellStyle name="Heading1" xfId="51" xr:uid="{00000000-0005-0000-0000-000024000000}"/>
    <cellStyle name="Heading1 2" xfId="52" xr:uid="{00000000-0005-0000-0000-000025000000}"/>
    <cellStyle name="Heading2" xfId="53" xr:uid="{00000000-0005-0000-0000-000026000000}"/>
    <cellStyle name="Heading2 2" xfId="54" xr:uid="{00000000-0005-0000-0000-000027000000}"/>
    <cellStyle name="Millares 10" xfId="79" xr:uid="{00000000-0005-0000-0000-000029000000}"/>
    <cellStyle name="Millares 2" xfId="5" xr:uid="{00000000-0005-0000-0000-00002A000000}"/>
    <cellStyle name="Millares 2 2" xfId="11" xr:uid="{00000000-0005-0000-0000-00002B000000}"/>
    <cellStyle name="Millares 2 2 2" xfId="100" xr:uid="{28A6CB1C-9E12-41C4-936E-3FE1593B0FE2}"/>
    <cellStyle name="Millares 2 3" xfId="10" xr:uid="{00000000-0005-0000-0000-00002C000000}"/>
    <cellStyle name="Millares 2 3 2" xfId="94" xr:uid="{D232F2A7-1ED2-4766-8FF5-D021CE1667CD}"/>
    <cellStyle name="Millares 2 3 2 2" xfId="111" xr:uid="{98EE372E-98A4-44C2-A642-72199A3D465A}"/>
    <cellStyle name="Millares 2 3 2 2 2" xfId="127" xr:uid="{77CEAF46-5191-4673-AC1F-C0A1A6E9CC66}"/>
    <cellStyle name="Millares 2 3 2 3" xfId="115" xr:uid="{B66143A1-3A42-45E2-892C-9C3D96F8055B}"/>
    <cellStyle name="Millares 2 3 2 3 2" xfId="131" xr:uid="{E9CF7920-41E3-4851-B013-823A47D6FC4F}"/>
    <cellStyle name="Millares 2 3 2 4" xfId="119" xr:uid="{18D8B131-45A0-4187-B620-8294B2D06C12}"/>
    <cellStyle name="Millares 2 4" xfId="80" xr:uid="{00000000-0005-0000-0000-00002D000000}"/>
    <cellStyle name="Millares 2 4 2" xfId="106" xr:uid="{2A3995A5-40B3-41BE-9C76-4C3544AB5C27}"/>
    <cellStyle name="Millares 2 4 2 2" xfId="124" xr:uid="{7E8E9C9F-5122-4F81-B6F3-AABDBE30FF9D}"/>
    <cellStyle name="Millares 2 5" xfId="101" xr:uid="{8C0EBC55-7DA7-4539-BA97-DC57C8FEF171}"/>
    <cellStyle name="Millares 3" xfId="12" xr:uid="{00000000-0005-0000-0000-00002E000000}"/>
    <cellStyle name="Millares 3 2" xfId="81" xr:uid="{00000000-0005-0000-0000-00002F000000}"/>
    <cellStyle name="Millares 3 2 2" xfId="98" xr:uid="{08E0681A-7E12-4DCC-9749-9AA15927A24A}"/>
    <cellStyle name="Millares 3 3" xfId="104" xr:uid="{54E865E8-9C04-48F4-90BC-83FA8C0D81DB}"/>
    <cellStyle name="Millares 3 3 2" xfId="122" xr:uid="{43105637-D596-4AEC-80B6-47051B0F68EC}"/>
    <cellStyle name="Millares 4" xfId="9" xr:uid="{00000000-0005-0000-0000-000030000000}"/>
    <cellStyle name="Millares 4 2" xfId="103" xr:uid="{29191AB1-2443-4224-926E-9D8D6F10614A}"/>
    <cellStyle name="Millares 4 2 2" xfId="121" xr:uid="{179C9FEC-9921-43C3-9337-BD30D4D108BE}"/>
    <cellStyle name="Millares 5" xfId="75" xr:uid="{00000000-0005-0000-0000-000031000000}"/>
    <cellStyle name="Millares 5 2" xfId="105" xr:uid="{474CC4C9-A9FB-4A0A-AF4A-4864D315B098}"/>
    <cellStyle name="Millares 5 2 2" xfId="123" xr:uid="{D75B01CF-3E56-4306-98DB-A7495B151EF9}"/>
    <cellStyle name="Millares 6" xfId="82" xr:uid="{00000000-0005-0000-0000-000032000000}"/>
    <cellStyle name="Millares 6 2" xfId="95" xr:uid="{E070A96F-541D-43B6-8562-9CCE4FFCBF9A}"/>
    <cellStyle name="Millares 7" xfId="87" xr:uid="{00000000-0005-0000-0000-000033000000}"/>
    <cellStyle name="Millares 7 2" xfId="107" xr:uid="{840E958B-5820-4672-9385-E1C7DE1DA84D}"/>
    <cellStyle name="Millares 7 2 2" xfId="125" xr:uid="{ED445BFA-6C62-489D-8CF4-8F73AAE6331A}"/>
    <cellStyle name="Millares 8" xfId="110" xr:uid="{1D9F9FE4-2234-4D9F-A270-16BDC58377CD}"/>
    <cellStyle name="Millares 8 2" xfId="126" xr:uid="{8C95AB3B-2DC7-4729-BB9E-E5ADC13F1248}"/>
    <cellStyle name="Millares 9" xfId="114" xr:uid="{8A3E62A1-907D-4AED-A767-E71FFCB72193}"/>
    <cellStyle name="Millares 9 2" xfId="130" xr:uid="{1F9AAE5D-F4CE-4832-A3A8-4D532F902517}"/>
    <cellStyle name="Moneda 2" xfId="6" xr:uid="{00000000-0005-0000-0000-000034000000}"/>
    <cellStyle name="Moneda 3" xfId="113" xr:uid="{A067C593-5F54-4BFF-891D-DB85448022C2}"/>
    <cellStyle name="Moneda 3 2" xfId="129" xr:uid="{2C24339D-C8C5-4701-AC4D-A96CD2AEA938}"/>
    <cellStyle name="Moneda 4" xfId="117" xr:uid="{987825EF-A5B3-426D-9FB2-26A1D350AB1D}"/>
    <cellStyle name="Moneda 4 2" xfId="133" xr:uid="{50F927BE-8C54-4FDA-8CCA-8B19922F693A}"/>
    <cellStyle name="Monetario" xfId="55" xr:uid="{00000000-0005-0000-0000-000035000000}"/>
    <cellStyle name="Monetario 2" xfId="56" xr:uid="{00000000-0005-0000-0000-000036000000}"/>
    <cellStyle name="Normal" xfId="0" builtinId="0"/>
    <cellStyle name="Normal 12" xfId="77" xr:uid="{00000000-0005-0000-0000-000038000000}"/>
    <cellStyle name="Normal 16" xfId="84" xr:uid="{00000000-0005-0000-0000-000039000000}"/>
    <cellStyle name="Normal 163" xfId="92" xr:uid="{00000000-0005-0000-0000-00003A000000}"/>
    <cellStyle name="Normal 19" xfId="96" xr:uid="{34F8B55F-A2E4-40AE-83E2-680D1AAA4B3B}"/>
    <cellStyle name="Normal 2" xfId="1" xr:uid="{00000000-0005-0000-0000-00003B000000}"/>
    <cellStyle name="Normal 2 2" xfId="16" xr:uid="{00000000-0005-0000-0000-00003C000000}"/>
    <cellStyle name="Normal 2 2 2" xfId="17" xr:uid="{00000000-0005-0000-0000-00003D000000}"/>
    <cellStyle name="Normal 2 2 3" xfId="18" xr:uid="{00000000-0005-0000-0000-00003E000000}"/>
    <cellStyle name="Normal 2 2 3 2" xfId="57" xr:uid="{00000000-0005-0000-0000-00003F000000}"/>
    <cellStyle name="Normal 2 2 3 2 2" xfId="58" xr:uid="{00000000-0005-0000-0000-000040000000}"/>
    <cellStyle name="Normal 2 2 3 2 3" xfId="59" xr:uid="{00000000-0005-0000-0000-000041000000}"/>
    <cellStyle name="Normal 2 2 3 2 3 2" xfId="60" xr:uid="{00000000-0005-0000-0000-000042000000}"/>
    <cellStyle name="Normal 2 2 3 2 3 3" xfId="61" xr:uid="{00000000-0005-0000-0000-000043000000}"/>
    <cellStyle name="Normal 2 2 3 3" xfId="62" xr:uid="{00000000-0005-0000-0000-000044000000}"/>
    <cellStyle name="Normal 2 2 3 4" xfId="63" xr:uid="{00000000-0005-0000-0000-000045000000}"/>
    <cellStyle name="Normal 2 2 3 4 2" xfId="64" xr:uid="{00000000-0005-0000-0000-000046000000}"/>
    <cellStyle name="Normal 2 2 3 4 3" xfId="65" xr:uid="{00000000-0005-0000-0000-000047000000}"/>
    <cellStyle name="Normal 2 2 3 5" xfId="66" xr:uid="{00000000-0005-0000-0000-000048000000}"/>
    <cellStyle name="Normal 2 2 4" xfId="97" xr:uid="{2ABF7172-92D6-4702-94ED-1E9340D4210E}"/>
    <cellStyle name="Normal 2 3" xfId="67" xr:uid="{00000000-0005-0000-0000-000049000000}"/>
    <cellStyle name="Normal 2 4" xfId="74" xr:uid="{00000000-0005-0000-0000-00004A000000}"/>
    <cellStyle name="Normal 2 5" xfId="90" xr:uid="{00000000-0005-0000-0000-00004B000000}"/>
    <cellStyle name="Normal 3" xfId="3" xr:uid="{00000000-0005-0000-0000-00004C000000}"/>
    <cellStyle name="Normal 3 2" xfId="13" xr:uid="{00000000-0005-0000-0000-00004D000000}"/>
    <cellStyle name="Normal 4" xfId="7" xr:uid="{00000000-0005-0000-0000-00004E000000}"/>
    <cellStyle name="Normal 4 2" xfId="14" xr:uid="{00000000-0005-0000-0000-00004F000000}"/>
    <cellStyle name="Normal 5" xfId="68" xr:uid="{00000000-0005-0000-0000-000050000000}"/>
    <cellStyle name="Normal 6" xfId="69" xr:uid="{00000000-0005-0000-0000-000051000000}"/>
    <cellStyle name="Normal 7" xfId="85" xr:uid="{00000000-0005-0000-0000-000052000000}"/>
    <cellStyle name="Normal 8" xfId="89" xr:uid="{00000000-0005-0000-0000-000053000000}"/>
    <cellStyle name="Normal 8 2" xfId="108" xr:uid="{B68927C9-24B4-4C69-A328-7BE76C15EE90}"/>
    <cellStyle name="Normal 9" xfId="91" xr:uid="{00000000-0005-0000-0000-000054000000}"/>
    <cellStyle name="Normal 9 2" xfId="109" xr:uid="{FC53B1CE-2FC1-410D-8D11-0FFFF700F145}"/>
    <cellStyle name="Normal_Hoja de Tareo1" xfId="78" xr:uid="{00000000-0005-0000-0000-000055000000}"/>
    <cellStyle name="Normal_presupuesto  metrados 2" xfId="86" xr:uid="{00000000-0005-0000-0000-000056000000}"/>
    <cellStyle name="Percent" xfId="102" xr:uid="{00000000-0005-0000-0000-000057000000}"/>
    <cellStyle name="Percent 2" xfId="70" xr:uid="{00000000-0005-0000-0000-000058000000}"/>
    <cellStyle name="Porcentaje 2" xfId="4" xr:uid="{00000000-0005-0000-0000-000059000000}"/>
    <cellStyle name="Porcentaje 3" xfId="71" xr:uid="{00000000-0005-0000-0000-00005A000000}"/>
    <cellStyle name="Porcentaje 4" xfId="76" xr:uid="{00000000-0005-0000-0000-00005B000000}"/>
    <cellStyle name="Porcentaje 5" xfId="88" xr:uid="{00000000-0005-0000-0000-00005C000000}"/>
    <cellStyle name="Porcentual 2" xfId="15" xr:uid="{00000000-0005-0000-0000-00005D000000}"/>
    <cellStyle name="Total 2" xfId="72" xr:uid="{00000000-0005-0000-0000-00005E000000}"/>
    <cellStyle name="Total 3" xfId="73" xr:uid="{00000000-0005-0000-0000-00005F000000}"/>
  </cellStyles>
  <dxfs count="61">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Medium9"/>
  <colors>
    <mruColors>
      <color rgb="FF00CC99"/>
      <color rgb="FFFF00FF"/>
      <color rgb="FF777777"/>
      <color rgb="FFCC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1.xml"/><Relationship Id="rId21" Type="http://schemas.openxmlformats.org/officeDocument/2006/relationships/worksheet" Target="worksheets/sheet21.xml"/><Relationship Id="rId34" Type="http://schemas.openxmlformats.org/officeDocument/2006/relationships/externalLink" Target="externalLinks/externalLink6.xml"/><Relationship Id="rId42" Type="http://schemas.openxmlformats.org/officeDocument/2006/relationships/externalLink" Target="externalLinks/externalLink14.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37" Type="http://schemas.openxmlformats.org/officeDocument/2006/relationships/externalLink" Target="externalLinks/externalLink9.xml"/><Relationship Id="rId40" Type="http://schemas.openxmlformats.org/officeDocument/2006/relationships/externalLink" Target="externalLinks/externalLink12.xml"/><Relationship Id="rId45" Type="http://schemas.openxmlformats.org/officeDocument/2006/relationships/externalLink" Target="externalLinks/externalLink1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8.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4" Type="http://schemas.openxmlformats.org/officeDocument/2006/relationships/externalLink" Target="externalLinks/externalLink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externalLink" Target="externalLinks/externalLink7.xml"/><Relationship Id="rId43" Type="http://schemas.openxmlformats.org/officeDocument/2006/relationships/externalLink" Target="externalLinks/externalLink15.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5.xml"/><Relationship Id="rId38" Type="http://schemas.openxmlformats.org/officeDocument/2006/relationships/externalLink" Target="externalLinks/externalLink10.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13.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600" b="0" i="0" u="none" strike="noStrike" baseline="0">
                <a:solidFill>
                  <a:srgbClr val="000000"/>
                </a:solidFill>
                <a:latin typeface="Arial"/>
                <a:ea typeface="Arial"/>
                <a:cs typeface="Arial"/>
              </a:defRPr>
            </a:pPr>
            <a:r>
              <a:rPr lang="es-PE" sz="1050" b="1" i="0" u="none" strike="noStrike" baseline="0">
                <a:solidFill>
                  <a:srgbClr val="000080"/>
                </a:solidFill>
                <a:latin typeface="Arial"/>
                <a:cs typeface="Arial"/>
              </a:rPr>
              <a:t>CONTROL DE CURVA "S"</a:t>
            </a:r>
          </a:p>
          <a:p>
            <a:pPr>
              <a:defRPr sz="2600" b="0" i="0" u="none" strike="noStrike" baseline="0">
                <a:solidFill>
                  <a:srgbClr val="000000"/>
                </a:solidFill>
                <a:latin typeface="Arial"/>
                <a:ea typeface="Arial"/>
                <a:cs typeface="Arial"/>
              </a:defRPr>
            </a:pPr>
            <a:r>
              <a:rPr lang="es-PE" sz="1050" b="1" i="0" u="none" strike="noStrike" baseline="0">
                <a:solidFill>
                  <a:srgbClr val="000080"/>
                </a:solidFill>
                <a:latin typeface="Arial"/>
                <a:cs typeface="Arial"/>
              </a:rPr>
              <a:t>AVANCES EN PORCENTAJES ACUMULADOS</a:t>
            </a:r>
          </a:p>
          <a:p>
            <a:pPr>
              <a:defRPr sz="2600" b="0" i="0" u="none" strike="noStrike" baseline="0">
                <a:solidFill>
                  <a:srgbClr val="000000"/>
                </a:solidFill>
                <a:latin typeface="Arial"/>
                <a:ea typeface="Arial"/>
                <a:cs typeface="Arial"/>
              </a:defRPr>
            </a:pPr>
            <a:r>
              <a:rPr lang="es-PE" sz="1050" b="1" i="0" u="none" strike="noStrike" baseline="0">
                <a:solidFill>
                  <a:srgbClr val="000080"/>
                </a:solidFill>
                <a:latin typeface="Arial"/>
                <a:cs typeface="Arial"/>
              </a:rPr>
              <a:t>PROGRAMADO vs EJECUTADO                              </a:t>
            </a:r>
          </a:p>
        </c:rich>
      </c:tx>
      <c:layout>
        <c:manualLayout>
          <c:xMode val="edge"/>
          <c:yMode val="edge"/>
          <c:x val="0.29367339418544586"/>
          <c:y val="1.6507146453181777E-2"/>
        </c:manualLayout>
      </c:layout>
      <c:overlay val="0"/>
      <c:spPr>
        <a:noFill/>
        <a:ln w="25400">
          <a:noFill/>
        </a:ln>
      </c:spPr>
    </c:title>
    <c:autoTitleDeleted val="0"/>
    <c:plotArea>
      <c:layout>
        <c:manualLayout>
          <c:layoutTarget val="inner"/>
          <c:xMode val="edge"/>
          <c:yMode val="edge"/>
          <c:x val="8.3748720780157063E-2"/>
          <c:y val="0.16414216080132854"/>
          <c:w val="0.87397756774460922"/>
          <c:h val="0.70072285607156315"/>
        </c:manualLayout>
      </c:layout>
      <c:lineChart>
        <c:grouping val="standard"/>
        <c:varyColors val="0"/>
        <c:ser>
          <c:idx val="1"/>
          <c:order val="0"/>
          <c:spPr>
            <a:ln w="12700">
              <a:solidFill>
                <a:srgbClr val="800080"/>
              </a:solidFill>
              <a:prstDash val="solid"/>
            </a:ln>
          </c:spPr>
          <c:marker>
            <c:symbol val="diamond"/>
            <c:size val="6"/>
            <c:spPr>
              <a:solidFill>
                <a:srgbClr val="800080"/>
              </a:solidFill>
              <a:ln>
                <a:solidFill>
                  <a:srgbClr val="000000"/>
                </a:solidFill>
                <a:prstDash val="solid"/>
              </a:ln>
            </c:spPr>
          </c:marker>
          <c:dLbls>
            <c:dLbl>
              <c:idx val="1"/>
              <c:layout>
                <c:manualLayout>
                  <c:x val="-3.8842970505277553E-2"/>
                  <c:y val="-1.440233110628207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428-454C-94B9-3695D9F4E22F}"/>
                </c:ext>
              </c:extLst>
            </c:dLbl>
            <c:dLbl>
              <c:idx val="2"/>
              <c:layout>
                <c:manualLayout>
                  <c:x val="-4.8171308410937572E-2"/>
                  <c:y val="-3.10494224472469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D26-4E83-8228-2C36551B5AA6}"/>
                </c:ext>
              </c:extLst>
            </c:dLbl>
            <c:dLbl>
              <c:idx val="3"/>
              <c:layout>
                <c:manualLayout>
                  <c:x val="-5.49015572952272E-2"/>
                  <c:y val="-3.69702096261622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D26-4E83-8228-2C36551B5AA6}"/>
                </c:ext>
              </c:extLst>
            </c:dLbl>
            <c:dLbl>
              <c:idx val="4"/>
              <c:layout>
                <c:manualLayout>
                  <c:x val="-6.3512387823001989E-2"/>
                  <c:y val="-1.99565623292261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D26-4E83-8228-2C36551B5AA6}"/>
                </c:ext>
              </c:extLst>
            </c:dLbl>
            <c:dLbl>
              <c:idx val="5"/>
              <c:layout>
                <c:manualLayout>
                  <c:x val="-6.1660372915864903E-2"/>
                  <c:y val="-2.70279718139009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D26-4E83-8228-2C36551B5AA6}"/>
                </c:ext>
              </c:extLst>
            </c:dLbl>
            <c:dLbl>
              <c:idx val="9"/>
              <c:layout>
                <c:manualLayout>
                  <c:x val="-5.1152884226313845E-2"/>
                  <c:y val="-2.28185032548628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0A-4AB7-B4AB-571690BF0226}"/>
                </c:ext>
              </c:extLst>
            </c:dLbl>
            <c:dLbl>
              <c:idx val="14"/>
              <c:layout>
                <c:manualLayout>
                  <c:x val="-4.7637073341571225E-2"/>
                  <c:y val="-1.55762581549319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6A-4A92-890D-59C15F8082EC}"/>
                </c:ext>
              </c:extLst>
            </c:dLbl>
            <c:spPr>
              <a:noFill/>
              <a:ln w="25400">
                <a:noFill/>
              </a:ln>
            </c:spPr>
            <c:txPr>
              <a:bodyPr wrap="square" lIns="38100" tIns="19050" rIns="38100" bIns="19050" anchor="ctr">
                <a:spAutoFit/>
              </a:bodyPr>
              <a:lstStyle/>
              <a:p>
                <a:pPr>
                  <a:defRPr sz="800" b="1" i="0" u="none" strike="noStrike" baseline="0">
                    <a:solidFill>
                      <a:srgbClr val="800080"/>
                    </a:solidFill>
                    <a:latin typeface="Arial"/>
                    <a:ea typeface="Arial"/>
                    <a:cs typeface="Arial"/>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'Curva S-1'!$D$16:$D$31</c:f>
              <c:numCache>
                <c:formatCode>d\-mmm\-yy</c:formatCode>
                <c:ptCount val="16"/>
                <c:pt idx="0">
                  <c:v>44585</c:v>
                </c:pt>
                <c:pt idx="1">
                  <c:v>44592</c:v>
                </c:pt>
                <c:pt idx="2">
                  <c:v>44620</c:v>
                </c:pt>
                <c:pt idx="3">
                  <c:v>44651</c:v>
                </c:pt>
                <c:pt idx="4">
                  <c:v>44681</c:v>
                </c:pt>
                <c:pt idx="5">
                  <c:v>44712</c:v>
                </c:pt>
                <c:pt idx="6">
                  <c:v>44742</c:v>
                </c:pt>
                <c:pt idx="7">
                  <c:v>44773</c:v>
                </c:pt>
                <c:pt idx="8">
                  <c:v>44804</c:v>
                </c:pt>
                <c:pt idx="9">
                  <c:v>44834</c:v>
                </c:pt>
                <c:pt idx="10">
                  <c:v>44865</c:v>
                </c:pt>
                <c:pt idx="11">
                  <c:v>44895</c:v>
                </c:pt>
                <c:pt idx="12">
                  <c:v>44926</c:v>
                </c:pt>
                <c:pt idx="13">
                  <c:v>44957</c:v>
                </c:pt>
                <c:pt idx="14">
                  <c:v>44985</c:v>
                </c:pt>
                <c:pt idx="15">
                  <c:v>45009</c:v>
                </c:pt>
              </c:numCache>
            </c:numRef>
          </c:cat>
          <c:val>
            <c:numRef>
              <c:f>'Curva S-1'!$G$16:$G$31</c:f>
              <c:numCache>
                <c:formatCode>0.00%</c:formatCode>
                <c:ptCount val="16"/>
                <c:pt idx="0">
                  <c:v>0</c:v>
                </c:pt>
                <c:pt idx="1">
                  <c:v>5.1386289774581354E-3</c:v>
                </c:pt>
                <c:pt idx="2">
                  <c:v>1.7699731545111595E-2</c:v>
                </c:pt>
                <c:pt idx="3">
                  <c:v>7.6011761975835812E-2</c:v>
                </c:pt>
                <c:pt idx="4">
                  <c:v>0.19783461427931431</c:v>
                </c:pt>
                <c:pt idx="5">
                  <c:v>0.34031156449264177</c:v>
                </c:pt>
                <c:pt idx="6">
                  <c:v>0.44295918833564785</c:v>
                </c:pt>
                <c:pt idx="7">
                  <c:v>0.54654775212091644</c:v>
                </c:pt>
                <c:pt idx="8">
                  <c:v>0.63611822624771808</c:v>
                </c:pt>
                <c:pt idx="9">
                  <c:v>0.72640234702154705</c:v>
                </c:pt>
                <c:pt idx="10">
                  <c:v>0.80364391127490864</c:v>
                </c:pt>
                <c:pt idx="11">
                  <c:v>0.83487247372922924</c:v>
                </c:pt>
                <c:pt idx="12">
                  <c:v>0.878881305494014</c:v>
                </c:pt>
                <c:pt idx="13">
                  <c:v>0.94610353832336003</c:v>
                </c:pt>
                <c:pt idx="14">
                  <c:v>0.97646591375294922</c:v>
                </c:pt>
                <c:pt idx="15">
                  <c:v>0.99999999999999989</c:v>
                </c:pt>
              </c:numCache>
            </c:numRef>
          </c:val>
          <c:smooth val="1"/>
          <c:extLst>
            <c:ext xmlns:c16="http://schemas.microsoft.com/office/drawing/2014/chart" uri="{C3380CC4-5D6E-409C-BE32-E72D297353CC}">
              <c16:uniqueId val="{00000005-1D26-4E83-8228-2C36551B5AA6}"/>
            </c:ext>
          </c:extLst>
        </c:ser>
        <c:ser>
          <c:idx val="0"/>
          <c:order val="1"/>
          <c:spPr>
            <a:ln w="12700">
              <a:solidFill>
                <a:srgbClr val="003300"/>
              </a:solidFill>
              <a:prstDash val="sysDash"/>
            </a:ln>
          </c:spPr>
          <c:marker>
            <c:symbol val="circle"/>
            <c:size val="6"/>
            <c:spPr>
              <a:solidFill>
                <a:srgbClr val="003300"/>
              </a:solidFill>
              <a:ln>
                <a:solidFill>
                  <a:srgbClr val="000000"/>
                </a:solidFill>
                <a:prstDash val="solid"/>
              </a:ln>
            </c:spPr>
          </c:marker>
          <c:dLbls>
            <c:dLbl>
              <c:idx val="0"/>
              <c:layout>
                <c:manualLayout>
                  <c:x val="-4.6061698214566607E-3"/>
                  <c:y val="1.45998289273871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6A-4A92-890D-59C15F8082EC}"/>
                </c:ext>
              </c:extLst>
            </c:dLbl>
            <c:dLbl>
              <c:idx val="1"/>
              <c:layout>
                <c:manualLayout>
                  <c:x val="-3.5210048368060549E-3"/>
                  <c:y val="1.71260235571451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D26-4E83-8228-2C36551B5AA6}"/>
                </c:ext>
              </c:extLst>
            </c:dLbl>
            <c:dLbl>
              <c:idx val="2"/>
              <c:layout>
                <c:manualLayout>
                  <c:x val="2.5915347485286275E-3"/>
                  <c:y val="-1.4387716267520278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D26-4E83-8228-2C36551B5AA6}"/>
                </c:ext>
              </c:extLst>
            </c:dLbl>
            <c:dLbl>
              <c:idx val="3"/>
              <c:layout>
                <c:manualLayout>
                  <c:x val="2.2325337285353749E-3"/>
                  <c:y val="6.962390687424649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D26-4E83-8228-2C36551B5AA6}"/>
                </c:ext>
              </c:extLst>
            </c:dLbl>
            <c:dLbl>
              <c:idx val="4"/>
              <c:layout>
                <c:manualLayout>
                  <c:x val="-1.1402759074703152E-2"/>
                  <c:y val="2.36433696083688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D26-4E83-8228-2C36551B5AA6}"/>
                </c:ext>
              </c:extLst>
            </c:dLbl>
            <c:dLbl>
              <c:idx val="5"/>
              <c:layout>
                <c:manualLayout>
                  <c:x val="-6.5582548716797043E-2"/>
                  <c:y val="-1.59742162644590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D26-4E83-8228-2C36551B5AA6}"/>
                </c:ext>
              </c:extLst>
            </c:dLbl>
            <c:dLbl>
              <c:idx val="7"/>
              <c:layout>
                <c:manualLayout>
                  <c:x val="-1.959145499908611E-2"/>
                  <c:y val="2.88411146983704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366-4AC7-ABC6-2DD6017AD127}"/>
                </c:ext>
              </c:extLst>
            </c:dLbl>
            <c:dLbl>
              <c:idx val="8"/>
              <c:spPr>
                <a:noFill/>
                <a:ln w="25400">
                  <a:noFill/>
                </a:ln>
              </c:spPr>
              <c:txPr>
                <a:bodyPr/>
                <a:lstStyle/>
                <a:p>
                  <a:pPr algn="r">
                    <a:defRPr sz="800" b="1" i="0" u="none" strike="noStrike" baseline="0">
                      <a:solidFill>
                        <a:srgbClr val="003300"/>
                      </a:solidFill>
                      <a:latin typeface="Arial"/>
                      <a:ea typeface="Arial"/>
                      <a:cs typeface="Arial"/>
                    </a:defRPr>
                  </a:pPr>
                  <a:endParaRPr lang="es-PE"/>
                </a:p>
              </c:txPr>
              <c:dLblPos val="b"/>
              <c:showLegendKey val="0"/>
              <c:showVal val="1"/>
              <c:showCatName val="0"/>
              <c:showSerName val="0"/>
              <c:showPercent val="0"/>
              <c:showBubbleSize val="0"/>
              <c:extLst>
                <c:ext xmlns:c16="http://schemas.microsoft.com/office/drawing/2014/chart" uri="{C3380CC4-5D6E-409C-BE32-E72D297353CC}">
                  <c16:uniqueId val="{00000000-D09D-4C8A-92BD-0E99C02CF792}"/>
                </c:ext>
              </c:extLst>
            </c:dLbl>
            <c:spPr>
              <a:noFill/>
              <a:ln w="25400">
                <a:noFill/>
              </a:ln>
            </c:spPr>
            <c:txPr>
              <a:bodyPr wrap="square" lIns="38100" tIns="19050" rIns="38100" bIns="19050" anchor="ctr">
                <a:spAutoFit/>
              </a:bodyPr>
              <a:lstStyle/>
              <a:p>
                <a:pPr algn="r">
                  <a:defRPr sz="800" b="1" i="0" u="none" strike="noStrike" baseline="0">
                    <a:solidFill>
                      <a:srgbClr val="003300"/>
                    </a:solidFill>
                    <a:latin typeface="Arial"/>
                    <a:ea typeface="Arial"/>
                    <a:cs typeface="Arial"/>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'Curva S-1'!$D$16:$D$31</c:f>
              <c:numCache>
                <c:formatCode>d\-mmm\-yy</c:formatCode>
                <c:ptCount val="16"/>
                <c:pt idx="0">
                  <c:v>44585</c:v>
                </c:pt>
                <c:pt idx="1">
                  <c:v>44592</c:v>
                </c:pt>
                <c:pt idx="2">
                  <c:v>44620</c:v>
                </c:pt>
                <c:pt idx="3">
                  <c:v>44651</c:v>
                </c:pt>
                <c:pt idx="4">
                  <c:v>44681</c:v>
                </c:pt>
                <c:pt idx="5">
                  <c:v>44712</c:v>
                </c:pt>
                <c:pt idx="6">
                  <c:v>44742</c:v>
                </c:pt>
                <c:pt idx="7">
                  <c:v>44773</c:v>
                </c:pt>
                <c:pt idx="8">
                  <c:v>44804</c:v>
                </c:pt>
                <c:pt idx="9">
                  <c:v>44834</c:v>
                </c:pt>
                <c:pt idx="10">
                  <c:v>44865</c:v>
                </c:pt>
                <c:pt idx="11">
                  <c:v>44895</c:v>
                </c:pt>
                <c:pt idx="12">
                  <c:v>44926</c:v>
                </c:pt>
                <c:pt idx="13">
                  <c:v>44957</c:v>
                </c:pt>
                <c:pt idx="14">
                  <c:v>44985</c:v>
                </c:pt>
                <c:pt idx="15">
                  <c:v>45009</c:v>
                </c:pt>
              </c:numCache>
            </c:numRef>
          </c:cat>
          <c:val>
            <c:numRef>
              <c:f>'Curva S-1'!$J$16:$J$31</c:f>
              <c:numCache>
                <c:formatCode>0.00%</c:formatCode>
                <c:ptCount val="16"/>
                <c:pt idx="0">
                  <c:v>0</c:v>
                </c:pt>
                <c:pt idx="1">
                  <c:v>3.9413329096308885E-3</c:v>
                </c:pt>
                <c:pt idx="2">
                  <c:v>1.2156496267119949E-2</c:v>
                </c:pt>
                <c:pt idx="3">
                  <c:v>5.6624167532706826E-2</c:v>
                </c:pt>
                <c:pt idx="4">
                  <c:v>9.1688378949446162E-2</c:v>
                </c:pt>
                <c:pt idx="5">
                  <c:v>0.14852308601329645</c:v>
                </c:pt>
                <c:pt idx="6">
                  <c:v>0.20622065341735166</c:v>
                </c:pt>
                <c:pt idx="7">
                  <c:v>0.26302690663525807</c:v>
                </c:pt>
                <c:pt idx="8">
                  <c:v>0.32873092165739232</c:v>
                </c:pt>
                <c:pt idx="9">
                  <c:v>0.36823627421556682</c:v>
                </c:pt>
                <c:pt idx="10">
                  <c:v>0.37760248020766563</c:v>
                </c:pt>
                <c:pt idx="11">
                  <c:v>0.39879288009100161</c:v>
                </c:pt>
                <c:pt idx="12">
                  <c:v>0.40034884109254731</c:v>
                </c:pt>
                <c:pt idx="13">
                  <c:v>0.40034884109254731</c:v>
                </c:pt>
                <c:pt idx="14">
                  <c:v>0.40799345914431767</c:v>
                </c:pt>
                <c:pt idx="15">
                  <c:v>0.40807411215144523</c:v>
                </c:pt>
              </c:numCache>
            </c:numRef>
          </c:val>
          <c:smooth val="1"/>
          <c:extLst>
            <c:ext xmlns:c15="http://schemas.microsoft.com/office/drawing/2012/chart" uri="{02D57815-91ED-43cb-92C2-25804820EDAC}">
              <c15:filteredSeriesTitle>
                <c15:tx>
                  <c:v>EJECUTADO</c:v>
                </c15:tx>
              </c15:filteredSeriesTitle>
            </c:ext>
            <c:ext xmlns:c16="http://schemas.microsoft.com/office/drawing/2014/chart" uri="{C3380CC4-5D6E-409C-BE32-E72D297353CC}">
              <c16:uniqueId val="{0000000C-1D26-4E83-8228-2C36551B5AA6}"/>
            </c:ext>
          </c:extLst>
        </c:ser>
        <c:dLbls>
          <c:showLegendKey val="0"/>
          <c:showVal val="0"/>
          <c:showCatName val="0"/>
          <c:showSerName val="0"/>
          <c:showPercent val="0"/>
          <c:showBubbleSize val="0"/>
        </c:dLbls>
        <c:marker val="1"/>
        <c:smooth val="0"/>
        <c:axId val="-1054771552"/>
        <c:axId val="-1054761216"/>
      </c:lineChart>
      <c:catAx>
        <c:axId val="-1054771552"/>
        <c:scaling>
          <c:orientation val="minMax"/>
        </c:scaling>
        <c:delete val="0"/>
        <c:axPos val="b"/>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000" b="1" i="0" u="none" strike="noStrike" baseline="0">
                    <a:solidFill>
                      <a:srgbClr val="000080"/>
                    </a:solidFill>
                    <a:latin typeface="Arial"/>
                    <a:ea typeface="Arial"/>
                    <a:cs typeface="Arial"/>
                  </a:defRPr>
                </a:pPr>
                <a:r>
                  <a:rPr lang="es-PE" sz="800"/>
                  <a:t>PLAZO DE EJECUCION (MESES)</a:t>
                </a:r>
              </a:p>
            </c:rich>
          </c:tx>
          <c:layout>
            <c:manualLayout>
              <c:xMode val="edge"/>
              <c:yMode val="edge"/>
              <c:x val="0.3799881268166897"/>
              <c:y val="0.96690017849798171"/>
            </c:manualLayout>
          </c:layout>
          <c:overlay val="0"/>
          <c:spPr>
            <a:noFill/>
            <a:ln w="25400">
              <a:noFill/>
            </a:ln>
          </c:spPr>
        </c:title>
        <c:numFmt formatCode="d\-mmm\-yy" sourceLinked="1"/>
        <c:majorTickMark val="out"/>
        <c:minorTickMark val="in"/>
        <c:tickLblPos val="nextTo"/>
        <c:spPr>
          <a:ln w="9525">
            <a:noFill/>
          </a:ln>
        </c:spPr>
        <c:txPr>
          <a:bodyPr rot="-5400000" vert="horz"/>
          <a:lstStyle/>
          <a:p>
            <a:pPr>
              <a:defRPr sz="800" b="0" i="0" u="none" strike="noStrike" baseline="0">
                <a:ln>
                  <a:noFill/>
                </a:ln>
                <a:solidFill>
                  <a:srgbClr val="000000"/>
                </a:solidFill>
                <a:latin typeface="Arial"/>
                <a:ea typeface="Arial"/>
                <a:cs typeface="Arial"/>
              </a:defRPr>
            </a:pPr>
            <a:endParaRPr lang="es-PE"/>
          </a:p>
        </c:txPr>
        <c:crossAx val="-1054761216"/>
        <c:crosses val="autoZero"/>
        <c:auto val="0"/>
        <c:lblAlgn val="ctr"/>
        <c:lblOffset val="100"/>
        <c:tickMarkSkip val="1"/>
        <c:noMultiLvlLbl val="0"/>
      </c:catAx>
      <c:valAx>
        <c:axId val="-1054761216"/>
        <c:scaling>
          <c:orientation val="minMax"/>
          <c:max val="1"/>
          <c:min val="0"/>
        </c:scaling>
        <c:delete val="0"/>
        <c:axPos val="l"/>
        <c:majorGridlines>
          <c:spPr>
            <a:ln w="3175">
              <a:solidFill>
                <a:srgbClr val="000000"/>
              </a:solidFill>
              <a:prstDash val="solid"/>
            </a:ln>
          </c:spPr>
        </c:majorGridlines>
        <c:title>
          <c:tx>
            <c:rich>
              <a:bodyPr/>
              <a:lstStyle/>
              <a:p>
                <a:pPr>
                  <a:defRPr sz="900" b="1" i="0" u="none" strike="noStrike" baseline="0">
                    <a:solidFill>
                      <a:srgbClr val="000080"/>
                    </a:solidFill>
                    <a:latin typeface="Arial"/>
                    <a:ea typeface="Arial"/>
                    <a:cs typeface="Arial"/>
                  </a:defRPr>
                </a:pPr>
                <a:r>
                  <a:rPr lang="es-PE"/>
                  <a:t>AVANCE MENSUAL ACUMULADO (%)</a:t>
                </a:r>
              </a:p>
            </c:rich>
          </c:tx>
          <c:layout>
            <c:manualLayout>
              <c:xMode val="edge"/>
              <c:yMode val="edge"/>
              <c:x val="3.4782614302427879E-3"/>
              <c:y val="0.31264868526858475"/>
            </c:manualLayout>
          </c:layout>
          <c:overlay val="0"/>
          <c:spPr>
            <a:noFill/>
            <a:ln w="25400">
              <a:noFill/>
            </a:ln>
          </c:spPr>
        </c:title>
        <c:numFmt formatCode="0%" sourceLinked="0"/>
        <c:majorTickMark val="out"/>
        <c:minorTickMark val="none"/>
        <c:tickLblPos val="nextTo"/>
        <c:spPr>
          <a:ln w="9525">
            <a:noFill/>
          </a:ln>
        </c:spPr>
        <c:txPr>
          <a:bodyPr rot="0" vert="horz"/>
          <a:lstStyle/>
          <a:p>
            <a:pPr>
              <a:defRPr sz="800" b="0" i="0" u="none" strike="noStrike" baseline="0">
                <a:solidFill>
                  <a:srgbClr val="000000"/>
                </a:solidFill>
                <a:latin typeface="Arial"/>
                <a:ea typeface="Arial"/>
                <a:cs typeface="Arial"/>
              </a:defRPr>
            </a:pPr>
            <a:endParaRPr lang="es-PE"/>
          </a:p>
        </c:txPr>
        <c:crossAx val="-1054771552"/>
        <c:crossesAt val="1"/>
        <c:crossBetween val="midCat"/>
        <c:majorUnit val="0.1"/>
        <c:minorUnit val="0.05"/>
      </c:valAx>
      <c:spPr>
        <a:gradFill>
          <a:gsLst>
            <a:gs pos="75000">
              <a:schemeClr val="accent1">
                <a:lumMod val="20000"/>
                <a:lumOff val="80000"/>
              </a:schemeClr>
            </a:gs>
            <a:gs pos="100000">
              <a:srgbClr val="D1F7D8"/>
            </a:gs>
            <a:gs pos="100000">
              <a:srgbClr val="CCFFCC"/>
            </a:gs>
          </a:gsLst>
          <a:lin ang="5400000" scaled="1"/>
        </a:gradFill>
        <a:ln w="3175">
          <a:solidFill>
            <a:schemeClr val="tx1"/>
          </a:solidFill>
          <a:prstDash val="solid"/>
        </a:ln>
        <a:scene3d>
          <a:camera prst="orthographicFront"/>
          <a:lightRig rig="threePt" dir="t"/>
        </a:scene3d>
        <a:sp3d prstMaterial="matte">
          <a:bevelB/>
        </a:sp3d>
      </c:spPr>
    </c:plotArea>
    <c:legend>
      <c:legendPos val="r"/>
      <c:layout>
        <c:manualLayout>
          <c:xMode val="edge"/>
          <c:yMode val="edge"/>
          <c:x val="0.19809522220739367"/>
          <c:y val="0.28703388776651501"/>
          <c:w val="9.4137264320517056E-2"/>
          <c:h val="6.6450565490475899E-2"/>
        </c:manualLayout>
      </c:layout>
      <c:overlay val="0"/>
      <c:spPr>
        <a:solidFill>
          <a:srgbClr val="FFFFFF"/>
        </a:solidFill>
        <a:ln w="3175">
          <a:solidFill>
            <a:srgbClr val="000000"/>
          </a:solidFill>
          <a:prstDash val="solid"/>
        </a:ln>
        <a:effectLst>
          <a:outerShdw dist="35921" dir="2700000" algn="br">
            <a:srgbClr val="000000"/>
          </a:outerShdw>
        </a:effectLst>
      </c:spPr>
      <c:txPr>
        <a:bodyPr/>
        <a:lstStyle/>
        <a:p>
          <a:pPr>
            <a:defRPr sz="540" b="0" i="0" u="none" strike="noStrike" baseline="0">
              <a:solidFill>
                <a:srgbClr val="000000"/>
              </a:solidFill>
              <a:latin typeface="Arial"/>
              <a:ea typeface="Arial"/>
              <a:cs typeface="Arial"/>
            </a:defRPr>
          </a:pPr>
          <a:endParaRPr lang="es-PE"/>
        </a:p>
      </c:txPr>
    </c:legend>
    <c:plotVisOnly val="1"/>
    <c:dispBlanksAs val="gap"/>
    <c:showDLblsOverMax val="0"/>
  </c:chart>
  <c:spPr>
    <a:solidFill>
      <a:srgbClr val="FFFFFF"/>
    </a:solidFill>
    <a:ln w="3175">
      <a:solidFill>
        <a:srgbClr val="000000"/>
      </a:solidFill>
      <a:prstDash val="solid"/>
    </a:ln>
    <a:effectLst>
      <a:outerShdw dist="35921" dir="2700000" algn="br">
        <a:srgbClr val="000000"/>
      </a:outerShdw>
    </a:effectLst>
  </c:spPr>
  <c:txPr>
    <a:bodyPr/>
    <a:lstStyle/>
    <a:p>
      <a:pPr>
        <a:defRPr sz="2600" b="0" i="0" u="none" strike="noStrike" baseline="0">
          <a:solidFill>
            <a:srgbClr val="000000"/>
          </a:solidFill>
          <a:latin typeface="Arial"/>
          <a:ea typeface="Arial"/>
          <a:cs typeface="Arial"/>
        </a:defRPr>
      </a:pPr>
      <a:endParaRPr lang="es-PE"/>
    </a:p>
  </c:txPr>
  <c:printSettings>
    <c:headerFooter alignWithMargins="0"/>
    <c:pageMargins b="0.78740157480314954" l="0.98425196850393659" r="0.78740157480314954" t="0.78740157480314954" header="0" footer="0"/>
    <c:pageSetup paperSize="9" orientation="landscape" horizontalDpi="120" verticalDpi="14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600" b="0" i="0" u="none" strike="noStrike" baseline="0">
                <a:solidFill>
                  <a:srgbClr val="000000"/>
                </a:solidFill>
                <a:latin typeface="Arial"/>
                <a:ea typeface="Arial"/>
                <a:cs typeface="Arial"/>
              </a:defRPr>
            </a:pPr>
            <a:r>
              <a:rPr lang="es-PE" sz="1050" b="1" i="0" u="none" strike="noStrike" baseline="0">
                <a:solidFill>
                  <a:srgbClr val="000080"/>
                </a:solidFill>
                <a:latin typeface="Arial"/>
                <a:cs typeface="Arial"/>
              </a:rPr>
              <a:t>CONTROL DE CURVA "S"</a:t>
            </a:r>
          </a:p>
          <a:p>
            <a:pPr>
              <a:defRPr sz="2600" b="0" i="0" u="none" strike="noStrike" baseline="0">
                <a:solidFill>
                  <a:srgbClr val="000000"/>
                </a:solidFill>
                <a:latin typeface="Arial"/>
                <a:ea typeface="Arial"/>
                <a:cs typeface="Arial"/>
              </a:defRPr>
            </a:pPr>
            <a:r>
              <a:rPr lang="es-PE" sz="1050" b="1" i="0" u="none" strike="noStrike" baseline="0">
                <a:solidFill>
                  <a:srgbClr val="000080"/>
                </a:solidFill>
                <a:latin typeface="Arial"/>
                <a:cs typeface="Arial"/>
              </a:rPr>
              <a:t>AVANCES EN PORCENTAJES ACUMULADOS</a:t>
            </a:r>
          </a:p>
          <a:p>
            <a:pPr>
              <a:defRPr sz="2600" b="0" i="0" u="none" strike="noStrike" baseline="0">
                <a:solidFill>
                  <a:srgbClr val="000000"/>
                </a:solidFill>
                <a:latin typeface="Arial"/>
                <a:ea typeface="Arial"/>
                <a:cs typeface="Arial"/>
              </a:defRPr>
            </a:pPr>
            <a:r>
              <a:rPr lang="es-PE" sz="1050" b="1" i="0" u="none" strike="noStrike" baseline="0">
                <a:solidFill>
                  <a:srgbClr val="000080"/>
                </a:solidFill>
                <a:latin typeface="Arial"/>
                <a:cs typeface="Arial"/>
              </a:rPr>
              <a:t>PROGRAMADO vs EJECUTADO                              </a:t>
            </a:r>
          </a:p>
        </c:rich>
      </c:tx>
      <c:layout>
        <c:manualLayout>
          <c:xMode val="edge"/>
          <c:yMode val="edge"/>
          <c:x val="0.29367339418544586"/>
          <c:y val="1.6507146453181777E-2"/>
        </c:manualLayout>
      </c:layout>
      <c:overlay val="0"/>
      <c:spPr>
        <a:noFill/>
        <a:ln w="25400">
          <a:noFill/>
        </a:ln>
      </c:spPr>
    </c:title>
    <c:autoTitleDeleted val="0"/>
    <c:plotArea>
      <c:layout>
        <c:manualLayout>
          <c:layoutTarget val="inner"/>
          <c:xMode val="edge"/>
          <c:yMode val="edge"/>
          <c:x val="7.6356851696404368E-2"/>
          <c:y val="0.14832886447311266"/>
          <c:w val="0.87397756774460922"/>
          <c:h val="0.70072285607156315"/>
        </c:manualLayout>
      </c:layout>
      <c:lineChart>
        <c:grouping val="standard"/>
        <c:varyColors val="0"/>
        <c:ser>
          <c:idx val="1"/>
          <c:order val="0"/>
          <c:spPr>
            <a:ln w="12700">
              <a:solidFill>
                <a:srgbClr val="800080"/>
              </a:solidFill>
              <a:prstDash val="solid"/>
            </a:ln>
          </c:spPr>
          <c:marker>
            <c:symbol val="diamond"/>
            <c:size val="6"/>
            <c:spPr>
              <a:solidFill>
                <a:srgbClr val="800080"/>
              </a:solidFill>
              <a:ln>
                <a:solidFill>
                  <a:srgbClr val="000000"/>
                </a:solidFill>
                <a:prstDash val="solid"/>
              </a:ln>
            </c:spPr>
          </c:marker>
          <c:dLbls>
            <c:dLbl>
              <c:idx val="1"/>
              <c:layout>
                <c:manualLayout>
                  <c:x val="-3.8842970505277553E-2"/>
                  <c:y val="-1.440233110628207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A6-4259-94C8-B82511B29911}"/>
                </c:ext>
              </c:extLst>
            </c:dLbl>
            <c:dLbl>
              <c:idx val="2"/>
              <c:layout>
                <c:manualLayout>
                  <c:x val="-4.8171308410937572E-2"/>
                  <c:y val="-3.10494224472469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A6-4259-94C8-B82511B29911}"/>
                </c:ext>
              </c:extLst>
            </c:dLbl>
            <c:dLbl>
              <c:idx val="3"/>
              <c:layout>
                <c:manualLayout>
                  <c:x val="-5.49015572952272E-2"/>
                  <c:y val="-3.69702096261622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9A6-4259-94C8-B82511B29911}"/>
                </c:ext>
              </c:extLst>
            </c:dLbl>
            <c:dLbl>
              <c:idx val="4"/>
              <c:layout>
                <c:manualLayout>
                  <c:x val="-6.3512387823001989E-2"/>
                  <c:y val="-1.99565623292261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6-4259-94C8-B82511B29911}"/>
                </c:ext>
              </c:extLst>
            </c:dLbl>
            <c:dLbl>
              <c:idx val="5"/>
              <c:layout>
                <c:manualLayout>
                  <c:x val="-6.1660372915864903E-2"/>
                  <c:y val="-2.70279718139009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9A6-4259-94C8-B82511B29911}"/>
                </c:ext>
              </c:extLst>
            </c:dLbl>
            <c:dLbl>
              <c:idx val="9"/>
              <c:layout>
                <c:manualLayout>
                  <c:x val="-5.1152884226313845E-2"/>
                  <c:y val="-2.28185032548628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9A6-4259-94C8-B82511B29911}"/>
                </c:ext>
              </c:extLst>
            </c:dLbl>
            <c:dLbl>
              <c:idx val="14"/>
              <c:layout>
                <c:manualLayout>
                  <c:x val="-4.7637073341571225E-2"/>
                  <c:y val="-1.55762581549319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9A6-4259-94C8-B82511B29911}"/>
                </c:ext>
              </c:extLst>
            </c:dLbl>
            <c:spPr>
              <a:noFill/>
              <a:ln w="25400">
                <a:noFill/>
              </a:ln>
            </c:spPr>
            <c:txPr>
              <a:bodyPr wrap="square" lIns="38100" tIns="19050" rIns="38100" bIns="19050" anchor="ctr">
                <a:spAutoFit/>
              </a:bodyPr>
              <a:lstStyle/>
              <a:p>
                <a:pPr>
                  <a:defRPr sz="800" b="1" i="0" u="none" strike="noStrike" baseline="0">
                    <a:solidFill>
                      <a:srgbClr val="800080"/>
                    </a:solidFill>
                    <a:latin typeface="Arial"/>
                    <a:ea typeface="Arial"/>
                    <a:cs typeface="Arial"/>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'Curva S'!$D$16:$D$40</c:f>
              <c:numCache>
                <c:formatCode>d\-mmm\-yy</c:formatCode>
                <c:ptCount val="25"/>
                <c:pt idx="0">
                  <c:v>44585</c:v>
                </c:pt>
                <c:pt idx="1">
                  <c:v>44592</c:v>
                </c:pt>
                <c:pt idx="2">
                  <c:v>44620</c:v>
                </c:pt>
                <c:pt idx="3">
                  <c:v>44651</c:v>
                </c:pt>
                <c:pt idx="4">
                  <c:v>44681</c:v>
                </c:pt>
                <c:pt idx="5">
                  <c:v>44712</c:v>
                </c:pt>
                <c:pt idx="6">
                  <c:v>44742</c:v>
                </c:pt>
                <c:pt idx="7">
                  <c:v>44773</c:v>
                </c:pt>
                <c:pt idx="8">
                  <c:v>44804</c:v>
                </c:pt>
                <c:pt idx="9">
                  <c:v>44834</c:v>
                </c:pt>
                <c:pt idx="10">
                  <c:v>44865</c:v>
                </c:pt>
                <c:pt idx="11">
                  <c:v>44895</c:v>
                </c:pt>
                <c:pt idx="12">
                  <c:v>44926</c:v>
                </c:pt>
                <c:pt idx="13">
                  <c:v>44957</c:v>
                </c:pt>
                <c:pt idx="14">
                  <c:v>44985</c:v>
                </c:pt>
                <c:pt idx="15">
                  <c:v>45016</c:v>
                </c:pt>
                <c:pt idx="16">
                  <c:v>45046</c:v>
                </c:pt>
                <c:pt idx="17">
                  <c:v>45077</c:v>
                </c:pt>
                <c:pt idx="18">
                  <c:v>45107</c:v>
                </c:pt>
                <c:pt idx="19">
                  <c:v>45138</c:v>
                </c:pt>
                <c:pt idx="20">
                  <c:v>45169</c:v>
                </c:pt>
                <c:pt idx="21">
                  <c:v>45199</c:v>
                </c:pt>
                <c:pt idx="22">
                  <c:v>45230</c:v>
                </c:pt>
                <c:pt idx="23">
                  <c:v>45260</c:v>
                </c:pt>
                <c:pt idx="24">
                  <c:v>45291</c:v>
                </c:pt>
              </c:numCache>
            </c:numRef>
          </c:cat>
          <c:val>
            <c:numRef>
              <c:f>'Curva S'!$G$16:$G$40</c:f>
              <c:numCache>
                <c:formatCode>0.00%</c:formatCode>
                <c:ptCount val="25"/>
                <c:pt idx="0">
                  <c:v>0</c:v>
                </c:pt>
                <c:pt idx="1">
                  <c:v>2.7773438283630403E-3</c:v>
                </c:pt>
                <c:pt idx="2">
                  <c:v>8.5663329274983414E-3</c:v>
                </c:pt>
                <c:pt idx="3">
                  <c:v>3.9901420620641309E-2</c:v>
                </c:pt>
                <c:pt idx="4">
                  <c:v>6.461016088887156E-2</c:v>
                </c:pt>
                <c:pt idx="5">
                  <c:v>0.10465994265556548</c:v>
                </c:pt>
                <c:pt idx="6">
                  <c:v>0.14531775726179738</c:v>
                </c:pt>
                <c:pt idx="7">
                  <c:v>0.185067678944145</c:v>
                </c:pt>
                <c:pt idx="8">
                  <c:v>0.23136740667698621</c:v>
                </c:pt>
                <c:pt idx="9">
                  <c:v>0.25920569124478932</c:v>
                </c:pt>
                <c:pt idx="10">
                  <c:v>0.26580578694940937</c:v>
                </c:pt>
                <c:pt idx="11">
                  <c:v>0.28051877898356625</c:v>
                </c:pt>
                <c:pt idx="12">
                  <c:v>0.36836178774982198</c:v>
                </c:pt>
                <c:pt idx="13">
                  <c:v>0.36836178774982198</c:v>
                </c:pt>
                <c:pt idx="14">
                  <c:v>0.37809629243024628</c:v>
                </c:pt>
                <c:pt idx="15">
                  <c:v>0.40561954571009162</c:v>
                </c:pt>
                <c:pt idx="16">
                  <c:v>0.42655544308546711</c:v>
                </c:pt>
                <c:pt idx="17">
                  <c:v>0.45205504730011492</c:v>
                </c:pt>
                <c:pt idx="18">
                  <c:v>0.4782157255756298</c:v>
                </c:pt>
                <c:pt idx="19">
                  <c:v>0.49836889199694406</c:v>
                </c:pt>
                <c:pt idx="20">
                  <c:v>0.51397667420654403</c:v>
                </c:pt>
                <c:pt idx="21" formatCode="0.0%">
                  <c:v>0.60106032586737357</c:v>
                </c:pt>
                <c:pt idx="22" formatCode="0.0%">
                  <c:v>0.71929032863134612</c:v>
                </c:pt>
                <c:pt idx="23" formatCode="0.0%">
                  <c:v>0.74790269804108811</c:v>
                </c:pt>
                <c:pt idx="24" formatCode="0.0%">
                  <c:v>1.0000000119606423</c:v>
                </c:pt>
              </c:numCache>
            </c:numRef>
          </c:val>
          <c:smooth val="1"/>
          <c:extLst>
            <c:ext xmlns:c16="http://schemas.microsoft.com/office/drawing/2014/chart" uri="{C3380CC4-5D6E-409C-BE32-E72D297353CC}">
              <c16:uniqueId val="{00000007-59A6-4259-94C8-B82511B29911}"/>
            </c:ext>
          </c:extLst>
        </c:ser>
        <c:ser>
          <c:idx val="0"/>
          <c:order val="1"/>
          <c:spPr>
            <a:ln w="12700">
              <a:solidFill>
                <a:srgbClr val="003300"/>
              </a:solidFill>
              <a:prstDash val="sysDash"/>
            </a:ln>
          </c:spPr>
          <c:marker>
            <c:symbol val="circle"/>
            <c:size val="6"/>
            <c:spPr>
              <a:solidFill>
                <a:srgbClr val="003300"/>
              </a:solidFill>
              <a:ln>
                <a:solidFill>
                  <a:srgbClr val="000000"/>
                </a:solidFill>
                <a:prstDash val="solid"/>
              </a:ln>
            </c:spPr>
          </c:marker>
          <c:dLbls>
            <c:dLbl>
              <c:idx val="0"/>
              <c:layout>
                <c:manualLayout>
                  <c:x val="-4.6061698214566607E-3"/>
                  <c:y val="1.45998289273871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9A6-4259-94C8-B82511B29911}"/>
                </c:ext>
              </c:extLst>
            </c:dLbl>
            <c:dLbl>
              <c:idx val="1"/>
              <c:layout>
                <c:manualLayout>
                  <c:x val="-3.5210048368060549E-3"/>
                  <c:y val="1.71260235571451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9A6-4259-94C8-B82511B29911}"/>
                </c:ext>
              </c:extLst>
            </c:dLbl>
            <c:dLbl>
              <c:idx val="2"/>
              <c:layout>
                <c:manualLayout>
                  <c:x val="2.5915347485286275E-3"/>
                  <c:y val="-1.4387716267520278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9A6-4259-94C8-B82511B29911}"/>
                </c:ext>
              </c:extLst>
            </c:dLbl>
            <c:dLbl>
              <c:idx val="3"/>
              <c:layout>
                <c:manualLayout>
                  <c:x val="2.2325337285353749E-3"/>
                  <c:y val="6.962390687424649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9A6-4259-94C8-B82511B29911}"/>
                </c:ext>
              </c:extLst>
            </c:dLbl>
            <c:dLbl>
              <c:idx val="4"/>
              <c:layout>
                <c:manualLayout>
                  <c:x val="-1.1402759074703152E-2"/>
                  <c:y val="2.36433696083688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9A6-4259-94C8-B82511B29911}"/>
                </c:ext>
              </c:extLst>
            </c:dLbl>
            <c:dLbl>
              <c:idx val="5"/>
              <c:layout>
                <c:manualLayout>
                  <c:x val="-6.5582509900584937E-2"/>
                  <c:y val="-4.2254185639035002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9A6-4259-94C8-B82511B29911}"/>
                </c:ext>
              </c:extLst>
            </c:dLbl>
            <c:dLbl>
              <c:idx val="7"/>
              <c:layout>
                <c:manualLayout>
                  <c:x val="-1.959145499908611E-2"/>
                  <c:y val="2.88411146983704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9A6-4259-94C8-B82511B29911}"/>
                </c:ext>
              </c:extLst>
            </c:dLbl>
            <c:dLbl>
              <c:idx val="8"/>
              <c:spPr>
                <a:noFill/>
                <a:ln w="25400">
                  <a:noFill/>
                </a:ln>
              </c:spPr>
              <c:txPr>
                <a:bodyPr/>
                <a:lstStyle/>
                <a:p>
                  <a:pPr algn="r">
                    <a:defRPr sz="800" b="1" i="0" u="none" strike="noStrike" baseline="0">
                      <a:solidFill>
                        <a:srgbClr val="003300"/>
                      </a:solidFill>
                      <a:latin typeface="Arial"/>
                      <a:ea typeface="Arial"/>
                      <a:cs typeface="Arial"/>
                    </a:defRPr>
                  </a:pPr>
                  <a:endParaRPr lang="es-PE"/>
                </a:p>
              </c:txPr>
              <c:dLblPos val="b"/>
              <c:showLegendKey val="0"/>
              <c:showVal val="1"/>
              <c:showCatName val="0"/>
              <c:showSerName val="0"/>
              <c:showPercent val="0"/>
              <c:showBubbleSize val="0"/>
              <c:extLst>
                <c:ext xmlns:c16="http://schemas.microsoft.com/office/drawing/2014/chart" uri="{C3380CC4-5D6E-409C-BE32-E72D297353CC}">
                  <c16:uniqueId val="{0000000F-59A6-4259-94C8-B82511B29911}"/>
                </c:ext>
              </c:extLst>
            </c:dLbl>
            <c:spPr>
              <a:noFill/>
              <a:ln w="25400">
                <a:noFill/>
              </a:ln>
            </c:spPr>
            <c:txPr>
              <a:bodyPr wrap="square" lIns="38100" tIns="19050" rIns="38100" bIns="19050" anchor="ctr">
                <a:spAutoFit/>
              </a:bodyPr>
              <a:lstStyle/>
              <a:p>
                <a:pPr algn="r">
                  <a:defRPr sz="800" b="1" i="0" u="none" strike="noStrike" baseline="0">
                    <a:solidFill>
                      <a:srgbClr val="003300"/>
                    </a:solidFill>
                    <a:latin typeface="Arial"/>
                    <a:ea typeface="Arial"/>
                    <a:cs typeface="Arial"/>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'Curva S'!$D$16:$D$40</c:f>
              <c:numCache>
                <c:formatCode>d\-mmm\-yy</c:formatCode>
                <c:ptCount val="25"/>
                <c:pt idx="0">
                  <c:v>44585</c:v>
                </c:pt>
                <c:pt idx="1">
                  <c:v>44592</c:v>
                </c:pt>
                <c:pt idx="2">
                  <c:v>44620</c:v>
                </c:pt>
                <c:pt idx="3">
                  <c:v>44651</c:v>
                </c:pt>
                <c:pt idx="4">
                  <c:v>44681</c:v>
                </c:pt>
                <c:pt idx="5">
                  <c:v>44712</c:v>
                </c:pt>
                <c:pt idx="6">
                  <c:v>44742</c:v>
                </c:pt>
                <c:pt idx="7">
                  <c:v>44773</c:v>
                </c:pt>
                <c:pt idx="8">
                  <c:v>44804</c:v>
                </c:pt>
                <c:pt idx="9">
                  <c:v>44834</c:v>
                </c:pt>
                <c:pt idx="10">
                  <c:v>44865</c:v>
                </c:pt>
                <c:pt idx="11">
                  <c:v>44895</c:v>
                </c:pt>
                <c:pt idx="12">
                  <c:v>44926</c:v>
                </c:pt>
                <c:pt idx="13">
                  <c:v>44957</c:v>
                </c:pt>
                <c:pt idx="14">
                  <c:v>44985</c:v>
                </c:pt>
                <c:pt idx="15">
                  <c:v>45016</c:v>
                </c:pt>
                <c:pt idx="16">
                  <c:v>45046</c:v>
                </c:pt>
                <c:pt idx="17">
                  <c:v>45077</c:v>
                </c:pt>
                <c:pt idx="18">
                  <c:v>45107</c:v>
                </c:pt>
                <c:pt idx="19">
                  <c:v>45138</c:v>
                </c:pt>
                <c:pt idx="20">
                  <c:v>45169</c:v>
                </c:pt>
                <c:pt idx="21">
                  <c:v>45199</c:v>
                </c:pt>
                <c:pt idx="22">
                  <c:v>45230</c:v>
                </c:pt>
                <c:pt idx="23">
                  <c:v>45260</c:v>
                </c:pt>
                <c:pt idx="24">
                  <c:v>45291</c:v>
                </c:pt>
              </c:numCache>
            </c:numRef>
          </c:cat>
          <c:val>
            <c:numRef>
              <c:f>'Curva S'!$J$16:$J$40</c:f>
              <c:numCache>
                <c:formatCode>0.00%</c:formatCode>
                <c:ptCount val="25"/>
                <c:pt idx="0">
                  <c:v>0</c:v>
                </c:pt>
                <c:pt idx="1">
                  <c:v>2.7773438283630403E-3</c:v>
                </c:pt>
                <c:pt idx="2">
                  <c:v>8.5663329274983414E-3</c:v>
                </c:pt>
                <c:pt idx="3">
                  <c:v>3.9901420620641309E-2</c:v>
                </c:pt>
                <c:pt idx="4">
                  <c:v>6.461016088887156E-2</c:v>
                </c:pt>
                <c:pt idx="5">
                  <c:v>0.10465994265556548</c:v>
                </c:pt>
                <c:pt idx="6">
                  <c:v>0.14531775726179738</c:v>
                </c:pt>
                <c:pt idx="7">
                  <c:v>0.18534748842245591</c:v>
                </c:pt>
                <c:pt idx="8">
                  <c:v>0.23164721615529713</c:v>
                </c:pt>
                <c:pt idx="9">
                  <c:v>0.25948550072310023</c:v>
                </c:pt>
                <c:pt idx="10">
                  <c:v>0.26608559642772028</c:v>
                </c:pt>
                <c:pt idx="11">
                  <c:v>0.28101786114271482</c:v>
                </c:pt>
                <c:pt idx="12">
                  <c:v>0.36875910448542409</c:v>
                </c:pt>
                <c:pt idx="13">
                  <c:v>0.36875910448542409</c:v>
                </c:pt>
                <c:pt idx="14">
                  <c:v>0.37850336477534219</c:v>
                </c:pt>
                <c:pt idx="15">
                  <c:v>0.40602661805518753</c:v>
                </c:pt>
                <c:pt idx="16">
                  <c:v>0.4270319984419258</c:v>
                </c:pt>
                <c:pt idx="17">
                  <c:v>0.45253160265657361</c:v>
                </c:pt>
                <c:pt idx="18">
                  <c:v>0.47869227885197674</c:v>
                </c:pt>
                <c:pt idx="19">
                  <c:v>0.49886489847796311</c:v>
                </c:pt>
                <c:pt idx="20">
                  <c:v>0.51447268068756313</c:v>
                </c:pt>
                <c:pt idx="21">
                  <c:v>0.60899391188782492</c:v>
                </c:pt>
                <c:pt idx="22">
                  <c:v>0.6354078484437653</c:v>
                </c:pt>
                <c:pt idx="23">
                  <c:v>0.65926150746859358</c:v>
                </c:pt>
                <c:pt idx="24">
                  <c:v>0.67765493006849697</c:v>
                </c:pt>
              </c:numCache>
            </c:numRef>
          </c:val>
          <c:smooth val="1"/>
          <c:extLst>
            <c:ext xmlns:c16="http://schemas.microsoft.com/office/drawing/2014/chart" uri="{C3380CC4-5D6E-409C-BE32-E72D297353CC}">
              <c16:uniqueId val="{00000010-59A6-4259-94C8-B82511B29911}"/>
            </c:ext>
          </c:extLst>
        </c:ser>
        <c:dLbls>
          <c:showLegendKey val="0"/>
          <c:showVal val="0"/>
          <c:showCatName val="0"/>
          <c:showSerName val="0"/>
          <c:showPercent val="0"/>
          <c:showBubbleSize val="0"/>
        </c:dLbls>
        <c:marker val="1"/>
        <c:smooth val="0"/>
        <c:axId val="-1054771552"/>
        <c:axId val="-1054761216"/>
      </c:lineChart>
      <c:catAx>
        <c:axId val="-1054771552"/>
        <c:scaling>
          <c:orientation val="minMax"/>
        </c:scaling>
        <c:delete val="0"/>
        <c:axPos val="b"/>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000" b="1" i="0" u="none" strike="noStrike" baseline="0">
                    <a:solidFill>
                      <a:srgbClr val="000080"/>
                    </a:solidFill>
                    <a:latin typeface="Arial"/>
                    <a:ea typeface="Arial"/>
                    <a:cs typeface="Arial"/>
                  </a:defRPr>
                </a:pPr>
                <a:r>
                  <a:rPr lang="es-PE" sz="800"/>
                  <a:t>PLAZO DE EJECUCION (MESES)</a:t>
                </a:r>
              </a:p>
            </c:rich>
          </c:tx>
          <c:layout>
            <c:manualLayout>
              <c:xMode val="edge"/>
              <c:yMode val="edge"/>
              <c:x val="0.3799881268166897"/>
              <c:y val="0.96690017849798171"/>
            </c:manualLayout>
          </c:layout>
          <c:overlay val="0"/>
          <c:spPr>
            <a:noFill/>
            <a:ln w="25400">
              <a:noFill/>
            </a:ln>
          </c:spPr>
        </c:title>
        <c:numFmt formatCode="d\-mmm\-yy" sourceLinked="1"/>
        <c:majorTickMark val="out"/>
        <c:minorTickMark val="in"/>
        <c:tickLblPos val="nextTo"/>
        <c:spPr>
          <a:ln w="9525">
            <a:noFill/>
          </a:ln>
        </c:spPr>
        <c:txPr>
          <a:bodyPr rot="-5400000" vert="horz"/>
          <a:lstStyle/>
          <a:p>
            <a:pPr>
              <a:defRPr sz="800" b="0" i="0" u="none" strike="noStrike" baseline="0">
                <a:ln>
                  <a:noFill/>
                </a:ln>
                <a:solidFill>
                  <a:srgbClr val="000000"/>
                </a:solidFill>
                <a:latin typeface="Arial"/>
                <a:ea typeface="Arial"/>
                <a:cs typeface="Arial"/>
              </a:defRPr>
            </a:pPr>
            <a:endParaRPr lang="es-PE"/>
          </a:p>
        </c:txPr>
        <c:crossAx val="-1054761216"/>
        <c:crosses val="autoZero"/>
        <c:auto val="0"/>
        <c:lblAlgn val="ctr"/>
        <c:lblOffset val="100"/>
        <c:tickMarkSkip val="1"/>
        <c:noMultiLvlLbl val="0"/>
      </c:catAx>
      <c:valAx>
        <c:axId val="-1054761216"/>
        <c:scaling>
          <c:orientation val="minMax"/>
          <c:max val="1"/>
          <c:min val="0"/>
        </c:scaling>
        <c:delete val="0"/>
        <c:axPos val="l"/>
        <c:majorGridlines>
          <c:spPr>
            <a:ln w="3175">
              <a:solidFill>
                <a:srgbClr val="000000"/>
              </a:solidFill>
              <a:prstDash val="solid"/>
            </a:ln>
          </c:spPr>
        </c:majorGridlines>
        <c:title>
          <c:tx>
            <c:rich>
              <a:bodyPr/>
              <a:lstStyle/>
              <a:p>
                <a:pPr>
                  <a:defRPr sz="900" b="1" i="0" u="none" strike="noStrike" baseline="0">
                    <a:solidFill>
                      <a:srgbClr val="000080"/>
                    </a:solidFill>
                    <a:latin typeface="Arial"/>
                    <a:ea typeface="Arial"/>
                    <a:cs typeface="Arial"/>
                  </a:defRPr>
                </a:pPr>
                <a:r>
                  <a:rPr lang="es-PE"/>
                  <a:t>AVANCE MENSUAL ACUMULADO (%)</a:t>
                </a:r>
              </a:p>
            </c:rich>
          </c:tx>
          <c:layout>
            <c:manualLayout>
              <c:xMode val="edge"/>
              <c:yMode val="edge"/>
              <c:x val="3.4782614302427879E-3"/>
              <c:y val="0.31264868526858475"/>
            </c:manualLayout>
          </c:layout>
          <c:overlay val="0"/>
          <c:spPr>
            <a:noFill/>
            <a:ln w="25400">
              <a:noFill/>
            </a:ln>
          </c:spPr>
        </c:title>
        <c:numFmt formatCode="0%" sourceLinked="0"/>
        <c:majorTickMark val="out"/>
        <c:minorTickMark val="none"/>
        <c:tickLblPos val="nextTo"/>
        <c:spPr>
          <a:ln w="9525">
            <a:noFill/>
          </a:ln>
        </c:spPr>
        <c:txPr>
          <a:bodyPr rot="0" vert="horz"/>
          <a:lstStyle/>
          <a:p>
            <a:pPr>
              <a:defRPr sz="800" b="0" i="0" u="none" strike="noStrike" baseline="0">
                <a:solidFill>
                  <a:srgbClr val="000000"/>
                </a:solidFill>
                <a:latin typeface="Arial"/>
                <a:ea typeface="Arial"/>
                <a:cs typeface="Arial"/>
              </a:defRPr>
            </a:pPr>
            <a:endParaRPr lang="es-PE"/>
          </a:p>
        </c:txPr>
        <c:crossAx val="-1054771552"/>
        <c:crossesAt val="1"/>
        <c:crossBetween val="midCat"/>
        <c:majorUnit val="0.1"/>
        <c:minorUnit val="0.05"/>
      </c:valAx>
      <c:spPr>
        <a:gradFill>
          <a:gsLst>
            <a:gs pos="75000">
              <a:schemeClr val="accent1">
                <a:lumMod val="20000"/>
                <a:lumOff val="80000"/>
              </a:schemeClr>
            </a:gs>
            <a:gs pos="100000">
              <a:srgbClr val="D1F7D8"/>
            </a:gs>
            <a:gs pos="100000">
              <a:srgbClr val="CCFFCC"/>
            </a:gs>
          </a:gsLst>
          <a:lin ang="5400000" scaled="1"/>
        </a:gradFill>
        <a:ln w="3175">
          <a:solidFill>
            <a:schemeClr val="tx1"/>
          </a:solidFill>
          <a:prstDash val="solid"/>
        </a:ln>
        <a:scene3d>
          <a:camera prst="orthographicFront"/>
          <a:lightRig rig="threePt" dir="t"/>
        </a:scene3d>
        <a:sp3d prstMaterial="matte">
          <a:bevelB/>
        </a:sp3d>
      </c:spPr>
    </c:plotArea>
    <c:legend>
      <c:legendPos val="r"/>
      <c:layout>
        <c:manualLayout>
          <c:xMode val="edge"/>
          <c:yMode val="edge"/>
          <c:x val="0.19809522220739367"/>
          <c:y val="0.28703388776651501"/>
          <c:w val="9.4137264320517056E-2"/>
          <c:h val="6.6450565490475899E-2"/>
        </c:manualLayout>
      </c:layout>
      <c:overlay val="0"/>
      <c:spPr>
        <a:solidFill>
          <a:srgbClr val="FFFFFF"/>
        </a:solidFill>
        <a:ln w="3175">
          <a:solidFill>
            <a:srgbClr val="000000"/>
          </a:solidFill>
          <a:prstDash val="solid"/>
        </a:ln>
        <a:effectLst>
          <a:outerShdw dist="35921" dir="2700000" algn="br">
            <a:srgbClr val="000000"/>
          </a:outerShdw>
        </a:effectLst>
      </c:spPr>
      <c:txPr>
        <a:bodyPr/>
        <a:lstStyle/>
        <a:p>
          <a:pPr>
            <a:defRPr sz="540" b="0" i="0" u="none" strike="noStrike" baseline="0">
              <a:solidFill>
                <a:srgbClr val="000000"/>
              </a:solidFill>
              <a:latin typeface="Arial"/>
              <a:ea typeface="Arial"/>
              <a:cs typeface="Arial"/>
            </a:defRPr>
          </a:pPr>
          <a:endParaRPr lang="es-PE"/>
        </a:p>
      </c:txPr>
    </c:legend>
    <c:plotVisOnly val="1"/>
    <c:dispBlanksAs val="gap"/>
    <c:showDLblsOverMax val="0"/>
  </c:chart>
  <c:spPr>
    <a:solidFill>
      <a:srgbClr val="FFFFFF"/>
    </a:solidFill>
    <a:ln w="3175">
      <a:solidFill>
        <a:srgbClr val="000000"/>
      </a:solidFill>
      <a:prstDash val="solid"/>
    </a:ln>
    <a:effectLst>
      <a:outerShdw dist="35921" dir="2700000" algn="br">
        <a:srgbClr val="000000"/>
      </a:outerShdw>
    </a:effectLst>
  </c:spPr>
  <c:txPr>
    <a:bodyPr/>
    <a:lstStyle/>
    <a:p>
      <a:pPr>
        <a:defRPr sz="2600" b="0" i="0" u="none" strike="noStrike" baseline="0">
          <a:solidFill>
            <a:srgbClr val="000000"/>
          </a:solidFill>
          <a:latin typeface="Arial"/>
          <a:ea typeface="Arial"/>
          <a:cs typeface="Arial"/>
        </a:defRPr>
      </a:pPr>
      <a:endParaRPr lang="es-PE"/>
    </a:p>
  </c:txPr>
  <c:printSettings>
    <c:headerFooter alignWithMargins="0"/>
    <c:pageMargins b="0.78740157480314954" l="0.98425196850393659" r="0.78740157480314954" t="0.78740157480314954" header="0" footer="0"/>
    <c:pageSetup paperSize="9" orientation="landscape" horizontalDpi="120" verticalDpi="144"/>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5.jpg"/><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chart" Target="../charts/chart1.xml"/></Relationships>
</file>

<file path=xl/drawings/_rels/drawing19.xml.rels><?xml version="1.0" encoding="UTF-8" standalone="yes"?>
<Relationships xmlns="http://schemas.openxmlformats.org/package/2006/relationships"><Relationship Id="rId2" Type="http://schemas.openxmlformats.org/officeDocument/2006/relationships/image" Target="../media/image10.emf"/><Relationship Id="rId1" Type="http://schemas.openxmlformats.org/officeDocument/2006/relationships/image" Target="../media/image9.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chart" Target="../charts/chart2.xml"/></Relationships>
</file>

<file path=xl/drawings/_rels/drawing2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2.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xdr:from>
      <xdr:col>9</xdr:col>
      <xdr:colOff>708568</xdr:colOff>
      <xdr:row>0</xdr:row>
      <xdr:rowOff>62679</xdr:rowOff>
    </xdr:from>
    <xdr:to>
      <xdr:col>10</xdr:col>
      <xdr:colOff>673721</xdr:colOff>
      <xdr:row>1</xdr:row>
      <xdr:rowOff>511097</xdr:rowOff>
    </xdr:to>
    <xdr:pic>
      <xdr:nvPicPr>
        <xdr:cNvPr id="2" name="irc_mi" descr="Descripción: http://2.bp.blogspot.com/-ThARb7AubWc/TiS2X8ygAYI/AAAAAAAAAgU/3dTzsZw832g/s320/escudo.png">
          <a:extLst>
            <a:ext uri="{FF2B5EF4-FFF2-40B4-BE49-F238E27FC236}">
              <a16:creationId xmlns:a16="http://schemas.microsoft.com/office/drawing/2014/main" id="{E95F367C-2E3A-463B-AAE0-907C1D1F40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41617" y="62679"/>
          <a:ext cx="940884" cy="8549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391950</xdr:colOff>
      <xdr:row>0</xdr:row>
      <xdr:rowOff>74084</xdr:rowOff>
    </xdr:from>
    <xdr:to>
      <xdr:col>0</xdr:col>
      <xdr:colOff>1324207</xdr:colOff>
      <xdr:row>2</xdr:row>
      <xdr:rowOff>51376</xdr:rowOff>
    </xdr:to>
    <xdr:pic>
      <xdr:nvPicPr>
        <xdr:cNvPr id="3" name="image3.jpeg">
          <a:extLst>
            <a:ext uri="{FF2B5EF4-FFF2-40B4-BE49-F238E27FC236}">
              <a16:creationId xmlns:a16="http://schemas.microsoft.com/office/drawing/2014/main" id="{361694C1-5907-4D8B-8F84-E99CA8100EF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1950" y="74084"/>
          <a:ext cx="932257" cy="8192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381001</xdr:colOff>
      <xdr:row>54</xdr:row>
      <xdr:rowOff>176893</xdr:rowOff>
    </xdr:from>
    <xdr:to>
      <xdr:col>0</xdr:col>
      <xdr:colOff>1313258</xdr:colOff>
      <xdr:row>57</xdr:row>
      <xdr:rowOff>18114</xdr:rowOff>
    </xdr:to>
    <xdr:pic>
      <xdr:nvPicPr>
        <xdr:cNvPr id="4" name="image3.jpeg">
          <a:extLst>
            <a:ext uri="{FF2B5EF4-FFF2-40B4-BE49-F238E27FC236}">
              <a16:creationId xmlns:a16="http://schemas.microsoft.com/office/drawing/2014/main" id="{BB6811AE-ABC4-4E7E-B38E-3715F37C6FF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1" y="15580179"/>
          <a:ext cx="932257" cy="8209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666751</xdr:colOff>
      <xdr:row>54</xdr:row>
      <xdr:rowOff>40822</xdr:rowOff>
    </xdr:from>
    <xdr:to>
      <xdr:col>10</xdr:col>
      <xdr:colOff>631904</xdr:colOff>
      <xdr:row>56</xdr:row>
      <xdr:rowOff>0</xdr:rowOff>
    </xdr:to>
    <xdr:pic>
      <xdr:nvPicPr>
        <xdr:cNvPr id="5" name="irc_mi" descr="Descripción: http://2.bp.blogspot.com/-ThARb7AubWc/TiS2X8ygAYI/AAAAAAAAAgU/3dTzsZw832g/s320/escudo.png">
          <a:extLst>
            <a:ext uri="{FF2B5EF4-FFF2-40B4-BE49-F238E27FC236}">
              <a16:creationId xmlns:a16="http://schemas.microsoft.com/office/drawing/2014/main" id="{9BAF85E1-BBF8-4E81-BBB1-E75F441490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123965" y="9824358"/>
          <a:ext cx="931260" cy="7804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708568</xdr:colOff>
      <xdr:row>22</xdr:row>
      <xdr:rowOff>62679</xdr:rowOff>
    </xdr:from>
    <xdr:to>
      <xdr:col>10</xdr:col>
      <xdr:colOff>673721</xdr:colOff>
      <xdr:row>23</xdr:row>
      <xdr:rowOff>511097</xdr:rowOff>
    </xdr:to>
    <xdr:pic>
      <xdr:nvPicPr>
        <xdr:cNvPr id="6" name="irc_mi" descr="Descripción: http://2.bp.blogspot.com/-ThARb7AubWc/TiS2X8ygAYI/AAAAAAAAAgU/3dTzsZw832g/s320/escudo.png">
          <a:extLst>
            <a:ext uri="{FF2B5EF4-FFF2-40B4-BE49-F238E27FC236}">
              <a16:creationId xmlns:a16="http://schemas.microsoft.com/office/drawing/2014/main" id="{5BFD60BB-FE95-44E8-8C89-FDDFE7E026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165782" y="62679"/>
          <a:ext cx="931260" cy="7804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391950</xdr:colOff>
      <xdr:row>22</xdr:row>
      <xdr:rowOff>74084</xdr:rowOff>
    </xdr:from>
    <xdr:ext cx="932257" cy="820935"/>
    <xdr:pic>
      <xdr:nvPicPr>
        <xdr:cNvPr id="7" name="image3.jpeg">
          <a:extLst>
            <a:ext uri="{FF2B5EF4-FFF2-40B4-BE49-F238E27FC236}">
              <a16:creationId xmlns:a16="http://schemas.microsoft.com/office/drawing/2014/main" id="{14CC9E5C-3A84-41EE-9C33-1C4701D62EC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1950" y="74084"/>
          <a:ext cx="932257" cy="8209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8</xdr:col>
      <xdr:colOff>142875</xdr:colOff>
      <xdr:row>23</xdr:row>
      <xdr:rowOff>0</xdr:rowOff>
    </xdr:from>
    <xdr:to>
      <xdr:col>16</xdr:col>
      <xdr:colOff>47625</xdr:colOff>
      <xdr:row>23</xdr:row>
      <xdr:rowOff>0</xdr:rowOff>
    </xdr:to>
    <xdr:sp macro="" textlink="">
      <xdr:nvSpPr>
        <xdr:cNvPr id="2" name="Text Box 1">
          <a:extLst>
            <a:ext uri="{FF2B5EF4-FFF2-40B4-BE49-F238E27FC236}">
              <a16:creationId xmlns:a16="http://schemas.microsoft.com/office/drawing/2014/main" id="{2630C2D5-5E14-4B12-BB5C-B7B82DD7EC42}"/>
            </a:ext>
          </a:extLst>
        </xdr:cNvPr>
        <xdr:cNvSpPr txBox="1">
          <a:spLocks noChangeArrowheads="1"/>
        </xdr:cNvSpPr>
      </xdr:nvSpPr>
      <xdr:spPr bwMode="auto">
        <a:xfrm>
          <a:off x="2573655" y="5372100"/>
          <a:ext cx="171069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8</xdr:col>
      <xdr:colOff>133350</xdr:colOff>
      <xdr:row>23</xdr:row>
      <xdr:rowOff>0</xdr:rowOff>
    </xdr:from>
    <xdr:to>
      <xdr:col>16</xdr:col>
      <xdr:colOff>38100</xdr:colOff>
      <xdr:row>23</xdr:row>
      <xdr:rowOff>0</xdr:rowOff>
    </xdr:to>
    <xdr:sp macro="" textlink="">
      <xdr:nvSpPr>
        <xdr:cNvPr id="3" name="Text Box 2">
          <a:extLst>
            <a:ext uri="{FF2B5EF4-FFF2-40B4-BE49-F238E27FC236}">
              <a16:creationId xmlns:a16="http://schemas.microsoft.com/office/drawing/2014/main" id="{36D6C022-2483-41B1-817F-3DCC43EE6AB3}"/>
            </a:ext>
          </a:extLst>
        </xdr:cNvPr>
        <xdr:cNvSpPr txBox="1">
          <a:spLocks noChangeArrowheads="1"/>
        </xdr:cNvSpPr>
      </xdr:nvSpPr>
      <xdr:spPr bwMode="auto">
        <a:xfrm>
          <a:off x="2564130" y="5372100"/>
          <a:ext cx="171069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2</xdr:col>
      <xdr:colOff>12838</xdr:colOff>
      <xdr:row>274</xdr:row>
      <xdr:rowOff>76614</xdr:rowOff>
    </xdr:from>
    <xdr:to>
      <xdr:col>17</xdr:col>
      <xdr:colOff>90281</xdr:colOff>
      <xdr:row>280</xdr:row>
      <xdr:rowOff>0</xdr:rowOff>
    </xdr:to>
    <xdr:sp macro="" textlink="">
      <xdr:nvSpPr>
        <xdr:cNvPr id="4" name="8 CuadroTexto">
          <a:extLst>
            <a:ext uri="{FF2B5EF4-FFF2-40B4-BE49-F238E27FC236}">
              <a16:creationId xmlns:a16="http://schemas.microsoft.com/office/drawing/2014/main" id="{06DC06CF-EFED-4FB5-B94B-2243C42C249C}"/>
            </a:ext>
          </a:extLst>
        </xdr:cNvPr>
        <xdr:cNvSpPr txBox="1"/>
      </xdr:nvSpPr>
      <xdr:spPr>
        <a:xfrm>
          <a:off x="294778" y="54544374"/>
          <a:ext cx="4215103" cy="1020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PE" sz="1100"/>
            <a:t>-----------------------------------------------------------</a:t>
          </a:r>
        </a:p>
        <a:p>
          <a:pPr algn="ctr"/>
          <a:r>
            <a:rPr lang="es-PE" sz="1100" b="1" i="1"/>
            <a:t>ING.</a:t>
          </a:r>
          <a:r>
            <a:rPr lang="es-PE" sz="1100" b="1" i="1" baseline="0"/>
            <a:t> RESIDENTE DE OBRA </a:t>
          </a:r>
        </a:p>
        <a:p>
          <a:pPr algn="ctr"/>
          <a:endParaRPr lang="es-PE" sz="1100" i="1"/>
        </a:p>
      </xdr:txBody>
    </xdr:sp>
    <xdr:clientData/>
  </xdr:twoCellAnchor>
  <xdr:twoCellAnchor>
    <xdr:from>
      <xdr:col>25</xdr:col>
      <xdr:colOff>57978</xdr:colOff>
      <xdr:row>274</xdr:row>
      <xdr:rowOff>88624</xdr:rowOff>
    </xdr:from>
    <xdr:to>
      <xdr:col>39</xdr:col>
      <xdr:colOff>828</xdr:colOff>
      <xdr:row>280</xdr:row>
      <xdr:rowOff>12424</xdr:rowOff>
    </xdr:to>
    <xdr:sp macro="" textlink="">
      <xdr:nvSpPr>
        <xdr:cNvPr id="5" name="10 CuadroTexto">
          <a:extLst>
            <a:ext uri="{FF2B5EF4-FFF2-40B4-BE49-F238E27FC236}">
              <a16:creationId xmlns:a16="http://schemas.microsoft.com/office/drawing/2014/main" id="{4FD6574B-8487-4CB0-AFB7-57C43742C6BF}"/>
            </a:ext>
          </a:extLst>
        </xdr:cNvPr>
        <xdr:cNvSpPr txBox="1"/>
      </xdr:nvSpPr>
      <xdr:spPr>
        <a:xfrm>
          <a:off x="6565458" y="54556384"/>
          <a:ext cx="5231130" cy="1021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PE" sz="1100"/>
            <a:t>-----------------------------------------------------------</a:t>
          </a:r>
        </a:p>
        <a:p>
          <a:pPr algn="ctr"/>
          <a:r>
            <a:rPr lang="es-PE" sz="1100" b="1" i="1"/>
            <a:t>ING.</a:t>
          </a:r>
          <a:r>
            <a:rPr lang="es-PE" sz="1100" b="1" i="1" baseline="0"/>
            <a:t> SUPERVISOR  DE OBRA </a:t>
          </a:r>
        </a:p>
        <a:p>
          <a:pPr algn="ctr"/>
          <a:endParaRPr lang="es-PE" sz="1100" i="1"/>
        </a:p>
      </xdr:txBody>
    </xdr:sp>
    <xdr:clientData/>
  </xdr:twoCellAnchor>
  <xdr:twoCellAnchor editAs="oneCell">
    <xdr:from>
      <xdr:col>2</xdr:col>
      <xdr:colOff>38100</xdr:colOff>
      <xdr:row>1</xdr:row>
      <xdr:rowOff>114301</xdr:rowOff>
    </xdr:from>
    <xdr:to>
      <xdr:col>4</xdr:col>
      <xdr:colOff>228600</xdr:colOff>
      <xdr:row>4</xdr:row>
      <xdr:rowOff>114299</xdr:rowOff>
    </xdr:to>
    <xdr:pic>
      <xdr:nvPicPr>
        <xdr:cNvPr id="6" name="1 Imagen">
          <a:extLst>
            <a:ext uri="{FF2B5EF4-FFF2-40B4-BE49-F238E27FC236}">
              <a16:creationId xmlns:a16="http://schemas.microsoft.com/office/drawing/2014/main" id="{81C5B011-F4D7-4957-ADD2-45F910C230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40" y="297181"/>
          <a:ext cx="716280" cy="7315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244929</xdr:colOff>
      <xdr:row>1</xdr:row>
      <xdr:rowOff>122465</xdr:rowOff>
    </xdr:from>
    <xdr:to>
      <xdr:col>2</xdr:col>
      <xdr:colOff>340179</xdr:colOff>
      <xdr:row>5</xdr:row>
      <xdr:rowOff>272143</xdr:rowOff>
    </xdr:to>
    <xdr:pic>
      <xdr:nvPicPr>
        <xdr:cNvPr id="7" name="Imagen 6">
          <a:extLst>
            <a:ext uri="{FF2B5EF4-FFF2-40B4-BE49-F238E27FC236}">
              <a16:creationId xmlns:a16="http://schemas.microsoft.com/office/drawing/2014/main" id="{61EBC596-5B98-432D-AED3-715183D34C72}"/>
            </a:ext>
          </a:extLst>
        </xdr:cNvPr>
        <xdr:cNvPicPr/>
      </xdr:nvPicPr>
      <xdr:blipFill>
        <a:blip xmlns:r="http://schemas.openxmlformats.org/officeDocument/2006/relationships" r:embed="rId1"/>
        <a:srcRect/>
        <a:stretch>
          <a:fillRect/>
        </a:stretch>
      </xdr:blipFill>
      <xdr:spPr bwMode="auto">
        <a:xfrm>
          <a:off x="544286" y="285751"/>
          <a:ext cx="857250" cy="911678"/>
        </a:xfrm>
        <a:prstGeom prst="rect">
          <a:avLst/>
        </a:prstGeom>
        <a:noFill/>
      </xdr:spPr>
    </xdr:pic>
    <xdr:clientData/>
  </xdr:twoCellAnchor>
  <xdr:twoCellAnchor editAs="oneCell">
    <xdr:from>
      <xdr:col>5</xdr:col>
      <xdr:colOff>22859</xdr:colOff>
      <xdr:row>34</xdr:row>
      <xdr:rowOff>120201</xdr:rowOff>
    </xdr:from>
    <xdr:to>
      <xdr:col>9</xdr:col>
      <xdr:colOff>688805</xdr:colOff>
      <xdr:row>52</xdr:row>
      <xdr:rowOff>68580</xdr:rowOff>
    </xdr:to>
    <xdr:pic>
      <xdr:nvPicPr>
        <xdr:cNvPr id="2" name="Imagen 1">
          <a:extLst>
            <a:ext uri="{FF2B5EF4-FFF2-40B4-BE49-F238E27FC236}">
              <a16:creationId xmlns:a16="http://schemas.microsoft.com/office/drawing/2014/main" id="{0BDE915C-86FA-E2B7-F6F8-2F294F3B3A4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t="25069" b="25069"/>
        <a:stretch/>
      </xdr:blipFill>
      <xdr:spPr>
        <a:xfrm>
          <a:off x="4198619" y="6444801"/>
          <a:ext cx="3340566" cy="2729679"/>
        </a:xfrm>
        <a:prstGeom prst="roundRect">
          <a:avLst>
            <a:gd name="adj" fmla="val 8594"/>
          </a:avLst>
        </a:prstGeom>
        <a:pattFill prst="pct5">
          <a:fgClr>
            <a:srgbClr val="FFFFFF">
              <a:shade val="85000"/>
            </a:srgbClr>
          </a:fgClr>
          <a:bgClr>
            <a:schemeClr val="bg1"/>
          </a:bgClr>
        </a:pattFill>
        <a:ln>
          <a:noFill/>
        </a:ln>
        <a:effectLst>
          <a:reflection blurRad="12700" stA="38000" endPos="28000" dist="5000" dir="5400000" sy="-100000" algn="bl" rotWithShape="0"/>
        </a:effectLst>
      </xdr:spPr>
    </xdr:pic>
    <xdr:clientData/>
  </xdr:twoCellAnchor>
  <xdr:twoCellAnchor editAs="oneCell">
    <xdr:from>
      <xdr:col>1</xdr:col>
      <xdr:colOff>171450</xdr:colOff>
      <xdr:row>25</xdr:row>
      <xdr:rowOff>133350</xdr:rowOff>
    </xdr:from>
    <xdr:to>
      <xdr:col>4</xdr:col>
      <xdr:colOff>314325</xdr:colOff>
      <xdr:row>42</xdr:row>
      <xdr:rowOff>50944</xdr:rowOff>
    </xdr:to>
    <xdr:pic>
      <xdr:nvPicPr>
        <xdr:cNvPr id="3" name="Imagen 2">
          <a:extLst>
            <a:ext uri="{FF2B5EF4-FFF2-40B4-BE49-F238E27FC236}">
              <a16:creationId xmlns:a16="http://schemas.microsoft.com/office/drawing/2014/main" id="{AD0CCA20-A384-6AF9-2D44-91EA6368E8B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9783" r="9783"/>
        <a:stretch/>
      </xdr:blipFill>
      <xdr:spPr>
        <a:xfrm>
          <a:off x="483870" y="4834890"/>
          <a:ext cx="3221355" cy="3003694"/>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95250</xdr:colOff>
      <xdr:row>1</xdr:row>
      <xdr:rowOff>76200</xdr:rowOff>
    </xdr:from>
    <xdr:ext cx="887691" cy="762000"/>
    <xdr:pic>
      <xdr:nvPicPr>
        <xdr:cNvPr id="2" name="2 Imagen">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0" y="323850"/>
          <a:ext cx="887691" cy="762000"/>
        </a:xfrm>
        <a:prstGeom prst="rect">
          <a:avLst/>
        </a:prstGeom>
      </xdr:spPr>
    </xdr:pic>
    <xdr:clientData/>
  </xdr:oneCellAnchor>
  <xdr:oneCellAnchor>
    <xdr:from>
      <xdr:col>1</xdr:col>
      <xdr:colOff>95250</xdr:colOff>
      <xdr:row>1</xdr:row>
      <xdr:rowOff>76200</xdr:rowOff>
    </xdr:from>
    <xdr:ext cx="887691" cy="762000"/>
    <xdr:pic>
      <xdr:nvPicPr>
        <xdr:cNvPr id="3" name="2 Imagen">
          <a:extLst>
            <a:ext uri="{FF2B5EF4-FFF2-40B4-BE49-F238E27FC236}">
              <a16:creationId xmlns:a16="http://schemas.microsoft.com/office/drawing/2014/main" id="{58D92D42-7986-4E1D-AC24-0DC1E3783E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0" y="323850"/>
          <a:ext cx="887691" cy="762000"/>
        </a:xfrm>
        <a:prstGeom prst="rect">
          <a:avLst/>
        </a:prstGeom>
      </xdr:spPr>
    </xdr:pic>
    <xdr:clientData/>
  </xdr:oneCellAnchor>
  <xdr:twoCellAnchor editAs="oneCell">
    <xdr:from>
      <xdr:col>1</xdr:col>
      <xdr:colOff>85725</xdr:colOff>
      <xdr:row>1</xdr:row>
      <xdr:rowOff>47625</xdr:rowOff>
    </xdr:from>
    <xdr:to>
      <xdr:col>3</xdr:col>
      <xdr:colOff>390525</xdr:colOff>
      <xdr:row>5</xdr:row>
      <xdr:rowOff>139700</xdr:rowOff>
    </xdr:to>
    <xdr:pic>
      <xdr:nvPicPr>
        <xdr:cNvPr id="4" name="image3.jpeg">
          <a:extLst>
            <a:ext uri="{FF2B5EF4-FFF2-40B4-BE49-F238E27FC236}">
              <a16:creationId xmlns:a16="http://schemas.microsoft.com/office/drawing/2014/main" id="{0B1B4DC6-5FCE-47ED-8AB1-7C23631D80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7725" y="295275"/>
          <a:ext cx="923925" cy="958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15</xdr:col>
      <xdr:colOff>353786</xdr:colOff>
      <xdr:row>0</xdr:row>
      <xdr:rowOff>85911</xdr:rowOff>
    </xdr:from>
    <xdr:to>
      <xdr:col>16</xdr:col>
      <xdr:colOff>487137</xdr:colOff>
      <xdr:row>3</xdr:row>
      <xdr:rowOff>132316</xdr:rowOff>
    </xdr:to>
    <xdr:pic>
      <xdr:nvPicPr>
        <xdr:cNvPr id="2" name="irc_mi" descr="Descripción: http://2.bp.blogspot.com/-ThARb7AubWc/TiS2X8ygAYI/AAAAAAAAAgU/3dTzsZw832g/s320/escudo.png">
          <a:extLst>
            <a:ext uri="{FF2B5EF4-FFF2-40B4-BE49-F238E27FC236}">
              <a16:creationId xmlns:a16="http://schemas.microsoft.com/office/drawing/2014/main" id="{E9F13F41-717B-4F98-9EB1-98FE15EE962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860986" y="85911"/>
          <a:ext cx="1085851" cy="1275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217713</xdr:colOff>
      <xdr:row>0</xdr:row>
      <xdr:rowOff>74083</xdr:rowOff>
    </xdr:from>
    <xdr:to>
      <xdr:col>1</xdr:col>
      <xdr:colOff>260353</xdr:colOff>
      <xdr:row>2</xdr:row>
      <xdr:rowOff>329678</xdr:rowOff>
    </xdr:to>
    <xdr:pic>
      <xdr:nvPicPr>
        <xdr:cNvPr id="3" name="image3.jpeg">
          <a:extLst>
            <a:ext uri="{FF2B5EF4-FFF2-40B4-BE49-F238E27FC236}">
              <a16:creationId xmlns:a16="http://schemas.microsoft.com/office/drawing/2014/main" id="{85038A5A-1446-4260-BEF4-8C89A64FCD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7713" y="74083"/>
          <a:ext cx="1128490" cy="11450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353786</xdr:colOff>
      <xdr:row>49</xdr:row>
      <xdr:rowOff>85911</xdr:rowOff>
    </xdr:from>
    <xdr:to>
      <xdr:col>16</xdr:col>
      <xdr:colOff>487137</xdr:colOff>
      <xdr:row>52</xdr:row>
      <xdr:rowOff>132316</xdr:rowOff>
    </xdr:to>
    <xdr:pic>
      <xdr:nvPicPr>
        <xdr:cNvPr id="4" name="irc_mi" descr="Descripción: http://2.bp.blogspot.com/-ThARb7AubWc/TiS2X8ygAYI/AAAAAAAAAgU/3dTzsZw832g/s320/escudo.png">
          <a:extLst>
            <a:ext uri="{FF2B5EF4-FFF2-40B4-BE49-F238E27FC236}">
              <a16:creationId xmlns:a16="http://schemas.microsoft.com/office/drawing/2014/main" id="{EF22C0FC-465D-43B3-9630-1510B18262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860986" y="85911"/>
          <a:ext cx="1085851" cy="14942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272143</xdr:colOff>
      <xdr:row>48</xdr:row>
      <xdr:rowOff>122009</xdr:rowOff>
    </xdr:from>
    <xdr:to>
      <xdr:col>0</xdr:col>
      <xdr:colOff>952500</xdr:colOff>
      <xdr:row>51</xdr:row>
      <xdr:rowOff>116026</xdr:rowOff>
    </xdr:to>
    <xdr:pic>
      <xdr:nvPicPr>
        <xdr:cNvPr id="5" name="image3.jpeg">
          <a:extLst>
            <a:ext uri="{FF2B5EF4-FFF2-40B4-BE49-F238E27FC236}">
              <a16:creationId xmlns:a16="http://schemas.microsoft.com/office/drawing/2014/main" id="{8B7ECFA8-51C3-42AA-ABED-D21ABAF185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143" y="12677691"/>
          <a:ext cx="680357" cy="9959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15</xdr:col>
      <xdr:colOff>353786</xdr:colOff>
      <xdr:row>0</xdr:row>
      <xdr:rowOff>85911</xdr:rowOff>
    </xdr:from>
    <xdr:to>
      <xdr:col>16</xdr:col>
      <xdr:colOff>487137</xdr:colOff>
      <xdr:row>2</xdr:row>
      <xdr:rowOff>132316</xdr:rowOff>
    </xdr:to>
    <xdr:pic>
      <xdr:nvPicPr>
        <xdr:cNvPr id="3" name="irc_mi" descr="Descripción: http://2.bp.blogspot.com/-ThARb7AubWc/TiS2X8ygAYI/AAAAAAAAAgU/3dTzsZw832g/s320/escudo.png">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605367" y="85911"/>
          <a:ext cx="1085851" cy="11810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217713</xdr:colOff>
      <xdr:row>0</xdr:row>
      <xdr:rowOff>74083</xdr:rowOff>
    </xdr:from>
    <xdr:to>
      <xdr:col>1</xdr:col>
      <xdr:colOff>260353</xdr:colOff>
      <xdr:row>2</xdr:row>
      <xdr:rowOff>21661</xdr:rowOff>
    </xdr:to>
    <xdr:pic>
      <xdr:nvPicPr>
        <xdr:cNvPr id="5" name="image3.jpeg">
          <a:extLst>
            <a:ext uri="{FF2B5EF4-FFF2-40B4-BE49-F238E27FC236}">
              <a16:creationId xmlns:a16="http://schemas.microsoft.com/office/drawing/2014/main" id="{D22FE62B-7A2A-4CFE-A444-79481BCC2E0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7713" y="74083"/>
          <a:ext cx="1135214" cy="11445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1</xdr:col>
      <xdr:colOff>43089</xdr:colOff>
      <xdr:row>0</xdr:row>
      <xdr:rowOff>27215</xdr:rowOff>
    </xdr:from>
    <xdr:ext cx="1202082" cy="1031875"/>
    <xdr:pic>
      <xdr:nvPicPr>
        <xdr:cNvPr id="2" name="2 Imagen">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3268" y="27215"/>
          <a:ext cx="1202082" cy="1031875"/>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xdr:col>
      <xdr:colOff>43089</xdr:colOff>
      <xdr:row>0</xdr:row>
      <xdr:rowOff>27215</xdr:rowOff>
    </xdr:from>
    <xdr:ext cx="1202082" cy="1031875"/>
    <xdr:pic>
      <xdr:nvPicPr>
        <xdr:cNvPr id="2" name="2 Imagen">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6464" y="27215"/>
          <a:ext cx="1202082" cy="1031875"/>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9</xdr:col>
      <xdr:colOff>161925</xdr:colOff>
      <xdr:row>2</xdr:row>
      <xdr:rowOff>0</xdr:rowOff>
    </xdr:from>
    <xdr:to>
      <xdr:col>11</xdr:col>
      <xdr:colOff>517072</xdr:colOff>
      <xdr:row>4</xdr:row>
      <xdr:rowOff>200025</xdr:rowOff>
    </xdr:to>
    <xdr:sp macro="" textlink="">
      <xdr:nvSpPr>
        <xdr:cNvPr id="36" name="Text Box 1">
          <a:extLst>
            <a:ext uri="{FF2B5EF4-FFF2-40B4-BE49-F238E27FC236}">
              <a16:creationId xmlns:a16="http://schemas.microsoft.com/office/drawing/2014/main" id="{00000000-0008-0000-0800-000024000000}"/>
            </a:ext>
          </a:extLst>
        </xdr:cNvPr>
        <xdr:cNvSpPr txBox="1">
          <a:spLocks noChangeArrowheads="1"/>
        </xdr:cNvSpPr>
      </xdr:nvSpPr>
      <xdr:spPr bwMode="auto">
        <a:xfrm>
          <a:off x="6296025" y="438150"/>
          <a:ext cx="212407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161925</xdr:colOff>
      <xdr:row>26</xdr:row>
      <xdr:rowOff>0</xdr:rowOff>
    </xdr:from>
    <xdr:to>
      <xdr:col>11</xdr:col>
      <xdr:colOff>517072</xdr:colOff>
      <xdr:row>29</xdr:row>
      <xdr:rowOff>72117</xdr:rowOff>
    </xdr:to>
    <xdr:sp macro="" textlink="">
      <xdr:nvSpPr>
        <xdr:cNvPr id="38" name="Text Box 1">
          <a:extLst>
            <a:ext uri="{FF2B5EF4-FFF2-40B4-BE49-F238E27FC236}">
              <a16:creationId xmlns:a16="http://schemas.microsoft.com/office/drawing/2014/main" id="{00000000-0008-0000-0800-000026000000}"/>
            </a:ext>
          </a:extLst>
        </xdr:cNvPr>
        <xdr:cNvSpPr txBox="1">
          <a:spLocks noChangeArrowheads="1"/>
        </xdr:cNvSpPr>
      </xdr:nvSpPr>
      <xdr:spPr bwMode="auto">
        <a:xfrm>
          <a:off x="6296025" y="4638675"/>
          <a:ext cx="212407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161925</xdr:colOff>
      <xdr:row>27</xdr:row>
      <xdr:rowOff>0</xdr:rowOff>
    </xdr:from>
    <xdr:to>
      <xdr:col>11</xdr:col>
      <xdr:colOff>517072</xdr:colOff>
      <xdr:row>30</xdr:row>
      <xdr:rowOff>159204</xdr:rowOff>
    </xdr:to>
    <xdr:sp macro="" textlink="">
      <xdr:nvSpPr>
        <xdr:cNvPr id="71" name="Text Box 1">
          <a:extLst>
            <a:ext uri="{FF2B5EF4-FFF2-40B4-BE49-F238E27FC236}">
              <a16:creationId xmlns:a16="http://schemas.microsoft.com/office/drawing/2014/main" id="{00000000-0008-0000-0800-000047000000}"/>
            </a:ext>
          </a:extLst>
        </xdr:cNvPr>
        <xdr:cNvSpPr txBox="1">
          <a:spLocks noChangeArrowheads="1"/>
        </xdr:cNvSpPr>
      </xdr:nvSpPr>
      <xdr:spPr bwMode="auto">
        <a:xfrm>
          <a:off x="6856639" y="435429"/>
          <a:ext cx="2124075" cy="6898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161925</xdr:colOff>
      <xdr:row>27</xdr:row>
      <xdr:rowOff>0</xdr:rowOff>
    </xdr:from>
    <xdr:to>
      <xdr:col>11</xdr:col>
      <xdr:colOff>517072</xdr:colOff>
      <xdr:row>30</xdr:row>
      <xdr:rowOff>159204</xdr:rowOff>
    </xdr:to>
    <xdr:sp macro="" textlink="">
      <xdr:nvSpPr>
        <xdr:cNvPr id="72" name="Text Box 1">
          <a:extLst>
            <a:ext uri="{FF2B5EF4-FFF2-40B4-BE49-F238E27FC236}">
              <a16:creationId xmlns:a16="http://schemas.microsoft.com/office/drawing/2014/main" id="{00000000-0008-0000-0800-000048000000}"/>
            </a:ext>
          </a:extLst>
        </xdr:cNvPr>
        <xdr:cNvSpPr txBox="1">
          <a:spLocks noChangeArrowheads="1"/>
        </xdr:cNvSpPr>
      </xdr:nvSpPr>
      <xdr:spPr bwMode="auto">
        <a:xfrm>
          <a:off x="6856639" y="435429"/>
          <a:ext cx="2124075" cy="6898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161925</xdr:colOff>
      <xdr:row>27</xdr:row>
      <xdr:rowOff>0</xdr:rowOff>
    </xdr:from>
    <xdr:to>
      <xdr:col>11</xdr:col>
      <xdr:colOff>517072</xdr:colOff>
      <xdr:row>30</xdr:row>
      <xdr:rowOff>159204</xdr:rowOff>
    </xdr:to>
    <xdr:sp macro="" textlink="">
      <xdr:nvSpPr>
        <xdr:cNvPr id="73" name="Text Box 1">
          <a:extLst>
            <a:ext uri="{FF2B5EF4-FFF2-40B4-BE49-F238E27FC236}">
              <a16:creationId xmlns:a16="http://schemas.microsoft.com/office/drawing/2014/main" id="{00000000-0008-0000-0800-000049000000}"/>
            </a:ext>
          </a:extLst>
        </xdr:cNvPr>
        <xdr:cNvSpPr txBox="1">
          <a:spLocks noChangeArrowheads="1"/>
        </xdr:cNvSpPr>
      </xdr:nvSpPr>
      <xdr:spPr bwMode="auto">
        <a:xfrm>
          <a:off x="6856639" y="6749143"/>
          <a:ext cx="2124075" cy="6898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161925</xdr:colOff>
      <xdr:row>27</xdr:row>
      <xdr:rowOff>0</xdr:rowOff>
    </xdr:from>
    <xdr:to>
      <xdr:col>11</xdr:col>
      <xdr:colOff>517072</xdr:colOff>
      <xdr:row>30</xdr:row>
      <xdr:rowOff>159204</xdr:rowOff>
    </xdr:to>
    <xdr:sp macro="" textlink="">
      <xdr:nvSpPr>
        <xdr:cNvPr id="74" name="Text Box 1">
          <a:extLst>
            <a:ext uri="{FF2B5EF4-FFF2-40B4-BE49-F238E27FC236}">
              <a16:creationId xmlns:a16="http://schemas.microsoft.com/office/drawing/2014/main" id="{00000000-0008-0000-0800-00004A000000}"/>
            </a:ext>
          </a:extLst>
        </xdr:cNvPr>
        <xdr:cNvSpPr txBox="1">
          <a:spLocks noChangeArrowheads="1"/>
        </xdr:cNvSpPr>
      </xdr:nvSpPr>
      <xdr:spPr bwMode="auto">
        <a:xfrm>
          <a:off x="6856639" y="6749143"/>
          <a:ext cx="2124075" cy="6898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10.xml><?xml version="1.0" encoding="utf-8"?>
<xdr:wsDr xmlns:xdr="http://schemas.openxmlformats.org/drawingml/2006/spreadsheetDrawing" xmlns:a="http://schemas.openxmlformats.org/drawingml/2006/main">
  <xdr:oneCellAnchor>
    <xdr:from>
      <xdr:col>2</xdr:col>
      <xdr:colOff>134938</xdr:colOff>
      <xdr:row>3</xdr:row>
      <xdr:rowOff>15875</xdr:rowOff>
    </xdr:from>
    <xdr:ext cx="627063" cy="538275"/>
    <xdr:pic>
      <xdr:nvPicPr>
        <xdr:cNvPr id="7" name="2 Imagen">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938" y="15875"/>
          <a:ext cx="627063" cy="538275"/>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1</xdr:col>
      <xdr:colOff>84667</xdr:colOff>
      <xdr:row>0</xdr:row>
      <xdr:rowOff>74084</xdr:rowOff>
    </xdr:from>
    <xdr:ext cx="828676" cy="790574"/>
    <xdr:pic>
      <xdr:nvPicPr>
        <xdr:cNvPr id="4" name="1 Imagen">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667" y="74084"/>
          <a:ext cx="828676" cy="790574"/>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161925</xdr:colOff>
      <xdr:row>1</xdr:row>
      <xdr:rowOff>95250</xdr:rowOff>
    </xdr:from>
    <xdr:ext cx="828676" cy="809624"/>
    <xdr:pic>
      <xdr:nvPicPr>
        <xdr:cNvPr id="2" name="1 Imagen">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285750"/>
          <a:ext cx="828676" cy="809624"/>
        </a:xfrm>
        <a:prstGeom prst="rect">
          <a:avLst/>
        </a:prstGeom>
      </xdr:spPr>
    </xdr:pic>
    <xdr:clientData/>
  </xdr:oneCellAnchor>
  <xdr:twoCellAnchor>
    <xdr:from>
      <xdr:col>0</xdr:col>
      <xdr:colOff>76200</xdr:colOff>
      <xdr:row>36</xdr:row>
      <xdr:rowOff>54882</xdr:rowOff>
    </xdr:from>
    <xdr:to>
      <xdr:col>3</xdr:col>
      <xdr:colOff>257174</xdr:colOff>
      <xdr:row>40</xdr:row>
      <xdr:rowOff>118382</xdr:rowOff>
    </xdr:to>
    <xdr:sp macro="" textlink="">
      <xdr:nvSpPr>
        <xdr:cNvPr id="3" name="3 CuadroTexto">
          <a:extLst>
            <a:ext uri="{FF2B5EF4-FFF2-40B4-BE49-F238E27FC236}">
              <a16:creationId xmlns:a16="http://schemas.microsoft.com/office/drawing/2014/main" id="{00000000-0008-0000-0B00-000003000000}"/>
            </a:ext>
          </a:extLst>
        </xdr:cNvPr>
        <xdr:cNvSpPr txBox="1"/>
      </xdr:nvSpPr>
      <xdr:spPr>
        <a:xfrm>
          <a:off x="76200" y="6912882"/>
          <a:ext cx="2466974" cy="825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PE" sz="1100"/>
            <a:t>-----------------------------------------------------</a:t>
          </a:r>
          <a:r>
            <a:rPr lang="es-PE" sz="1000" b="1" i="1"/>
            <a:t>ING.</a:t>
          </a:r>
          <a:r>
            <a:rPr lang="es-PE" sz="1000" b="1" i="1" baseline="0"/>
            <a:t> RESIDENTE DE OBRA </a:t>
          </a:r>
        </a:p>
        <a:p>
          <a:pPr algn="ctr"/>
          <a:r>
            <a:rPr lang="es-PE" sz="1000" b="1" i="1"/>
            <a:t>Firma y</a:t>
          </a:r>
          <a:r>
            <a:rPr lang="es-PE" sz="1000" b="1" i="1" baseline="0"/>
            <a:t> Sello</a:t>
          </a:r>
          <a:endParaRPr lang="es-PE" sz="1000" b="1" i="1"/>
        </a:p>
      </xdr:txBody>
    </xdr:sp>
    <xdr:clientData/>
  </xdr:twoCellAnchor>
  <xdr:twoCellAnchor>
    <xdr:from>
      <xdr:col>10</xdr:col>
      <xdr:colOff>17387</xdr:colOff>
      <xdr:row>36</xdr:row>
      <xdr:rowOff>70454</xdr:rowOff>
    </xdr:from>
    <xdr:to>
      <xdr:col>13</xdr:col>
      <xdr:colOff>304800</xdr:colOff>
      <xdr:row>41</xdr:row>
      <xdr:rowOff>143026</xdr:rowOff>
    </xdr:to>
    <xdr:sp macro="" textlink="">
      <xdr:nvSpPr>
        <xdr:cNvPr id="4" name="3 CuadroTexto">
          <a:extLst>
            <a:ext uri="{FF2B5EF4-FFF2-40B4-BE49-F238E27FC236}">
              <a16:creationId xmlns:a16="http://schemas.microsoft.com/office/drawing/2014/main" id="{00000000-0008-0000-0B00-000004000000}"/>
            </a:ext>
          </a:extLst>
        </xdr:cNvPr>
        <xdr:cNvSpPr txBox="1"/>
      </xdr:nvSpPr>
      <xdr:spPr>
        <a:xfrm>
          <a:off x="7637387" y="6928454"/>
          <a:ext cx="2573413" cy="1025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PE" sz="1100"/>
            <a:t>----------------------------------------------------</a:t>
          </a:r>
        </a:p>
        <a:p>
          <a:pPr algn="ctr"/>
          <a:r>
            <a:rPr lang="es-PE" sz="1000" b="1" i="1" baseline="0"/>
            <a:t>ALMACENERO</a:t>
          </a:r>
        </a:p>
        <a:p>
          <a:pPr algn="ctr"/>
          <a:r>
            <a:rPr lang="es-PE" sz="1000" b="1" i="1"/>
            <a:t>Firma y</a:t>
          </a:r>
          <a:r>
            <a:rPr lang="es-PE" sz="1000" b="1" i="1" baseline="0"/>
            <a:t> Sello</a:t>
          </a:r>
          <a:endParaRPr lang="es-PE" sz="1000" b="1" i="1"/>
        </a:p>
      </xdr:txBody>
    </xdr:sp>
    <xdr:clientData/>
  </xdr:twoCellAnchor>
  <xdr:twoCellAnchor>
    <xdr:from>
      <xdr:col>5</xdr:col>
      <xdr:colOff>100542</xdr:colOff>
      <xdr:row>36</xdr:row>
      <xdr:rowOff>63500</xdr:rowOff>
    </xdr:from>
    <xdr:to>
      <xdr:col>8</xdr:col>
      <xdr:colOff>123825</xdr:colOff>
      <xdr:row>40</xdr:row>
      <xdr:rowOff>127000</xdr:rowOff>
    </xdr:to>
    <xdr:sp macro="" textlink="">
      <xdr:nvSpPr>
        <xdr:cNvPr id="5" name="3 CuadroTexto">
          <a:extLst>
            <a:ext uri="{FF2B5EF4-FFF2-40B4-BE49-F238E27FC236}">
              <a16:creationId xmlns:a16="http://schemas.microsoft.com/office/drawing/2014/main" id="{00000000-0008-0000-0B00-000005000000}"/>
            </a:ext>
          </a:extLst>
        </xdr:cNvPr>
        <xdr:cNvSpPr txBox="1"/>
      </xdr:nvSpPr>
      <xdr:spPr>
        <a:xfrm>
          <a:off x="3910542" y="6921500"/>
          <a:ext cx="2309283" cy="825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PE" sz="1100"/>
            <a:t>------------------------------------------------</a:t>
          </a:r>
          <a:r>
            <a:rPr lang="es-PE" sz="1100" baseline="0"/>
            <a:t> </a:t>
          </a:r>
          <a:r>
            <a:rPr lang="es-PE" sz="1000" b="1" i="1" baseline="0"/>
            <a:t>OPERADOR                    </a:t>
          </a:r>
          <a:r>
            <a:rPr lang="es-PE" sz="1000" b="1" i="1"/>
            <a:t>                           DNI</a:t>
          </a:r>
          <a:r>
            <a:rPr lang="es-PE" sz="1000" b="1" i="1" baseline="0"/>
            <a:t> :.................................</a:t>
          </a:r>
          <a:r>
            <a:rPr lang="es-PE" sz="1000" b="1" i="1"/>
            <a:t>                                     </a:t>
          </a:r>
          <a:endParaRPr lang="es-PE" sz="1000" b="1" i="1" baseline="0"/>
        </a:p>
      </xdr:txBody>
    </xdr:sp>
    <xdr:clientData/>
  </xdr:twoCellAnchor>
  <xdr:oneCellAnchor>
    <xdr:from>
      <xdr:col>4</xdr:col>
      <xdr:colOff>619124</xdr:colOff>
      <xdr:row>19</xdr:row>
      <xdr:rowOff>57150</xdr:rowOff>
    </xdr:from>
    <xdr:ext cx="3186065" cy="374141"/>
    <xdr:sp macro="" textlink="">
      <xdr:nvSpPr>
        <xdr:cNvPr id="6" name="TextBox 5">
          <a:extLst>
            <a:ext uri="{FF2B5EF4-FFF2-40B4-BE49-F238E27FC236}">
              <a16:creationId xmlns:a16="http://schemas.microsoft.com/office/drawing/2014/main" id="{00000000-0008-0000-0B00-000006000000}"/>
            </a:ext>
          </a:extLst>
        </xdr:cNvPr>
        <xdr:cNvSpPr txBox="1"/>
      </xdr:nvSpPr>
      <xdr:spPr>
        <a:xfrm rot="20445846">
          <a:off x="3819524" y="3590925"/>
          <a:ext cx="318606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rgbClr val="FF0000"/>
              </a:solidFill>
            </a:rPr>
            <a:t>NO SE REGISTRO MOVIMIENTO</a:t>
          </a:r>
        </a:p>
      </xdr:txBody>
    </xdr:sp>
    <xdr:clientData/>
  </xdr:oneCellAnchor>
</xdr:wsDr>
</file>

<file path=xl/drawings/drawing13.xml><?xml version="1.0" encoding="utf-8"?>
<xdr:wsDr xmlns:xdr="http://schemas.openxmlformats.org/drawingml/2006/spreadsheetDrawing" xmlns:a="http://schemas.openxmlformats.org/drawingml/2006/main">
  <xdr:twoCellAnchor editAs="oneCell">
    <xdr:from>
      <xdr:col>0</xdr:col>
      <xdr:colOff>114301</xdr:colOff>
      <xdr:row>1</xdr:row>
      <xdr:rowOff>28575</xdr:rowOff>
    </xdr:from>
    <xdr:to>
      <xdr:col>2</xdr:col>
      <xdr:colOff>114301</xdr:colOff>
      <xdr:row>4</xdr:row>
      <xdr:rowOff>14998</xdr:rowOff>
    </xdr:to>
    <xdr:pic>
      <xdr:nvPicPr>
        <xdr:cNvPr id="2" name="1 Imagen">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301" y="190500"/>
          <a:ext cx="590550" cy="57697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15</xdr:col>
      <xdr:colOff>353786</xdr:colOff>
      <xdr:row>0</xdr:row>
      <xdr:rowOff>85911</xdr:rowOff>
    </xdr:from>
    <xdr:to>
      <xdr:col>16</xdr:col>
      <xdr:colOff>487137</xdr:colOff>
      <xdr:row>2</xdr:row>
      <xdr:rowOff>132316</xdr:rowOff>
    </xdr:to>
    <xdr:pic>
      <xdr:nvPicPr>
        <xdr:cNvPr id="2" name="irc_mi" descr="Descripción: http://2.bp.blogspot.com/-ThARb7AubWc/TiS2X8ygAYI/AAAAAAAAAgU/3dTzsZw832g/s320/escudo.png">
          <a:extLst>
            <a:ext uri="{FF2B5EF4-FFF2-40B4-BE49-F238E27FC236}">
              <a16:creationId xmlns:a16="http://schemas.microsoft.com/office/drawing/2014/main" id="{BB80BACF-DE16-40CA-BFC8-5B2ECAC66E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137086" y="85911"/>
          <a:ext cx="1085851" cy="1275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217713</xdr:colOff>
      <xdr:row>0</xdr:row>
      <xdr:rowOff>74083</xdr:rowOff>
    </xdr:from>
    <xdr:to>
      <xdr:col>1</xdr:col>
      <xdr:colOff>260353</xdr:colOff>
      <xdr:row>1</xdr:row>
      <xdr:rowOff>524175</xdr:rowOff>
    </xdr:to>
    <xdr:pic>
      <xdr:nvPicPr>
        <xdr:cNvPr id="3" name="image3.jpeg">
          <a:extLst>
            <a:ext uri="{FF2B5EF4-FFF2-40B4-BE49-F238E27FC236}">
              <a16:creationId xmlns:a16="http://schemas.microsoft.com/office/drawing/2014/main" id="{1BE5B898-5F4A-45B0-9575-B11D3CC72A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7713" y="74083"/>
          <a:ext cx="1128490" cy="11168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15</xdr:col>
      <xdr:colOff>353786</xdr:colOff>
      <xdr:row>0</xdr:row>
      <xdr:rowOff>85911</xdr:rowOff>
    </xdr:from>
    <xdr:to>
      <xdr:col>16</xdr:col>
      <xdr:colOff>487137</xdr:colOff>
      <xdr:row>3</xdr:row>
      <xdr:rowOff>132316</xdr:rowOff>
    </xdr:to>
    <xdr:pic>
      <xdr:nvPicPr>
        <xdr:cNvPr id="2" name="irc_mi" descr="Descripción: http://2.bp.blogspot.com/-ThARb7AubWc/TiS2X8ygAYI/AAAAAAAAAgU/3dTzsZw832g/s320/escudo.png">
          <a:extLst>
            <a:ext uri="{FF2B5EF4-FFF2-40B4-BE49-F238E27FC236}">
              <a16:creationId xmlns:a16="http://schemas.microsoft.com/office/drawing/2014/main" id="{9F196175-634A-4A32-AD52-5071FCE345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65886" y="85911"/>
          <a:ext cx="1116331" cy="14789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217713</xdr:colOff>
      <xdr:row>0</xdr:row>
      <xdr:rowOff>74083</xdr:rowOff>
    </xdr:from>
    <xdr:to>
      <xdr:col>1</xdr:col>
      <xdr:colOff>260353</xdr:colOff>
      <xdr:row>2</xdr:row>
      <xdr:rowOff>329678</xdr:rowOff>
    </xdr:to>
    <xdr:pic>
      <xdr:nvPicPr>
        <xdr:cNvPr id="3" name="image3.jpeg">
          <a:extLst>
            <a:ext uri="{FF2B5EF4-FFF2-40B4-BE49-F238E27FC236}">
              <a16:creationId xmlns:a16="http://schemas.microsoft.com/office/drawing/2014/main" id="{56AD24AD-CE49-4854-A8F6-F049932002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7713" y="74083"/>
          <a:ext cx="1162780" cy="1131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353786</xdr:colOff>
      <xdr:row>117</xdr:row>
      <xdr:rowOff>85911</xdr:rowOff>
    </xdr:from>
    <xdr:to>
      <xdr:col>16</xdr:col>
      <xdr:colOff>487137</xdr:colOff>
      <xdr:row>120</xdr:row>
      <xdr:rowOff>132316</xdr:rowOff>
    </xdr:to>
    <xdr:pic>
      <xdr:nvPicPr>
        <xdr:cNvPr id="4" name="irc_mi" descr="Descripción: http://2.bp.blogspot.com/-ThARb7AubWc/TiS2X8ygAYI/AAAAAAAAAgU/3dTzsZw832g/s320/escudo.png">
          <a:extLst>
            <a:ext uri="{FF2B5EF4-FFF2-40B4-BE49-F238E27FC236}">
              <a16:creationId xmlns:a16="http://schemas.microsoft.com/office/drawing/2014/main" id="{B1207F4A-2582-480C-BD29-AEE23CB90F8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65886" y="27639831"/>
          <a:ext cx="1116331" cy="11284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272142</xdr:colOff>
      <xdr:row>116</xdr:row>
      <xdr:rowOff>122009</xdr:rowOff>
    </xdr:from>
    <xdr:to>
      <xdr:col>1</xdr:col>
      <xdr:colOff>27214</xdr:colOff>
      <xdr:row>119</xdr:row>
      <xdr:rowOff>103655</xdr:rowOff>
    </xdr:to>
    <xdr:pic>
      <xdr:nvPicPr>
        <xdr:cNvPr id="5" name="image3.jpeg">
          <a:extLst>
            <a:ext uri="{FF2B5EF4-FFF2-40B4-BE49-F238E27FC236}">
              <a16:creationId xmlns:a16="http://schemas.microsoft.com/office/drawing/2014/main" id="{83849E05-A692-444C-ACD8-F06F8EB2F1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142" y="27477809"/>
          <a:ext cx="875212" cy="9722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531915</xdr:colOff>
      <xdr:row>156</xdr:row>
      <xdr:rowOff>110652</xdr:rowOff>
    </xdr:from>
    <xdr:to>
      <xdr:col>17</xdr:col>
      <xdr:colOff>177883</xdr:colOff>
      <xdr:row>159</xdr:row>
      <xdr:rowOff>54729</xdr:rowOff>
    </xdr:to>
    <xdr:pic>
      <xdr:nvPicPr>
        <xdr:cNvPr id="6" name="irc_mi" descr="Descripción: http://2.bp.blogspot.com/-ThARb7AubWc/TiS2X8ygAYI/AAAAAAAAAgU/3dTzsZw832g/s320/escudo.png">
          <a:extLst>
            <a:ext uri="{FF2B5EF4-FFF2-40B4-BE49-F238E27FC236}">
              <a16:creationId xmlns:a16="http://schemas.microsoft.com/office/drawing/2014/main" id="{85E3E372-A470-4149-B4F7-E88F568E344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26995" y="37425792"/>
          <a:ext cx="926128" cy="9346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272143</xdr:colOff>
      <xdr:row>156</xdr:row>
      <xdr:rowOff>122009</xdr:rowOff>
    </xdr:from>
    <xdr:ext cx="779318" cy="830491"/>
    <xdr:pic>
      <xdr:nvPicPr>
        <xdr:cNvPr id="7" name="image3.jpeg">
          <a:extLst>
            <a:ext uri="{FF2B5EF4-FFF2-40B4-BE49-F238E27FC236}">
              <a16:creationId xmlns:a16="http://schemas.microsoft.com/office/drawing/2014/main" id="{5D937397-E5E6-42FB-87BD-DEA7731AAC0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2143" y="37437149"/>
          <a:ext cx="779318" cy="8304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15</xdr:col>
      <xdr:colOff>353786</xdr:colOff>
      <xdr:row>0</xdr:row>
      <xdr:rowOff>85911</xdr:rowOff>
    </xdr:from>
    <xdr:to>
      <xdr:col>16</xdr:col>
      <xdr:colOff>487137</xdr:colOff>
      <xdr:row>3</xdr:row>
      <xdr:rowOff>132316</xdr:rowOff>
    </xdr:to>
    <xdr:pic>
      <xdr:nvPicPr>
        <xdr:cNvPr id="8" name="irc_mi" descr="Descripción: http://2.bp.blogspot.com/-ThARb7AubWc/TiS2X8ygAYI/AAAAAAAAAgU/3dTzsZw832g/s320/escudo.png">
          <a:extLst>
            <a:ext uri="{FF2B5EF4-FFF2-40B4-BE49-F238E27FC236}">
              <a16:creationId xmlns:a16="http://schemas.microsoft.com/office/drawing/2014/main" id="{EB7C665E-BE7B-4A89-A1B3-12D4386E9B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6441" y="27795002"/>
          <a:ext cx="1117023" cy="11409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15</xdr:col>
      <xdr:colOff>353786</xdr:colOff>
      <xdr:row>0</xdr:row>
      <xdr:rowOff>85911</xdr:rowOff>
    </xdr:from>
    <xdr:to>
      <xdr:col>16</xdr:col>
      <xdr:colOff>487137</xdr:colOff>
      <xdr:row>3</xdr:row>
      <xdr:rowOff>132316</xdr:rowOff>
    </xdr:to>
    <xdr:pic>
      <xdr:nvPicPr>
        <xdr:cNvPr id="2" name="irc_mi" descr="Descripción: http://2.bp.blogspot.com/-ThARb7AubWc/TiS2X8ygAYI/AAAAAAAAAgU/3dTzsZw832g/s320/escudo.png">
          <a:extLst>
            <a:ext uri="{FF2B5EF4-FFF2-40B4-BE49-F238E27FC236}">
              <a16:creationId xmlns:a16="http://schemas.microsoft.com/office/drawing/2014/main" id="{CFCB097A-4EAF-407C-B0D9-EAAA3EDE2C2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860986" y="85911"/>
          <a:ext cx="1085851" cy="14942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217713</xdr:colOff>
      <xdr:row>0</xdr:row>
      <xdr:rowOff>74083</xdr:rowOff>
    </xdr:from>
    <xdr:to>
      <xdr:col>1</xdr:col>
      <xdr:colOff>260353</xdr:colOff>
      <xdr:row>2</xdr:row>
      <xdr:rowOff>329678</xdr:rowOff>
    </xdr:to>
    <xdr:pic>
      <xdr:nvPicPr>
        <xdr:cNvPr id="3" name="image3.jpeg">
          <a:extLst>
            <a:ext uri="{FF2B5EF4-FFF2-40B4-BE49-F238E27FC236}">
              <a16:creationId xmlns:a16="http://schemas.microsoft.com/office/drawing/2014/main" id="{D7D7D08C-B7C7-4FB8-AF4F-4F7DBB4ACB3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7713" y="74083"/>
          <a:ext cx="1128490" cy="1141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353786</xdr:colOff>
      <xdr:row>171</xdr:row>
      <xdr:rowOff>85911</xdr:rowOff>
    </xdr:from>
    <xdr:to>
      <xdr:col>16</xdr:col>
      <xdr:colOff>487137</xdr:colOff>
      <xdr:row>174</xdr:row>
      <xdr:rowOff>132316</xdr:rowOff>
    </xdr:to>
    <xdr:pic>
      <xdr:nvPicPr>
        <xdr:cNvPr id="4" name="irc_mi" descr="Descripción: http://2.bp.blogspot.com/-ThARb7AubWc/TiS2X8ygAYI/AAAAAAAAAgU/3dTzsZw832g/s320/escudo.png">
          <a:extLst>
            <a:ext uri="{FF2B5EF4-FFF2-40B4-BE49-F238E27FC236}">
              <a16:creationId xmlns:a16="http://schemas.microsoft.com/office/drawing/2014/main" id="{0F617DDD-CA37-4D9C-A48A-FC0BF8FC6B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860986" y="12811311"/>
          <a:ext cx="1085851" cy="11513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272143</xdr:colOff>
      <xdr:row>170</xdr:row>
      <xdr:rowOff>122009</xdr:rowOff>
    </xdr:from>
    <xdr:to>
      <xdr:col>0</xdr:col>
      <xdr:colOff>952500</xdr:colOff>
      <xdr:row>173</xdr:row>
      <xdr:rowOff>116025</xdr:rowOff>
    </xdr:to>
    <xdr:pic>
      <xdr:nvPicPr>
        <xdr:cNvPr id="5" name="image3.jpeg">
          <a:extLst>
            <a:ext uri="{FF2B5EF4-FFF2-40B4-BE49-F238E27FC236}">
              <a16:creationId xmlns:a16="http://schemas.microsoft.com/office/drawing/2014/main" id="{562728DF-25EA-4AE0-944F-20B18BA511A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143" y="12656909"/>
          <a:ext cx="680357" cy="10036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531915</xdr:colOff>
      <xdr:row>227</xdr:row>
      <xdr:rowOff>110652</xdr:rowOff>
    </xdr:from>
    <xdr:to>
      <xdr:col>17</xdr:col>
      <xdr:colOff>177883</xdr:colOff>
      <xdr:row>230</xdr:row>
      <xdr:rowOff>54729</xdr:rowOff>
    </xdr:to>
    <xdr:pic>
      <xdr:nvPicPr>
        <xdr:cNvPr id="6" name="irc_mi" descr="Descripción: http://2.bp.blogspot.com/-ThARb7AubWc/TiS2X8ygAYI/AAAAAAAAAgU/3dTzsZw832g/s320/escudo.png">
          <a:extLst>
            <a:ext uri="{FF2B5EF4-FFF2-40B4-BE49-F238E27FC236}">
              <a16:creationId xmlns:a16="http://schemas.microsoft.com/office/drawing/2014/main" id="{8BAA0878-9604-438B-9A0C-BF006328E4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67370" y="30033996"/>
          <a:ext cx="895351" cy="9460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272143</xdr:colOff>
      <xdr:row>227</xdr:row>
      <xdr:rowOff>122009</xdr:rowOff>
    </xdr:from>
    <xdr:ext cx="779318" cy="830491"/>
    <xdr:pic>
      <xdr:nvPicPr>
        <xdr:cNvPr id="7" name="image3.jpeg">
          <a:extLst>
            <a:ext uri="{FF2B5EF4-FFF2-40B4-BE49-F238E27FC236}">
              <a16:creationId xmlns:a16="http://schemas.microsoft.com/office/drawing/2014/main" id="{F6E826D3-388D-4AD0-A86C-A85CEA2EB45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2143" y="30045353"/>
          <a:ext cx="779318" cy="8304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7.xml><?xml version="1.0" encoding="utf-8"?>
<xdr:wsDr xmlns:xdr="http://schemas.openxmlformats.org/drawingml/2006/spreadsheetDrawing" xmlns:a="http://schemas.openxmlformats.org/drawingml/2006/main">
  <xdr:twoCellAnchor>
    <xdr:from>
      <xdr:col>15</xdr:col>
      <xdr:colOff>435430</xdr:colOff>
      <xdr:row>0</xdr:row>
      <xdr:rowOff>262805</xdr:rowOff>
    </xdr:from>
    <xdr:to>
      <xdr:col>16</xdr:col>
      <xdr:colOff>789214</xdr:colOff>
      <xdr:row>4</xdr:row>
      <xdr:rowOff>0</xdr:rowOff>
    </xdr:to>
    <xdr:pic>
      <xdr:nvPicPr>
        <xdr:cNvPr id="2" name="irc_mi" descr="Descripción: http://2.bp.blogspot.com/-ThARb7AubWc/TiS2X8ygAYI/AAAAAAAAAgU/3dTzsZw832g/s320/escudo.png">
          <a:extLst>
            <a:ext uri="{FF2B5EF4-FFF2-40B4-BE49-F238E27FC236}">
              <a16:creationId xmlns:a16="http://schemas.microsoft.com/office/drawing/2014/main" id="{231B468F-52EF-4E08-8563-8567213B60D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778109" y="262805"/>
          <a:ext cx="1306284" cy="1702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353786</xdr:colOff>
      <xdr:row>589</xdr:row>
      <xdr:rowOff>85911</xdr:rowOff>
    </xdr:from>
    <xdr:to>
      <xdr:col>16</xdr:col>
      <xdr:colOff>487137</xdr:colOff>
      <xdr:row>593</xdr:row>
      <xdr:rowOff>132316</xdr:rowOff>
    </xdr:to>
    <xdr:pic>
      <xdr:nvPicPr>
        <xdr:cNvPr id="4" name="irc_mi" descr="Descripción: http://2.bp.blogspot.com/-ThARb7AubWc/TiS2X8ygAYI/AAAAAAAAAgU/3dTzsZw832g/s320/escudo.png">
          <a:extLst>
            <a:ext uri="{FF2B5EF4-FFF2-40B4-BE49-F238E27FC236}">
              <a16:creationId xmlns:a16="http://schemas.microsoft.com/office/drawing/2014/main" id="{0B298CE3-61A3-4850-8DC6-DA512B31348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670611" y="127120836"/>
          <a:ext cx="1085851" cy="10189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54429</xdr:colOff>
      <xdr:row>588</xdr:row>
      <xdr:rowOff>81188</xdr:rowOff>
    </xdr:from>
    <xdr:to>
      <xdr:col>1</xdr:col>
      <xdr:colOff>96956</xdr:colOff>
      <xdr:row>591</xdr:row>
      <xdr:rowOff>476250</xdr:rowOff>
    </xdr:to>
    <xdr:pic>
      <xdr:nvPicPr>
        <xdr:cNvPr id="5" name="image3.jpeg">
          <a:extLst>
            <a:ext uri="{FF2B5EF4-FFF2-40B4-BE49-F238E27FC236}">
              <a16:creationId xmlns:a16="http://schemas.microsoft.com/office/drawing/2014/main" id="{2C472B88-7719-4A00-91F5-2E5A4D8897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429" y="124654581"/>
          <a:ext cx="1131098" cy="12250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190499</xdr:colOff>
      <xdr:row>744</xdr:row>
      <xdr:rowOff>53975</xdr:rowOff>
    </xdr:from>
    <xdr:ext cx="1175145" cy="1252310"/>
    <xdr:pic>
      <xdr:nvPicPr>
        <xdr:cNvPr id="7" name="image3.jpeg">
          <a:extLst>
            <a:ext uri="{FF2B5EF4-FFF2-40B4-BE49-F238E27FC236}">
              <a16:creationId xmlns:a16="http://schemas.microsoft.com/office/drawing/2014/main" id="{2D509C3C-1304-4087-BB7C-83A6EB00185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499" y="156889904"/>
          <a:ext cx="1175145" cy="1252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503463</xdr:colOff>
      <xdr:row>0</xdr:row>
      <xdr:rowOff>278191</xdr:rowOff>
    </xdr:from>
    <xdr:to>
      <xdr:col>1</xdr:col>
      <xdr:colOff>1177995</xdr:colOff>
      <xdr:row>3</xdr:row>
      <xdr:rowOff>95251</xdr:rowOff>
    </xdr:to>
    <xdr:pic>
      <xdr:nvPicPr>
        <xdr:cNvPr id="9" name="image3.jpeg">
          <a:extLst>
            <a:ext uri="{FF2B5EF4-FFF2-40B4-BE49-F238E27FC236}">
              <a16:creationId xmlns:a16="http://schemas.microsoft.com/office/drawing/2014/main" id="{61D55C48-1BEA-4543-ACAB-9E560BFE30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3463" y="278191"/>
          <a:ext cx="1763103" cy="12594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489858</xdr:colOff>
      <xdr:row>745</xdr:row>
      <xdr:rowOff>113125</xdr:rowOff>
    </xdr:from>
    <xdr:to>
      <xdr:col>16</xdr:col>
      <xdr:colOff>623209</xdr:colOff>
      <xdr:row>748</xdr:row>
      <xdr:rowOff>159530</xdr:rowOff>
    </xdr:to>
    <xdr:pic>
      <xdr:nvPicPr>
        <xdr:cNvPr id="11" name="irc_mi" descr="Descripción: http://2.bp.blogspot.com/-ThARb7AubWc/TiS2X8ygAYI/AAAAAAAAAgU/3dTzsZw832g/s320/escudo.png">
          <a:extLst>
            <a:ext uri="{FF2B5EF4-FFF2-40B4-BE49-F238E27FC236}">
              <a16:creationId xmlns:a16="http://schemas.microsoft.com/office/drawing/2014/main" id="{73B78F68-B00D-4AE0-9124-606AF83568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832537" y="157153161"/>
          <a:ext cx="1085851" cy="12302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79375</xdr:colOff>
      <xdr:row>33</xdr:row>
      <xdr:rowOff>16652</xdr:rowOff>
    </xdr:from>
    <xdr:to>
      <xdr:col>10</xdr:col>
      <xdr:colOff>178594</xdr:colOff>
      <xdr:row>59</xdr:row>
      <xdr:rowOff>39685</xdr:rowOff>
    </xdr:to>
    <xdr:graphicFrame macro="">
      <xdr:nvGraphicFramePr>
        <xdr:cNvPr id="4" name="Chart 3">
          <a:extLst>
            <a:ext uri="{FF2B5EF4-FFF2-40B4-BE49-F238E27FC236}">
              <a16:creationId xmlns:a16="http://schemas.microsoft.com/office/drawing/2014/main" id="{00000000-0008-0000-1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xdr:col>
      <xdr:colOff>83776</xdr:colOff>
      <xdr:row>0</xdr:row>
      <xdr:rowOff>46504</xdr:rowOff>
    </xdr:from>
    <xdr:ext cx="749661" cy="667871"/>
    <xdr:pic>
      <xdr:nvPicPr>
        <xdr:cNvPr id="3" name="2 Imagen">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1510" y="46504"/>
          <a:ext cx="749661" cy="667871"/>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twoCellAnchor>
    <xdr:from>
      <xdr:col>7</xdr:col>
      <xdr:colOff>142875</xdr:colOff>
      <xdr:row>21</xdr:row>
      <xdr:rowOff>0</xdr:rowOff>
    </xdr:from>
    <xdr:to>
      <xdr:col>15</xdr:col>
      <xdr:colOff>47625</xdr:colOff>
      <xdr:row>21</xdr:row>
      <xdr:rowOff>0</xdr:rowOff>
    </xdr:to>
    <xdr:sp macro="" textlink="">
      <xdr:nvSpPr>
        <xdr:cNvPr id="2" name="Text Box 1">
          <a:extLst>
            <a:ext uri="{FF2B5EF4-FFF2-40B4-BE49-F238E27FC236}">
              <a16:creationId xmlns:a16="http://schemas.microsoft.com/office/drawing/2014/main" id="{0653AF71-05EA-4141-BB2B-350BA675AB14}"/>
            </a:ext>
          </a:extLst>
        </xdr:cNvPr>
        <xdr:cNvSpPr txBox="1">
          <a:spLocks noChangeArrowheads="1"/>
        </xdr:cNvSpPr>
      </xdr:nvSpPr>
      <xdr:spPr bwMode="auto">
        <a:xfrm>
          <a:off x="2247900" y="3962400"/>
          <a:ext cx="188595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21</xdr:row>
      <xdr:rowOff>0</xdr:rowOff>
    </xdr:from>
    <xdr:to>
      <xdr:col>15</xdr:col>
      <xdr:colOff>38100</xdr:colOff>
      <xdr:row>21</xdr:row>
      <xdr:rowOff>0</xdr:rowOff>
    </xdr:to>
    <xdr:sp macro="" textlink="">
      <xdr:nvSpPr>
        <xdr:cNvPr id="3" name="Text Box 2">
          <a:extLst>
            <a:ext uri="{FF2B5EF4-FFF2-40B4-BE49-F238E27FC236}">
              <a16:creationId xmlns:a16="http://schemas.microsoft.com/office/drawing/2014/main" id="{8B834706-BB91-454A-AE3E-6DA8818A21A7}"/>
            </a:ext>
          </a:extLst>
        </xdr:cNvPr>
        <xdr:cNvSpPr txBox="1">
          <a:spLocks noChangeArrowheads="1"/>
        </xdr:cNvSpPr>
      </xdr:nvSpPr>
      <xdr:spPr bwMode="auto">
        <a:xfrm>
          <a:off x="2238375" y="3962400"/>
          <a:ext cx="188595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editAs="oneCell">
    <xdr:from>
      <xdr:col>2</xdr:col>
      <xdr:colOff>86591</xdr:colOff>
      <xdr:row>0</xdr:row>
      <xdr:rowOff>28576</xdr:rowOff>
    </xdr:from>
    <xdr:to>
      <xdr:col>3</xdr:col>
      <xdr:colOff>314326</xdr:colOff>
      <xdr:row>3</xdr:row>
      <xdr:rowOff>12995</xdr:rowOff>
    </xdr:to>
    <xdr:pic>
      <xdr:nvPicPr>
        <xdr:cNvPr id="4" name="1 Imagen">
          <a:extLst>
            <a:ext uri="{FF2B5EF4-FFF2-40B4-BE49-F238E27FC236}">
              <a16:creationId xmlns:a16="http://schemas.microsoft.com/office/drawing/2014/main" id="{649C0827-711A-4602-93B2-FB4F1C7086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541" y="28576"/>
          <a:ext cx="627785" cy="613069"/>
        </a:xfrm>
        <a:prstGeom prst="rect">
          <a:avLst/>
        </a:prstGeom>
      </xdr:spPr>
    </xdr:pic>
    <xdr:clientData/>
  </xdr:twoCellAnchor>
  <xdr:twoCellAnchor editAs="oneCell">
    <xdr:from>
      <xdr:col>0</xdr:col>
      <xdr:colOff>0</xdr:colOff>
      <xdr:row>73</xdr:row>
      <xdr:rowOff>0</xdr:rowOff>
    </xdr:from>
    <xdr:to>
      <xdr:col>1324</xdr:col>
      <xdr:colOff>22860</xdr:colOff>
      <xdr:row>139</xdr:row>
      <xdr:rowOff>114300</xdr:rowOff>
    </xdr:to>
    <xdr:pic>
      <xdr:nvPicPr>
        <xdr:cNvPr id="5" name="Picture 4">
          <a:extLst>
            <a:ext uri="{FF2B5EF4-FFF2-40B4-BE49-F238E27FC236}">
              <a16:creationId xmlns:a16="http://schemas.microsoft.com/office/drawing/2014/main" id="{00C75CB1-CD80-5224-33CA-54EBBBC8A2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125700"/>
          <a:ext cx="249501660" cy="1264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79374</xdr:colOff>
      <xdr:row>42</xdr:row>
      <xdr:rowOff>50800</xdr:rowOff>
    </xdr:from>
    <xdr:to>
      <xdr:col>10</xdr:col>
      <xdr:colOff>228600</xdr:colOff>
      <xdr:row>71</xdr:row>
      <xdr:rowOff>127000</xdr:rowOff>
    </xdr:to>
    <xdr:graphicFrame macro="">
      <xdr:nvGraphicFramePr>
        <xdr:cNvPr id="2" name="Chart 3">
          <a:extLst>
            <a:ext uri="{FF2B5EF4-FFF2-40B4-BE49-F238E27FC236}">
              <a16:creationId xmlns:a16="http://schemas.microsoft.com/office/drawing/2014/main" id="{87B85DF6-6E97-49DA-9664-C7D649824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xdr:col>
      <xdr:colOff>83776</xdr:colOff>
      <xdr:row>0</xdr:row>
      <xdr:rowOff>46504</xdr:rowOff>
    </xdr:from>
    <xdr:ext cx="749661" cy="667871"/>
    <xdr:pic>
      <xdr:nvPicPr>
        <xdr:cNvPr id="3" name="2 Imagen">
          <a:extLst>
            <a:ext uri="{FF2B5EF4-FFF2-40B4-BE49-F238E27FC236}">
              <a16:creationId xmlns:a16="http://schemas.microsoft.com/office/drawing/2014/main" id="{655237E2-6F5C-4B66-A792-32EA35E3D36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0956" y="46504"/>
          <a:ext cx="749661" cy="667871"/>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twoCellAnchor>
    <xdr:from>
      <xdr:col>1</xdr:col>
      <xdr:colOff>106900</xdr:colOff>
      <xdr:row>2496</xdr:row>
      <xdr:rowOff>151151</xdr:rowOff>
    </xdr:from>
    <xdr:to>
      <xdr:col>1</xdr:col>
      <xdr:colOff>2041503</xdr:colOff>
      <xdr:row>2497</xdr:row>
      <xdr:rowOff>20183</xdr:rowOff>
    </xdr:to>
    <xdr:sp macro="" textlink="">
      <xdr:nvSpPr>
        <xdr:cNvPr id="2" name="1 Proceso alternativo">
          <a:extLst>
            <a:ext uri="{FF2B5EF4-FFF2-40B4-BE49-F238E27FC236}">
              <a16:creationId xmlns:a16="http://schemas.microsoft.com/office/drawing/2014/main" id="{DFAA955C-04B3-4E92-AEB4-39FC0A92D925}"/>
            </a:ext>
          </a:extLst>
        </xdr:cNvPr>
        <xdr:cNvSpPr/>
      </xdr:nvSpPr>
      <xdr:spPr>
        <a:xfrm>
          <a:off x="1409920" y="854741771"/>
          <a:ext cx="1934603" cy="67152"/>
        </a:xfrm>
        <a:prstGeom prst="flowChartAlternateProcess">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s-PE"/>
        </a:p>
      </xdr:txBody>
    </xdr:sp>
    <xdr:clientData/>
  </xdr:twoCellAnchor>
  <xdr:twoCellAnchor>
    <xdr:from>
      <xdr:col>1</xdr:col>
      <xdr:colOff>106900</xdr:colOff>
      <xdr:row>2496</xdr:row>
      <xdr:rowOff>151151</xdr:rowOff>
    </xdr:from>
    <xdr:to>
      <xdr:col>1</xdr:col>
      <xdr:colOff>2041503</xdr:colOff>
      <xdr:row>2497</xdr:row>
      <xdr:rowOff>20183</xdr:rowOff>
    </xdr:to>
    <xdr:sp macro="" textlink="">
      <xdr:nvSpPr>
        <xdr:cNvPr id="3" name="5 Proceso alternativo">
          <a:extLst>
            <a:ext uri="{FF2B5EF4-FFF2-40B4-BE49-F238E27FC236}">
              <a16:creationId xmlns:a16="http://schemas.microsoft.com/office/drawing/2014/main" id="{5DD57C7D-02BE-48EC-A91C-F409560E748C}"/>
            </a:ext>
          </a:extLst>
        </xdr:cNvPr>
        <xdr:cNvSpPr/>
      </xdr:nvSpPr>
      <xdr:spPr>
        <a:xfrm>
          <a:off x="1409920" y="854741771"/>
          <a:ext cx="1934603" cy="67152"/>
        </a:xfrm>
        <a:prstGeom prst="flowChartAlternateProcess">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s-PE"/>
        </a:p>
      </xdr:txBody>
    </xdr:sp>
    <xdr:clientData/>
  </xdr:twoCellAnchor>
  <xdr:twoCellAnchor>
    <xdr:from>
      <xdr:col>1</xdr:col>
      <xdr:colOff>106900</xdr:colOff>
      <xdr:row>2496</xdr:row>
      <xdr:rowOff>151151</xdr:rowOff>
    </xdr:from>
    <xdr:to>
      <xdr:col>1</xdr:col>
      <xdr:colOff>2041503</xdr:colOff>
      <xdr:row>2497</xdr:row>
      <xdr:rowOff>20183</xdr:rowOff>
    </xdr:to>
    <xdr:sp macro="" textlink="">
      <xdr:nvSpPr>
        <xdr:cNvPr id="4" name="20 Proceso alternativo">
          <a:extLst>
            <a:ext uri="{FF2B5EF4-FFF2-40B4-BE49-F238E27FC236}">
              <a16:creationId xmlns:a16="http://schemas.microsoft.com/office/drawing/2014/main" id="{B579976B-1112-4E3D-9239-A0A6B6492F5C}"/>
            </a:ext>
          </a:extLst>
        </xdr:cNvPr>
        <xdr:cNvSpPr/>
      </xdr:nvSpPr>
      <xdr:spPr>
        <a:xfrm>
          <a:off x="1409920" y="854741771"/>
          <a:ext cx="1934603" cy="67152"/>
        </a:xfrm>
        <a:prstGeom prst="flowChartAlternateProcess">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s-PE"/>
        </a:p>
      </xdr:txBody>
    </xdr:sp>
    <xdr:clientData/>
  </xdr:twoCellAnchor>
  <xdr:twoCellAnchor>
    <xdr:from>
      <xdr:col>1</xdr:col>
      <xdr:colOff>106900</xdr:colOff>
      <xdr:row>2496</xdr:row>
      <xdr:rowOff>151151</xdr:rowOff>
    </xdr:from>
    <xdr:to>
      <xdr:col>1</xdr:col>
      <xdr:colOff>2041503</xdr:colOff>
      <xdr:row>2497</xdr:row>
      <xdr:rowOff>20183</xdr:rowOff>
    </xdr:to>
    <xdr:sp macro="" textlink="">
      <xdr:nvSpPr>
        <xdr:cNvPr id="5" name="446 Proceso alternativo">
          <a:extLst>
            <a:ext uri="{FF2B5EF4-FFF2-40B4-BE49-F238E27FC236}">
              <a16:creationId xmlns:a16="http://schemas.microsoft.com/office/drawing/2014/main" id="{A2C5757E-8DB4-4A8D-8E95-870137944753}"/>
            </a:ext>
          </a:extLst>
        </xdr:cNvPr>
        <xdr:cNvSpPr/>
      </xdr:nvSpPr>
      <xdr:spPr>
        <a:xfrm>
          <a:off x="1409920" y="854741771"/>
          <a:ext cx="1934603" cy="67152"/>
        </a:xfrm>
        <a:prstGeom prst="flowChartAlternateProcess">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s-PE"/>
        </a:p>
      </xdr:txBody>
    </xdr:sp>
    <xdr:clientData/>
  </xdr:twoCellAnchor>
  <xdr:twoCellAnchor>
    <xdr:from>
      <xdr:col>1</xdr:col>
      <xdr:colOff>128796</xdr:colOff>
      <xdr:row>2501</xdr:row>
      <xdr:rowOff>65136</xdr:rowOff>
    </xdr:from>
    <xdr:to>
      <xdr:col>1</xdr:col>
      <xdr:colOff>2060864</xdr:colOff>
      <xdr:row>2501</xdr:row>
      <xdr:rowOff>155864</xdr:rowOff>
    </xdr:to>
    <xdr:sp macro="" textlink="">
      <xdr:nvSpPr>
        <xdr:cNvPr id="6" name="197 Proceso alternativo">
          <a:extLst>
            <a:ext uri="{FF2B5EF4-FFF2-40B4-BE49-F238E27FC236}">
              <a16:creationId xmlns:a16="http://schemas.microsoft.com/office/drawing/2014/main" id="{99DEC032-3BBF-4E84-96C2-2EE1C5322FD3}"/>
            </a:ext>
          </a:extLst>
        </xdr:cNvPr>
        <xdr:cNvSpPr/>
      </xdr:nvSpPr>
      <xdr:spPr>
        <a:xfrm>
          <a:off x="1431816" y="855653976"/>
          <a:ext cx="1932068" cy="90728"/>
        </a:xfrm>
        <a:prstGeom prst="flowChartAlternateProcess">
          <a:avLst/>
        </a:prstGeom>
        <a:gradFill flip="none" rotWithShape="1">
          <a:gsLst>
            <a:gs pos="0">
              <a:srgbClr val="FFF200"/>
            </a:gs>
            <a:gs pos="45000">
              <a:srgbClr val="FF7A00"/>
            </a:gs>
            <a:gs pos="70000">
              <a:srgbClr val="FF0300"/>
            </a:gs>
            <a:gs pos="100000">
              <a:srgbClr val="4D0808"/>
            </a:gs>
          </a:gsLst>
          <a:lin ang="16200000" scaled="0"/>
          <a:tileRect/>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s-PE"/>
        </a:p>
      </xdr:txBody>
    </xdr:sp>
    <xdr:clientData/>
  </xdr:twoCellAnchor>
</xdr:wsDr>
</file>

<file path=xl/drawings/drawing22.xml><?xml version="1.0" encoding="utf-8"?>
<xdr:wsDr xmlns:xdr="http://schemas.openxmlformats.org/drawingml/2006/spreadsheetDrawing" xmlns:a="http://schemas.openxmlformats.org/drawingml/2006/main">
  <xdr:oneCellAnchor>
    <xdr:from>
      <xdr:col>0</xdr:col>
      <xdr:colOff>258536</xdr:colOff>
      <xdr:row>0</xdr:row>
      <xdr:rowOff>54429</xdr:rowOff>
    </xdr:from>
    <xdr:ext cx="887691" cy="762000"/>
    <xdr:pic>
      <xdr:nvPicPr>
        <xdr:cNvPr id="2" name="2 Imagen">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8536" y="54429"/>
          <a:ext cx="887691" cy="762000"/>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66675</xdr:colOff>
      <xdr:row>0</xdr:row>
      <xdr:rowOff>0</xdr:rowOff>
    </xdr:from>
    <xdr:ext cx="721250" cy="619124"/>
    <xdr:pic>
      <xdr:nvPicPr>
        <xdr:cNvPr id="2" name="2 Imagen">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0"/>
          <a:ext cx="721250" cy="619124"/>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Users\user1\Desktop\VALORIZACION%20DE%20OBRA%20%20MENSUAL%20LAMBRAMA\VALORIZACION%20%202017-lambrama\1.-VALORIZACION%20%20MAYO%20JUANMA\VALORIZACION%20MAYO\VALORIZACION%20%20MES%20DE%20MAYO%20JUAN%20MANUE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VALORIZACION%20DE%20OBRA%20%20MENSUAL%20LAMBRAMA\INFORME%20MENSUAL%20AGOSTO%20%202017\VALORIZACION%20%202017-lambrama\4.-VALORIZACION%20%20AGOSTO%20JUANMA\VALORIZACION%20AGOSTO\VALORIZACION%20%20MES%20DE%20AGOSTO%20JUAN%20MANU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Documents%20and%20Settings\saul\Mis%20documentos\Downloads\VALORIZACIONES\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User\Documents\Informe%20Mensual%20Mayo%202018%20-%20Obra%20Las%20Magnolias\Documents%20and%20Settings\saul\Mis%20documentos\Downloads\VALORIZACIONES\DEP\27pse-OECF-II\SPres-resumen\Pr-21\RpCHI.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PERCY\Downloads\3.%20VALORIACION%20MARZO%20PALACIO%202022%2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Usuario\Downloads\TRABAJO%20RESIDENCIA\adicional_N3\ADICIONAL_N&#176;3_FIN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Usuario\Downloads\VALORIZACION%20OCTUBRE%202023%20%20%20%201-%20levantar%20observaciones%20(2).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Usuario\Downloads\adicional%204\resumen%20adi4\ADICIONAL_N&#176;4_FINAL_PRESUPUESTO.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Usuario\Downloads\Val%20Abril\VALORIZACI&#211;N%20N&#176;15-Abri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Usuario\Downloads\TRABAJO%20RESIDENCIA\cronograma%20de%20obra%202023_ABRIL.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david\OneDrive\Escritorio\PALACIO%20MUNICIPAL\DAVID%20TRABAJO%20PALACIO\VALORIZACION\NOVIEMBRE\INFO.%20RESIDENCIA%20NOVIEMBRE%20FINAL%20FINAL.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ENTIDADES%20-TRABAJOS-EDITH\MUNICIPIOS%20-%20EDITH\MUNICIPIO%20ABANCAY\INFORMACION%202023\INFORMES%20MENSUALES%20SUPERVISION\infor.%20N&#176;22%20noviembre\INFO.%20RESIDENCIA%20NOVIEMBRE%20FINAL%20FINAL.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Usuario\Downloads\CRONOGRAMA%20DE%20AMPLIACI&#211;N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tulo"/>
      <sheetName val="Mensual"/>
      <sheetName val="01 valorizacion"/>
      <sheetName val="Metrados"/>
      <sheetName val="Formato 4"/>
      <sheetName val="Formato 5"/>
      <sheetName val="CRONOGRAMA 1"/>
      <sheetName val="p-trab"/>
      <sheetName val="plazo ejec"/>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tulo"/>
      <sheetName val="Mensual"/>
      <sheetName val="01 valorizacion"/>
      <sheetName val="Metrados"/>
      <sheetName val="Formato 4"/>
      <sheetName val="Formato 5"/>
      <sheetName val="CRONOGRAMA"/>
      <sheetName val="MANIF. GASTO"/>
      <sheetName val="p-trab"/>
      <sheetName val="plazo ejec"/>
      <sheetName val="RESUMEN METRAD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 val="ITEMS"/>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 sheetId="8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 val="Precios Estruc."/>
      <sheetName val="ItinDeImp"/>
      <sheetName val="Scenarios"/>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 val="X LOC."/>
      <sheetName val="AP"/>
      <sheetName val="Mon_Conex D"/>
      <sheetName val="Mon_RP"/>
      <sheetName val="MOnt_SE"/>
      <sheetName val="ARRS"/>
      <sheetName val="RS"/>
      <sheetName val="SUMINISTRO RP"/>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 val="OBRAS CIVILES"/>
      <sheetName val="FORMA-LS3"/>
      <sheetName val="FORMA-LS1-LS2"/>
      <sheetName val="FORMA- RE1"/>
      <sheetName val="FORMA-RL1"/>
      <sheetName val="FORMA-ST1"/>
      <sheetName val="Curva S diaria"/>
      <sheetName val="HIDRANDINA"/>
      <sheetName val="TABLA PROVEEDORES"/>
      <sheetName val="RP_JIMBE2"/>
      <sheetName val="Proyecciones"/>
      <sheetName val="Tapa 29"/>
      <sheetName val="B_DATOS"/>
      <sheetName val="BT_DATOS"/>
      <sheetName val="UNITARIOS-RP"/>
      <sheetName val="ptRP"/>
      <sheetName val="ret"/>
      <sheetName val="MATERIALES"/>
      <sheetName val="M d O"/>
      <sheetName val="DATOS_TECNICOS_SE_SANTUARIO"/>
      <sheetName val="PROC_MANT_LT_1"/>
      <sheetName val="Precios Estruc."/>
      <sheetName val="CuadroIyII"/>
      <sheetName val="Costos Alt2"/>
      <sheetName val="AnexoVI"/>
      <sheetName val="ESTATUS"/>
      <sheetName val="Base Ret. y Pt."/>
      <sheetName val="TipoDocs"/>
      <sheetName val="Dptos"/>
      <sheetName val="TipoGastos"/>
      <sheetName val="Obras"/>
      <sheetName val="RESUMEN"/>
      <sheetName val="MONTAJE R.S."/>
      <sheetName val="SUM_MON"/>
      <sheetName val="1"/>
      <sheetName val="APU-RS"/>
      <sheetName val="BD-MONTAJE_TRANSPORTE"/>
      <sheetName val="Datos Entrada"/>
      <sheetName val="INGRESO DE DATOS POR LOCALIDAD"/>
      <sheetName val="METRADO-TEMPORAL"/>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3"/>
      <sheetName val="DT Palcaz"/>
      <sheetName val="U.A."/>
      <sheetName val="Detalle"/>
      <sheetName val="Desmonteras"/>
      <sheetName val="F-110"/>
    </sheetNames>
    <sheetDataSet>
      <sheetData sheetId="0" refreshError="1"/>
      <sheetData sheetId="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C"/>
      <sheetName val="C.1"/>
      <sheetName val="FE-2"/>
      <sheetName val="R- FE-1"/>
      <sheetName val="FE3-1 "/>
      <sheetName val="FE3-1-NP"/>
      <sheetName val="FE-05"/>
      <sheetName val="FE-05 (2)"/>
      <sheetName val=" FE 07"/>
      <sheetName val="F-09"/>
      <sheetName val="F-10 "/>
      <sheetName val="FE-11"/>
      <sheetName val="FE-12"/>
      <sheetName val="FE-14"/>
      <sheetName val="FE-16"/>
      <sheetName val="FE-17"/>
      <sheetName val="Curva S"/>
      <sheetName val="TAREO"/>
      <sheetName val="F-12"/>
      <sheetName val="P.M"/>
      <sheetName val="R.M"/>
    </sheetNames>
    <sheetDataSet>
      <sheetData sheetId="0">
        <row r="25">
          <cell r="C25" t="str">
            <v>“MEJORAMIENTO DE LA GESTIÓN MUNICIPAL Y SERVICIO ADMINISTRATIVO DE LA MUNICIPALIDAD PROVINCIAL DE ABANCAY, DISTRITO DE ABANCAY - PROVINCIA DE ABANCAY - DEPARTAMENTO DE APURIMAC”.</v>
          </cell>
        </row>
        <row r="69">
          <cell r="C69" t="str">
            <v xml:space="preserve">ING. ROLANDO CHUMBES TUEROS </v>
          </cell>
        </row>
        <row r="76">
          <cell r="C76" t="str">
            <v xml:space="preserve">ING. ERICK ALARCON CAMACHO </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C"/>
      <sheetName val="C.1"/>
      <sheetName val="FE-05"/>
      <sheetName val="FE-05 (2)"/>
      <sheetName val=" FE 07"/>
      <sheetName val="F-09"/>
      <sheetName val="F-10 "/>
      <sheetName val="FE-11"/>
      <sheetName val="FE-12"/>
      <sheetName val="VAL-PARTIDAS NUEVAS"/>
      <sheetName val="VAL ADI-OBRA N°01"/>
      <sheetName val="VAL ADI-OBRA N°02"/>
      <sheetName val="VAL ADI-OBRA N°03"/>
      <sheetName val="FE-16"/>
      <sheetName val="FE-17"/>
      <sheetName val="TAREO"/>
      <sheetName val="P.M"/>
      <sheetName val="R.M"/>
    </sheetNames>
    <sheetDataSet>
      <sheetData sheetId="0">
        <row r="25">
          <cell r="C25" t="str">
            <v>“MEJORAMIENTO DE LA GESTIÓN MUNICIPAL Y SERVICIO ADMINISTRATIVO DE LA MUNICIPALIDAD PROVINCIAL DE ABANCAY, DISTRITO DE ABANCAY - PROVINCIA DE ABANCAY - DEPARTAMENTO DE APURIMAC”.</v>
          </cell>
        </row>
        <row r="78">
          <cell r="C78" t="str">
            <v>ING. IVES BUSTHER GUTIERREZ ARENAS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 FE-1"/>
      <sheetName val="Datos"/>
      <sheetName val="FE-2"/>
      <sheetName val="C"/>
      <sheetName val="C.1"/>
      <sheetName val="VAL ADI-OBRA N°01"/>
      <sheetName val="FE3-1 "/>
      <sheetName val="FE-05"/>
      <sheetName val="FE-05 (2)"/>
      <sheetName val=" FE 07"/>
      <sheetName val="F-09"/>
      <sheetName val="F-10 "/>
      <sheetName val="FE-11"/>
      <sheetName val="FE-12"/>
      <sheetName val="VAL-PARTIDAS NUEVAS"/>
      <sheetName val="VAL ADI-OBRA N°02"/>
      <sheetName val="VAL ADI-OBRA N°03"/>
      <sheetName val="VAL ADI-OBRA N°04"/>
      <sheetName val="FE-16"/>
      <sheetName val="FE-17"/>
      <sheetName val="Curva S-1"/>
      <sheetName val="TAREO"/>
      <sheetName val="F-12"/>
      <sheetName val="FE-14"/>
      <sheetName val="Curva S"/>
      <sheetName val="CRONOGRAMA VALORIZADO"/>
      <sheetName val="P.M"/>
      <sheetName val="R.M"/>
    </sheetNames>
    <sheetDataSet>
      <sheetData sheetId="0"/>
      <sheetData sheetId="1">
        <row r="73">
          <cell r="C73" t="str">
            <v>ING. RICHARD ERWIN MONTALVO ALVARO</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C"/>
      <sheetName val="C.1"/>
      <sheetName val="FE-05"/>
      <sheetName val="FE-05 (2)"/>
      <sheetName val=" FE 07"/>
      <sheetName val="F-09"/>
      <sheetName val="F-10 "/>
      <sheetName val="FE-11"/>
      <sheetName val="FE-12"/>
      <sheetName val="VAL-PARTIDAS NUEVAS"/>
      <sheetName val="VAL ADI-OBRA N°01"/>
      <sheetName val="VAL ADI-OBRA N°02"/>
      <sheetName val="VAL ADI-OBRA N°03"/>
      <sheetName val="VAL ADI-OBRA N°04"/>
      <sheetName val="Resumen"/>
      <sheetName val="G.General"/>
      <sheetName val="Supervision"/>
      <sheetName val="PRESUPUEST REPARA"/>
      <sheetName val="PRESUPUEST ESTRUC"/>
      <sheetName val="FE-16"/>
      <sheetName val="FE-17"/>
      <sheetName val="TAREO"/>
      <sheetName val="P.M"/>
      <sheetName val="R.M"/>
    </sheetNames>
    <sheetDataSet>
      <sheetData sheetId="0">
        <row r="26">
          <cell r="C26" t="str">
            <v>“MEJORAMIENTO DE LA GESTIÓN MUNICIPAL Y SERVICIO ADMINISTRATIVO DE LA MUNICIPALIDAD PROVINCIAL DE ABANCAY"</v>
          </cell>
        </row>
        <row r="79">
          <cell r="C79" t="str">
            <v>ING. IVES BUSTHER GUTIERREZ ARENAS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ONOGRAMA VALORIZADO"/>
      <sheetName val="R- FE-1"/>
      <sheetName val="Datos"/>
      <sheetName val="C"/>
      <sheetName val="C.1"/>
      <sheetName val="FE-2"/>
      <sheetName val="VAL ADI-OBRA N°01"/>
      <sheetName val="FE3-1 "/>
      <sheetName val="FE-05"/>
      <sheetName val="FE-05 (2)"/>
      <sheetName val=" FE 07"/>
      <sheetName val="F-09"/>
      <sheetName val="F-10 "/>
      <sheetName val="FE-11"/>
      <sheetName val="FE-12"/>
      <sheetName val="VAL-PARTIDAS NUEVAS"/>
      <sheetName val="VAL ADI-OBRA N°02"/>
      <sheetName val="VAL ADI-OBRA N°03"/>
      <sheetName val="FE-16"/>
      <sheetName val="FE-17"/>
      <sheetName val="Curva S-1"/>
      <sheetName val="TAREO"/>
      <sheetName val="F-12"/>
      <sheetName val="FE-14"/>
      <sheetName val="Curva S"/>
      <sheetName val="P.M"/>
      <sheetName val="R.M"/>
    </sheetNames>
    <definedNames>
      <definedName name="OLE_LINK1" refersTo="='FE3-1 '!$B$5" sheetId="7"/>
    </definedNames>
    <sheetDataSet>
      <sheetData sheetId="0"/>
      <sheetData sheetId="1"/>
      <sheetData sheetId="2">
        <row r="25">
          <cell r="C25" t="str">
            <v>“MEJORAMIENTO DE LA GESTIÓN MUNICIPAL Y SERVICIO ADMINISTRATIVO DE LA MUNICIPALIDAD PROVINCIAL DE ABANCAY, DISTRITO DE ABANCAY - PROVINCIA DE ABANCAY - DEPARTAMENTO DE APURIMAC”.</v>
          </cell>
        </row>
        <row r="52">
          <cell r="A52" t="str">
            <v>05</v>
          </cell>
        </row>
        <row r="80">
          <cell r="C80" t="str">
            <v>ING. IVES BUSTHER GUTIERREZ ARENAS</v>
          </cell>
        </row>
      </sheetData>
      <sheetData sheetId="3"/>
      <sheetData sheetId="4"/>
      <sheetData sheetId="5">
        <row r="38">
          <cell r="W38">
            <v>15583237.93</v>
          </cell>
          <cell r="X38"/>
          <cell r="Y38"/>
          <cell r="Z38"/>
          <cell r="AA38"/>
          <cell r="AB38"/>
          <cell r="AC38"/>
          <cell r="AD38"/>
          <cell r="AE38"/>
          <cell r="AF38"/>
        </row>
        <row r="39">
          <cell r="W39">
            <v>651380.97219999996</v>
          </cell>
          <cell r="X39"/>
          <cell r="Y39"/>
          <cell r="Z39"/>
          <cell r="AA39"/>
          <cell r="AB39"/>
          <cell r="AC39"/>
          <cell r="AD39"/>
          <cell r="AE39"/>
          <cell r="AF39"/>
        </row>
        <row r="40">
          <cell r="W40">
            <v>458476.78</v>
          </cell>
          <cell r="X40"/>
          <cell r="Y40"/>
          <cell r="Z40"/>
          <cell r="AA40"/>
          <cell r="AB40"/>
          <cell r="AC40"/>
          <cell r="AD40"/>
          <cell r="AE40"/>
          <cell r="AF40"/>
        </row>
        <row r="41">
          <cell r="W41">
            <v>1627770.85</v>
          </cell>
          <cell r="X41"/>
          <cell r="Y41"/>
          <cell r="Z41"/>
          <cell r="AA41"/>
          <cell r="AB41"/>
          <cell r="AC41"/>
          <cell r="AD41"/>
          <cell r="AE41"/>
          <cell r="AF41"/>
        </row>
        <row r="46">
          <cell r="G46" t="str">
            <v>04</v>
          </cell>
          <cell r="H46" t="str">
            <v>Contribución a Fondos</v>
          </cell>
          <cell r="W46">
            <v>0</v>
          </cell>
          <cell r="X46"/>
          <cell r="Y46"/>
          <cell r="Z46"/>
          <cell r="AA46"/>
          <cell r="AB46"/>
          <cell r="AC46"/>
          <cell r="AD46"/>
          <cell r="AE46"/>
          <cell r="AF46"/>
        </row>
        <row r="47">
          <cell r="G47" t="str">
            <v>07</v>
          </cell>
          <cell r="H47" t="str">
            <v>Fondos de Compensación Municipal</v>
          </cell>
          <cell r="W47">
            <v>0</v>
          </cell>
          <cell r="X47"/>
          <cell r="Y47"/>
          <cell r="Z47"/>
          <cell r="AA47"/>
          <cell r="AB47"/>
          <cell r="AC47"/>
          <cell r="AD47"/>
          <cell r="AE47"/>
          <cell r="AF47"/>
        </row>
        <row r="48">
          <cell r="G48" t="str">
            <v>08</v>
          </cell>
          <cell r="H48" t="str">
            <v>Impuestos Municipales</v>
          </cell>
          <cell r="W48">
            <v>1400000</v>
          </cell>
          <cell r="X48"/>
          <cell r="Y48"/>
          <cell r="Z48"/>
          <cell r="AA48"/>
          <cell r="AB48"/>
          <cell r="AC48"/>
          <cell r="AD48"/>
          <cell r="AE48"/>
          <cell r="AF48"/>
        </row>
        <row r="49">
          <cell r="H49" t="str">
            <v>Canon y Sobrecanon, Regalías, Renta de Aduanas y Participaciones</v>
          </cell>
        </row>
        <row r="156">
          <cell r="H156">
            <v>13550641.68</v>
          </cell>
        </row>
        <row r="199">
          <cell r="H199">
            <v>18320866.542200003</v>
          </cell>
          <cell r="M199">
            <v>14186117.87792222</v>
          </cell>
          <cell r="T199">
            <v>337087</v>
          </cell>
          <cell r="AC199">
            <v>14523204.87792222</v>
          </cell>
        </row>
        <row r="200">
          <cell r="H200">
            <v>11390073.735934202</v>
          </cell>
          <cell r="M200">
            <v>10811893.665934201</v>
          </cell>
          <cell r="T200">
            <v>578180.06999999995</v>
          </cell>
          <cell r="AC200">
            <v>11390073.735934202</v>
          </cell>
        </row>
        <row r="224">
          <cell r="H224">
            <v>3361775.66</v>
          </cell>
          <cell r="M224">
            <v>3088218.92</v>
          </cell>
          <cell r="T224">
            <v>273556.74</v>
          </cell>
        </row>
        <row r="225">
          <cell r="H225"/>
          <cell r="M225"/>
          <cell r="T225"/>
        </row>
      </sheetData>
      <sheetData sheetId="6"/>
      <sheetData sheetId="7">
        <row r="5">
          <cell r="B5" t="str">
            <v>ADMINISTRACION DIRECTA</v>
          </cell>
        </row>
        <row r="544">
          <cell r="K544">
            <v>128057.06410000005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1">
          <cell r="E31">
            <v>318901.96999999997</v>
          </cell>
        </row>
      </sheetData>
      <sheetData sheetId="21"/>
      <sheetData sheetId="22"/>
      <sheetData sheetId="23"/>
      <sheetData sheetId="24"/>
      <sheetData sheetId="25"/>
      <sheetData sheetId="2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ONOGRAMA VALORIZADO"/>
      <sheetName val="Datos"/>
      <sheetName val="C"/>
      <sheetName val="C.1"/>
      <sheetName val="FE-2"/>
      <sheetName val="R- FE-1"/>
      <sheetName val="FE3-1 "/>
      <sheetName val="FE-05"/>
      <sheetName val="FE-05 (2)"/>
      <sheetName val=" FE 07"/>
      <sheetName val="F-09"/>
      <sheetName val="F-10 "/>
      <sheetName val="FE-11"/>
      <sheetName val="FE-12"/>
      <sheetName val="VAL-PARTIDAS NUEVAS"/>
      <sheetName val="VAL ADI-OBRA N°01"/>
      <sheetName val="VAL ADI-OBRA N°02"/>
      <sheetName val="FE-14"/>
      <sheetName val="FE-16"/>
      <sheetName val="FE-17"/>
      <sheetName val="Curva S"/>
      <sheetName val="TAREO"/>
      <sheetName val="F-12"/>
      <sheetName val="P.M"/>
      <sheetName val="R.M"/>
    </sheetNames>
    <sheetDataSet>
      <sheetData sheetId="0">
        <row r="1467">
          <cell r="S1467">
            <v>187379.55779999995</v>
          </cell>
        </row>
      </sheetData>
      <sheetData sheetId="1">
        <row r="25">
          <cell r="C25" t="str">
            <v>“MEJORAMIENTO DE LA GESTIÓN MUNICIPAL Y SERVICIO ADMINISTRATIVO DE LA MUNICIPALIDAD PROVINCIAL DE ABANCAY, DISTRITO DE ABANCAY - PROVINCIA DE ABANCAY - DEPARTAMENTO DE APURIMAC”.</v>
          </cell>
        </row>
        <row r="56">
          <cell r="B56" t="str">
            <v>Canon y Sobrecanon, Regalías, Renta de Aduanas y Participaciones</v>
          </cell>
        </row>
        <row r="80">
          <cell r="C80" t="str">
            <v>ING. IVES BUSTHER GUTIERREZ ARENAS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16">
          <cell r="D16">
            <v>44585</v>
          </cell>
        </row>
      </sheetData>
      <sheetData sheetId="21" refreshError="1"/>
      <sheetData sheetId="22" refreshError="1"/>
      <sheetData sheetId="23" refreshError="1"/>
      <sheetData sheetId="2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 FE-1"/>
      <sheetName val="Datos"/>
      <sheetName val="FE-2"/>
      <sheetName val="C"/>
      <sheetName val="C.1"/>
      <sheetName val="VAL ADI-OBRA N°01"/>
      <sheetName val="FE3-1 "/>
      <sheetName val="FE-05"/>
      <sheetName val="FE-05 (2)"/>
      <sheetName val=" FE 07"/>
      <sheetName val="F-09"/>
      <sheetName val="F-10 "/>
      <sheetName val="FE-11"/>
      <sheetName val="FE-12"/>
      <sheetName val="VAL-PARTIDAS NUEVAS"/>
      <sheetName val="VAL ADI-OBRA N°03 (2)"/>
      <sheetName val="VAL ADI-OBRA N°02"/>
      <sheetName val="VAL ADI-OBRA N°04"/>
      <sheetName val="FE-16"/>
      <sheetName val="FE-17"/>
      <sheetName val="Curva S-1"/>
      <sheetName val="TAREO"/>
      <sheetName val="F-12"/>
      <sheetName val="FE-14"/>
      <sheetName val="Curva S"/>
      <sheetName val="CRONOGRAMA VALORIZADO (3)"/>
      <sheetName val="CRONOGRAMA VALORIZADO (2)"/>
      <sheetName val="P.M"/>
      <sheetName val="R.M"/>
    </sheetNames>
    <sheetDataSet>
      <sheetData sheetId="0"/>
      <sheetData sheetId="1">
        <row r="73">
          <cell r="C73" t="str">
            <v>ING. RICHARD ERWIN MONTALVO ALVARO</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 FE-1"/>
      <sheetName val="Datos"/>
      <sheetName val="FE-2"/>
      <sheetName val="C"/>
      <sheetName val="C.1"/>
      <sheetName val="VAL ADI-OBRA N°01"/>
      <sheetName val="FE3-1 "/>
      <sheetName val="FE-05"/>
      <sheetName val="FE-05 (2)"/>
      <sheetName val=" FE 07"/>
      <sheetName val="F-09"/>
      <sheetName val="F-10 "/>
      <sheetName val="FE-11"/>
      <sheetName val="FE-12"/>
      <sheetName val="VAL-PARTIDAS NUEVAS"/>
      <sheetName val="VAL ADI-OBRA N°03 (2)"/>
      <sheetName val="VAL ADI-OBRA N°02"/>
      <sheetName val="VAL ADI-OBRA N°04"/>
      <sheetName val="FE-16"/>
      <sheetName val="FE-17"/>
      <sheetName val="Curva S-1"/>
      <sheetName val="TAREO"/>
      <sheetName val="F-12"/>
      <sheetName val="FE-14"/>
      <sheetName val="Curva S"/>
      <sheetName val="CRONOGRAMA VALORIZADO"/>
      <sheetName val="CRONOGRAMA VALORIZADO (2)"/>
      <sheetName val="P.M"/>
      <sheetName val="R.M"/>
    </sheetNames>
    <sheetDataSet>
      <sheetData sheetId="0"/>
      <sheetData sheetId="1">
        <row r="73">
          <cell r="C73" t="str">
            <v>ING. RICHARD ERWIN MONTALVO ALVARO</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 FE-1"/>
      <sheetName val="Datos"/>
      <sheetName val="C"/>
      <sheetName val="C.1"/>
      <sheetName val="FE-2"/>
      <sheetName val="FE3-1 "/>
      <sheetName val="VAL ADI-OBRA N°01"/>
      <sheetName val="FE-05"/>
      <sheetName val="FE-05 (2)"/>
      <sheetName val=" FE 07"/>
      <sheetName val="F-09"/>
      <sheetName val="F-10 "/>
      <sheetName val="FE-11"/>
      <sheetName val="FE-12"/>
      <sheetName val="VAL-PARTIDAS NUEVAS"/>
      <sheetName val="VAL ADI-OBRA N°02"/>
      <sheetName val="VAL ADI-OBRA N°03"/>
      <sheetName val="FE-16"/>
      <sheetName val="FE-17"/>
      <sheetName val="Curva S-1"/>
      <sheetName val="TAREO"/>
      <sheetName val="F-12"/>
      <sheetName val="FE-14"/>
      <sheetName val="CRONOGRAMA VALORIZADO"/>
      <sheetName val="Diagrama Gant"/>
      <sheetName val="Curva S"/>
      <sheetName val="SUSTENTO F-2"/>
      <sheetName val="P.M"/>
      <sheetName val="R.M"/>
    </sheetNames>
    <sheetDataSet>
      <sheetData sheetId="0">
        <row r="79">
          <cell r="F79">
            <v>300133.5393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2.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
    <tabColor rgb="FF002060"/>
    <pageSetUpPr fitToPage="1"/>
  </sheetPr>
  <dimension ref="A1:LP96"/>
  <sheetViews>
    <sheetView view="pageBreakPreview" topLeftCell="A55" zoomScale="40" zoomScaleNormal="100" zoomScaleSheetLayoutView="40" workbookViewId="0">
      <selection activeCell="H92" sqref="H92"/>
    </sheetView>
  </sheetViews>
  <sheetFormatPr baseColWidth="10" defaultColWidth="11.5703125" defaultRowHeight="15"/>
  <cols>
    <col min="1" max="1" width="20" customWidth="1"/>
    <col min="2" max="2" width="48.140625" customWidth="1"/>
    <col min="3" max="4" width="21.28515625" customWidth="1"/>
    <col min="5" max="5" width="13.140625" customWidth="1"/>
    <col min="6" max="6" width="21.28515625" customWidth="1"/>
    <col min="7" max="7" width="16.28515625" customWidth="1"/>
    <col min="8" max="8" width="21.28515625" customWidth="1"/>
    <col min="9" max="9" width="14.7109375" customWidth="1"/>
    <col min="10" max="10" width="21.28515625" customWidth="1"/>
    <col min="12" max="12" width="14.5703125" bestFit="1" customWidth="1"/>
    <col min="13" max="13" width="20" customWidth="1"/>
    <col min="14" max="14" width="16.42578125" customWidth="1"/>
    <col min="16" max="16" width="21.28515625" customWidth="1"/>
    <col min="17" max="17" width="17.28515625" customWidth="1"/>
    <col min="18" max="18" width="16.7109375" customWidth="1"/>
    <col min="19" max="19" width="19.42578125" customWidth="1"/>
    <col min="20" max="20" width="16.28515625" customWidth="1"/>
  </cols>
  <sheetData>
    <row r="1" spans="1:328" ht="32.25">
      <c r="A1" s="2148" t="s">
        <v>4279</v>
      </c>
      <c r="B1" s="2148"/>
      <c r="C1" s="2148"/>
      <c r="D1" s="2148"/>
      <c r="E1" s="2148"/>
      <c r="F1" s="2148"/>
      <c r="G1" s="2148"/>
      <c r="H1" s="2148"/>
      <c r="I1" s="2148"/>
      <c r="J1" s="2148"/>
      <c r="K1" s="2148"/>
    </row>
    <row r="2" spans="1:328" ht="34.5" customHeight="1">
      <c r="A2" s="2149" t="s">
        <v>4275</v>
      </c>
      <c r="B2" s="2149"/>
      <c r="C2" s="2149"/>
      <c r="D2" s="2149"/>
      <c r="E2" s="2149"/>
      <c r="F2" s="2149"/>
      <c r="G2" s="2149"/>
      <c r="H2" s="2149"/>
      <c r="I2" s="2149"/>
      <c r="J2" s="2149"/>
      <c r="K2" s="2149"/>
    </row>
    <row r="3" spans="1:328" ht="31.5" customHeight="1">
      <c r="A3" s="997" t="s">
        <v>136</v>
      </c>
      <c r="B3" s="2151" t="str">
        <f>Datos!C25</f>
        <v>“MEJORAMIENTO DE LA GESTIÓN MUNICIPAL Y SERVICIO ADMINISTRATIVO DE LA MUNICIPALIDAD PROVINCIAL DE ABANCAY, DISTRITO DE ABANCAY - PROVINCIA DE ABANCAY - DEPARTAMENTO DE APURIMAC”.</v>
      </c>
      <c r="C3" s="2151"/>
      <c r="D3" s="2151"/>
      <c r="E3" s="2151"/>
      <c r="F3" s="2151"/>
      <c r="G3" s="2151"/>
      <c r="H3" s="2151"/>
      <c r="I3" s="2151"/>
      <c r="J3" s="2151"/>
      <c r="K3" s="2151"/>
    </row>
    <row r="4" spans="1:328">
      <c r="A4" s="997" t="s">
        <v>137</v>
      </c>
      <c r="B4" s="998" t="s">
        <v>126</v>
      </c>
      <c r="C4" s="1003"/>
      <c r="D4" s="1003"/>
      <c r="E4" s="1003"/>
      <c r="F4" s="1003"/>
      <c r="G4" s="1004"/>
      <c r="H4" s="1003"/>
      <c r="I4" s="1003"/>
      <c r="J4" s="1003"/>
      <c r="K4" s="1003"/>
    </row>
    <row r="5" spans="1:328" ht="15" customHeight="1">
      <c r="A5" s="997" t="s">
        <v>139</v>
      </c>
      <c r="B5" s="1003" t="s">
        <v>2480</v>
      </c>
      <c r="C5" s="1003"/>
      <c r="D5" s="1003"/>
      <c r="E5" s="2143" t="s">
        <v>1147</v>
      </c>
      <c r="F5" s="2144"/>
      <c r="G5" s="2145" t="s">
        <v>4275</v>
      </c>
      <c r="H5" s="2146"/>
      <c r="I5" s="2146"/>
      <c r="J5" s="2147"/>
      <c r="K5" s="1005"/>
    </row>
    <row r="6" spans="1:328" ht="20.25" customHeight="1">
      <c r="A6" s="997" t="s">
        <v>129</v>
      </c>
      <c r="B6" s="998" t="str">
        <f>Datos!C73</f>
        <v>ING. RICHARD ERWIN MONTALVO ALVARO</v>
      </c>
      <c r="C6" s="1007"/>
      <c r="D6" s="1007"/>
      <c r="E6" s="2143" t="s">
        <v>1148</v>
      </c>
      <c r="F6" s="2144"/>
      <c r="G6" s="2145" t="s">
        <v>125</v>
      </c>
      <c r="H6" s="2146"/>
      <c r="I6" s="2146"/>
      <c r="J6" s="2147"/>
      <c r="K6" s="1003"/>
    </row>
    <row r="7" spans="1:328">
      <c r="A7" s="997" t="s">
        <v>128</v>
      </c>
      <c r="B7" s="1008" t="str">
        <f>Datos!C80</f>
        <v>ING. IVES BUSTHER GUTIERREZ ARENAS</v>
      </c>
      <c r="C7" s="1010"/>
      <c r="D7" s="1010"/>
      <c r="E7" s="2143" t="s">
        <v>1149</v>
      </c>
      <c r="F7" s="2144"/>
      <c r="G7" s="2145" t="s">
        <v>125</v>
      </c>
      <c r="H7" s="2146"/>
      <c r="I7" s="2146"/>
      <c r="J7" s="2147"/>
      <c r="K7" s="1084"/>
    </row>
    <row r="8" spans="1:328">
      <c r="A8" s="997" t="s">
        <v>1150</v>
      </c>
      <c r="B8" s="1008" t="s">
        <v>4276</v>
      </c>
      <c r="C8" s="1010"/>
      <c r="D8" s="1010"/>
      <c r="E8" s="2143" t="s">
        <v>1151</v>
      </c>
      <c r="F8" s="2144"/>
      <c r="G8" s="2145" t="s">
        <v>124</v>
      </c>
      <c r="H8" s="2146"/>
      <c r="I8" s="2146"/>
      <c r="J8" s="2147"/>
      <c r="K8" s="1084"/>
      <c r="L8" s="244"/>
    </row>
    <row r="9" spans="1:328" ht="6" customHeight="1" thickBot="1">
      <c r="A9" s="998"/>
      <c r="B9" s="1011"/>
      <c r="C9" s="1010"/>
      <c r="D9" s="1010"/>
      <c r="E9" s="1010"/>
      <c r="F9" s="1012"/>
      <c r="G9" s="1012"/>
      <c r="H9" s="1012"/>
      <c r="I9" s="1012"/>
      <c r="J9" s="1010"/>
      <c r="K9" s="1010"/>
    </row>
    <row r="10" spans="1:328" ht="23.1" customHeight="1" thickBot="1">
      <c r="A10" s="2115" t="s">
        <v>31</v>
      </c>
      <c r="B10" s="2117" t="s">
        <v>1171</v>
      </c>
      <c r="C10" s="2119" t="s">
        <v>1172</v>
      </c>
      <c r="D10" s="1242"/>
      <c r="E10" s="1242"/>
      <c r="F10" s="1243" t="s">
        <v>142</v>
      </c>
      <c r="G10" s="1242"/>
      <c r="H10" s="1242"/>
      <c r="I10" s="1242"/>
      <c r="J10" s="2122" t="s">
        <v>16</v>
      </c>
      <c r="K10" s="2123"/>
    </row>
    <row r="11" spans="1:328" ht="23.1" customHeight="1">
      <c r="A11" s="2116"/>
      <c r="B11" s="2118"/>
      <c r="C11" s="2120"/>
      <c r="D11" s="2126" t="s">
        <v>140</v>
      </c>
      <c r="E11" s="2127"/>
      <c r="F11" s="2128" t="s">
        <v>141</v>
      </c>
      <c r="G11" s="2127"/>
      <c r="H11" s="2128" t="s">
        <v>142</v>
      </c>
      <c r="I11" s="2127"/>
      <c r="J11" s="2124"/>
      <c r="K11" s="2125"/>
    </row>
    <row r="12" spans="1:328" ht="23.1" customHeight="1" thickBot="1">
      <c r="A12" s="2150"/>
      <c r="B12" s="2153"/>
      <c r="C12" s="2152"/>
      <c r="D12" s="1250" t="s">
        <v>1173</v>
      </c>
      <c r="E12" s="1251" t="s">
        <v>30</v>
      </c>
      <c r="F12" s="1252" t="str">
        <f>D12</f>
        <v>VALORIZADO</v>
      </c>
      <c r="G12" s="1251" t="s">
        <v>30</v>
      </c>
      <c r="H12" s="1252" t="str">
        <f>F12</f>
        <v>VALORIZADO</v>
      </c>
      <c r="I12" s="1251" t="s">
        <v>30</v>
      </c>
      <c r="J12" s="1252" t="str">
        <f>H12</f>
        <v>VALORIZADO</v>
      </c>
      <c r="K12" s="1251" t="s">
        <v>30</v>
      </c>
    </row>
    <row r="13" spans="1:328" s="236" customFormat="1" ht="61.9" customHeight="1">
      <c r="A13" s="1223">
        <v>1</v>
      </c>
      <c r="B13" s="1253" t="s">
        <v>2307</v>
      </c>
      <c r="C13" s="1085">
        <f>C14</f>
        <v>13550641.68</v>
      </c>
      <c r="D13" s="1086">
        <f>'FE3-1 '!H544</f>
        <v>6667211.2373413714</v>
      </c>
      <c r="E13" s="1087">
        <f>D13/C13</f>
        <v>0.49202180935695522</v>
      </c>
      <c r="F13" s="1088">
        <f>F14</f>
        <v>1092.9000000000001</v>
      </c>
      <c r="G13" s="1089">
        <f>F13/C13</f>
        <v>8.0653007127556197E-5</v>
      </c>
      <c r="H13" s="1088">
        <f>F13+D13</f>
        <v>6668304.1373413717</v>
      </c>
      <c r="I13" s="1089">
        <f>H13/C13</f>
        <v>0.49210246236408284</v>
      </c>
      <c r="J13" s="1088">
        <f>C13-H13</f>
        <v>6882337.542658628</v>
      </c>
      <c r="K13" s="1089">
        <f>J13/C13</f>
        <v>0.50789753763591716</v>
      </c>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row>
    <row r="14" spans="1:328" ht="23.1" customHeight="1" thickBot="1">
      <c r="A14" s="1224"/>
      <c r="B14" s="1225" t="s">
        <v>33</v>
      </c>
      <c r="C14" s="1226">
        <f>'FE3-1 '!F544</f>
        <v>13550641.68</v>
      </c>
      <c r="D14" s="1227">
        <f>D13</f>
        <v>6667211.2373413714</v>
      </c>
      <c r="E14" s="1228">
        <f>D14/C14</f>
        <v>0.49202180935695522</v>
      </c>
      <c r="F14" s="1229">
        <f>'FE3-1 '!K544</f>
        <v>1092.9000000000001</v>
      </c>
      <c r="G14" s="1230">
        <f>+F14/$C14</f>
        <v>8.0653007127556197E-5</v>
      </c>
      <c r="H14" s="1229">
        <f>SUM(D14+F14)</f>
        <v>6668304.1373413717</v>
      </c>
      <c r="I14" s="1230">
        <f>+H14/$C14</f>
        <v>0.49210246236408284</v>
      </c>
      <c r="J14" s="1229">
        <f>C14-H14</f>
        <v>6882337.542658628</v>
      </c>
      <c r="K14" s="1230">
        <f>+J14/$C14</f>
        <v>0.50789753763591716</v>
      </c>
    </row>
    <row r="15" spans="1:328" ht="22.5" customHeight="1" thickBot="1">
      <c r="J15" s="1016"/>
    </row>
    <row r="16" spans="1:328" ht="23.1" customHeight="1" thickBot="1">
      <c r="A16" s="2115" t="s">
        <v>31</v>
      </c>
      <c r="B16" s="2117" t="s">
        <v>1171</v>
      </c>
      <c r="C16" s="2119" t="s">
        <v>2304</v>
      </c>
      <c r="D16" s="1242"/>
      <c r="E16" s="1242"/>
      <c r="F16" s="1243" t="s">
        <v>142</v>
      </c>
      <c r="G16" s="1242"/>
      <c r="H16" s="1242"/>
      <c r="I16" s="1242"/>
      <c r="J16" s="2122" t="s">
        <v>16</v>
      </c>
      <c r="K16" s="2123"/>
    </row>
    <row r="17" spans="1:11" ht="23.1" customHeight="1">
      <c r="A17" s="2116"/>
      <c r="B17" s="2118"/>
      <c r="C17" s="2120"/>
      <c r="D17" s="2126" t="s">
        <v>140</v>
      </c>
      <c r="E17" s="2127"/>
      <c r="F17" s="2128" t="s">
        <v>141</v>
      </c>
      <c r="G17" s="2127"/>
      <c r="H17" s="2128" t="s">
        <v>142</v>
      </c>
      <c r="I17" s="2127"/>
      <c r="J17" s="2124"/>
      <c r="K17" s="2125"/>
    </row>
    <row r="18" spans="1:11" ht="23.1" customHeight="1" thickBot="1">
      <c r="A18" s="2116"/>
      <c r="B18" s="2118"/>
      <c r="C18" s="2121"/>
      <c r="D18" s="1244" t="s">
        <v>1173</v>
      </c>
      <c r="E18" s="1245" t="s">
        <v>30</v>
      </c>
      <c r="F18" s="1246" t="str">
        <f>D18</f>
        <v>VALORIZADO</v>
      </c>
      <c r="G18" s="1245" t="s">
        <v>30</v>
      </c>
      <c r="H18" s="1246" t="str">
        <f>F18</f>
        <v>VALORIZADO</v>
      </c>
      <c r="I18" s="1245" t="s">
        <v>30</v>
      </c>
      <c r="J18" s="1246" t="str">
        <f>H18</f>
        <v>VALORIZADO</v>
      </c>
      <c r="K18" s="1245" t="s">
        <v>30</v>
      </c>
    </row>
    <row r="19" spans="1:11" ht="48.6" customHeight="1">
      <c r="A19" s="1231">
        <v>2</v>
      </c>
      <c r="B19" s="1254" t="s">
        <v>2305</v>
      </c>
      <c r="C19" s="1237"/>
      <c r="D19" s="1236"/>
      <c r="E19" s="1232"/>
      <c r="F19" s="1233"/>
      <c r="G19" s="1234"/>
      <c r="H19" s="1233"/>
      <c r="I19" s="1248"/>
      <c r="J19" s="1233"/>
      <c r="K19" s="1234"/>
    </row>
    <row r="20" spans="1:11" ht="20.100000000000001" customHeight="1">
      <c r="A20" s="1223"/>
      <c r="B20" s="1240" t="s">
        <v>2302</v>
      </c>
      <c r="C20" s="1238">
        <f>'VAL ADI-OBRA N°01'!F44</f>
        <v>1252795.3999999999</v>
      </c>
      <c r="D20" s="1239">
        <f>'VAL ADI-OBRA N°01'!H44</f>
        <v>880376.1</v>
      </c>
      <c r="E20" s="1235">
        <f>D20/C20</f>
        <v>0.70272935229487599</v>
      </c>
      <c r="F20" s="1239">
        <f>'VAL ADI-OBRA N°01'!K48</f>
        <v>243761.50000000003</v>
      </c>
      <c r="G20" s="1235">
        <f>(F20/C20)</f>
        <v>0.1945740701155193</v>
      </c>
      <c r="H20" s="1239">
        <f>D20+F20</f>
        <v>1124137.6000000001</v>
      </c>
      <c r="I20" s="1247">
        <f>H20/C20</f>
        <v>0.89730342241039529</v>
      </c>
      <c r="J20" s="1241">
        <f>C20-H20</f>
        <v>128657.79999999981</v>
      </c>
      <c r="K20" s="1249">
        <f t="shared" ref="K20:K21" si="0">+J20/$C20</f>
        <v>0.10269657758960467</v>
      </c>
    </row>
    <row r="21" spans="1:11" ht="25.15" customHeight="1">
      <c r="A21" s="1223"/>
      <c r="B21" s="1240" t="s">
        <v>2303</v>
      </c>
      <c r="C21" s="1238">
        <f>'VAL ADI-OBRA N°01'!F74</f>
        <v>660953.69779999997</v>
      </c>
      <c r="D21" s="1239">
        <v>0</v>
      </c>
      <c r="E21" s="1235">
        <f>D21/C21</f>
        <v>0</v>
      </c>
      <c r="F21" s="1239">
        <v>0</v>
      </c>
      <c r="G21" s="1235">
        <v>0</v>
      </c>
      <c r="H21" s="1239">
        <v>0</v>
      </c>
      <c r="I21" s="1247">
        <v>0</v>
      </c>
      <c r="J21" s="1241">
        <f t="shared" ref="J21" si="1">C21-H21</f>
        <v>660953.69779999997</v>
      </c>
      <c r="K21" s="1249">
        <f t="shared" si="0"/>
        <v>1</v>
      </c>
    </row>
    <row r="22" spans="1:11" ht="20.100000000000001" customHeight="1">
      <c r="A22" s="1377"/>
      <c r="B22" s="1378"/>
      <c r="C22" s="1379"/>
      <c r="D22" s="1379"/>
      <c r="E22" s="1380"/>
      <c r="F22" s="1379"/>
      <c r="G22" s="1381"/>
      <c r="H22" s="1379"/>
      <c r="I22" s="1381"/>
      <c r="J22" s="1379"/>
      <c r="K22" s="1381"/>
    </row>
    <row r="23" spans="1:11" ht="27" customHeight="1">
      <c r="A23" s="2148" t="str">
        <f>A1</f>
        <v>RESUMEN DE AVANCE DE OBRA VALORIZADO N° 23</v>
      </c>
      <c r="B23" s="2148"/>
      <c r="C23" s="2148"/>
      <c r="D23" s="2148"/>
      <c r="E23" s="2148"/>
      <c r="F23" s="2148"/>
      <c r="G23" s="2148"/>
      <c r="H23" s="2148"/>
      <c r="I23" s="2148"/>
      <c r="J23" s="2148"/>
      <c r="K23" s="2148"/>
    </row>
    <row r="24" spans="1:11" ht="34.5" customHeight="1">
      <c r="A24" s="2149" t="s">
        <v>4275</v>
      </c>
      <c r="B24" s="2149"/>
      <c r="C24" s="2149"/>
      <c r="D24" s="2149"/>
      <c r="E24" s="2149"/>
      <c r="F24" s="2149"/>
      <c r="G24" s="2149"/>
      <c r="H24" s="2149"/>
      <c r="I24" s="2149"/>
      <c r="J24" s="2149"/>
      <c r="K24" s="2149"/>
    </row>
    <row r="25" spans="1:11" ht="35.25" customHeight="1">
      <c r="A25" s="997" t="s">
        <v>136</v>
      </c>
      <c r="B25" s="2151" t="str">
        <f>B3</f>
        <v>“MEJORAMIENTO DE LA GESTIÓN MUNICIPAL Y SERVICIO ADMINISTRATIVO DE LA MUNICIPALIDAD PROVINCIAL DE ABANCAY, DISTRITO DE ABANCAY - PROVINCIA DE ABANCAY - DEPARTAMENTO DE APURIMAC”.</v>
      </c>
      <c r="C25" s="2151"/>
      <c r="D25" s="2151"/>
      <c r="E25" s="2151"/>
      <c r="F25" s="2151"/>
      <c r="G25" s="2151"/>
      <c r="H25" s="2151"/>
      <c r="I25" s="2151"/>
      <c r="J25" s="2151"/>
      <c r="K25" s="2151"/>
    </row>
    <row r="26" spans="1:11" ht="20.100000000000001" customHeight="1">
      <c r="A26" s="997" t="s">
        <v>137</v>
      </c>
      <c r="B26" s="998" t="s">
        <v>126</v>
      </c>
      <c r="C26" s="1003"/>
      <c r="D26" s="1003"/>
      <c r="E26" s="1003"/>
      <c r="F26" s="1003"/>
      <c r="G26" s="1004"/>
      <c r="H26" s="1003"/>
      <c r="I26" s="1003"/>
      <c r="J26" s="1003"/>
      <c r="K26" s="1003"/>
    </row>
    <row r="27" spans="1:11" ht="20.100000000000001" customHeight="1">
      <c r="A27" s="997" t="s">
        <v>139</v>
      </c>
      <c r="B27" s="1003" t="s">
        <v>2480</v>
      </c>
      <c r="C27" s="1003"/>
      <c r="D27" s="1003"/>
      <c r="E27" s="2143" t="s">
        <v>1147</v>
      </c>
      <c r="F27" s="2144"/>
      <c r="G27" s="2145" t="str">
        <f>G5</f>
        <v>CORRESPONDIENTE AL MES DE DICIEMBRE DEL 2023</v>
      </c>
      <c r="H27" s="2146"/>
      <c r="I27" s="2146"/>
      <c r="J27" s="2147"/>
      <c r="K27" s="1005"/>
    </row>
    <row r="28" spans="1:11" ht="20.100000000000001" customHeight="1">
      <c r="A28" s="997" t="s">
        <v>129</v>
      </c>
      <c r="B28" s="998" t="str">
        <f>B6</f>
        <v>ING. RICHARD ERWIN MONTALVO ALVARO</v>
      </c>
      <c r="C28" s="1007"/>
      <c r="D28" s="1007"/>
      <c r="E28" s="2143" t="s">
        <v>1148</v>
      </c>
      <c r="F28" s="2144"/>
      <c r="G28" s="2145" t="s">
        <v>125</v>
      </c>
      <c r="H28" s="2146"/>
      <c r="I28" s="2146"/>
      <c r="J28" s="2147"/>
      <c r="K28" s="1003"/>
    </row>
    <row r="29" spans="1:11" ht="20.100000000000001" customHeight="1">
      <c r="A29" s="997" t="s">
        <v>128</v>
      </c>
      <c r="B29" s="1008" t="str">
        <f>B7</f>
        <v>ING. IVES BUSTHER GUTIERREZ ARENAS</v>
      </c>
      <c r="C29" s="1010"/>
      <c r="D29" s="1010"/>
      <c r="E29" s="2143" t="s">
        <v>1149</v>
      </c>
      <c r="F29" s="2144"/>
      <c r="G29" s="2145" t="s">
        <v>125</v>
      </c>
      <c r="H29" s="2146"/>
      <c r="I29" s="2146"/>
      <c r="J29" s="2147"/>
      <c r="K29" s="1084"/>
    </row>
    <row r="30" spans="1:11" ht="20.100000000000001" customHeight="1">
      <c r="A30" s="997" t="s">
        <v>1150</v>
      </c>
      <c r="B30" s="1008" t="s">
        <v>4276</v>
      </c>
      <c r="C30" s="1010"/>
      <c r="D30" s="1010"/>
      <c r="E30" s="2143" t="s">
        <v>1151</v>
      </c>
      <c r="F30" s="2144"/>
      <c r="G30" s="2145" t="s">
        <v>124</v>
      </c>
      <c r="H30" s="2146"/>
      <c r="I30" s="2146"/>
      <c r="J30" s="2147"/>
      <c r="K30" s="1084"/>
    </row>
    <row r="31" spans="1:11" ht="20.100000000000001" customHeight="1" thickBot="1">
      <c r="A31" s="1377"/>
      <c r="B31" s="1378"/>
      <c r="C31" s="1379"/>
      <c r="D31" s="1379"/>
      <c r="E31" s="1380"/>
      <c r="F31" s="1379"/>
      <c r="G31" s="1381"/>
      <c r="H31" s="1379"/>
      <c r="I31" s="1381"/>
      <c r="J31" s="1379"/>
      <c r="K31" s="1381"/>
    </row>
    <row r="32" spans="1:11" ht="20.100000000000001" customHeight="1" thickBot="1">
      <c r="A32" s="2115" t="s">
        <v>31</v>
      </c>
      <c r="B32" s="2117" t="s">
        <v>1171</v>
      </c>
      <c r="C32" s="2119" t="s">
        <v>2304</v>
      </c>
      <c r="D32" s="1242"/>
      <c r="E32" s="1242"/>
      <c r="F32" s="1243" t="s">
        <v>142</v>
      </c>
      <c r="G32" s="1242"/>
      <c r="H32" s="1242"/>
      <c r="I32" s="1242"/>
      <c r="J32" s="2122" t="s">
        <v>16</v>
      </c>
      <c r="K32" s="2123"/>
    </row>
    <row r="33" spans="1:19" ht="20.100000000000001" customHeight="1">
      <c r="A33" s="2116"/>
      <c r="B33" s="2118"/>
      <c r="C33" s="2120"/>
      <c r="D33" s="2126" t="s">
        <v>140</v>
      </c>
      <c r="E33" s="2127"/>
      <c r="F33" s="2128" t="s">
        <v>141</v>
      </c>
      <c r="G33" s="2127"/>
      <c r="H33" s="2128" t="s">
        <v>142</v>
      </c>
      <c r="I33" s="2127"/>
      <c r="J33" s="2124"/>
      <c r="K33" s="2125"/>
      <c r="O33" s="1"/>
      <c r="P33" s="1"/>
      <c r="Q33" s="1"/>
      <c r="R33" s="1"/>
      <c r="S33" s="1"/>
    </row>
    <row r="34" spans="1:19" ht="20.100000000000001" customHeight="1" thickBot="1">
      <c r="A34" s="2116"/>
      <c r="B34" s="2118"/>
      <c r="C34" s="2121"/>
      <c r="D34" s="1244" t="s">
        <v>1173</v>
      </c>
      <c r="E34" s="1245" t="s">
        <v>30</v>
      </c>
      <c r="F34" s="1246" t="str">
        <f>D34</f>
        <v>VALORIZADO</v>
      </c>
      <c r="G34" s="1245" t="s">
        <v>30</v>
      </c>
      <c r="H34" s="1246" t="str">
        <f>F34</f>
        <v>VALORIZADO</v>
      </c>
      <c r="I34" s="1245" t="s">
        <v>30</v>
      </c>
      <c r="J34" s="1246" t="str">
        <f>H34</f>
        <v>VALORIZADO</v>
      </c>
      <c r="K34" s="1245" t="s">
        <v>30</v>
      </c>
      <c r="O34" s="1457"/>
      <c r="P34" s="1458"/>
      <c r="Q34" s="1458"/>
      <c r="R34" s="1458"/>
      <c r="S34" s="1459"/>
    </row>
    <row r="35" spans="1:19" ht="48.6" customHeight="1">
      <c r="A35" s="1231">
        <v>3</v>
      </c>
      <c r="B35" s="1254" t="s">
        <v>2461</v>
      </c>
      <c r="C35" s="1237"/>
      <c r="D35" s="1236"/>
      <c r="E35" s="1232"/>
      <c r="F35" s="1233"/>
      <c r="G35" s="1234"/>
      <c r="H35" s="1233"/>
      <c r="I35" s="1248"/>
      <c r="J35" s="1233"/>
      <c r="K35" s="1234"/>
      <c r="O35" s="1460"/>
      <c r="P35" s="1461"/>
      <c r="Q35" s="1461"/>
      <c r="R35" s="1461"/>
      <c r="S35" s="1462"/>
    </row>
    <row r="36" spans="1:19" ht="20.100000000000001" customHeight="1">
      <c r="A36" s="1223"/>
      <c r="B36" s="1240" t="s">
        <v>2302</v>
      </c>
      <c r="C36" s="1238">
        <f>'VAL ADI-OBRA N°02'!F170</f>
        <v>1635915.4400000002</v>
      </c>
      <c r="D36" s="1239">
        <f>'VAL ADI-OBRA N°02'!H170</f>
        <v>1421331.4917847496</v>
      </c>
      <c r="E36" s="1235">
        <f>E80</f>
        <v>0.86882943765403264</v>
      </c>
      <c r="F36" s="1239">
        <f>'VAL ADI-OBRA N°02'!K170</f>
        <v>0</v>
      </c>
      <c r="G36" s="1235">
        <f>F36/C36</f>
        <v>0</v>
      </c>
      <c r="H36" s="1239">
        <f>D36+F36</f>
        <v>1421331.4917847496</v>
      </c>
      <c r="I36" s="1247">
        <f>H36/C36</f>
        <v>0.86882943765403264</v>
      </c>
      <c r="J36" s="1241">
        <f>C36-H36</f>
        <v>214583.94821525062</v>
      </c>
      <c r="K36" s="1382">
        <f>+J36/$C36</f>
        <v>0.13117056234596736</v>
      </c>
      <c r="O36" s="2114"/>
      <c r="P36" s="2114"/>
      <c r="Q36" s="2114"/>
      <c r="R36" s="2114"/>
      <c r="S36" s="1463"/>
    </row>
    <row r="37" spans="1:19" ht="20.100000000000001" customHeight="1">
      <c r="A37" s="1223"/>
      <c r="B37" s="1240" t="s">
        <v>2460</v>
      </c>
      <c r="C37" s="1238">
        <f>'VAL ADI-OBRA N°02'!F227</f>
        <v>577014.6399999999</v>
      </c>
      <c r="D37" s="1239">
        <f>'VAL ADI-OBRA N°02'!H227</f>
        <v>575823.35999999999</v>
      </c>
      <c r="E37" s="1235">
        <f>D37/C37</f>
        <v>0.9979354423312381</v>
      </c>
      <c r="F37" s="1239">
        <f>'VAL ADI-OBRA N°02'!K227</f>
        <v>0</v>
      </c>
      <c r="G37" s="1235">
        <f>F37/C37</f>
        <v>0</v>
      </c>
      <c r="H37" s="1239">
        <f t="shared" ref="H37:H38" si="2">D37+F37</f>
        <v>575823.35999999999</v>
      </c>
      <c r="I37" s="1247">
        <f t="shared" ref="I37:I38" si="3">H37/C37</f>
        <v>0.9979354423312381</v>
      </c>
      <c r="J37" s="1241">
        <f t="shared" ref="J37:J38" si="4">C37-H37</f>
        <v>1191.2799999999115</v>
      </c>
      <c r="K37" s="1382">
        <f t="shared" ref="K37:K38" si="5">+J37/$C37</f>
        <v>2.0645576687619428E-3</v>
      </c>
      <c r="L37" s="1016"/>
    </row>
    <row r="38" spans="1:19" ht="20.100000000000001" customHeight="1">
      <c r="A38" s="1413"/>
      <c r="B38" s="1240" t="s">
        <v>2303</v>
      </c>
      <c r="C38" s="1238">
        <f>'VAL ADI-OBRA N°02'!F295</f>
        <v>1754453.2999999998</v>
      </c>
      <c r="D38" s="1239">
        <v>0</v>
      </c>
      <c r="E38" s="1235">
        <v>0</v>
      </c>
      <c r="F38" s="1239">
        <f>'VAL ADI-OBRA N°02'!K295</f>
        <v>0</v>
      </c>
      <c r="G38" s="1235">
        <f>F38/C38</f>
        <v>0</v>
      </c>
      <c r="H38" s="1239">
        <f t="shared" si="2"/>
        <v>0</v>
      </c>
      <c r="I38" s="1247">
        <f t="shared" si="3"/>
        <v>0</v>
      </c>
      <c r="J38" s="1241">
        <f t="shared" si="4"/>
        <v>1754453.2999999998</v>
      </c>
      <c r="K38" s="1382">
        <f t="shared" si="5"/>
        <v>1</v>
      </c>
    </row>
    <row r="39" spans="1:19" ht="20.100000000000001" customHeight="1" thickBot="1">
      <c r="A39" s="1514"/>
      <c r="B39" s="1515"/>
      <c r="C39" s="1516"/>
      <c r="D39" s="1517"/>
      <c r="E39" s="1518"/>
      <c r="F39" s="1517"/>
      <c r="G39" s="1518"/>
      <c r="H39" s="1517"/>
      <c r="I39" s="1518"/>
      <c r="J39" s="1379"/>
      <c r="K39" s="1381"/>
    </row>
    <row r="40" spans="1:19" ht="20.100000000000001" customHeight="1" thickBot="1">
      <c r="A40" s="2115" t="s">
        <v>31</v>
      </c>
      <c r="B40" s="2117" t="s">
        <v>1171</v>
      </c>
      <c r="C40" s="2119" t="s">
        <v>2304</v>
      </c>
      <c r="D40" s="1242"/>
      <c r="E40" s="1242"/>
      <c r="F40" s="1243" t="s">
        <v>142</v>
      </c>
      <c r="G40" s="1242"/>
      <c r="H40" s="1242"/>
      <c r="I40" s="1242"/>
      <c r="J40" s="2122" t="s">
        <v>16</v>
      </c>
      <c r="K40" s="2123"/>
    </row>
    <row r="41" spans="1:19" ht="20.100000000000001" customHeight="1">
      <c r="A41" s="2116"/>
      <c r="B41" s="2118"/>
      <c r="C41" s="2120"/>
      <c r="D41" s="2126" t="s">
        <v>140</v>
      </c>
      <c r="E41" s="2127"/>
      <c r="F41" s="2128" t="s">
        <v>141</v>
      </c>
      <c r="G41" s="2127"/>
      <c r="H41" s="2128" t="s">
        <v>142</v>
      </c>
      <c r="I41" s="2127"/>
      <c r="J41" s="2124"/>
      <c r="K41" s="2125"/>
      <c r="O41" s="1"/>
      <c r="P41" s="1"/>
      <c r="Q41" s="1"/>
      <c r="R41" s="1"/>
      <c r="S41" s="1"/>
    </row>
    <row r="42" spans="1:19" ht="20.100000000000001" customHeight="1" thickBot="1">
      <c r="A42" s="2116"/>
      <c r="B42" s="2118"/>
      <c r="C42" s="2121"/>
      <c r="D42" s="1244" t="s">
        <v>1173</v>
      </c>
      <c r="E42" s="1245" t="s">
        <v>30</v>
      </c>
      <c r="F42" s="1246" t="str">
        <f>D42</f>
        <v>VALORIZADO</v>
      </c>
      <c r="G42" s="1245" t="s">
        <v>30</v>
      </c>
      <c r="H42" s="1246" t="str">
        <f>F42</f>
        <v>VALORIZADO</v>
      </c>
      <c r="I42" s="1245" t="s">
        <v>30</v>
      </c>
      <c r="J42" s="1246" t="str">
        <f>H42</f>
        <v>VALORIZADO</v>
      </c>
      <c r="K42" s="1245" t="s">
        <v>30</v>
      </c>
      <c r="O42" s="1457"/>
      <c r="P42" s="1458"/>
      <c r="Q42" s="1458"/>
      <c r="R42" s="1458"/>
      <c r="S42" s="1459"/>
    </row>
    <row r="43" spans="1:19" ht="49.9" customHeight="1">
      <c r="A43" s="1231">
        <v>4</v>
      </c>
      <c r="B43" s="1254" t="s">
        <v>2693</v>
      </c>
      <c r="C43" s="1237"/>
      <c r="D43" s="1236"/>
      <c r="E43" s="1232"/>
      <c r="F43" s="1233"/>
      <c r="G43" s="1234"/>
      <c r="H43" s="1233"/>
      <c r="I43" s="1248"/>
      <c r="J43" s="1233"/>
      <c r="K43" s="1234"/>
      <c r="O43" s="1460"/>
      <c r="P43" s="1461"/>
      <c r="Q43" s="1461"/>
      <c r="R43" s="1461"/>
      <c r="S43" s="1462"/>
    </row>
    <row r="44" spans="1:19" ht="20.100000000000001" customHeight="1">
      <c r="A44" s="1223"/>
      <c r="B44" s="1240" t="s">
        <v>2302</v>
      </c>
      <c r="C44" s="1238">
        <f>'VAL ADI-OBRA N°03 (2)'!F116</f>
        <v>2022520.64</v>
      </c>
      <c r="D44" s="1239">
        <f>'VAL ADI-OBRA N°03 (2)'!H116</f>
        <v>1831109.6892000006</v>
      </c>
      <c r="E44" s="1235">
        <f>D44/C44</f>
        <v>0.90536019904350673</v>
      </c>
      <c r="F44" s="1239">
        <f>'VAL ADI-OBRA N°03 (2)'!K116</f>
        <v>0</v>
      </c>
      <c r="G44" s="1235">
        <f>F44/C44</f>
        <v>0</v>
      </c>
      <c r="H44" s="1239">
        <f>D44+F44</f>
        <v>1831109.6892000006</v>
      </c>
      <c r="I44" s="1247">
        <f>H44/C44</f>
        <v>0.90536019904350673</v>
      </c>
      <c r="J44" s="1241">
        <f>C44-H44</f>
        <v>191410.95079999929</v>
      </c>
      <c r="K44" s="1382">
        <f>+J44/$C44</f>
        <v>9.4639800956493228E-2</v>
      </c>
      <c r="O44" s="2114"/>
      <c r="P44" s="2114"/>
      <c r="Q44" s="2114"/>
      <c r="R44" s="2114"/>
      <c r="S44" s="1463"/>
    </row>
    <row r="45" spans="1:19" ht="20.100000000000001" customHeight="1">
      <c r="A45" s="1223"/>
      <c r="B45" s="1240" t="s">
        <v>2460</v>
      </c>
      <c r="C45" s="1238">
        <f>'VAL ADI-OBRA N°03 (2)'!F156</f>
        <v>130284.95700000002</v>
      </c>
      <c r="D45" s="1239">
        <f>'VAL ADI-OBRA N°03 (2)'!H156</f>
        <v>104135.00000000001</v>
      </c>
      <c r="E45" s="1235">
        <f>D45/C45</f>
        <v>0.79928644409807037</v>
      </c>
      <c r="F45" s="1239">
        <f>'VAL ADI-OBRA N°03 (2)'!K156</f>
        <v>0</v>
      </c>
      <c r="G45" s="1235">
        <f>F45/C45</f>
        <v>0</v>
      </c>
      <c r="H45" s="1239">
        <f t="shared" ref="H45:H46" si="6">D45+F45</f>
        <v>104135.00000000001</v>
      </c>
      <c r="I45" s="1247">
        <f t="shared" ref="I45:I46" si="7">H45/C45</f>
        <v>0.79928644409807037</v>
      </c>
      <c r="J45" s="1241">
        <f t="shared" ref="J45:J46" si="8">C45-H45</f>
        <v>26149.957000000009</v>
      </c>
      <c r="K45" s="1382">
        <f t="shared" ref="K45:K46" si="9">+J45/$C45</f>
        <v>0.20071355590192969</v>
      </c>
      <c r="L45" s="1016"/>
    </row>
    <row r="46" spans="1:19" ht="20.100000000000001" customHeight="1">
      <c r="A46" s="1413"/>
      <c r="B46" s="1240" t="s">
        <v>2303</v>
      </c>
      <c r="C46" s="1238">
        <f>'VAL ADI-OBRA N°03 (2)'!F190</f>
        <v>704911.17499999993</v>
      </c>
      <c r="D46" s="1239">
        <v>0</v>
      </c>
      <c r="E46" s="1235">
        <v>0</v>
      </c>
      <c r="F46" s="1239">
        <f>'VAL ADI-OBRA N°03 (2)'!K190</f>
        <v>0</v>
      </c>
      <c r="G46" s="1235">
        <f>F46/C46</f>
        <v>0</v>
      </c>
      <c r="H46" s="1239">
        <f t="shared" si="6"/>
        <v>0</v>
      </c>
      <c r="I46" s="1247">
        <f t="shared" si="7"/>
        <v>0</v>
      </c>
      <c r="J46" s="1241">
        <f t="shared" si="8"/>
        <v>704911.17499999993</v>
      </c>
      <c r="K46" s="1382">
        <f t="shared" si="9"/>
        <v>1</v>
      </c>
    </row>
    <row r="47" spans="1:19" ht="20.100000000000001" customHeight="1" thickBot="1">
      <c r="A47" s="1514"/>
      <c r="B47" s="1515"/>
      <c r="C47" s="1516"/>
      <c r="D47" s="1517"/>
      <c r="E47" s="1518"/>
      <c r="F47" s="1517"/>
      <c r="G47" s="1518"/>
      <c r="H47" s="1517"/>
      <c r="I47" s="1518"/>
      <c r="J47" s="1379"/>
      <c r="K47" s="1381"/>
    </row>
    <row r="48" spans="1:19" ht="20.100000000000001" customHeight="1" thickBot="1">
      <c r="A48" s="2115" t="s">
        <v>31</v>
      </c>
      <c r="B48" s="2117" t="s">
        <v>1171</v>
      </c>
      <c r="C48" s="2119" t="s">
        <v>2304</v>
      </c>
      <c r="D48" s="1242"/>
      <c r="E48" s="1242"/>
      <c r="F48" s="1243" t="s">
        <v>142</v>
      </c>
      <c r="G48" s="1242"/>
      <c r="H48" s="1242"/>
      <c r="I48" s="1242"/>
      <c r="J48" s="2122" t="s">
        <v>16</v>
      </c>
      <c r="K48" s="2123"/>
    </row>
    <row r="49" spans="1:19" ht="20.100000000000001" customHeight="1">
      <c r="A49" s="2116"/>
      <c r="B49" s="2118"/>
      <c r="C49" s="2120"/>
      <c r="D49" s="2126" t="s">
        <v>140</v>
      </c>
      <c r="E49" s="2127"/>
      <c r="F49" s="2128" t="s">
        <v>141</v>
      </c>
      <c r="G49" s="2127"/>
      <c r="H49" s="2128" t="s">
        <v>142</v>
      </c>
      <c r="I49" s="2127"/>
      <c r="J49" s="2124"/>
      <c r="K49" s="2125"/>
      <c r="O49" s="1"/>
      <c r="P49" s="1"/>
      <c r="Q49" s="1"/>
      <c r="R49" s="1"/>
      <c r="S49" s="1"/>
    </row>
    <row r="50" spans="1:19" ht="20.100000000000001" customHeight="1" thickBot="1">
      <c r="A50" s="2116"/>
      <c r="B50" s="2118"/>
      <c r="C50" s="2121"/>
      <c r="D50" s="1244" t="s">
        <v>1173</v>
      </c>
      <c r="E50" s="1245" t="s">
        <v>30</v>
      </c>
      <c r="F50" s="1246" t="str">
        <f>D50</f>
        <v>VALORIZADO</v>
      </c>
      <c r="G50" s="1245" t="s">
        <v>30</v>
      </c>
      <c r="H50" s="1246" t="str">
        <f>F50</f>
        <v>VALORIZADO</v>
      </c>
      <c r="I50" s="1245" t="s">
        <v>30</v>
      </c>
      <c r="J50" s="1246" t="str">
        <f>H50</f>
        <v>VALORIZADO</v>
      </c>
      <c r="K50" s="1245" t="s">
        <v>30</v>
      </c>
      <c r="O50" s="1457"/>
      <c r="P50" s="1458"/>
      <c r="Q50" s="1458"/>
      <c r="R50" s="1458"/>
      <c r="S50" s="1459"/>
    </row>
    <row r="51" spans="1:19" ht="47.45" customHeight="1">
      <c r="A51" s="1231">
        <v>5</v>
      </c>
      <c r="B51" s="1254" t="s">
        <v>3795</v>
      </c>
      <c r="C51" s="1237"/>
      <c r="D51" s="1236"/>
      <c r="E51" s="1232"/>
      <c r="F51" s="1233"/>
      <c r="G51" s="1234"/>
      <c r="H51" s="1233"/>
      <c r="I51" s="1248"/>
      <c r="J51" s="1233"/>
      <c r="K51" s="1234"/>
      <c r="O51" s="1460"/>
      <c r="P51" s="1461"/>
      <c r="Q51" s="1461"/>
      <c r="R51" s="1461"/>
      <c r="S51" s="1462"/>
    </row>
    <row r="52" spans="1:19" ht="20.100000000000001" customHeight="1">
      <c r="A52" s="1223"/>
      <c r="B52" s="1240" t="s">
        <v>2302</v>
      </c>
      <c r="C52" s="1238">
        <v>4142136.5430000024</v>
      </c>
      <c r="D52" s="1239">
        <f>'VAL ADI-OBRA N°04'!H588</f>
        <v>967150.91</v>
      </c>
      <c r="E52" s="1235">
        <f>D52/C52</f>
        <v>0.2334908325594518</v>
      </c>
      <c r="F52" s="1239">
        <f>'VAL ADI-OBRA N°04'!K588</f>
        <v>91446.268500000006</v>
      </c>
      <c r="G52" s="1235">
        <f>F52/C52</f>
        <v>2.207707726451932E-2</v>
      </c>
      <c r="H52" s="1239">
        <f>D52+F52</f>
        <v>1058597.1784999999</v>
      </c>
      <c r="I52" s="1247">
        <f>H52/C52</f>
        <v>0.2555679098239711</v>
      </c>
      <c r="J52" s="1241">
        <f>C52-H52-0.01</f>
        <v>3083539.3545000027</v>
      </c>
      <c r="K52" s="1382">
        <f>+J52/$C52</f>
        <v>0.74443208776181591</v>
      </c>
      <c r="O52" s="2114"/>
      <c r="P52" s="2114"/>
      <c r="Q52" s="2114"/>
      <c r="R52" s="2114"/>
      <c r="S52" s="1463"/>
    </row>
    <row r="53" spans="1:19" ht="20.100000000000001" customHeight="1">
      <c r="A53" s="1223"/>
      <c r="B53" s="1240" t="s">
        <v>2460</v>
      </c>
      <c r="C53" s="1238">
        <v>433266.30559999991</v>
      </c>
      <c r="D53" s="1239">
        <f>'VAL ADI-OBRA N°04'!H744</f>
        <v>230287.28000000006</v>
      </c>
      <c r="E53" s="1235">
        <f>D53/C53</f>
        <v>0.53151439893552643</v>
      </c>
      <c r="F53" s="1239">
        <f>'VAL ADI-OBRA N°04'!K744</f>
        <v>17400</v>
      </c>
      <c r="G53" s="1235">
        <f>F53/C53</f>
        <v>4.0160058086917166E-2</v>
      </c>
      <c r="H53" s="1239">
        <f t="shared" ref="H53:H54" si="10">D53+F53</f>
        <v>247687.28000000006</v>
      </c>
      <c r="I53" s="1247">
        <f t="shared" ref="I53:I54" si="11">H53/C53</f>
        <v>0.57167445702244357</v>
      </c>
      <c r="J53" s="1241">
        <f t="shared" ref="J53:J54" si="12">C53-H53</f>
        <v>185579.02559999985</v>
      </c>
      <c r="K53" s="1382">
        <f t="shared" ref="K53:K54" si="13">+J53/$C53</f>
        <v>0.42832554297755643</v>
      </c>
      <c r="L53" s="1016"/>
    </row>
    <row r="54" spans="1:19" ht="20.100000000000001" customHeight="1">
      <c r="A54" s="1413"/>
      <c r="B54" s="1240" t="s">
        <v>2303</v>
      </c>
      <c r="C54" s="1238">
        <v>1394520.9335069996</v>
      </c>
      <c r="D54" s="1239">
        <v>0</v>
      </c>
      <c r="E54" s="1235">
        <v>0</v>
      </c>
      <c r="F54" s="1239">
        <f>'VAL ADI-OBRA N°04'!K921</f>
        <v>0</v>
      </c>
      <c r="G54" s="1235">
        <f>F54/C54</f>
        <v>0</v>
      </c>
      <c r="H54" s="1239">
        <f t="shared" si="10"/>
        <v>0</v>
      </c>
      <c r="I54" s="1247">
        <f t="shared" si="11"/>
        <v>0</v>
      </c>
      <c r="J54" s="1241">
        <f t="shared" si="12"/>
        <v>1394520.9335069996</v>
      </c>
      <c r="K54" s="1382">
        <f t="shared" si="13"/>
        <v>1</v>
      </c>
    </row>
    <row r="55" spans="1:19" ht="32.25">
      <c r="A55" s="2148" t="str">
        <f>A1</f>
        <v>RESUMEN DE AVANCE DE OBRA VALORIZADO N° 23</v>
      </c>
      <c r="B55" s="2148"/>
      <c r="C55" s="2148"/>
      <c r="D55" s="2148"/>
      <c r="E55" s="2148"/>
      <c r="F55" s="2148"/>
      <c r="G55" s="2148"/>
      <c r="H55" s="2148"/>
      <c r="I55" s="2148"/>
      <c r="J55" s="2148"/>
      <c r="K55" s="2148"/>
    </row>
    <row r="56" spans="1:19" ht="22.5">
      <c r="A56" s="2149" t="s">
        <v>4275</v>
      </c>
      <c r="B56" s="2149"/>
      <c r="C56" s="2149"/>
      <c r="D56" s="2149"/>
      <c r="E56" s="2149"/>
      <c r="F56" s="2149"/>
      <c r="G56" s="2149"/>
      <c r="H56" s="2149"/>
      <c r="I56" s="2149"/>
      <c r="J56" s="2149"/>
      <c r="K56" s="2149"/>
    </row>
    <row r="57" spans="1:19" ht="22.5">
      <c r="A57" s="1255"/>
      <c r="B57" s="1255"/>
      <c r="C57" s="1255"/>
      <c r="D57" s="1255"/>
      <c r="E57" s="1255"/>
      <c r="F57" s="1255"/>
      <c r="G57" s="1255"/>
      <c r="H57" s="1255"/>
      <c r="I57" s="1255"/>
      <c r="J57" s="1255"/>
      <c r="K57" s="1255"/>
    </row>
    <row r="58" spans="1:19" ht="32.25" customHeight="1">
      <c r="A58" s="997" t="s">
        <v>136</v>
      </c>
      <c r="B58" s="2151" t="str">
        <f>Datos!C25</f>
        <v>“MEJORAMIENTO DE LA GESTIÓN MUNICIPAL Y SERVICIO ADMINISTRATIVO DE LA MUNICIPALIDAD PROVINCIAL DE ABANCAY, DISTRITO DE ABANCAY - PROVINCIA DE ABANCAY - DEPARTAMENTO DE APURIMAC”.</v>
      </c>
      <c r="C58" s="2151"/>
      <c r="D58" s="2151"/>
      <c r="E58" s="2151"/>
      <c r="F58" s="2151"/>
      <c r="G58" s="2151"/>
      <c r="H58" s="2151"/>
      <c r="I58" s="2151"/>
      <c r="J58" s="2151"/>
      <c r="K58" s="2151"/>
    </row>
    <row r="59" spans="1:19">
      <c r="A59" s="997" t="s">
        <v>137</v>
      </c>
      <c r="B59" s="998" t="s">
        <v>126</v>
      </c>
      <c r="C59" s="1003"/>
      <c r="D59" s="1003"/>
      <c r="E59" s="1003"/>
      <c r="F59" s="1003"/>
      <c r="G59" s="1004"/>
      <c r="H59" s="1003"/>
      <c r="I59" s="1003"/>
      <c r="J59" s="1003"/>
      <c r="K59" s="1003"/>
    </row>
    <row r="60" spans="1:19" ht="15" customHeight="1">
      <c r="A60" s="997" t="s">
        <v>139</v>
      </c>
      <c r="B60" s="1003" t="s">
        <v>2480</v>
      </c>
      <c r="C60" s="1003"/>
      <c r="D60" s="1003"/>
      <c r="E60" s="2143" t="s">
        <v>1147</v>
      </c>
      <c r="F60" s="2144"/>
      <c r="G60" s="2145" t="str">
        <f>G27</f>
        <v>CORRESPONDIENTE AL MES DE DICIEMBRE DEL 2023</v>
      </c>
      <c r="H60" s="2146"/>
      <c r="I60" s="2146"/>
      <c r="J60" s="2147"/>
      <c r="K60" s="1005"/>
    </row>
    <row r="61" spans="1:19" ht="20.25" customHeight="1">
      <c r="A61" s="997" t="s">
        <v>129</v>
      </c>
      <c r="B61" s="998" t="str">
        <f>Datos!C73</f>
        <v>ING. RICHARD ERWIN MONTALVO ALVARO</v>
      </c>
      <c r="C61" s="1007"/>
      <c r="D61" s="1007"/>
      <c r="E61" s="2143" t="s">
        <v>1148</v>
      </c>
      <c r="F61" s="2144"/>
      <c r="G61" s="2145" t="s">
        <v>125</v>
      </c>
      <c r="H61" s="2146"/>
      <c r="I61" s="2146"/>
      <c r="J61" s="2147"/>
      <c r="K61" s="1003"/>
    </row>
    <row r="62" spans="1:19" ht="22.5">
      <c r="A62" s="997" t="s">
        <v>128</v>
      </c>
      <c r="B62" s="1008" t="str">
        <f>Datos!C80</f>
        <v>ING. IVES BUSTHER GUTIERREZ ARENAS</v>
      </c>
      <c r="C62" s="1010"/>
      <c r="D62" s="1010"/>
      <c r="E62" s="2143" t="s">
        <v>1149</v>
      </c>
      <c r="F62" s="2144"/>
      <c r="G62" s="2145" t="s">
        <v>125</v>
      </c>
      <c r="H62" s="2146"/>
      <c r="I62" s="2146"/>
      <c r="J62" s="2147"/>
      <c r="K62" s="1255"/>
    </row>
    <row r="63" spans="1:19" ht="15" customHeight="1">
      <c r="A63" s="997" t="s">
        <v>1150</v>
      </c>
      <c r="B63" s="1008" t="s">
        <v>4276</v>
      </c>
      <c r="C63" s="1010"/>
      <c r="D63" s="1010"/>
      <c r="E63" s="2143" t="s">
        <v>1151</v>
      </c>
      <c r="F63" s="2144"/>
      <c r="G63" s="2145" t="s">
        <v>124</v>
      </c>
      <c r="H63" s="2146"/>
      <c r="I63" s="2146"/>
      <c r="J63" s="2147"/>
      <c r="K63" s="1255"/>
    </row>
    <row r="64" spans="1:19" ht="15" customHeight="1">
      <c r="A64" s="997"/>
      <c r="B64" s="1008"/>
      <c r="C64" s="1010"/>
      <c r="D64" s="1010"/>
      <c r="E64" s="1255"/>
      <c r="F64" s="1255"/>
      <c r="G64" s="1255"/>
      <c r="H64" s="1255"/>
      <c r="I64" s="1255"/>
      <c r="J64" s="1255"/>
      <c r="K64" s="1255"/>
    </row>
    <row r="65" spans="1:19" ht="23.1" customHeight="1">
      <c r="A65" s="1255"/>
      <c r="B65" s="2138" t="s">
        <v>2316</v>
      </c>
      <c r="C65" s="2138"/>
      <c r="D65" s="2139" t="s">
        <v>2315</v>
      </c>
      <c r="E65" s="2139"/>
      <c r="F65" s="2139"/>
      <c r="G65" s="2139"/>
      <c r="H65" s="2139"/>
      <c r="I65" s="2139"/>
      <c r="J65" s="1255"/>
      <c r="K65" s="1255"/>
    </row>
    <row r="66" spans="1:19" ht="23.1" customHeight="1">
      <c r="A66" s="1255"/>
      <c r="B66" s="2138" t="s">
        <v>2317</v>
      </c>
      <c r="C66" s="2138"/>
      <c r="D66" s="2139" t="s">
        <v>2318</v>
      </c>
      <c r="E66" s="2139"/>
      <c r="F66" s="2139"/>
      <c r="G66" s="2139"/>
      <c r="H66" s="2139"/>
      <c r="I66" s="2139"/>
      <c r="J66" s="1255"/>
      <c r="K66" s="1255"/>
    </row>
    <row r="67" spans="1:19" ht="23.1" customHeight="1">
      <c r="A67" s="1255"/>
      <c r="B67" s="2138" t="s">
        <v>2462</v>
      </c>
      <c r="C67" s="2138"/>
      <c r="D67" s="2139" t="s">
        <v>2471</v>
      </c>
      <c r="E67" s="2139"/>
      <c r="F67" s="2139"/>
      <c r="G67" s="2139"/>
      <c r="H67" s="2139"/>
      <c r="I67" s="2139"/>
      <c r="J67" s="1255"/>
      <c r="K67" s="1255"/>
    </row>
    <row r="68" spans="1:19" ht="23.1" customHeight="1">
      <c r="A68" s="1255"/>
      <c r="B68" s="2138" t="s">
        <v>2698</v>
      </c>
      <c r="C68" s="2138"/>
      <c r="D68" s="2139" t="s">
        <v>2699</v>
      </c>
      <c r="E68" s="2139"/>
      <c r="F68" s="2139"/>
      <c r="G68" s="2139"/>
      <c r="H68" s="2139"/>
      <c r="I68" s="2139"/>
      <c r="J68" s="1255"/>
      <c r="K68" s="1255"/>
    </row>
    <row r="69" spans="1:19" ht="23.1" customHeight="1">
      <c r="A69" s="1255"/>
      <c r="B69" s="2138" t="s">
        <v>3803</v>
      </c>
      <c r="C69" s="2138"/>
      <c r="D69" s="2139" t="s">
        <v>4253</v>
      </c>
      <c r="E69" s="2139"/>
      <c r="F69" s="2139"/>
      <c r="G69" s="2139"/>
      <c r="H69" s="2139"/>
      <c r="I69" s="2139"/>
      <c r="J69" s="1255"/>
      <c r="K69" s="1255"/>
    </row>
    <row r="70" spans="1:19" ht="23.1" customHeight="1" thickBot="1">
      <c r="A70" s="1255"/>
      <c r="B70" s="1828"/>
      <c r="C70" s="1829"/>
      <c r="D70" s="1830"/>
      <c r="E70" s="1830"/>
      <c r="F70" s="1830"/>
      <c r="G70" s="1830"/>
      <c r="H70" s="1830"/>
      <c r="I70" s="1830"/>
      <c r="J70" s="1255"/>
      <c r="K70" s="1255"/>
    </row>
    <row r="71" spans="1:19" ht="23.1" customHeight="1" thickBot="1">
      <c r="A71" s="2154" t="s">
        <v>31</v>
      </c>
      <c r="B71" s="2154" t="s">
        <v>1171</v>
      </c>
      <c r="C71" s="2157" t="s">
        <v>2304</v>
      </c>
      <c r="D71" s="2140" t="s">
        <v>142</v>
      </c>
      <c r="E71" s="2141"/>
      <c r="F71" s="2141"/>
      <c r="G71" s="2141"/>
      <c r="H71" s="2141"/>
      <c r="I71" s="2142"/>
      <c r="J71" s="2160" t="s">
        <v>16</v>
      </c>
      <c r="K71" s="2160"/>
    </row>
    <row r="72" spans="1:19" ht="23.1" customHeight="1">
      <c r="A72" s="2155"/>
      <c r="B72" s="2155"/>
      <c r="C72" s="2158"/>
      <c r="D72" s="2162" t="s">
        <v>140</v>
      </c>
      <c r="E72" s="2162"/>
      <c r="F72" s="2162" t="s">
        <v>141</v>
      </c>
      <c r="G72" s="2162"/>
      <c r="H72" s="2162" t="s">
        <v>142</v>
      </c>
      <c r="I72" s="2162"/>
      <c r="J72" s="2161"/>
      <c r="K72" s="2161"/>
    </row>
    <row r="73" spans="1:19" ht="23.1" customHeight="1" thickBot="1">
      <c r="A73" s="2156"/>
      <c r="B73" s="2155"/>
      <c r="C73" s="2159"/>
      <c r="D73" s="1414" t="s">
        <v>1173</v>
      </c>
      <c r="E73" s="1414" t="s">
        <v>30</v>
      </c>
      <c r="F73" s="1414" t="str">
        <f>D73</f>
        <v>VALORIZADO</v>
      </c>
      <c r="G73" s="1414" t="s">
        <v>30</v>
      </c>
      <c r="H73" s="1414" t="str">
        <f>F73</f>
        <v>VALORIZADO</v>
      </c>
      <c r="I73" s="1414" t="s">
        <v>30</v>
      </c>
      <c r="J73" s="1414" t="str">
        <f>H73</f>
        <v>VALORIZADO</v>
      </c>
      <c r="K73" s="1414" t="s">
        <v>30</v>
      </c>
    </row>
    <row r="74" spans="1:19" s="1093" customFormat="1" ht="23.1" customHeight="1">
      <c r="A74" s="1416">
        <v>1</v>
      </c>
      <c r="B74" s="1264" t="s">
        <v>2313</v>
      </c>
      <c r="C74" s="1267"/>
      <c r="D74" s="1415"/>
      <c r="E74" s="1415"/>
      <c r="F74" s="1415"/>
      <c r="G74" s="1415"/>
      <c r="H74" s="1415"/>
      <c r="I74" s="1415"/>
      <c r="J74" s="1415"/>
      <c r="K74" s="1415"/>
    </row>
    <row r="75" spans="1:19" ht="23.1" customHeight="1">
      <c r="A75" s="1416"/>
      <c r="B75" s="1265" t="s">
        <v>2306</v>
      </c>
      <c r="C75" s="1268">
        <f>C14</f>
        <v>13550641.68</v>
      </c>
      <c r="D75" s="1238">
        <f>D13</f>
        <v>6667211.2373413714</v>
      </c>
      <c r="E75" s="1417">
        <f>D75/C75</f>
        <v>0.49202180935695522</v>
      </c>
      <c r="F75" s="1418">
        <f>F14</f>
        <v>1092.9000000000001</v>
      </c>
      <c r="G75" s="1419">
        <f>F75/C75</f>
        <v>8.0653007127556197E-5</v>
      </c>
      <c r="H75" s="1418">
        <f>F75+D75</f>
        <v>6668304.1373413717</v>
      </c>
      <c r="I75" s="1419">
        <f>H75/C75</f>
        <v>0.49210246236408284</v>
      </c>
      <c r="J75" s="1418">
        <f>C75-H75</f>
        <v>6882337.542658628</v>
      </c>
      <c r="K75" s="1419">
        <f>J75/C75</f>
        <v>0.50789753763591716</v>
      </c>
    </row>
    <row r="76" spans="1:19" ht="23.1" customHeight="1">
      <c r="A76" s="1416">
        <v>2</v>
      </c>
      <c r="B76" s="1266" t="s">
        <v>2309</v>
      </c>
      <c r="C76" s="1268"/>
      <c r="D76" s="1238"/>
      <c r="E76" s="1417"/>
      <c r="F76" s="1418"/>
      <c r="G76" s="1419"/>
      <c r="H76" s="1418"/>
      <c r="I76" s="1419"/>
      <c r="J76" s="1418"/>
      <c r="K76" s="1419"/>
    </row>
    <row r="77" spans="1:19" ht="23.1" customHeight="1">
      <c r="A77" s="1416"/>
      <c r="B77" s="1265" t="s">
        <v>2314</v>
      </c>
      <c r="C77" s="1268">
        <f>C20</f>
        <v>1252795.3999999999</v>
      </c>
      <c r="D77" s="1238">
        <f>D20</f>
        <v>880376.1</v>
      </c>
      <c r="E77" s="1417">
        <f t="shared" ref="E77:E78" si="14">D77/C77</f>
        <v>0.70272935229487599</v>
      </c>
      <c r="F77" s="1418">
        <f>F20</f>
        <v>243761.50000000003</v>
      </c>
      <c r="G77" s="1419">
        <f t="shared" ref="G77:G78" si="15">F77/C77</f>
        <v>0.1945740701155193</v>
      </c>
      <c r="H77" s="1418">
        <f>F77+D77</f>
        <v>1124137.6000000001</v>
      </c>
      <c r="I77" s="1419">
        <f t="shared" ref="I77:I78" si="16">H77/C77</f>
        <v>0.89730342241039529</v>
      </c>
      <c r="J77" s="1418">
        <f>C77-H77</f>
        <v>128657.79999999981</v>
      </c>
      <c r="K77" s="1419">
        <f t="shared" ref="K77:K78" si="17">J77/C77</f>
        <v>0.10269657758960467</v>
      </c>
      <c r="P77" s="234"/>
      <c r="Q77" s="234"/>
      <c r="R77" s="234"/>
      <c r="S77" s="234"/>
    </row>
    <row r="78" spans="1:19" ht="23.1" customHeight="1">
      <c r="A78" s="1416"/>
      <c r="B78" s="1265" t="s">
        <v>2303</v>
      </c>
      <c r="C78" s="1268">
        <f>'VAL ADI-OBRA N°01'!F74</f>
        <v>660953.69779999997</v>
      </c>
      <c r="D78" s="1238">
        <v>0</v>
      </c>
      <c r="E78" s="1417">
        <f t="shared" si="14"/>
        <v>0</v>
      </c>
      <c r="F78" s="1418">
        <v>0</v>
      </c>
      <c r="G78" s="1419">
        <f t="shared" si="15"/>
        <v>0</v>
      </c>
      <c r="H78" s="1418">
        <f t="shared" ref="H78" si="18">F78+D78</f>
        <v>0</v>
      </c>
      <c r="I78" s="1419">
        <f t="shared" si="16"/>
        <v>0</v>
      </c>
      <c r="J78" s="1418">
        <f t="shared" ref="J78" si="19">C78-H78</f>
        <v>660953.69779999997</v>
      </c>
      <c r="K78" s="1419">
        <f t="shared" si="17"/>
        <v>1</v>
      </c>
      <c r="P78" s="234"/>
      <c r="Q78" s="234"/>
      <c r="R78" s="234"/>
      <c r="S78" s="234"/>
    </row>
    <row r="79" spans="1:19" ht="23.1" customHeight="1">
      <c r="A79" s="1416">
        <v>3</v>
      </c>
      <c r="B79" s="1266" t="s">
        <v>2463</v>
      </c>
      <c r="C79" s="1268"/>
      <c r="D79" s="1238"/>
      <c r="E79" s="1417"/>
      <c r="F79" s="1418"/>
      <c r="G79" s="1419"/>
      <c r="H79" s="1418"/>
      <c r="I79" s="1419"/>
      <c r="J79" s="1418"/>
      <c r="K79" s="1419"/>
    </row>
    <row r="80" spans="1:19" ht="23.1" customHeight="1">
      <c r="A80" s="1416"/>
      <c r="B80" s="1265" t="s">
        <v>2314</v>
      </c>
      <c r="C80" s="1268">
        <f>C36</f>
        <v>1635915.4400000002</v>
      </c>
      <c r="D80" s="1238">
        <f>D36</f>
        <v>1421331.4917847496</v>
      </c>
      <c r="E80" s="1417">
        <f t="shared" ref="E80:E82" si="20">D80/C80</f>
        <v>0.86882943765403264</v>
      </c>
      <c r="F80" s="1418">
        <f>F36</f>
        <v>0</v>
      </c>
      <c r="G80" s="1419">
        <f t="shared" ref="G80:G82" si="21">F80/C80</f>
        <v>0</v>
      </c>
      <c r="H80" s="1418">
        <f>F80+D80</f>
        <v>1421331.4917847496</v>
      </c>
      <c r="I80" s="1419">
        <f t="shared" ref="I80:I82" si="22">H80/C80</f>
        <v>0.86882943765403264</v>
      </c>
      <c r="J80" s="1418">
        <f>C80-H80</f>
        <v>214583.94821525062</v>
      </c>
      <c r="K80" s="1419">
        <f t="shared" ref="K80:K82" si="23">J80/C80</f>
        <v>0.13117056234596736</v>
      </c>
    </row>
    <row r="81" spans="1:19" ht="23.1" customHeight="1">
      <c r="A81" s="1416"/>
      <c r="B81" s="1265" t="s">
        <v>2460</v>
      </c>
      <c r="C81" s="1268">
        <f>C37</f>
        <v>577014.6399999999</v>
      </c>
      <c r="D81" s="1238">
        <f>D37</f>
        <v>575823.35999999999</v>
      </c>
      <c r="E81" s="1417">
        <f t="shared" si="20"/>
        <v>0.9979354423312381</v>
      </c>
      <c r="F81" s="1418">
        <f>F37</f>
        <v>0</v>
      </c>
      <c r="G81" s="1419">
        <f t="shared" si="21"/>
        <v>0</v>
      </c>
      <c r="H81" s="1418">
        <f>F81+D81</f>
        <v>575823.35999999999</v>
      </c>
      <c r="I81" s="1419">
        <f t="shared" si="22"/>
        <v>0.9979354423312381</v>
      </c>
      <c r="J81" s="1418">
        <f>C81-H81</f>
        <v>1191.2799999999115</v>
      </c>
      <c r="K81" s="1419">
        <f t="shared" si="23"/>
        <v>2.0645576687619428E-3</v>
      </c>
      <c r="P81" s="234"/>
      <c r="Q81" s="234"/>
      <c r="R81" s="234"/>
      <c r="S81" s="234"/>
    </row>
    <row r="82" spans="1:19" ht="23.1" customHeight="1">
      <c r="A82" s="1420"/>
      <c r="B82" s="1383" t="s">
        <v>2303</v>
      </c>
      <c r="C82" s="1384">
        <f>C38</f>
        <v>1754453.2999999998</v>
      </c>
      <c r="D82" s="1238">
        <v>0</v>
      </c>
      <c r="E82" s="1417">
        <f t="shared" si="20"/>
        <v>0</v>
      </c>
      <c r="F82" s="1418">
        <v>0</v>
      </c>
      <c r="G82" s="1419">
        <f t="shared" si="21"/>
        <v>0</v>
      </c>
      <c r="H82" s="1418">
        <f t="shared" ref="H82" si="24">F82+D82</f>
        <v>0</v>
      </c>
      <c r="I82" s="1419">
        <f t="shared" si="22"/>
        <v>0</v>
      </c>
      <c r="J82" s="1418">
        <f>C82-H82</f>
        <v>1754453.2999999998</v>
      </c>
      <c r="K82" s="1419">
        <f t="shared" si="23"/>
        <v>1</v>
      </c>
      <c r="P82" s="234"/>
      <c r="Q82" s="234"/>
      <c r="R82" s="234"/>
      <c r="S82" s="234"/>
    </row>
    <row r="83" spans="1:19" ht="23.1" customHeight="1">
      <c r="A83" s="1416">
        <v>4</v>
      </c>
      <c r="B83" s="1266" t="s">
        <v>2694</v>
      </c>
      <c r="C83" s="1268"/>
      <c r="D83" s="1238"/>
      <c r="E83" s="1417"/>
      <c r="F83" s="1418"/>
      <c r="G83" s="1419"/>
      <c r="H83" s="1418"/>
      <c r="I83" s="1419"/>
      <c r="J83" s="1418"/>
      <c r="K83" s="1419"/>
    </row>
    <row r="84" spans="1:19" ht="23.1" customHeight="1">
      <c r="A84" s="1416"/>
      <c r="B84" s="1265" t="s">
        <v>2314</v>
      </c>
      <c r="C84" s="1268">
        <f>C44</f>
        <v>2022520.64</v>
      </c>
      <c r="D84" s="1238">
        <f>D44</f>
        <v>1831109.6892000006</v>
      </c>
      <c r="E84" s="1417">
        <f t="shared" ref="E84:E90" si="25">D84/C84</f>
        <v>0.90536019904350673</v>
      </c>
      <c r="F84" s="1418">
        <f>F44</f>
        <v>0</v>
      </c>
      <c r="G84" s="1419">
        <f t="shared" ref="G84:G90" si="26">F84/C84</f>
        <v>0</v>
      </c>
      <c r="H84" s="1418">
        <f>F84+D84</f>
        <v>1831109.6892000006</v>
      </c>
      <c r="I84" s="1419">
        <f t="shared" ref="I84:I86" si="27">H84/C84</f>
        <v>0.90536019904350673</v>
      </c>
      <c r="J84" s="1418">
        <f>C84-H84</f>
        <v>191410.95079999929</v>
      </c>
      <c r="K84" s="1419">
        <f t="shared" ref="K84:K86" si="28">J84/C84</f>
        <v>9.4639800956493228E-2</v>
      </c>
    </row>
    <row r="85" spans="1:19" ht="23.1" customHeight="1">
      <c r="A85" s="1416"/>
      <c r="B85" s="1265" t="s">
        <v>2460</v>
      </c>
      <c r="C85" s="1268">
        <f>C45</f>
        <v>130284.95700000002</v>
      </c>
      <c r="D85" s="1238">
        <f>D45</f>
        <v>104135.00000000001</v>
      </c>
      <c r="E85" s="1417">
        <f t="shared" si="25"/>
        <v>0.79928644409807037</v>
      </c>
      <c r="F85" s="1418">
        <f>F45</f>
        <v>0</v>
      </c>
      <c r="G85" s="1419">
        <f t="shared" si="26"/>
        <v>0</v>
      </c>
      <c r="H85" s="1418">
        <f>F85+D85</f>
        <v>104135.00000000001</v>
      </c>
      <c r="I85" s="1419">
        <f t="shared" si="27"/>
        <v>0.79928644409807037</v>
      </c>
      <c r="J85" s="1418">
        <f>C85-H85</f>
        <v>26149.957000000009</v>
      </c>
      <c r="K85" s="1419">
        <f t="shared" si="28"/>
        <v>0.20071355590192969</v>
      </c>
      <c r="P85" s="234"/>
      <c r="Q85" s="234"/>
      <c r="R85" s="234"/>
      <c r="S85" s="234"/>
    </row>
    <row r="86" spans="1:19" ht="23.1" customHeight="1">
      <c r="A86" s="1420"/>
      <c r="B86" s="1265" t="s">
        <v>2303</v>
      </c>
      <c r="C86" s="1384">
        <f>C46</f>
        <v>704911.17499999993</v>
      </c>
      <c r="D86" s="1238">
        <v>0</v>
      </c>
      <c r="E86" s="1417">
        <f t="shared" si="25"/>
        <v>0</v>
      </c>
      <c r="F86" s="1418">
        <v>0</v>
      </c>
      <c r="G86" s="1419">
        <f t="shared" si="26"/>
        <v>0</v>
      </c>
      <c r="H86" s="1418">
        <f t="shared" ref="H86" si="29">F86+D86</f>
        <v>0</v>
      </c>
      <c r="I86" s="1419">
        <f t="shared" si="27"/>
        <v>0</v>
      </c>
      <c r="J86" s="1418">
        <f>C86-H86</f>
        <v>704911.17499999993</v>
      </c>
      <c r="K86" s="1419">
        <f t="shared" si="28"/>
        <v>1</v>
      </c>
      <c r="P86" s="234"/>
      <c r="Q86" s="234"/>
      <c r="R86" s="234"/>
      <c r="S86" s="234"/>
    </row>
    <row r="87" spans="1:19" ht="23.1" customHeight="1">
      <c r="A87" s="1416">
        <v>5</v>
      </c>
      <c r="B87" s="1266" t="s">
        <v>3796</v>
      </c>
      <c r="C87" s="1268"/>
      <c r="D87" s="1238"/>
      <c r="E87" s="1417"/>
      <c r="F87" s="1418"/>
      <c r="G87" s="1419"/>
      <c r="H87" s="1418"/>
      <c r="I87" s="1419"/>
      <c r="J87" s="1418"/>
      <c r="K87" s="1419"/>
    </row>
    <row r="88" spans="1:19" ht="23.1" customHeight="1">
      <c r="A88" s="1416"/>
      <c r="B88" s="1265" t="s">
        <v>2314</v>
      </c>
      <c r="C88" s="1268">
        <f>C52</f>
        <v>4142136.5430000024</v>
      </c>
      <c r="D88" s="1785">
        <f>D52</f>
        <v>967150.91</v>
      </c>
      <c r="E88" s="1417">
        <f t="shared" si="25"/>
        <v>0.2334908325594518</v>
      </c>
      <c r="F88" s="1418">
        <f>F52</f>
        <v>91446.268500000006</v>
      </c>
      <c r="G88" s="1419">
        <f t="shared" si="26"/>
        <v>2.207707726451932E-2</v>
      </c>
      <c r="H88" s="1418">
        <f>F88+D88</f>
        <v>1058597.1784999999</v>
      </c>
      <c r="I88" s="1419">
        <f t="shared" ref="I88:I90" si="30">H88/C88</f>
        <v>0.2555679098239711</v>
      </c>
      <c r="J88" s="1418">
        <f>C88-H88</f>
        <v>3083539.3645000025</v>
      </c>
      <c r="K88" s="1419">
        <f t="shared" ref="K88:K90" si="31">J88/C88</f>
        <v>0.74443209017602896</v>
      </c>
    </row>
    <row r="89" spans="1:19" ht="23.1" customHeight="1">
      <c r="A89" s="1416"/>
      <c r="B89" s="1265" t="s">
        <v>2460</v>
      </c>
      <c r="C89" s="1268">
        <f>C53</f>
        <v>433266.30559999991</v>
      </c>
      <c r="D89" s="1785">
        <f>D53</f>
        <v>230287.28000000006</v>
      </c>
      <c r="E89" s="1417">
        <f t="shared" si="25"/>
        <v>0.53151439893552643</v>
      </c>
      <c r="F89" s="1418">
        <f>F53</f>
        <v>17400</v>
      </c>
      <c r="G89" s="1419">
        <f t="shared" si="26"/>
        <v>4.0160058086917166E-2</v>
      </c>
      <c r="H89" s="1418">
        <f>F89+D89</f>
        <v>247687.28000000006</v>
      </c>
      <c r="I89" s="1419">
        <f t="shared" si="30"/>
        <v>0.57167445702244357</v>
      </c>
      <c r="J89" s="1418">
        <f>C89-H89</f>
        <v>185579.02559999985</v>
      </c>
      <c r="K89" s="1419">
        <f t="shared" si="31"/>
        <v>0.42832554297755643</v>
      </c>
      <c r="P89" s="234"/>
      <c r="Q89" s="234"/>
      <c r="R89" s="234"/>
      <c r="S89" s="234"/>
    </row>
    <row r="90" spans="1:19" ht="23.1" customHeight="1" thickBot="1">
      <c r="A90" s="1420"/>
      <c r="B90" s="1383" t="s">
        <v>2303</v>
      </c>
      <c r="C90" s="1268">
        <f t="shared" ref="C90" si="32">C54</f>
        <v>1394520.9335069996</v>
      </c>
      <c r="D90" s="1785">
        <f>D54</f>
        <v>0</v>
      </c>
      <c r="E90" s="1417">
        <f t="shared" si="25"/>
        <v>0</v>
      </c>
      <c r="F90" s="1418">
        <f t="shared" ref="F90" si="33">F54</f>
        <v>0</v>
      </c>
      <c r="G90" s="1419">
        <f t="shared" si="26"/>
        <v>0</v>
      </c>
      <c r="H90" s="1418">
        <f>F90+D90</f>
        <v>0</v>
      </c>
      <c r="I90" s="1419">
        <f t="shared" si="30"/>
        <v>0</v>
      </c>
      <c r="J90" s="1418">
        <f>C90-H90</f>
        <v>1394520.9335069996</v>
      </c>
      <c r="K90" s="1419">
        <f t="shared" si="31"/>
        <v>1</v>
      </c>
      <c r="L90" s="1016">
        <f>D91+F91</f>
        <v>13031125.74682612</v>
      </c>
      <c r="P90" s="234"/>
      <c r="Q90" s="234"/>
      <c r="R90" s="234"/>
      <c r="S90" s="234"/>
    </row>
    <row r="91" spans="1:19" ht="23.1" customHeight="1" thickBot="1">
      <c r="A91" s="1421"/>
      <c r="B91" s="1118" t="s">
        <v>33</v>
      </c>
      <c r="C91" s="1884">
        <f>C75+C77-C78+C80+C81-C82+C84+C85-C86+C88+C89-C90</f>
        <v>19229736.499293003</v>
      </c>
      <c r="D91" s="1422">
        <f>(D75+D77-D78+D80+D81-D82+D84+D85-D86+D88+D89-D90)+0.01</f>
        <v>12677425.078326119</v>
      </c>
      <c r="E91" s="1423">
        <f>D91/C91</f>
        <v>0.65926150775868486</v>
      </c>
      <c r="F91" s="1422">
        <f>F75+F77-F78+F80+F81-F82+F84+F85-F86+F88+F89-F90</f>
        <v>353700.66850000003</v>
      </c>
      <c r="G91" s="1423">
        <f>F91/C91</f>
        <v>1.8393422526252718E-2</v>
      </c>
      <c r="H91" s="1422">
        <f>(H75+H77-H78+H80+H81-H82+H84+H85-H86+H88+H89-H90)+0.01</f>
        <v>13031125.746826122</v>
      </c>
      <c r="I91" s="1423">
        <f>H91/C91</f>
        <v>0.67765493028493773</v>
      </c>
      <c r="J91" s="1883">
        <f>C91-H91</f>
        <v>6198610.7524668816</v>
      </c>
      <c r="K91" s="1423">
        <f>+J91/$C91</f>
        <v>0.32234506971506233</v>
      </c>
      <c r="L91" s="1016">
        <f>+J75+J80+J81+J84+J88+J89+J77+J85</f>
        <v>10713449.868773879</v>
      </c>
      <c r="M91" s="1016">
        <f>+J78+J82+J86+J90</f>
        <v>4514839.1063069999</v>
      </c>
      <c r="N91" s="1016">
        <f>+L91-M91</f>
        <v>6198610.7624668796</v>
      </c>
    </row>
    <row r="92" spans="1:19" ht="15.75" thickBot="1"/>
    <row r="93" spans="1:19" ht="15" customHeight="1">
      <c r="B93" s="2129" t="s">
        <v>2465</v>
      </c>
      <c r="C93" s="2130"/>
      <c r="D93" s="2130"/>
      <c r="E93" s="2130"/>
      <c r="F93" s="2130"/>
      <c r="G93" s="2130"/>
      <c r="H93" s="2130"/>
      <c r="I93" s="2130"/>
      <c r="J93" s="2130"/>
      <c r="K93" s="2131"/>
    </row>
    <row r="94" spans="1:19">
      <c r="B94" s="2132"/>
      <c r="C94" s="2133"/>
      <c r="D94" s="2133"/>
      <c r="E94" s="2133"/>
      <c r="F94" s="2133"/>
      <c r="G94" s="2133"/>
      <c r="H94" s="2133"/>
      <c r="I94" s="2133"/>
      <c r="J94" s="2133"/>
      <c r="K94" s="2134"/>
    </row>
    <row r="95" spans="1:19">
      <c r="B95" s="2132"/>
      <c r="C95" s="2133"/>
      <c r="D95" s="2133"/>
      <c r="E95" s="2133"/>
      <c r="F95" s="2133"/>
      <c r="G95" s="2133"/>
      <c r="H95" s="2133"/>
      <c r="I95" s="2133"/>
      <c r="J95" s="2133"/>
      <c r="K95" s="2134"/>
    </row>
    <row r="96" spans="1:19" ht="48.75" customHeight="1" thickBot="1">
      <c r="B96" s="2135"/>
      <c r="C96" s="2136"/>
      <c r="D96" s="2136"/>
      <c r="E96" s="2136"/>
      <c r="F96" s="2136"/>
      <c r="G96" s="2136"/>
      <c r="H96" s="2136"/>
      <c r="I96" s="2136"/>
      <c r="J96" s="2136"/>
      <c r="K96" s="2137"/>
    </row>
  </sheetData>
  <mergeCells count="90">
    <mergeCell ref="O36:R36"/>
    <mergeCell ref="E28:F28"/>
    <mergeCell ref="G28:J28"/>
    <mergeCell ref="E29:F29"/>
    <mergeCell ref="G29:J29"/>
    <mergeCell ref="E30:F30"/>
    <mergeCell ref="G30:J30"/>
    <mergeCell ref="A23:K23"/>
    <mergeCell ref="A24:K24"/>
    <mergeCell ref="B25:K25"/>
    <mergeCell ref="E27:F27"/>
    <mergeCell ref="G27:J27"/>
    <mergeCell ref="A32:A34"/>
    <mergeCell ref="B32:B34"/>
    <mergeCell ref="C32:C34"/>
    <mergeCell ref="J32:K33"/>
    <mergeCell ref="D33:E33"/>
    <mergeCell ref="F33:G33"/>
    <mergeCell ref="H33:I33"/>
    <mergeCell ref="A55:K55"/>
    <mergeCell ref="A56:K56"/>
    <mergeCell ref="A71:A73"/>
    <mergeCell ref="B71:B73"/>
    <mergeCell ref="C71:C73"/>
    <mergeCell ref="J71:K72"/>
    <mergeCell ref="D72:E72"/>
    <mergeCell ref="F72:G72"/>
    <mergeCell ref="H72:I72"/>
    <mergeCell ref="B58:K58"/>
    <mergeCell ref="E60:F60"/>
    <mergeCell ref="G60:J60"/>
    <mergeCell ref="E61:F61"/>
    <mergeCell ref="G61:J61"/>
    <mergeCell ref="E62:F62"/>
    <mergeCell ref="G62:J62"/>
    <mergeCell ref="G8:J8"/>
    <mergeCell ref="E6:F6"/>
    <mergeCell ref="A16:A18"/>
    <mergeCell ref="B16:B18"/>
    <mergeCell ref="C16:C18"/>
    <mergeCell ref="J16:K17"/>
    <mergeCell ref="D17:E17"/>
    <mergeCell ref="F17:G17"/>
    <mergeCell ref="H17:I17"/>
    <mergeCell ref="E7:F7"/>
    <mergeCell ref="E8:F8"/>
    <mergeCell ref="E63:F63"/>
    <mergeCell ref="G63:J63"/>
    <mergeCell ref="G5:J5"/>
    <mergeCell ref="J10:K11"/>
    <mergeCell ref="A1:K1"/>
    <mergeCell ref="A2:K2"/>
    <mergeCell ref="G6:J6"/>
    <mergeCell ref="A10:A12"/>
    <mergeCell ref="H11:I11"/>
    <mergeCell ref="F11:G11"/>
    <mergeCell ref="D11:E11"/>
    <mergeCell ref="B3:K3"/>
    <mergeCell ref="E5:F5"/>
    <mergeCell ref="C10:C12"/>
    <mergeCell ref="B10:B12"/>
    <mergeCell ref="G7:J7"/>
    <mergeCell ref="B93:K96"/>
    <mergeCell ref="B65:C65"/>
    <mergeCell ref="B66:C66"/>
    <mergeCell ref="D65:I65"/>
    <mergeCell ref="D66:I66"/>
    <mergeCell ref="B67:C67"/>
    <mergeCell ref="D67:I67"/>
    <mergeCell ref="D71:I71"/>
    <mergeCell ref="B69:C69"/>
    <mergeCell ref="D69:I69"/>
    <mergeCell ref="B68:C68"/>
    <mergeCell ref="D68:I68"/>
    <mergeCell ref="O44:R44"/>
    <mergeCell ref="A40:A42"/>
    <mergeCell ref="B40:B42"/>
    <mergeCell ref="C40:C42"/>
    <mergeCell ref="J40:K41"/>
    <mergeCell ref="D41:E41"/>
    <mergeCell ref="F41:G41"/>
    <mergeCell ref="H41:I41"/>
    <mergeCell ref="O52:R52"/>
    <mergeCell ref="A48:A50"/>
    <mergeCell ref="B48:B50"/>
    <mergeCell ref="C48:C50"/>
    <mergeCell ref="J48:K49"/>
    <mergeCell ref="D49:E49"/>
    <mergeCell ref="F49:G49"/>
    <mergeCell ref="H49:I49"/>
  </mergeCells>
  <phoneticPr fontId="88" type="noConversion"/>
  <pageMargins left="0.70866141732283472" right="0.70866141732283472" top="0.74803149606299213" bottom="0.74803149606299213" header="0.31496062992125984" footer="0.31496062992125984"/>
  <pageSetup paperSize="9" scale="56" fitToHeight="0" orientation="landscape" r:id="rId1"/>
  <rowBreaks count="3" manualBreakCount="3">
    <brk id="21" max="10" man="1"/>
    <brk id="47" max="10" man="1"/>
    <brk id="54" max="10"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tint="-0.499984740745262"/>
  </sheetPr>
  <dimension ref="A2:AB97"/>
  <sheetViews>
    <sheetView topLeftCell="A13" workbookViewId="0">
      <selection activeCell="C23" sqref="C23"/>
    </sheetView>
  </sheetViews>
  <sheetFormatPr baseColWidth="10" defaultColWidth="9.140625" defaultRowHeight="15"/>
  <cols>
    <col min="1" max="1" width="5.140625" customWidth="1"/>
    <col min="2" max="2" width="28.85546875" customWidth="1"/>
    <col min="3" max="3" width="18" customWidth="1"/>
    <col min="4" max="4" width="12.7109375" customWidth="1"/>
    <col min="5" max="5" width="13.5703125" customWidth="1"/>
    <col min="11" max="11" width="11.85546875" bestFit="1" customWidth="1"/>
  </cols>
  <sheetData>
    <row r="2" spans="1:28">
      <c r="A2">
        <v>1</v>
      </c>
      <c r="B2" t="s">
        <v>449</v>
      </c>
    </row>
    <row r="3" spans="1:28">
      <c r="B3" t="s">
        <v>458</v>
      </c>
      <c r="C3" s="242">
        <v>38</v>
      </c>
    </row>
    <row r="4" spans="1:28">
      <c r="B4" t="s">
        <v>451</v>
      </c>
      <c r="C4" s="2163" t="s">
        <v>1175</v>
      </c>
      <c r="D4" s="2163"/>
      <c r="E4" s="2163"/>
      <c r="F4" s="2163"/>
      <c r="G4" s="2163"/>
      <c r="H4" s="2163"/>
      <c r="I4" s="2163"/>
      <c r="J4" s="2163"/>
      <c r="K4" s="2163"/>
      <c r="L4" s="2163"/>
      <c r="M4" s="2163"/>
      <c r="N4" s="2163"/>
      <c r="O4" s="2163"/>
      <c r="P4" s="2163"/>
      <c r="Q4" s="2163"/>
      <c r="R4" s="2163"/>
      <c r="S4" s="2163"/>
      <c r="T4" s="2163"/>
      <c r="U4" s="2163"/>
      <c r="V4" s="2163"/>
      <c r="W4" s="2163"/>
      <c r="X4" s="2163"/>
      <c r="Y4" s="2163"/>
      <c r="Z4" s="2163"/>
      <c r="AA4" s="2163"/>
      <c r="AB4" s="2163"/>
    </row>
    <row r="5" spans="1:28">
      <c r="B5" t="s">
        <v>454</v>
      </c>
      <c r="C5" t="s">
        <v>453</v>
      </c>
    </row>
    <row r="6" spans="1:28">
      <c r="B6" t="s">
        <v>455</v>
      </c>
      <c r="C6" t="s">
        <v>710</v>
      </c>
    </row>
    <row r="7" spans="1:28">
      <c r="B7" t="s">
        <v>485</v>
      </c>
      <c r="C7" t="s">
        <v>486</v>
      </c>
    </row>
    <row r="8" spans="1:28" s="247" customFormat="1">
      <c r="B8" s="247" t="s">
        <v>467</v>
      </c>
    </row>
    <row r="9" spans="1:28" s="247" customFormat="1">
      <c r="B9" s="248" t="s">
        <v>457</v>
      </c>
      <c r="C9" s="245">
        <v>3</v>
      </c>
      <c r="D9" s="2164" t="s">
        <v>2174</v>
      </c>
      <c r="E9" s="2164"/>
      <c r="F9" s="2164"/>
      <c r="G9" s="2164"/>
      <c r="H9" s="2164"/>
      <c r="I9" s="2164"/>
    </row>
    <row r="10" spans="1:28" s="247" customFormat="1">
      <c r="B10" s="248" t="s">
        <v>1181</v>
      </c>
      <c r="C10" s="246" t="s">
        <v>2175</v>
      </c>
      <c r="D10" s="244" t="s">
        <v>2176</v>
      </c>
    </row>
    <row r="11" spans="1:28" s="247" customFormat="1" ht="16.5" customHeight="1">
      <c r="B11" s="248" t="s">
        <v>1182</v>
      </c>
      <c r="C11" s="246" t="s">
        <v>2312</v>
      </c>
      <c r="D11" s="2164" t="s">
        <v>2177</v>
      </c>
      <c r="E11" s="2164"/>
      <c r="F11" s="2164"/>
      <c r="G11" s="2164"/>
      <c r="H11" s="2164"/>
      <c r="I11" s="2164"/>
      <c r="J11" s="2164"/>
    </row>
    <row r="12" spans="1:28" s="247" customFormat="1" ht="17.25" customHeight="1">
      <c r="B12" s="248" t="s">
        <v>1183</v>
      </c>
      <c r="C12" s="2165" t="s">
        <v>1184</v>
      </c>
      <c r="D12" s="2165"/>
      <c r="E12" s="2165"/>
      <c r="F12" s="2165"/>
    </row>
    <row r="13" spans="1:28" s="247" customFormat="1">
      <c r="B13" s="247" t="s">
        <v>1185</v>
      </c>
      <c r="C13" s="247" t="s">
        <v>1186</v>
      </c>
    </row>
    <row r="14" spans="1:28" s="247" customFormat="1"/>
    <row r="15" spans="1:28">
      <c r="B15" t="s">
        <v>487</v>
      </c>
    </row>
    <row r="16" spans="1:28">
      <c r="B16" s="243" t="s">
        <v>460</v>
      </c>
      <c r="C16" s="247" t="s">
        <v>1176</v>
      </c>
    </row>
    <row r="17" spans="1:28">
      <c r="B17" s="243" t="s">
        <v>461</v>
      </c>
      <c r="C17" t="s">
        <v>464</v>
      </c>
    </row>
    <row r="18" spans="1:28">
      <c r="B18" s="243" t="s">
        <v>462</v>
      </c>
      <c r="C18" t="s">
        <v>464</v>
      </c>
    </row>
    <row r="19" spans="1:28">
      <c r="B19" s="243" t="s">
        <v>463</v>
      </c>
      <c r="C19" t="s">
        <v>465</v>
      </c>
    </row>
    <row r="21" spans="1:28">
      <c r="A21">
        <f>A2+1</f>
        <v>2</v>
      </c>
      <c r="B21" t="s">
        <v>466</v>
      </c>
    </row>
    <row r="22" spans="1:28">
      <c r="A22">
        <f>A21+0.1</f>
        <v>2.1</v>
      </c>
      <c r="B22" s="243" t="s">
        <v>495</v>
      </c>
    </row>
    <row r="23" spans="1:28">
      <c r="B23" t="s">
        <v>914</v>
      </c>
      <c r="C23" s="1093">
        <v>2493834</v>
      </c>
    </row>
    <row r="24" spans="1:28">
      <c r="B24" t="s">
        <v>452</v>
      </c>
      <c r="C24" s="1093"/>
    </row>
    <row r="25" spans="1:28">
      <c r="B25" t="s">
        <v>468</v>
      </c>
      <c r="C25" s="2163" t="str">
        <f>C4</f>
        <v>“MEJORAMIENTO DE LA GESTIÓN MUNICIPAL Y SERVICIO ADMINISTRATIVO DE LA MUNICIPALIDAD PROVINCIAL DE ABANCAY, DISTRITO DE ABANCAY - PROVINCIA DE ABANCAY - DEPARTAMENTO DE APURIMAC”.</v>
      </c>
      <c r="D25" s="2163"/>
      <c r="E25" s="2163"/>
      <c r="F25" s="2163"/>
      <c r="G25" s="2163"/>
      <c r="H25" s="2163"/>
      <c r="I25" s="2163"/>
      <c r="J25" s="2163"/>
      <c r="K25" s="2163"/>
      <c r="L25" s="2163"/>
      <c r="M25" s="2163"/>
      <c r="N25" s="2163"/>
      <c r="O25" s="2163"/>
      <c r="P25" s="2163"/>
      <c r="Q25" s="2163"/>
      <c r="R25" s="2163"/>
      <c r="S25" s="2163"/>
      <c r="T25" s="2163"/>
      <c r="U25" s="2163"/>
      <c r="V25" s="2163"/>
      <c r="W25" s="2163"/>
      <c r="X25" s="2163"/>
      <c r="Y25" s="2163"/>
      <c r="Z25" s="2163"/>
      <c r="AA25" s="2163"/>
      <c r="AB25" s="2163"/>
    </row>
    <row r="26" spans="1:28">
      <c r="A26" t="s">
        <v>476</v>
      </c>
      <c r="B26" t="s">
        <v>469</v>
      </c>
      <c r="C26" t="s">
        <v>471</v>
      </c>
    </row>
    <row r="27" spans="1:28">
      <c r="B27" s="243" t="s">
        <v>478</v>
      </c>
      <c r="C27" s="247" t="s">
        <v>481</v>
      </c>
    </row>
    <row r="28" spans="1:28">
      <c r="B28" s="243" t="s">
        <v>479</v>
      </c>
      <c r="C28" s="247" t="s">
        <v>453</v>
      </c>
    </row>
    <row r="29" spans="1:28">
      <c r="B29" s="243" t="s">
        <v>480</v>
      </c>
      <c r="C29" s="247" t="s">
        <v>482</v>
      </c>
    </row>
    <row r="30" spans="1:28">
      <c r="B30" s="243" t="s">
        <v>483</v>
      </c>
      <c r="C30" s="247"/>
    </row>
    <row r="31" spans="1:28">
      <c r="B31" s="243" t="s">
        <v>484</v>
      </c>
      <c r="C31" s="247"/>
    </row>
    <row r="32" spans="1:28">
      <c r="A32" t="s">
        <v>476</v>
      </c>
      <c r="B32" t="s">
        <v>470</v>
      </c>
      <c r="C32" t="s">
        <v>471</v>
      </c>
    </row>
    <row r="33" spans="1:4">
      <c r="A33" t="s">
        <v>476</v>
      </c>
      <c r="B33" t="s">
        <v>473</v>
      </c>
      <c r="C33" t="s">
        <v>471</v>
      </c>
    </row>
    <row r="34" spans="1:4">
      <c r="B34" s="243" t="s">
        <v>488</v>
      </c>
      <c r="C34" s="839"/>
    </row>
    <row r="35" spans="1:4">
      <c r="B35" s="243" t="s">
        <v>489</v>
      </c>
      <c r="C35" s="839"/>
    </row>
    <row r="36" spans="1:4">
      <c r="B36" s="243" t="s">
        <v>490</v>
      </c>
      <c r="C36" s="839"/>
    </row>
    <row r="37" spans="1:4">
      <c r="B37" s="243" t="s">
        <v>474</v>
      </c>
      <c r="C37" s="1094" t="s">
        <v>1146</v>
      </c>
    </row>
    <row r="38" spans="1:4">
      <c r="B38" s="243" t="s">
        <v>475</v>
      </c>
      <c r="C38" s="1174">
        <v>15583237.93</v>
      </c>
      <c r="D38" t="s">
        <v>492</v>
      </c>
    </row>
    <row r="39" spans="1:4">
      <c r="B39" t="s">
        <v>472</v>
      </c>
    </row>
    <row r="40" spans="1:4">
      <c r="B40" s="243"/>
      <c r="C40" s="249"/>
    </row>
    <row r="41" spans="1:4">
      <c r="A41">
        <f>A21+1</f>
        <v>3</v>
      </c>
      <c r="B41" s="243" t="s">
        <v>494</v>
      </c>
      <c r="C41" s="249"/>
    </row>
    <row r="42" spans="1:4">
      <c r="B42" s="243" t="s">
        <v>490</v>
      </c>
      <c r="C42" s="1093" t="s">
        <v>471</v>
      </c>
    </row>
    <row r="43" spans="1:4" ht="15.75">
      <c r="B43" s="243" t="s">
        <v>491</v>
      </c>
      <c r="C43" s="53" t="s">
        <v>1177</v>
      </c>
    </row>
    <row r="44" spans="1:4">
      <c r="B44" s="243" t="s">
        <v>477</v>
      </c>
      <c r="C44" s="971"/>
    </row>
    <row r="45" spans="1:4">
      <c r="B45" s="243" t="s">
        <v>493</v>
      </c>
      <c r="C45" s="249">
        <f>C38</f>
        <v>15583237.93</v>
      </c>
      <c r="D45" t="s">
        <v>492</v>
      </c>
    </row>
    <row r="46" spans="1:4">
      <c r="B46" s="243"/>
      <c r="C46" s="249"/>
    </row>
    <row r="47" spans="1:4">
      <c r="A47">
        <f>A41+1</f>
        <v>4</v>
      </c>
      <c r="B47" s="243" t="s">
        <v>496</v>
      </c>
    </row>
    <row r="48" spans="1:4">
      <c r="B48" s="243" t="s">
        <v>493</v>
      </c>
      <c r="C48" s="249">
        <f>C45</f>
        <v>15583237.93</v>
      </c>
      <c r="D48" t="s">
        <v>492</v>
      </c>
    </row>
    <row r="49" spans="1:5">
      <c r="B49" s="243" t="s">
        <v>2308</v>
      </c>
      <c r="C49" s="249">
        <v>651380.97219999996</v>
      </c>
      <c r="D49" t="s">
        <v>492</v>
      </c>
    </row>
    <row r="50" spans="1:5">
      <c r="B50" s="243" t="s">
        <v>2474</v>
      </c>
      <c r="C50" s="249">
        <v>458476.78</v>
      </c>
      <c r="D50" t="s">
        <v>492</v>
      </c>
    </row>
    <row r="51" spans="1:5">
      <c r="B51" t="s">
        <v>504</v>
      </c>
    </row>
    <row r="52" spans="1:5">
      <c r="A52" s="251" t="s">
        <v>39</v>
      </c>
      <c r="B52" s="254" t="s">
        <v>505</v>
      </c>
      <c r="C52" s="255"/>
      <c r="D52" s="256"/>
      <c r="E52" s="477" t="s">
        <v>506</v>
      </c>
    </row>
    <row r="53" spans="1:5">
      <c r="A53" s="475" t="s">
        <v>36</v>
      </c>
      <c r="B53" s="258" t="s">
        <v>500</v>
      </c>
      <c r="C53" s="253"/>
      <c r="D53" s="252"/>
      <c r="E53" s="478">
        <v>0</v>
      </c>
    </row>
    <row r="54" spans="1:5">
      <c r="A54" s="476" t="s">
        <v>78</v>
      </c>
      <c r="B54" s="258" t="s">
        <v>499</v>
      </c>
      <c r="C54" s="253"/>
      <c r="D54" s="252"/>
      <c r="E54" s="478"/>
    </row>
    <row r="55" spans="1:5">
      <c r="A55" s="476" t="s">
        <v>118</v>
      </c>
      <c r="B55" s="258" t="s">
        <v>502</v>
      </c>
      <c r="C55" s="253"/>
      <c r="D55" s="252"/>
      <c r="E55" s="479">
        <v>0</v>
      </c>
    </row>
    <row r="56" spans="1:5">
      <c r="A56" s="476" t="s">
        <v>501</v>
      </c>
      <c r="B56" s="258" t="s">
        <v>503</v>
      </c>
      <c r="C56" s="253"/>
      <c r="D56" s="252"/>
      <c r="E56" s="479">
        <v>11546533</v>
      </c>
    </row>
    <row r="57" spans="1:5">
      <c r="A57" s="1168"/>
      <c r="B57" s="257"/>
      <c r="E57" s="1169"/>
    </row>
    <row r="58" spans="1:5">
      <c r="A58" s="259"/>
      <c r="B58" s="257"/>
      <c r="E58" s="249"/>
    </row>
    <row r="59" spans="1:5">
      <c r="B59" s="262" t="s">
        <v>2476</v>
      </c>
      <c r="C59" s="236" t="s">
        <v>497</v>
      </c>
      <c r="D59" s="236" t="s">
        <v>498</v>
      </c>
      <c r="E59" s="236" t="s">
        <v>507</v>
      </c>
    </row>
    <row r="60" spans="1:5">
      <c r="B60" s="261" t="s">
        <v>1180</v>
      </c>
      <c r="C60" s="479">
        <v>11546533</v>
      </c>
      <c r="D60" s="250">
        <v>0</v>
      </c>
      <c r="E60" s="260">
        <f>C60/C48</f>
        <v>0.74095852555592723</v>
      </c>
    </row>
    <row r="61" spans="1:5">
      <c r="B61" s="261" t="s">
        <v>2475</v>
      </c>
      <c r="C61" s="479">
        <v>4953436</v>
      </c>
      <c r="D61" s="250"/>
      <c r="E61" s="260"/>
    </row>
    <row r="62" spans="1:5">
      <c r="B62" s="261" t="s">
        <v>91</v>
      </c>
      <c r="C62" s="250">
        <f>C60+C61</f>
        <v>16499969</v>
      </c>
      <c r="D62" s="250"/>
      <c r="E62" s="236"/>
    </row>
    <row r="64" spans="1:5">
      <c r="A64">
        <f>A47+1</f>
        <v>5</v>
      </c>
      <c r="B64" s="263" t="s">
        <v>508</v>
      </c>
    </row>
    <row r="65" spans="1:13">
      <c r="A65">
        <f>A64+0.1</f>
        <v>5.0999999999999996</v>
      </c>
      <c r="B65" s="263" t="s">
        <v>525</v>
      </c>
    </row>
    <row r="66" spans="1:13">
      <c r="B66" s="263" t="s">
        <v>524</v>
      </c>
      <c r="C66" t="s">
        <v>453</v>
      </c>
    </row>
    <row r="67" spans="1:13">
      <c r="B67" s="263" t="s">
        <v>490</v>
      </c>
      <c r="C67" t="s">
        <v>2477</v>
      </c>
    </row>
    <row r="68" spans="1:13">
      <c r="B68" t="s">
        <v>454</v>
      </c>
      <c r="C68" t="s">
        <v>453</v>
      </c>
    </row>
    <row r="69" spans="1:13">
      <c r="B69" t="s">
        <v>455</v>
      </c>
      <c r="C69" t="s">
        <v>456</v>
      </c>
    </row>
    <row r="70" spans="1:13">
      <c r="B70" t="s">
        <v>485</v>
      </c>
      <c r="C70" t="s">
        <v>486</v>
      </c>
    </row>
    <row r="72" spans="1:13">
      <c r="A72">
        <f>A65+0.1</f>
        <v>5.1999999999999993</v>
      </c>
      <c r="B72" t="s">
        <v>526</v>
      </c>
    </row>
    <row r="73" spans="1:13">
      <c r="B73" s="263" t="s">
        <v>518</v>
      </c>
      <c r="C73" t="s">
        <v>4254</v>
      </c>
    </row>
    <row r="74" spans="1:13">
      <c r="B74" s="263" t="s">
        <v>523</v>
      </c>
    </row>
    <row r="75" spans="1:13">
      <c r="B75" s="263" t="s">
        <v>522</v>
      </c>
    </row>
    <row r="76" spans="1:13">
      <c r="B76" s="263" t="s">
        <v>534</v>
      </c>
      <c r="F76" t="s">
        <v>726</v>
      </c>
    </row>
    <row r="77" spans="1:13">
      <c r="B77" s="263" t="s">
        <v>725</v>
      </c>
      <c r="F77" t="s">
        <v>726</v>
      </c>
    </row>
    <row r="78" spans="1:13">
      <c r="B78" s="263"/>
      <c r="I78">
        <v>365</v>
      </c>
      <c r="J78">
        <v>23</v>
      </c>
      <c r="K78">
        <f>I78-J78</f>
        <v>342</v>
      </c>
    </row>
    <row r="79" spans="1:13">
      <c r="A79">
        <f>A72+0.1</f>
        <v>5.2999999999999989</v>
      </c>
      <c r="B79" t="s">
        <v>526</v>
      </c>
      <c r="K79">
        <v>31</v>
      </c>
      <c r="L79" t="s">
        <v>1098</v>
      </c>
      <c r="M79">
        <v>2023</v>
      </c>
    </row>
    <row r="80" spans="1:13">
      <c r="B80" s="263" t="s">
        <v>520</v>
      </c>
      <c r="C80" t="s">
        <v>2466</v>
      </c>
      <c r="K80">
        <v>28</v>
      </c>
      <c r="L80" t="s">
        <v>1117</v>
      </c>
    </row>
    <row r="81" spans="1:12">
      <c r="B81" s="263" t="s">
        <v>523</v>
      </c>
      <c r="K81">
        <v>24</v>
      </c>
      <c r="L81" t="s">
        <v>1132</v>
      </c>
    </row>
    <row r="82" spans="1:12">
      <c r="B82" s="263" t="s">
        <v>522</v>
      </c>
    </row>
    <row r="83" spans="1:12">
      <c r="B83" s="263"/>
      <c r="K83">
        <f>SUM(K78:K82)</f>
        <v>425</v>
      </c>
    </row>
    <row r="84" spans="1:12">
      <c r="A84">
        <f>A79+0.1</f>
        <v>5.3999999999999986</v>
      </c>
      <c r="B84" s="263" t="s">
        <v>527</v>
      </c>
    </row>
    <row r="85" spans="1:12">
      <c r="B85" t="s">
        <v>516</v>
      </c>
      <c r="C85" s="265">
        <v>707</v>
      </c>
      <c r="D85" t="s">
        <v>517</v>
      </c>
    </row>
    <row r="86" spans="1:12">
      <c r="B86" t="s">
        <v>509</v>
      </c>
      <c r="C86" s="264">
        <v>44585</v>
      </c>
      <c r="J86">
        <v>7</v>
      </c>
    </row>
    <row r="87" spans="1:12">
      <c r="B87" t="s">
        <v>510</v>
      </c>
      <c r="C87" s="264">
        <v>44585</v>
      </c>
      <c r="J87">
        <v>28</v>
      </c>
    </row>
    <row r="88" spans="1:12">
      <c r="B88" t="s">
        <v>515</v>
      </c>
      <c r="C88" s="264">
        <f>C87+C85-1</f>
        <v>45291</v>
      </c>
    </row>
    <row r="89" spans="1:12">
      <c r="B89" t="s">
        <v>512</v>
      </c>
      <c r="C89" s="264">
        <v>44918</v>
      </c>
    </row>
    <row r="90" spans="1:12">
      <c r="B90" t="s">
        <v>513</v>
      </c>
      <c r="C90" s="264">
        <v>44970</v>
      </c>
    </row>
    <row r="91" spans="1:12">
      <c r="B91" t="s">
        <v>514</v>
      </c>
      <c r="C91" s="265">
        <f>C90-C89</f>
        <v>52</v>
      </c>
      <c r="D91" t="s">
        <v>517</v>
      </c>
    </row>
    <row r="92" spans="1:12">
      <c r="B92" t="s">
        <v>511</v>
      </c>
      <c r="C92" s="264">
        <f>(C87+C85-1)+(C91-1)</f>
        <v>45342</v>
      </c>
    </row>
    <row r="93" spans="1:12">
      <c r="B93" t="s">
        <v>528</v>
      </c>
      <c r="C93" t="s">
        <v>218</v>
      </c>
    </row>
    <row r="95" spans="1:12">
      <c r="A95">
        <f>A84+0.1</f>
        <v>5.4999999999999982</v>
      </c>
      <c r="B95" t="s">
        <v>529</v>
      </c>
    </row>
    <row r="96" spans="1:12">
      <c r="B96" t="s">
        <v>530</v>
      </c>
      <c r="C96" s="931" t="s">
        <v>4278</v>
      </c>
      <c r="D96" s="234" t="s">
        <v>409</v>
      </c>
      <c r="E96" s="234">
        <v>2023</v>
      </c>
    </row>
    <row r="97" spans="2:5">
      <c r="B97" t="s">
        <v>531</v>
      </c>
      <c r="C97" s="264">
        <v>45200</v>
      </c>
      <c r="D97" s="234" t="s">
        <v>532</v>
      </c>
      <c r="E97" s="1161">
        <v>45260</v>
      </c>
    </row>
  </sheetData>
  <mergeCells count="5">
    <mergeCell ref="C4:AB4"/>
    <mergeCell ref="C25:AB25"/>
    <mergeCell ref="D11:J11"/>
    <mergeCell ref="C12:F12"/>
    <mergeCell ref="D9:I9"/>
  </mergeCells>
  <phoneticPr fontId="8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CD583-FFF0-4545-80C5-F9947913545E}">
  <sheetPr>
    <tabColor theme="9" tint="-0.249977111117893"/>
    <pageSetUpPr fitToPage="1"/>
  </sheetPr>
  <dimension ref="A1:AS282"/>
  <sheetViews>
    <sheetView showGridLines="0" view="pageBreakPreview" topLeftCell="C185" zoomScale="86" zoomScaleNormal="86" zoomScaleSheetLayoutView="86" workbookViewId="0">
      <selection activeCell="AC214" sqref="AC214:AG214"/>
    </sheetView>
  </sheetViews>
  <sheetFormatPr baseColWidth="10" defaultColWidth="11.42578125" defaultRowHeight="15"/>
  <cols>
    <col min="1" max="1" width="1.42578125" customWidth="1"/>
    <col min="2" max="3" width="2.7109375" customWidth="1"/>
    <col min="4" max="4" width="5" customWidth="1"/>
    <col min="5" max="5" width="12.7109375" customWidth="1"/>
    <col min="6" max="6" width="5.7109375" customWidth="1"/>
    <col min="7" max="11" width="2.7109375" customWidth="1"/>
    <col min="12" max="12" width="6" customWidth="1"/>
    <col min="13" max="13" width="2.7109375" customWidth="1"/>
    <col min="14" max="14" width="4.28515625" customWidth="1"/>
    <col min="15" max="17" width="2.7109375" customWidth="1"/>
    <col min="18" max="18" width="3.5703125" customWidth="1"/>
    <col min="19" max="19" width="5.85546875" customWidth="1"/>
    <col min="20" max="20" width="8.85546875" customWidth="1"/>
    <col min="21" max="24" width="2.7109375" customWidth="1"/>
    <col min="25" max="25" width="1.42578125" customWidth="1"/>
    <col min="26" max="26" width="4.7109375" customWidth="1"/>
    <col min="27" max="27" width="3.7109375" customWidth="1"/>
    <col min="28" max="28" width="11" customWidth="1"/>
    <col min="29" max="32" width="2.7109375" customWidth="1"/>
    <col min="33" max="33" width="7.85546875" customWidth="1"/>
    <col min="34" max="34" width="7.28515625" customWidth="1"/>
    <col min="35" max="35" width="6.140625" customWidth="1"/>
    <col min="36" max="36" width="11.85546875" bestFit="1" customWidth="1"/>
    <col min="37" max="37" width="2.85546875" customWidth="1"/>
    <col min="38" max="38" width="11" customWidth="1"/>
    <col min="39" max="39" width="6" customWidth="1"/>
    <col min="40" max="40" width="13.42578125" bestFit="1" customWidth="1"/>
    <col min="41" max="41" width="1.7109375" customWidth="1"/>
    <col min="42" max="42" width="11.42578125" hidden="1" customWidth="1"/>
  </cols>
  <sheetData>
    <row r="1" spans="1:40">
      <c r="A1" s="267"/>
      <c r="B1" s="2175" t="s">
        <v>121</v>
      </c>
      <c r="C1" s="2175"/>
      <c r="D1" s="2175"/>
      <c r="E1" s="2175"/>
      <c r="F1" s="2175"/>
      <c r="G1" s="2175"/>
      <c r="H1" s="2175"/>
      <c r="I1" s="2175"/>
      <c r="J1" s="2175"/>
      <c r="K1" s="2175"/>
      <c r="L1" s="2175"/>
      <c r="M1" s="2175"/>
      <c r="N1" s="2175"/>
      <c r="O1" s="2175"/>
      <c r="P1" s="2175"/>
      <c r="Q1" s="2175"/>
      <c r="R1" s="2175"/>
      <c r="S1" s="2175"/>
      <c r="T1" s="2175"/>
      <c r="U1" s="2175"/>
      <c r="V1" s="2175"/>
      <c r="W1" s="2175"/>
      <c r="X1" s="2175"/>
      <c r="Y1" s="2175"/>
      <c r="Z1" s="2175"/>
      <c r="AA1" s="2175"/>
      <c r="AB1" s="2175"/>
      <c r="AC1" s="2175"/>
      <c r="AD1" s="2175"/>
      <c r="AE1" s="2175"/>
      <c r="AF1" s="2175"/>
      <c r="AG1" s="2175"/>
      <c r="AH1" s="2175"/>
      <c r="AI1" s="2175"/>
      <c r="AJ1" s="2175"/>
      <c r="AK1" s="2175"/>
      <c r="AL1" s="2175"/>
      <c r="AM1" s="2175"/>
      <c r="AN1" s="2175"/>
    </row>
    <row r="2" spans="1:40" ht="18.75">
      <c r="A2" s="268"/>
      <c r="B2" s="269"/>
      <c r="C2" s="2176" t="s">
        <v>4280</v>
      </c>
      <c r="D2" s="2176"/>
      <c r="E2" s="2176"/>
      <c r="F2" s="2176"/>
      <c r="G2" s="2176"/>
      <c r="H2" s="2176"/>
      <c r="I2" s="2176"/>
      <c r="J2" s="2176"/>
      <c r="K2" s="2176"/>
      <c r="L2" s="2176"/>
      <c r="M2" s="2176"/>
      <c r="N2" s="2176"/>
      <c r="O2" s="2176"/>
      <c r="P2" s="2176"/>
      <c r="Q2" s="2176"/>
      <c r="R2" s="2176"/>
      <c r="S2" s="2176"/>
      <c r="T2" s="2176"/>
      <c r="U2" s="2176"/>
      <c r="V2" s="2176"/>
      <c r="W2" s="2176"/>
      <c r="X2" s="2176"/>
      <c r="Y2" s="2176"/>
      <c r="Z2" s="2176"/>
      <c r="AA2" s="2176"/>
      <c r="AB2" s="2176"/>
      <c r="AC2" s="2176"/>
      <c r="AD2" s="2176"/>
      <c r="AE2" s="2176"/>
      <c r="AF2" s="2176"/>
      <c r="AG2" s="2176"/>
      <c r="AH2" s="2176"/>
      <c r="AI2" s="2176"/>
      <c r="AJ2" s="2176"/>
      <c r="AK2" s="2176"/>
      <c r="AL2" s="2176"/>
      <c r="AM2" s="2176"/>
      <c r="AN2" s="2176"/>
    </row>
    <row r="3" spans="1:40" ht="23.45" customHeight="1">
      <c r="A3" s="270"/>
      <c r="B3" s="2177" t="str">
        <f>Datos!D96</f>
        <v>DICIEMBRE</v>
      </c>
      <c r="C3" s="2177"/>
      <c r="D3" s="2177"/>
      <c r="E3" s="2177"/>
      <c r="F3" s="2177"/>
      <c r="G3" s="2177"/>
      <c r="H3" s="2177"/>
      <c r="I3" s="2177"/>
      <c r="J3" s="2177"/>
      <c r="K3" s="2177"/>
      <c r="L3" s="2177"/>
      <c r="M3" s="2177"/>
      <c r="N3" s="2177"/>
      <c r="O3" s="2177"/>
      <c r="P3" s="2177"/>
      <c r="Q3" s="2177"/>
      <c r="R3" s="2177"/>
      <c r="S3" s="2177"/>
      <c r="T3" s="2177"/>
      <c r="U3" s="2177"/>
      <c r="V3" s="2177"/>
      <c r="W3" s="2177"/>
      <c r="X3" s="2177"/>
      <c r="Y3" s="2177"/>
      <c r="Z3" s="2177"/>
      <c r="AA3" s="2177"/>
      <c r="AB3" s="2177"/>
      <c r="AC3" s="2177"/>
      <c r="AD3" s="2177"/>
      <c r="AE3" s="2177"/>
      <c r="AF3" s="2177"/>
      <c r="AG3" s="2177"/>
      <c r="AH3" s="2177"/>
      <c r="AI3" s="2177"/>
      <c r="AJ3" s="2177"/>
      <c r="AK3" s="2177"/>
      <c r="AL3" s="2177"/>
      <c r="AM3" s="2177"/>
      <c r="AN3" s="2177"/>
    </row>
    <row r="4" spans="1:40" ht="16.5" customHeight="1">
      <c r="A4" s="268"/>
      <c r="B4" s="271"/>
      <c r="C4" s="271"/>
      <c r="D4" s="271"/>
      <c r="E4" s="271"/>
      <c r="F4" s="271"/>
      <c r="G4" s="271"/>
      <c r="H4" s="271"/>
      <c r="I4" s="271"/>
      <c r="J4" s="271"/>
      <c r="K4" s="271"/>
      <c r="L4" s="271"/>
      <c r="M4" s="271"/>
      <c r="N4" s="271"/>
      <c r="O4" s="271"/>
      <c r="P4" s="271"/>
      <c r="Q4" s="271"/>
      <c r="R4" s="271"/>
      <c r="S4" s="271"/>
      <c r="T4" s="271"/>
      <c r="U4" s="271"/>
      <c r="V4" s="271"/>
      <c r="W4" s="271" t="s">
        <v>0</v>
      </c>
      <c r="X4" s="271"/>
      <c r="Y4" s="271"/>
      <c r="Z4" s="271"/>
      <c r="AA4" s="271"/>
      <c r="AB4" s="271"/>
      <c r="AC4" s="271"/>
      <c r="AD4" s="271"/>
      <c r="AE4" s="271"/>
      <c r="AF4" s="271"/>
      <c r="AG4" s="271"/>
      <c r="AH4" s="271"/>
      <c r="AI4" s="271"/>
      <c r="AJ4" s="271"/>
      <c r="AK4" s="271"/>
      <c r="AL4" s="271"/>
      <c r="AM4" s="271"/>
    </row>
    <row r="5" spans="1:40" ht="21" customHeight="1">
      <c r="A5" s="268"/>
      <c r="B5" s="271"/>
      <c r="C5" s="272"/>
      <c r="D5" s="272"/>
      <c r="E5" s="272"/>
      <c r="F5" s="272"/>
      <c r="G5" s="272"/>
      <c r="H5" s="272"/>
      <c r="I5" s="272"/>
      <c r="J5" s="272"/>
      <c r="K5" s="272"/>
      <c r="L5" s="272"/>
      <c r="M5" s="272"/>
      <c r="N5" s="271"/>
      <c r="O5" s="271"/>
      <c r="P5" s="271"/>
      <c r="Q5" s="271"/>
      <c r="R5" s="271"/>
      <c r="S5" s="271"/>
      <c r="T5" s="271"/>
      <c r="U5" s="271"/>
      <c r="V5" s="271"/>
      <c r="W5" s="271"/>
      <c r="X5" s="271"/>
      <c r="Y5" s="271"/>
      <c r="Z5" s="271"/>
      <c r="AA5" s="271"/>
      <c r="AB5" s="271"/>
      <c r="AC5" s="271"/>
      <c r="AD5" s="271"/>
      <c r="AE5" s="271"/>
      <c r="AF5" s="271"/>
      <c r="AG5" s="271"/>
      <c r="AH5" s="271"/>
      <c r="AI5" s="271"/>
      <c r="AJ5" s="271"/>
      <c r="AK5" s="271"/>
      <c r="AL5" s="271"/>
      <c r="AM5" s="271"/>
    </row>
    <row r="6" spans="1:40" ht="46.5" customHeight="1">
      <c r="A6" s="268"/>
      <c r="B6" s="271"/>
      <c r="C6" s="2166" t="s">
        <v>59</v>
      </c>
      <c r="D6" s="2167"/>
      <c r="E6" s="2167"/>
      <c r="F6" s="2167"/>
      <c r="G6" s="2167"/>
      <c r="H6" s="2167"/>
      <c r="I6" s="2167"/>
      <c r="J6" s="2167"/>
      <c r="K6" s="2167"/>
      <c r="L6" s="2168"/>
      <c r="M6" s="273"/>
      <c r="N6" s="2178" t="s">
        <v>1179</v>
      </c>
      <c r="O6" s="2179"/>
      <c r="P6" s="2179"/>
      <c r="Q6" s="2179"/>
      <c r="R6" s="2179"/>
      <c r="S6" s="2179"/>
      <c r="T6" s="2179"/>
      <c r="U6" s="2179"/>
      <c r="V6" s="2179"/>
      <c r="W6" s="2179"/>
      <c r="X6" s="2179"/>
      <c r="Y6" s="2179"/>
      <c r="Z6" s="2179"/>
      <c r="AA6" s="2179"/>
      <c r="AB6" s="2179"/>
      <c r="AC6" s="2179"/>
      <c r="AD6" s="2179"/>
      <c r="AE6" s="2179"/>
      <c r="AF6" s="2179"/>
      <c r="AG6" s="2179"/>
      <c r="AH6" s="2179"/>
      <c r="AI6" s="2179"/>
      <c r="AJ6" s="2179"/>
      <c r="AK6" s="2179"/>
      <c r="AL6" s="2179"/>
      <c r="AM6" s="2180"/>
    </row>
    <row r="7" spans="1:40" ht="14.45" customHeight="1">
      <c r="A7" s="268"/>
      <c r="B7" s="271"/>
      <c r="C7" s="2166" t="s">
        <v>15</v>
      </c>
      <c r="D7" s="2167"/>
      <c r="E7" s="2167"/>
      <c r="F7" s="2167"/>
      <c r="G7" s="2167"/>
      <c r="H7" s="2167"/>
      <c r="I7" s="2167"/>
      <c r="J7" s="2167"/>
      <c r="K7" s="2167"/>
      <c r="L7" s="2168"/>
      <c r="M7" s="273"/>
      <c r="N7" s="2181" t="str">
        <f>Datos!C5</f>
        <v>Municipalidad Provincial de Abancay</v>
      </c>
      <c r="O7" s="2182"/>
      <c r="P7" s="2182"/>
      <c r="Q7" s="2182"/>
      <c r="R7" s="2182"/>
      <c r="S7" s="2182"/>
      <c r="T7" s="2182"/>
      <c r="U7" s="2182"/>
      <c r="V7" s="2182"/>
      <c r="W7" s="2182"/>
      <c r="X7" s="2182"/>
      <c r="Y7" s="2182"/>
      <c r="Z7" s="2182"/>
      <c r="AA7" s="2182"/>
      <c r="AB7" s="2182"/>
      <c r="AC7" s="2182"/>
      <c r="AD7" s="2182"/>
      <c r="AE7" s="2182"/>
      <c r="AF7" s="2182"/>
      <c r="AG7" s="2182"/>
      <c r="AH7" s="2182"/>
      <c r="AI7" s="2182"/>
      <c r="AJ7" s="2182"/>
      <c r="AK7" s="2182"/>
      <c r="AL7" s="2182"/>
      <c r="AM7" s="2183"/>
    </row>
    <row r="8" spans="1:40" ht="14.45" customHeight="1">
      <c r="A8" s="268"/>
      <c r="B8" s="271"/>
      <c r="C8" s="2166" t="s">
        <v>60</v>
      </c>
      <c r="D8" s="2167"/>
      <c r="E8" s="2167"/>
      <c r="F8" s="2167"/>
      <c r="G8" s="2167"/>
      <c r="H8" s="2167"/>
      <c r="I8" s="2167"/>
      <c r="J8" s="2167"/>
      <c r="K8" s="2167"/>
      <c r="L8" s="2168"/>
      <c r="M8" s="273"/>
      <c r="N8" s="2172" t="str">
        <f>Datos!C73</f>
        <v>ING. RICHARD ERWIN MONTALVO ALVARO</v>
      </c>
      <c r="O8" s="2173"/>
      <c r="P8" s="2173"/>
      <c r="Q8" s="2173"/>
      <c r="R8" s="2173"/>
      <c r="S8" s="2173"/>
      <c r="T8" s="2173"/>
      <c r="U8" s="2173"/>
      <c r="V8" s="2173"/>
      <c r="W8" s="2173"/>
      <c r="X8" s="2173"/>
      <c r="Y8" s="2173"/>
      <c r="Z8" s="2173"/>
      <c r="AA8" s="2173"/>
      <c r="AB8" s="2173"/>
      <c r="AC8" s="2173"/>
      <c r="AD8" s="2173"/>
      <c r="AE8" s="2173"/>
      <c r="AF8" s="2173"/>
      <c r="AG8" s="2173"/>
      <c r="AH8" s="2173"/>
      <c r="AI8" s="2173"/>
      <c r="AJ8" s="2173"/>
      <c r="AK8" s="2173"/>
      <c r="AL8" s="2173"/>
      <c r="AM8" s="2174"/>
    </row>
    <row r="9" spans="1:40" ht="14.45" customHeight="1">
      <c r="A9" s="268"/>
      <c r="B9" s="271"/>
      <c r="C9" s="2166" t="s">
        <v>42</v>
      </c>
      <c r="D9" s="2167"/>
      <c r="E9" s="2167"/>
      <c r="F9" s="2167"/>
      <c r="G9" s="2167"/>
      <c r="H9" s="2167"/>
      <c r="I9" s="2167"/>
      <c r="J9" s="2167"/>
      <c r="K9" s="2167"/>
      <c r="L9" s="2168"/>
      <c r="M9" s="273"/>
      <c r="N9" s="2172" t="str">
        <f>Datos!C80</f>
        <v>ING. IVES BUSTHER GUTIERREZ ARENAS</v>
      </c>
      <c r="O9" s="2173"/>
      <c r="P9" s="2173"/>
      <c r="Q9" s="2173"/>
      <c r="R9" s="2173"/>
      <c r="S9" s="2173"/>
      <c r="T9" s="2173"/>
      <c r="U9" s="2173"/>
      <c r="V9" s="2173"/>
      <c r="W9" s="2173"/>
      <c r="X9" s="2173"/>
      <c r="Y9" s="2173"/>
      <c r="Z9" s="2173"/>
      <c r="AA9" s="2173"/>
      <c r="AB9" s="2173"/>
      <c r="AC9" s="2173"/>
      <c r="AD9" s="2173"/>
      <c r="AE9" s="2173"/>
      <c r="AF9" s="2173"/>
      <c r="AG9" s="2173"/>
      <c r="AH9" s="2173"/>
      <c r="AI9" s="2173"/>
      <c r="AJ9" s="2173"/>
      <c r="AK9" s="2173"/>
      <c r="AL9" s="2173"/>
      <c r="AM9" s="2174"/>
    </row>
    <row r="10" spans="1:40" ht="14.25" customHeight="1">
      <c r="A10" s="268"/>
      <c r="B10" s="271"/>
      <c r="C10" s="2166" t="s">
        <v>61</v>
      </c>
      <c r="D10" s="2167"/>
      <c r="E10" s="2167"/>
      <c r="F10" s="2167"/>
      <c r="G10" s="2167"/>
      <c r="H10" s="2167"/>
      <c r="I10" s="2167"/>
      <c r="J10" s="2167"/>
      <c r="K10" s="2167"/>
      <c r="L10" s="2168"/>
      <c r="M10" s="273"/>
      <c r="N10" s="2172" t="s">
        <v>2484</v>
      </c>
      <c r="O10" s="2173"/>
      <c r="P10" s="2173"/>
      <c r="Q10" s="2173"/>
      <c r="R10" s="2173"/>
      <c r="S10" s="2173"/>
      <c r="T10" s="2173"/>
      <c r="U10" s="2173"/>
      <c r="V10" s="2173"/>
      <c r="W10" s="2173"/>
      <c r="X10" s="2173"/>
      <c r="Y10" s="2173"/>
      <c r="Z10" s="2173"/>
      <c r="AA10" s="2173"/>
      <c r="AB10" s="2173"/>
      <c r="AC10" s="2173"/>
      <c r="AD10" s="2173"/>
      <c r="AE10" s="2173"/>
      <c r="AF10" s="2173"/>
      <c r="AG10" s="2173"/>
      <c r="AH10" s="2173"/>
      <c r="AI10" s="2173"/>
      <c r="AJ10" s="2173"/>
      <c r="AK10" s="2173"/>
      <c r="AL10" s="2173"/>
      <c r="AM10" s="2174"/>
    </row>
    <row r="11" spans="1:40" ht="15" customHeight="1">
      <c r="A11" s="268"/>
      <c r="B11" s="271"/>
      <c r="C11" s="273"/>
      <c r="D11" s="273"/>
      <c r="E11" s="273"/>
      <c r="F11" s="273"/>
      <c r="G11" s="273"/>
      <c r="H11" s="273"/>
      <c r="I11" s="273"/>
      <c r="J11" s="273"/>
      <c r="K11" s="273"/>
      <c r="L11" s="273"/>
      <c r="M11" s="273"/>
      <c r="N11" s="279"/>
      <c r="O11" s="279"/>
      <c r="P11" s="279"/>
      <c r="Q11" s="279"/>
      <c r="R11" s="279"/>
      <c r="S11" s="279"/>
      <c r="T11" s="279"/>
      <c r="U11" s="279"/>
      <c r="V11" s="279"/>
      <c r="W11" s="279"/>
      <c r="X11" s="279"/>
      <c r="Y11" s="279"/>
      <c r="Z11" s="279"/>
      <c r="AA11" s="279"/>
      <c r="AB11" s="279"/>
      <c r="AC11" s="273"/>
      <c r="AD11" s="273"/>
      <c r="AE11" s="273"/>
      <c r="AF11" s="273"/>
      <c r="AG11" s="273"/>
      <c r="AH11" s="279"/>
      <c r="AI11" s="279"/>
      <c r="AJ11" s="279"/>
      <c r="AK11" s="279"/>
      <c r="AL11" s="279"/>
      <c r="AM11" s="279"/>
    </row>
    <row r="12" spans="1:40" ht="16.5" customHeight="1">
      <c r="A12" s="268"/>
      <c r="B12" s="271"/>
      <c r="C12" s="2166" t="s">
        <v>62</v>
      </c>
      <c r="D12" s="2167"/>
      <c r="E12" s="2167"/>
      <c r="F12" s="2167"/>
      <c r="G12" s="2167"/>
      <c r="H12" s="2167"/>
      <c r="I12" s="2167"/>
      <c r="J12" s="2167"/>
      <c r="K12" s="2167"/>
      <c r="L12" s="2168"/>
      <c r="M12" s="273"/>
      <c r="N12" s="2169">
        <v>45291</v>
      </c>
      <c r="O12" s="2170"/>
      <c r="P12" s="2170"/>
      <c r="Q12" s="2170"/>
      <c r="R12" s="2170"/>
      <c r="S12" s="2170"/>
      <c r="T12" s="2170"/>
      <c r="U12" s="2170"/>
      <c r="V12" s="2170"/>
      <c r="W12" s="2170"/>
      <c r="X12" s="2170"/>
      <c r="Y12" s="2170"/>
      <c r="Z12" s="2170"/>
      <c r="AA12" s="2170"/>
      <c r="AB12" s="2170"/>
      <c r="AC12" s="2170"/>
      <c r="AD12" s="2170"/>
      <c r="AE12" s="2170"/>
      <c r="AF12" s="2170"/>
      <c r="AG12" s="2170"/>
      <c r="AH12" s="2170"/>
      <c r="AI12" s="2170"/>
      <c r="AJ12" s="2170"/>
      <c r="AK12" s="2170"/>
      <c r="AL12" s="2170"/>
      <c r="AM12" s="2171"/>
    </row>
    <row r="13" spans="1:40" ht="15.75" customHeight="1">
      <c r="A13" s="268"/>
      <c r="B13" s="271"/>
      <c r="C13" s="271"/>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c r="AK13" s="271"/>
      <c r="AL13" s="271"/>
      <c r="AM13" s="271"/>
    </row>
    <row r="14" spans="1:40" ht="24.75" customHeight="1">
      <c r="A14" s="273"/>
      <c r="B14" s="274" t="s">
        <v>63</v>
      </c>
      <c r="C14" s="273"/>
      <c r="D14" s="273"/>
      <c r="E14" s="273"/>
      <c r="F14" s="273"/>
      <c r="G14" s="273"/>
      <c r="H14" s="273"/>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row>
    <row r="15" spans="1:40" ht="12.75" customHeight="1">
      <c r="A15" s="273"/>
      <c r="B15" s="273"/>
      <c r="C15" s="275"/>
      <c r="D15" s="267"/>
      <c r="E15" s="267"/>
      <c r="F15" s="267"/>
      <c r="G15" s="267"/>
      <c r="H15" s="267"/>
      <c r="I15" s="267"/>
      <c r="J15" s="267"/>
      <c r="K15" s="267"/>
      <c r="L15" s="273"/>
      <c r="M15" s="273"/>
      <c r="N15" s="273"/>
      <c r="O15" s="273"/>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row>
    <row r="16" spans="1:40" ht="23.25" customHeight="1">
      <c r="A16" s="272"/>
      <c r="B16" s="272"/>
      <c r="C16" s="276" t="s">
        <v>535</v>
      </c>
      <c r="D16" s="272"/>
      <c r="E16" s="272"/>
      <c r="F16" s="272"/>
      <c r="G16" s="272"/>
      <c r="H16" s="272"/>
      <c r="I16" s="272"/>
      <c r="J16" s="272"/>
      <c r="K16" s="272"/>
      <c r="L16" s="272"/>
      <c r="M16" s="272"/>
      <c r="N16" s="272"/>
      <c r="O16" s="272"/>
      <c r="P16" s="272"/>
      <c r="Q16" s="272"/>
      <c r="R16" s="272"/>
      <c r="S16" s="272"/>
      <c r="T16" s="272"/>
      <c r="U16" s="272"/>
      <c r="V16" s="272"/>
      <c r="W16" s="272"/>
      <c r="X16" s="272"/>
      <c r="Y16" s="272"/>
      <c r="Z16" s="272"/>
      <c r="AA16" s="272"/>
      <c r="AB16" s="272"/>
      <c r="AC16" s="272"/>
      <c r="AD16" s="272"/>
      <c r="AE16" s="272"/>
      <c r="AF16" s="272"/>
      <c r="AG16" s="272"/>
      <c r="AH16" s="272"/>
      <c r="AI16" s="272"/>
      <c r="AJ16" s="272"/>
      <c r="AK16" s="272"/>
      <c r="AL16" s="272"/>
      <c r="AM16" s="272"/>
    </row>
    <row r="17" spans="1:40" ht="33.950000000000003" customHeight="1">
      <c r="A17" s="273"/>
      <c r="B17" s="273"/>
      <c r="C17" s="272"/>
      <c r="D17" s="276" t="s">
        <v>64</v>
      </c>
      <c r="E17" s="277"/>
      <c r="F17" s="277"/>
      <c r="G17" s="277"/>
      <c r="H17" s="277"/>
      <c r="I17" s="277"/>
      <c r="J17" s="277"/>
      <c r="K17" s="277"/>
      <c r="L17" s="272"/>
      <c r="M17" s="272"/>
      <c r="N17" s="272"/>
      <c r="O17" s="272"/>
      <c r="P17" s="272"/>
      <c r="Q17" s="272"/>
      <c r="R17" s="272"/>
      <c r="S17" s="273"/>
      <c r="T17" s="273"/>
      <c r="U17" s="273"/>
      <c r="V17" s="273"/>
      <c r="W17" s="273"/>
      <c r="X17" s="273"/>
      <c r="Y17" s="273"/>
      <c r="Z17" s="273"/>
      <c r="AA17" s="273"/>
      <c r="AB17" s="273"/>
      <c r="AC17" s="273"/>
      <c r="AD17" s="273"/>
      <c r="AE17" s="273"/>
      <c r="AF17" s="273"/>
      <c r="AG17" s="273"/>
      <c r="AH17" s="273"/>
      <c r="AI17" s="273"/>
      <c r="AJ17" s="273"/>
      <c r="AK17" s="273"/>
      <c r="AL17" s="273"/>
      <c r="AM17" s="273"/>
    </row>
    <row r="18" spans="1:40">
      <c r="A18" s="273"/>
      <c r="B18" s="273"/>
      <c r="C18" s="275"/>
      <c r="D18" s="267"/>
      <c r="E18" s="267"/>
      <c r="F18" s="267"/>
      <c r="G18" s="267"/>
      <c r="H18" s="267"/>
      <c r="I18" s="267"/>
      <c r="J18" s="267"/>
      <c r="K18" s="267"/>
      <c r="L18" s="278" t="s">
        <v>65</v>
      </c>
      <c r="M18" s="2186" t="str">
        <f>Datos!C19</f>
        <v>Apurimac</v>
      </c>
      <c r="N18" s="2187"/>
      <c r="O18" s="2187"/>
      <c r="P18" s="2187"/>
      <c r="Q18" s="2187"/>
      <c r="R18" s="2187"/>
      <c r="S18" s="2187"/>
      <c r="T18" s="2187"/>
      <c r="U18" s="2187"/>
      <c r="V18" s="2187"/>
      <c r="W18" s="2187"/>
      <c r="X18" s="2188"/>
      <c r="Y18" s="273"/>
      <c r="Z18" s="273"/>
      <c r="AA18" s="273"/>
      <c r="AB18" s="273"/>
      <c r="AC18" s="273"/>
      <c r="AD18" s="278" t="s">
        <v>66</v>
      </c>
      <c r="AE18" s="2189" t="str">
        <f>Datos!C18</f>
        <v>Abancay</v>
      </c>
      <c r="AF18" s="2190"/>
      <c r="AG18" s="2190"/>
      <c r="AH18" s="2190"/>
      <c r="AI18" s="2190"/>
      <c r="AJ18" s="2190"/>
      <c r="AK18" s="2190"/>
      <c r="AL18" s="2190"/>
      <c r="AM18" s="2191"/>
    </row>
    <row r="19" spans="1:40" ht="14.45" customHeight="1">
      <c r="A19" s="273"/>
      <c r="B19" s="273"/>
      <c r="C19" s="275"/>
      <c r="D19" s="267"/>
      <c r="E19" s="267"/>
      <c r="F19" s="267"/>
      <c r="G19" s="267"/>
      <c r="H19" s="267"/>
      <c r="I19" s="267"/>
      <c r="J19" s="267"/>
      <c r="K19" s="267"/>
      <c r="L19" s="278"/>
      <c r="M19" s="267"/>
      <c r="N19" s="267"/>
      <c r="O19" s="267"/>
      <c r="P19" s="267"/>
      <c r="Q19" s="267"/>
      <c r="R19" s="267"/>
      <c r="S19" s="267"/>
      <c r="T19" s="267"/>
      <c r="U19" s="267"/>
      <c r="V19" s="267"/>
      <c r="W19" s="267"/>
      <c r="X19" s="267"/>
      <c r="Y19" s="273"/>
      <c r="Z19" s="273"/>
      <c r="AA19" s="273"/>
      <c r="AB19" s="273"/>
      <c r="AC19" s="273"/>
      <c r="AD19" s="273"/>
      <c r="AE19" s="273"/>
      <c r="AF19" s="273"/>
      <c r="AG19" s="273"/>
      <c r="AH19" s="273"/>
      <c r="AI19" s="273"/>
      <c r="AJ19" s="273"/>
      <c r="AK19" s="273"/>
      <c r="AL19" s="273"/>
      <c r="AM19" s="273"/>
    </row>
    <row r="20" spans="1:40" ht="14.45" customHeight="1">
      <c r="A20" s="273"/>
      <c r="B20" s="273"/>
      <c r="C20" s="275"/>
      <c r="D20" s="267"/>
      <c r="E20" s="267"/>
      <c r="F20" s="267"/>
      <c r="G20" s="267"/>
      <c r="H20" s="267"/>
      <c r="I20" s="267"/>
      <c r="J20" s="267"/>
      <c r="K20" s="267"/>
      <c r="L20" s="278" t="s">
        <v>67</v>
      </c>
      <c r="M20" s="2186" t="str">
        <f>Datos!C17</f>
        <v>Abancay</v>
      </c>
      <c r="N20" s="2187"/>
      <c r="O20" s="2187"/>
      <c r="P20" s="2187"/>
      <c r="Q20" s="2187"/>
      <c r="R20" s="2187"/>
      <c r="S20" s="2187"/>
      <c r="T20" s="2187"/>
      <c r="U20" s="2187"/>
      <c r="V20" s="2187"/>
      <c r="W20" s="2187"/>
      <c r="X20" s="2188"/>
      <c r="Y20" s="273"/>
      <c r="Z20" s="280"/>
      <c r="AA20" s="280"/>
      <c r="AB20" s="280"/>
      <c r="AC20" s="280"/>
      <c r="AD20" s="280"/>
      <c r="AE20" s="280"/>
      <c r="AF20" s="280"/>
      <c r="AG20" s="280"/>
      <c r="AH20" s="280"/>
      <c r="AI20" s="280"/>
      <c r="AJ20" s="280"/>
      <c r="AK20" s="280"/>
      <c r="AL20" s="280"/>
      <c r="AM20" s="280"/>
    </row>
    <row r="21" spans="1:40">
      <c r="A21" s="273"/>
      <c r="B21" s="273"/>
      <c r="C21" s="275"/>
      <c r="D21" s="267"/>
      <c r="E21" s="267"/>
      <c r="F21" s="267"/>
      <c r="G21" s="267"/>
      <c r="H21" s="267"/>
      <c r="I21" s="267"/>
      <c r="J21" s="267"/>
      <c r="K21" s="267"/>
      <c r="L21" s="278"/>
      <c r="M21" s="278"/>
      <c r="N21" s="278"/>
      <c r="O21" s="278"/>
      <c r="P21" s="278"/>
      <c r="Q21" s="278"/>
      <c r="R21" s="273"/>
      <c r="S21" s="273"/>
      <c r="T21" s="273"/>
      <c r="U21" s="273"/>
      <c r="V21" s="273"/>
      <c r="W21" s="273"/>
      <c r="X21" s="273"/>
      <c r="Y21" s="273"/>
      <c r="Z21" s="273"/>
      <c r="AA21" s="273"/>
      <c r="AB21" s="273"/>
      <c r="AC21" s="273"/>
      <c r="AD21" s="273"/>
      <c r="AE21" s="273"/>
      <c r="AF21" s="273"/>
      <c r="AG21" s="273"/>
      <c r="AH21" s="273"/>
      <c r="AI21" s="273"/>
      <c r="AJ21" s="273"/>
      <c r="AK21" s="273"/>
      <c r="AL21" s="273"/>
      <c r="AM21" s="273"/>
    </row>
    <row r="22" spans="1:40">
      <c r="A22" s="273"/>
      <c r="B22" s="273"/>
      <c r="C22" s="275"/>
      <c r="D22" s="267"/>
      <c r="E22" s="267"/>
      <c r="F22" s="267"/>
      <c r="G22" s="267"/>
      <c r="H22" s="267"/>
      <c r="I22" s="267"/>
      <c r="J22" s="267"/>
      <c r="K22" s="267"/>
      <c r="L22" s="278" t="s">
        <v>68</v>
      </c>
      <c r="M22" s="2189" t="str">
        <f>Datos!C16</f>
        <v>Jr.LIMA N°206</v>
      </c>
      <c r="N22" s="2190"/>
      <c r="O22" s="2190"/>
      <c r="P22" s="2190"/>
      <c r="Q22" s="2190"/>
      <c r="R22" s="2190"/>
      <c r="S22" s="2190"/>
      <c r="T22" s="2190"/>
      <c r="U22" s="2190"/>
      <c r="V22" s="2190"/>
      <c r="W22" s="2190"/>
      <c r="X22" s="2190"/>
      <c r="Y22" s="2190"/>
      <c r="Z22" s="2190"/>
      <c r="AA22" s="2190"/>
      <c r="AB22" s="2190"/>
      <c r="AC22" s="2190"/>
      <c r="AD22" s="2190"/>
      <c r="AE22" s="2190"/>
      <c r="AF22" s="2190"/>
      <c r="AG22" s="2190"/>
      <c r="AH22" s="2190"/>
      <c r="AI22" s="2190"/>
      <c r="AJ22" s="2190"/>
      <c r="AK22" s="2190"/>
      <c r="AL22" s="2190"/>
      <c r="AM22" s="2191"/>
    </row>
    <row r="23" spans="1:40">
      <c r="A23" s="273"/>
      <c r="B23" s="273"/>
      <c r="C23" s="275"/>
      <c r="D23" s="267"/>
      <c r="E23" s="267"/>
      <c r="F23" s="267"/>
      <c r="G23" s="267"/>
      <c r="H23" s="267"/>
      <c r="I23" s="267"/>
      <c r="J23" s="267"/>
      <c r="K23" s="267"/>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row>
    <row r="24" spans="1:40">
      <c r="A24" s="273"/>
      <c r="B24" s="273"/>
      <c r="C24" s="275"/>
      <c r="D24" s="276" t="s">
        <v>69</v>
      </c>
      <c r="E24" s="267"/>
      <c r="F24" s="267"/>
      <c r="G24" s="267"/>
      <c r="H24" s="267"/>
      <c r="I24" s="267"/>
      <c r="J24" s="267"/>
      <c r="K24" s="267"/>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row>
    <row r="25" spans="1:40">
      <c r="A25" s="273"/>
      <c r="B25" s="273"/>
      <c r="C25" s="275"/>
      <c r="D25" s="276"/>
      <c r="E25" s="267"/>
      <c r="F25" s="267"/>
      <c r="G25" s="2184" t="s">
        <v>70</v>
      </c>
      <c r="H25" s="2184"/>
      <c r="I25" s="2184"/>
      <c r="J25" s="2184"/>
      <c r="K25" s="2184"/>
      <c r="L25" s="2184"/>
      <c r="M25" s="281" t="s">
        <v>17</v>
      </c>
      <c r="N25" s="284">
        <f>Datos!C9</f>
        <v>3</v>
      </c>
      <c r="O25" s="282"/>
      <c r="P25" s="299" t="str">
        <f>Datos!D9</f>
        <v>PLANEAMIENTO,GESTION Y RESERVA DE CONTINGENCIA</v>
      </c>
      <c r="Q25" s="282"/>
      <c r="R25" s="282"/>
      <c r="S25" s="282"/>
      <c r="T25" s="282"/>
      <c r="U25" s="282"/>
      <c r="V25" s="282"/>
      <c r="W25" s="282"/>
      <c r="X25" s="282"/>
      <c r="Y25" s="282"/>
      <c r="Z25" s="282"/>
      <c r="AA25" s="282"/>
      <c r="AB25" s="282"/>
      <c r="AC25" s="282"/>
      <c r="AD25" s="282"/>
      <c r="AE25" s="282"/>
      <c r="AF25" s="282"/>
      <c r="AG25" s="282"/>
      <c r="AH25" s="282"/>
      <c r="AI25" s="282"/>
      <c r="AJ25" s="282"/>
      <c r="AK25" s="282"/>
      <c r="AL25" s="282"/>
      <c r="AM25" s="282"/>
      <c r="AN25" s="266"/>
    </row>
    <row r="26" spans="1:40">
      <c r="A26" s="273"/>
      <c r="B26" s="273"/>
      <c r="C26" s="275"/>
      <c r="D26" s="276"/>
      <c r="E26" s="267"/>
      <c r="F26" s="267"/>
      <c r="G26" s="2184" t="s">
        <v>71</v>
      </c>
      <c r="H26" s="2184"/>
      <c r="I26" s="2184"/>
      <c r="J26" s="2184"/>
      <c r="K26" s="2184"/>
      <c r="L26" s="2184"/>
      <c r="M26" s="281" t="s">
        <v>17</v>
      </c>
      <c r="N26" s="284" t="str">
        <f>Datos!C10</f>
        <v>06</v>
      </c>
      <c r="O26" s="282"/>
      <c r="P26" s="299" t="str">
        <f>Datos!D10</f>
        <v>GESTION</v>
      </c>
      <c r="Q26" s="282"/>
      <c r="R26" s="282"/>
      <c r="S26" s="282"/>
      <c r="T26" s="282"/>
      <c r="U26" s="282"/>
      <c r="V26" s="282"/>
      <c r="W26" s="282"/>
      <c r="X26" s="282"/>
      <c r="Y26" s="282"/>
      <c r="Z26" s="282"/>
      <c r="AA26" s="282"/>
      <c r="AB26" s="282"/>
      <c r="AC26" s="282"/>
      <c r="AD26" s="282"/>
      <c r="AE26" s="282"/>
      <c r="AF26" s="282"/>
      <c r="AG26" s="282"/>
      <c r="AH26" s="282"/>
      <c r="AI26" s="282"/>
      <c r="AJ26" s="282"/>
      <c r="AK26" s="282"/>
      <c r="AL26" s="282"/>
      <c r="AM26" s="282"/>
      <c r="AN26" s="266"/>
    </row>
    <row r="27" spans="1:40">
      <c r="A27" s="273"/>
      <c r="B27" s="273"/>
      <c r="C27" s="275"/>
      <c r="D27" s="267"/>
      <c r="E27" s="267"/>
      <c r="F27" s="267"/>
      <c r="G27" s="2184" t="s">
        <v>72</v>
      </c>
      <c r="H27" s="2184"/>
      <c r="I27" s="2184"/>
      <c r="J27" s="2184"/>
      <c r="K27" s="2184"/>
      <c r="L27" s="2184"/>
      <c r="M27" s="281" t="s">
        <v>17</v>
      </c>
      <c r="N27" s="284" t="str">
        <f>Datos!C11</f>
        <v>0010</v>
      </c>
      <c r="O27" s="282"/>
      <c r="P27" s="299" t="str">
        <f>Datos!D11</f>
        <v>INFRAESTRUCTURA Y EQUIPAMIENTO</v>
      </c>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c r="AN27" s="266"/>
    </row>
    <row r="28" spans="1:40" ht="54.75" customHeight="1">
      <c r="A28" s="273"/>
      <c r="B28" s="273"/>
      <c r="C28" s="275"/>
      <c r="D28" s="267"/>
      <c r="E28" s="267"/>
      <c r="F28" s="267"/>
      <c r="G28" s="2184" t="s">
        <v>56</v>
      </c>
      <c r="H28" s="2184"/>
      <c r="I28" s="2184"/>
      <c r="J28" s="2184"/>
      <c r="K28" s="2184"/>
      <c r="L28" s="2184"/>
      <c r="M28" s="283" t="s">
        <v>17</v>
      </c>
      <c r="N28" s="2185" t="s">
        <v>1175</v>
      </c>
      <c r="O28" s="2185"/>
      <c r="P28" s="2185"/>
      <c r="Q28" s="2185"/>
      <c r="R28" s="2185"/>
      <c r="S28" s="2185"/>
      <c r="T28" s="2185"/>
      <c r="U28" s="2185"/>
      <c r="V28" s="2185"/>
      <c r="W28" s="2185"/>
      <c r="X28" s="2185"/>
      <c r="Y28" s="2185"/>
      <c r="Z28" s="2185"/>
      <c r="AA28" s="2185"/>
      <c r="AB28" s="2185"/>
      <c r="AC28" s="2185"/>
      <c r="AD28" s="2185"/>
      <c r="AE28" s="2185"/>
      <c r="AF28" s="2185"/>
      <c r="AG28" s="2185"/>
      <c r="AH28" s="2185"/>
      <c r="AI28" s="2185"/>
      <c r="AJ28" s="2185"/>
      <c r="AK28" s="2185"/>
      <c r="AL28" s="2185"/>
      <c r="AM28" s="2185"/>
      <c r="AN28" s="1949"/>
    </row>
    <row r="29" spans="1:40">
      <c r="A29" s="273"/>
      <c r="B29" s="273"/>
      <c r="C29" s="275"/>
      <c r="D29" s="267"/>
      <c r="E29" s="267"/>
      <c r="F29" s="267"/>
      <c r="G29" s="2184" t="s">
        <v>73</v>
      </c>
      <c r="H29" s="2184"/>
      <c r="I29" s="2184"/>
      <c r="J29" s="2184"/>
      <c r="K29" s="2184"/>
      <c r="L29" s="2184"/>
      <c r="M29" s="281" t="s">
        <v>17</v>
      </c>
      <c r="N29" s="284" t="str">
        <f>Datos!C12</f>
        <v xml:space="preserve"> 
VIVIENDA, CONSTRUCCION Y SANEAMIENTO</v>
      </c>
      <c r="O29" s="282"/>
      <c r="P29" s="282"/>
      <c r="Q29" s="282"/>
      <c r="R29" s="282"/>
      <c r="S29" s="282"/>
      <c r="T29" s="282"/>
      <c r="U29" s="282"/>
      <c r="V29" s="282"/>
      <c r="W29" s="282"/>
      <c r="X29" s="282"/>
      <c r="Y29" s="282"/>
      <c r="Z29" s="282"/>
      <c r="AA29" s="282"/>
      <c r="AB29" s="282"/>
      <c r="AC29" s="282"/>
      <c r="AD29" s="282"/>
      <c r="AE29" s="282"/>
      <c r="AF29" s="282"/>
      <c r="AG29" s="282"/>
      <c r="AH29" s="282"/>
      <c r="AI29" s="282"/>
      <c r="AJ29" s="282"/>
      <c r="AK29" s="282"/>
      <c r="AL29" s="282"/>
      <c r="AM29" s="282"/>
      <c r="AN29" s="266"/>
    </row>
    <row r="30" spans="1:40">
      <c r="A30" s="273"/>
      <c r="B30" s="273"/>
      <c r="C30" s="275"/>
      <c r="D30" s="267"/>
      <c r="E30" s="267"/>
      <c r="F30" s="267"/>
      <c r="G30" s="268"/>
      <c r="H30" s="268"/>
      <c r="I30" s="268"/>
      <c r="J30" s="268"/>
      <c r="K30" s="268"/>
      <c r="L30" s="268"/>
      <c r="M30" s="281"/>
      <c r="N30" s="284" t="str">
        <f>Datos!C13</f>
        <v>ESPACIOS PÚBLICOS PARA LA INTEGRACIÓN</v>
      </c>
      <c r="O30" s="282"/>
      <c r="P30" s="282"/>
      <c r="Q30" s="282"/>
      <c r="R30" s="282"/>
      <c r="S30" s="282"/>
      <c r="T30" s="282"/>
      <c r="U30" s="282"/>
      <c r="V30" s="282"/>
      <c r="W30" s="282"/>
      <c r="X30" s="282"/>
      <c r="Y30" s="282"/>
      <c r="Z30" s="282"/>
      <c r="AA30" s="282"/>
      <c r="AB30" s="282"/>
      <c r="AC30" s="282"/>
      <c r="AD30" s="282"/>
      <c r="AE30" s="282"/>
      <c r="AF30" s="282"/>
      <c r="AG30" s="282"/>
      <c r="AH30" s="282"/>
      <c r="AI30" s="282"/>
      <c r="AJ30" s="282"/>
      <c r="AK30" s="282"/>
      <c r="AL30" s="282"/>
      <c r="AM30" s="282"/>
      <c r="AN30" s="266"/>
    </row>
    <row r="31" spans="1:40">
      <c r="A31" s="273"/>
      <c r="B31" s="273"/>
      <c r="C31" s="275"/>
      <c r="D31" s="267"/>
      <c r="E31" s="267"/>
      <c r="F31" s="267"/>
      <c r="G31" s="268"/>
      <c r="H31" s="268"/>
      <c r="I31" s="268"/>
      <c r="J31" s="268"/>
      <c r="K31" s="268"/>
      <c r="L31" s="268"/>
      <c r="M31" s="281"/>
      <c r="N31" s="284"/>
      <c r="O31" s="282"/>
      <c r="P31" s="282"/>
      <c r="Q31" s="282"/>
      <c r="R31" s="282"/>
      <c r="S31" s="282"/>
      <c r="T31" s="282"/>
      <c r="U31" s="282"/>
      <c r="V31" s="282"/>
      <c r="W31" s="282"/>
      <c r="X31" s="282"/>
      <c r="Y31" s="282"/>
      <c r="Z31" s="282"/>
      <c r="AA31" s="282"/>
      <c r="AB31" s="282"/>
      <c r="AC31" s="282"/>
      <c r="AD31" s="282"/>
      <c r="AE31" s="282"/>
      <c r="AF31" s="282"/>
      <c r="AG31" s="282"/>
      <c r="AH31" s="282"/>
      <c r="AI31" s="282"/>
      <c r="AJ31" s="282"/>
      <c r="AK31" s="282"/>
      <c r="AL31" s="282"/>
      <c r="AM31" s="282"/>
      <c r="AN31" s="266"/>
    </row>
    <row r="32" spans="1:40">
      <c r="A32" s="273"/>
      <c r="B32" s="273"/>
      <c r="C32" s="275"/>
      <c r="D32" s="267"/>
      <c r="E32" s="267"/>
      <c r="F32" s="267"/>
      <c r="G32" s="2184" t="s">
        <v>74</v>
      </c>
      <c r="H32" s="2184"/>
      <c r="I32" s="2184"/>
      <c r="J32" s="2184"/>
      <c r="K32" s="2184"/>
      <c r="L32" s="2184"/>
      <c r="M32" s="281" t="s">
        <v>17</v>
      </c>
      <c r="N32" s="2196" t="s">
        <v>2311</v>
      </c>
      <c r="O32" s="2196"/>
      <c r="P32" s="2196"/>
      <c r="Q32" s="2196"/>
      <c r="R32" s="2196"/>
      <c r="S32" s="282"/>
      <c r="T32" s="282"/>
      <c r="U32" s="282"/>
      <c r="V32" s="282"/>
      <c r="W32" s="282"/>
      <c r="X32" s="282"/>
      <c r="Y32" s="282"/>
      <c r="Z32" s="282"/>
      <c r="AA32" s="282"/>
      <c r="AB32" s="282"/>
      <c r="AC32" s="282"/>
      <c r="AD32" s="282"/>
      <c r="AE32" s="282"/>
      <c r="AF32" s="282"/>
      <c r="AG32" s="282"/>
      <c r="AH32" s="282"/>
      <c r="AI32" s="282"/>
      <c r="AJ32" s="282"/>
      <c r="AK32" s="282"/>
      <c r="AL32" s="282"/>
      <c r="AM32" s="282"/>
      <c r="AN32" s="266"/>
    </row>
    <row r="33" spans="1:40">
      <c r="A33" s="273"/>
      <c r="B33" s="273"/>
      <c r="C33" s="275"/>
      <c r="D33" s="267"/>
      <c r="E33" s="267"/>
      <c r="F33" s="267"/>
      <c r="G33" s="268"/>
      <c r="H33" s="268"/>
      <c r="I33" s="268"/>
      <c r="J33" s="268"/>
      <c r="K33" s="268"/>
      <c r="L33" s="268"/>
      <c r="M33" s="281"/>
      <c r="N33" s="1850" t="s">
        <v>2483</v>
      </c>
      <c r="O33" s="1850"/>
      <c r="P33" s="1850"/>
      <c r="Q33" s="1850"/>
      <c r="R33" s="1850"/>
      <c r="S33" s="282"/>
      <c r="T33" s="282"/>
      <c r="U33" s="282"/>
      <c r="V33" s="282"/>
      <c r="W33" s="282"/>
      <c r="X33" s="282"/>
      <c r="Y33" s="282"/>
      <c r="Z33" s="282"/>
      <c r="AA33" s="282"/>
      <c r="AB33" s="282"/>
      <c r="AC33" s="282"/>
      <c r="AD33" s="282"/>
      <c r="AE33" s="282"/>
      <c r="AF33" s="282"/>
      <c r="AG33" s="282"/>
      <c r="AH33" s="282"/>
      <c r="AI33" s="282"/>
      <c r="AJ33" s="282"/>
      <c r="AK33" s="282"/>
      <c r="AL33" s="282"/>
      <c r="AM33" s="282"/>
      <c r="AN33" s="266"/>
    </row>
    <row r="34" spans="1:40">
      <c r="A34" s="273"/>
      <c r="B34" s="273"/>
      <c r="C34" s="275"/>
      <c r="D34" s="267"/>
      <c r="E34" s="267"/>
      <c r="F34" s="267"/>
      <c r="G34" s="268"/>
      <c r="H34" s="268"/>
      <c r="I34" s="268"/>
      <c r="J34" s="268"/>
      <c r="K34" s="268"/>
      <c r="L34" s="268"/>
      <c r="M34" s="281"/>
      <c r="N34" s="2196" t="s">
        <v>2479</v>
      </c>
      <c r="O34" s="2196"/>
      <c r="P34" s="2196"/>
      <c r="Q34" s="2196"/>
      <c r="R34" s="2196"/>
      <c r="S34" s="282"/>
      <c r="T34" s="282"/>
      <c r="U34" s="282"/>
      <c r="V34" s="282"/>
      <c r="W34" s="282"/>
      <c r="X34" s="282"/>
      <c r="Y34" s="282"/>
      <c r="Z34" s="282"/>
      <c r="AA34" s="282"/>
      <c r="AB34" s="282"/>
      <c r="AC34" s="282"/>
      <c r="AD34" s="282"/>
      <c r="AE34" s="282"/>
      <c r="AF34" s="282"/>
      <c r="AG34" s="282"/>
      <c r="AH34" s="282"/>
      <c r="AI34" s="282"/>
      <c r="AJ34" s="282"/>
      <c r="AK34" s="282"/>
      <c r="AL34" s="282"/>
      <c r="AM34" s="282"/>
      <c r="AN34" s="266"/>
    </row>
    <row r="35" spans="1:40">
      <c r="A35" s="273"/>
      <c r="B35" s="273"/>
      <c r="C35" s="275"/>
      <c r="D35" s="267"/>
      <c r="E35" s="267"/>
      <c r="F35" s="267"/>
      <c r="G35" s="2184" t="s">
        <v>75</v>
      </c>
      <c r="H35" s="2184"/>
      <c r="I35" s="2184"/>
      <c r="J35" s="2184"/>
      <c r="K35" s="2184"/>
      <c r="L35" s="2184"/>
      <c r="M35" s="281" t="s">
        <v>17</v>
      </c>
      <c r="N35" s="284" t="str">
        <f>Datos!C6</f>
        <v>Administración Directa</v>
      </c>
      <c r="O35" s="282"/>
      <c r="P35" s="282"/>
      <c r="Q35" s="282"/>
      <c r="R35" s="282"/>
      <c r="S35" s="282"/>
      <c r="T35" s="282"/>
      <c r="U35" s="282"/>
      <c r="V35" s="282"/>
      <c r="W35" s="282"/>
      <c r="X35" s="282"/>
      <c r="Y35" s="282"/>
      <c r="Z35" s="282"/>
      <c r="AA35" s="282"/>
      <c r="AB35" s="282"/>
      <c r="AC35" s="282"/>
      <c r="AD35" s="282"/>
      <c r="AE35" s="282"/>
      <c r="AF35" s="282"/>
      <c r="AG35" s="282"/>
      <c r="AH35" s="282"/>
      <c r="AI35" s="282"/>
      <c r="AJ35" s="282"/>
      <c r="AK35" s="282"/>
      <c r="AL35" s="282"/>
      <c r="AM35" s="282"/>
      <c r="AN35" s="266"/>
    </row>
    <row r="36" spans="1:40">
      <c r="A36" s="273"/>
      <c r="B36" s="273"/>
      <c r="C36" s="275"/>
      <c r="D36" s="267"/>
      <c r="E36" s="267"/>
      <c r="F36" s="267"/>
      <c r="G36" s="267"/>
      <c r="H36" s="267"/>
      <c r="I36" s="267"/>
      <c r="J36" s="267"/>
      <c r="K36" s="267"/>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row>
    <row r="37" spans="1:40">
      <c r="A37" s="273"/>
      <c r="B37" s="273"/>
      <c r="C37" s="275"/>
      <c r="D37" s="276" t="s">
        <v>76</v>
      </c>
      <c r="E37" s="267"/>
      <c r="F37" s="267"/>
      <c r="G37" s="267"/>
      <c r="H37" s="267"/>
      <c r="I37" s="267"/>
      <c r="J37" s="267"/>
      <c r="K37" s="267"/>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row>
    <row r="38" spans="1:40">
      <c r="A38" s="273"/>
      <c r="B38" s="273"/>
      <c r="C38" s="275"/>
      <c r="D38" s="267"/>
      <c r="E38" s="267"/>
      <c r="F38" s="267"/>
      <c r="G38" s="267" t="s">
        <v>2310</v>
      </c>
      <c r="H38" s="267"/>
      <c r="I38" s="267"/>
      <c r="J38" s="267"/>
      <c r="K38" s="267"/>
      <c r="L38" s="273"/>
      <c r="M38" s="273"/>
      <c r="N38" s="273"/>
      <c r="O38" s="273"/>
      <c r="P38" s="273"/>
      <c r="Q38" s="273"/>
      <c r="R38" s="273"/>
      <c r="S38" s="273"/>
      <c r="T38" s="281" t="s">
        <v>17</v>
      </c>
      <c r="U38" s="273"/>
      <c r="V38" s="273"/>
      <c r="W38" s="2193">
        <f>Datos!C48</f>
        <v>15583237.93</v>
      </c>
      <c r="X38" s="2194"/>
      <c r="Y38" s="2194"/>
      <c r="Z38" s="2194"/>
      <c r="AA38" s="2194"/>
      <c r="AB38" s="2194"/>
      <c r="AC38" s="2194"/>
      <c r="AD38" s="2194"/>
      <c r="AE38" s="2194"/>
      <c r="AF38" s="2195"/>
      <c r="AG38" s="273"/>
      <c r="AH38" s="273"/>
      <c r="AI38" s="273"/>
      <c r="AJ38" s="273"/>
      <c r="AK38" s="273"/>
      <c r="AL38" s="273"/>
      <c r="AM38" s="273"/>
    </row>
    <row r="39" spans="1:40">
      <c r="A39" s="273"/>
      <c r="B39" s="273"/>
      <c r="C39" s="275"/>
      <c r="D39" s="267"/>
      <c r="E39" s="267"/>
      <c r="F39" s="267"/>
      <c r="G39" s="267" t="s">
        <v>2309</v>
      </c>
      <c r="H39" s="267"/>
      <c r="I39" s="267"/>
      <c r="J39" s="267"/>
      <c r="K39" s="267"/>
      <c r="L39" s="273"/>
      <c r="M39" s="273"/>
      <c r="N39" s="273"/>
      <c r="O39" s="273"/>
      <c r="P39" s="273"/>
      <c r="Q39" s="273"/>
      <c r="R39" s="273"/>
      <c r="S39" s="273"/>
      <c r="T39" s="281"/>
      <c r="U39" s="273"/>
      <c r="V39" s="273"/>
      <c r="W39" s="2193">
        <f>Datos!C49</f>
        <v>651380.97219999996</v>
      </c>
      <c r="X39" s="2194"/>
      <c r="Y39" s="2194"/>
      <c r="Z39" s="2194"/>
      <c r="AA39" s="2194"/>
      <c r="AB39" s="2194"/>
      <c r="AC39" s="2194"/>
      <c r="AD39" s="2194"/>
      <c r="AE39" s="2194"/>
      <c r="AF39" s="2195"/>
      <c r="AG39" s="2192" t="s">
        <v>2481</v>
      </c>
      <c r="AH39" s="2184"/>
      <c r="AI39" s="2184"/>
      <c r="AJ39" s="2184"/>
      <c r="AK39" s="2184"/>
      <c r="AL39" s="2184"/>
      <c r="AM39" s="2184"/>
      <c r="AN39" s="2184"/>
    </row>
    <row r="40" spans="1:40">
      <c r="A40" s="273"/>
      <c r="B40" s="273"/>
      <c r="C40" s="275"/>
      <c r="D40" s="267"/>
      <c r="E40" s="267"/>
      <c r="F40" s="267"/>
      <c r="G40" s="267" t="s">
        <v>2463</v>
      </c>
      <c r="H40" s="267"/>
      <c r="I40" s="267"/>
      <c r="J40" s="267"/>
      <c r="K40" s="267"/>
      <c r="L40" s="273"/>
      <c r="M40" s="273"/>
      <c r="N40" s="273"/>
      <c r="O40" s="273"/>
      <c r="P40" s="273"/>
      <c r="Q40" s="273"/>
      <c r="R40" s="273"/>
      <c r="S40" s="273"/>
      <c r="T40" s="281"/>
      <c r="U40" s="273"/>
      <c r="V40" s="273"/>
      <c r="W40" s="2193">
        <v>458476.78</v>
      </c>
      <c r="X40" s="2194"/>
      <c r="Y40" s="2194"/>
      <c r="Z40" s="2194"/>
      <c r="AA40" s="2194"/>
      <c r="AB40" s="2194"/>
      <c r="AC40" s="2194"/>
      <c r="AD40" s="2194"/>
      <c r="AE40" s="2194"/>
      <c r="AF40" s="2195"/>
      <c r="AG40" s="2192" t="s">
        <v>2482</v>
      </c>
      <c r="AH40" s="2184"/>
      <c r="AI40" s="2184"/>
      <c r="AJ40" s="2184"/>
      <c r="AK40" s="2184"/>
      <c r="AL40" s="2184"/>
      <c r="AM40" s="2184"/>
      <c r="AN40" s="2184"/>
    </row>
    <row r="41" spans="1:40">
      <c r="A41" s="273"/>
      <c r="B41" s="273"/>
      <c r="C41" s="275"/>
      <c r="D41" s="267"/>
      <c r="E41" s="267"/>
      <c r="F41" s="267"/>
      <c r="G41" s="267" t="s">
        <v>2694</v>
      </c>
      <c r="H41" s="267"/>
      <c r="I41" s="267"/>
      <c r="J41" s="267"/>
      <c r="K41" s="267"/>
      <c r="L41" s="273"/>
      <c r="M41" s="273"/>
      <c r="N41" s="273"/>
      <c r="O41" s="273"/>
      <c r="P41" s="273"/>
      <c r="Q41" s="273"/>
      <c r="R41" s="273"/>
      <c r="S41" s="273"/>
      <c r="T41" s="281"/>
      <c r="U41" s="273"/>
      <c r="V41" s="273"/>
      <c r="W41" s="2193">
        <v>1627770.85</v>
      </c>
      <c r="X41" s="2194"/>
      <c r="Y41" s="2194"/>
      <c r="Z41" s="2194"/>
      <c r="AA41" s="2194"/>
      <c r="AB41" s="2194"/>
      <c r="AC41" s="2194"/>
      <c r="AD41" s="2194"/>
      <c r="AE41" s="2194"/>
      <c r="AF41" s="2195"/>
      <c r="AG41" s="2192" t="s">
        <v>2696</v>
      </c>
      <c r="AH41" s="2184"/>
      <c r="AI41" s="2184"/>
      <c r="AJ41" s="2184"/>
      <c r="AK41" s="2184"/>
      <c r="AL41" s="2184"/>
      <c r="AM41" s="2184"/>
      <c r="AN41" s="2184"/>
    </row>
    <row r="42" spans="1:40">
      <c r="A42" s="273"/>
      <c r="B42" s="273"/>
      <c r="C42" s="275"/>
      <c r="D42" s="267"/>
      <c r="E42" s="267"/>
      <c r="F42" s="267"/>
      <c r="G42" s="267" t="s">
        <v>3796</v>
      </c>
      <c r="H42" s="267"/>
      <c r="I42" s="267"/>
      <c r="J42" s="267"/>
      <c r="K42" s="267"/>
      <c r="L42" s="273"/>
      <c r="M42" s="273"/>
      <c r="N42" s="273"/>
      <c r="O42" s="273"/>
      <c r="P42" s="273"/>
      <c r="Q42" s="273"/>
      <c r="R42" s="273"/>
      <c r="S42" s="273"/>
      <c r="T42" s="281"/>
      <c r="U42" s="273"/>
      <c r="V42" s="273"/>
      <c r="W42" s="2193">
        <v>3595132.92</v>
      </c>
      <c r="X42" s="2194"/>
      <c r="Y42" s="2194"/>
      <c r="Z42" s="2194"/>
      <c r="AA42" s="2194"/>
      <c r="AB42" s="2194"/>
      <c r="AC42" s="2194"/>
      <c r="AD42" s="2194"/>
      <c r="AE42" s="2194"/>
      <c r="AF42" s="2195"/>
      <c r="AG42" s="2192" t="s">
        <v>3798</v>
      </c>
      <c r="AH42" s="2184"/>
      <c r="AI42" s="2184"/>
      <c r="AJ42" s="2184"/>
      <c r="AK42" s="2184"/>
      <c r="AL42" s="2184"/>
      <c r="AM42" s="2184"/>
      <c r="AN42" s="2184"/>
    </row>
    <row r="43" spans="1:40">
      <c r="A43" s="273"/>
      <c r="B43" s="273"/>
      <c r="C43" s="275"/>
      <c r="D43" s="267"/>
      <c r="E43" s="267"/>
      <c r="F43" s="267"/>
      <c r="G43" s="267" t="s">
        <v>2467</v>
      </c>
      <c r="H43" s="267"/>
      <c r="I43" s="267"/>
      <c r="J43" s="267"/>
      <c r="K43" s="267"/>
      <c r="L43" s="273"/>
      <c r="M43" s="273"/>
      <c r="N43" s="273"/>
      <c r="O43" s="273"/>
      <c r="P43" s="273"/>
      <c r="Q43" s="273"/>
      <c r="R43" s="273"/>
      <c r="S43" s="273"/>
      <c r="T43" s="281"/>
      <c r="U43" s="273"/>
      <c r="V43" s="273"/>
      <c r="W43" s="2193">
        <f>W38+W39+W40+W41+W42</f>
        <v>21915999.452200003</v>
      </c>
      <c r="X43" s="2194"/>
      <c r="Y43" s="2194"/>
      <c r="Z43" s="2194"/>
      <c r="AA43" s="2194"/>
      <c r="AB43" s="2194"/>
      <c r="AC43" s="2194"/>
      <c r="AD43" s="2194"/>
      <c r="AE43" s="2194"/>
      <c r="AF43" s="2195"/>
      <c r="AG43" s="273"/>
      <c r="AH43" s="273"/>
      <c r="AI43" s="273"/>
      <c r="AJ43" s="273"/>
      <c r="AK43" s="273"/>
      <c r="AL43" s="273"/>
      <c r="AM43" s="273"/>
    </row>
    <row r="44" spans="1:40">
      <c r="A44" s="273"/>
      <c r="B44" s="273"/>
      <c r="C44" s="275"/>
      <c r="D44" s="267"/>
      <c r="E44" s="267"/>
      <c r="F44" s="267"/>
      <c r="G44" s="267" t="s">
        <v>2788</v>
      </c>
      <c r="H44" s="267"/>
      <c r="I44" s="267"/>
      <c r="J44" s="267"/>
      <c r="K44" s="267"/>
      <c r="L44" s="273"/>
      <c r="M44" s="273"/>
      <c r="N44" s="273"/>
      <c r="O44" s="273"/>
      <c r="P44" s="273"/>
      <c r="Q44" s="273"/>
      <c r="R44" s="273"/>
      <c r="S44" s="273"/>
      <c r="T44" s="281"/>
      <c r="U44" s="273"/>
      <c r="V44" s="273"/>
      <c r="W44" s="2193">
        <v>210496</v>
      </c>
      <c r="X44" s="2194"/>
      <c r="Y44" s="2194"/>
      <c r="Z44" s="2194"/>
      <c r="AA44" s="2194"/>
      <c r="AB44" s="2194"/>
      <c r="AC44" s="2194"/>
      <c r="AD44" s="2194"/>
      <c r="AE44" s="2194"/>
      <c r="AF44" s="2195"/>
      <c r="AG44" s="273"/>
      <c r="AH44" s="273"/>
      <c r="AI44" s="273"/>
      <c r="AJ44" s="273"/>
      <c r="AK44" s="273"/>
      <c r="AL44" s="273"/>
      <c r="AM44" s="273"/>
    </row>
    <row r="45" spans="1:40">
      <c r="A45" s="273"/>
      <c r="B45" s="273"/>
      <c r="C45" s="275"/>
      <c r="D45" s="267"/>
      <c r="E45" s="267"/>
      <c r="F45" s="267"/>
      <c r="G45" s="267" t="s">
        <v>2789</v>
      </c>
      <c r="H45" s="267"/>
      <c r="I45" s="267"/>
      <c r="J45" s="267"/>
      <c r="K45" s="267"/>
      <c r="L45" s="273"/>
      <c r="M45" s="273"/>
      <c r="N45" s="273"/>
      <c r="O45" s="273"/>
      <c r="P45" s="273"/>
      <c r="Q45" s="273"/>
      <c r="R45" s="273"/>
      <c r="S45" s="273"/>
      <c r="T45" s="281"/>
      <c r="U45" s="273"/>
      <c r="V45" s="273"/>
      <c r="W45" s="2193">
        <v>9896026.3599999994</v>
      </c>
      <c r="X45" s="2194"/>
      <c r="Y45" s="2194"/>
      <c r="Z45" s="2194"/>
      <c r="AA45" s="2194"/>
      <c r="AB45" s="2194"/>
      <c r="AC45" s="2194"/>
      <c r="AD45" s="2194"/>
      <c r="AE45" s="2194"/>
      <c r="AF45" s="2195"/>
      <c r="AG45" s="273"/>
      <c r="AH45" s="273"/>
      <c r="AI45" s="273"/>
      <c r="AJ45" s="273"/>
      <c r="AK45" s="273"/>
      <c r="AL45" s="273"/>
      <c r="AM45" s="273"/>
    </row>
    <row r="46" spans="1:40">
      <c r="A46" s="273"/>
      <c r="B46" s="273"/>
      <c r="C46" s="275"/>
      <c r="D46" s="267"/>
      <c r="E46" s="1957">
        <f>W53-739863</f>
        <v>15841139.859999999</v>
      </c>
      <c r="F46" s="267"/>
      <c r="G46" s="267" t="s">
        <v>2468</v>
      </c>
      <c r="H46" s="267"/>
      <c r="I46" s="267"/>
      <c r="J46" s="267"/>
      <c r="K46" s="267"/>
      <c r="L46" s="273"/>
      <c r="M46" s="273"/>
      <c r="N46" s="273"/>
      <c r="O46" s="273"/>
      <c r="P46" s="273"/>
      <c r="Q46" s="273"/>
      <c r="R46" s="273"/>
      <c r="S46" s="273"/>
      <c r="T46" s="281" t="s">
        <v>17</v>
      </c>
      <c r="U46" s="273"/>
      <c r="V46" s="273"/>
      <c r="W46" s="2197">
        <v>6474481</v>
      </c>
      <c r="X46" s="2198">
        <v>733133.78</v>
      </c>
      <c r="Y46" s="2198">
        <v>733133.78</v>
      </c>
      <c r="Z46" s="2198">
        <v>733133.78</v>
      </c>
      <c r="AA46" s="2198"/>
      <c r="AB46" s="2198">
        <v>733133.78</v>
      </c>
      <c r="AC46" s="2198">
        <v>733133.78</v>
      </c>
      <c r="AD46" s="2198">
        <v>733133.78</v>
      </c>
      <c r="AE46" s="2198">
        <v>733133.78</v>
      </c>
      <c r="AF46" s="2199">
        <v>733133.78</v>
      </c>
      <c r="AG46" s="273"/>
      <c r="AH46" s="273"/>
      <c r="AI46" s="273"/>
      <c r="AJ46" s="273"/>
      <c r="AK46" s="273"/>
      <c r="AL46" s="273"/>
      <c r="AM46" s="273"/>
    </row>
    <row r="47" spans="1:40">
      <c r="A47" s="273"/>
      <c r="B47" s="273"/>
      <c r="C47" s="275"/>
      <c r="D47" s="267"/>
      <c r="E47" s="267">
        <v>16922907.73</v>
      </c>
      <c r="F47" s="267"/>
      <c r="G47" s="267" t="s">
        <v>77</v>
      </c>
      <c r="H47" s="267"/>
      <c r="I47" s="267"/>
      <c r="J47" s="267"/>
      <c r="K47" s="267"/>
      <c r="L47" s="273"/>
      <c r="M47" s="273"/>
      <c r="N47" s="273"/>
      <c r="O47" s="273"/>
      <c r="P47" s="273"/>
      <c r="Q47" s="273"/>
      <c r="R47" s="273"/>
      <c r="S47" s="273"/>
      <c r="T47" s="281"/>
      <c r="U47" s="273"/>
      <c r="V47" s="273"/>
      <c r="W47" s="268"/>
      <c r="X47" s="273"/>
      <c r="Y47" s="273"/>
      <c r="Z47" s="273"/>
      <c r="AA47" s="273"/>
      <c r="AB47" s="273"/>
      <c r="AC47" s="273"/>
      <c r="AD47" s="273"/>
      <c r="AE47" s="273"/>
      <c r="AF47" s="273"/>
      <c r="AG47" s="273"/>
      <c r="AH47" s="273"/>
      <c r="AI47" s="273"/>
      <c r="AJ47" s="273"/>
      <c r="AK47" s="273"/>
      <c r="AL47" s="273"/>
      <c r="AM47" s="273"/>
    </row>
    <row r="48" spans="1:40">
      <c r="A48" s="273"/>
      <c r="B48" s="273"/>
      <c r="C48" s="275"/>
      <c r="D48" s="267"/>
      <c r="E48" s="1957">
        <f>E47-E46</f>
        <v>1081767.870000001</v>
      </c>
      <c r="F48" s="267"/>
      <c r="G48" s="1556" t="s">
        <v>2717</v>
      </c>
      <c r="H48" s="267" t="s">
        <v>2716</v>
      </c>
      <c r="I48" s="267"/>
      <c r="J48" s="267"/>
      <c r="K48" s="267"/>
      <c r="L48" s="273"/>
      <c r="M48" s="273"/>
      <c r="N48" s="273"/>
      <c r="O48" s="273"/>
      <c r="P48" s="273"/>
      <c r="Q48" s="273"/>
      <c r="R48" s="273"/>
      <c r="S48" s="273"/>
      <c r="T48" s="281"/>
      <c r="U48" s="273"/>
      <c r="V48" s="273"/>
      <c r="W48" s="2193">
        <v>900000</v>
      </c>
      <c r="X48" s="2194">
        <v>733133.78</v>
      </c>
      <c r="Y48" s="2194">
        <v>733133.78</v>
      </c>
      <c r="Z48" s="2194">
        <v>733133.78</v>
      </c>
      <c r="AA48" s="2194"/>
      <c r="AB48" s="2194">
        <v>733133.78</v>
      </c>
      <c r="AC48" s="2194">
        <v>733133.78</v>
      </c>
      <c r="AD48" s="2194">
        <v>733133.78</v>
      </c>
      <c r="AE48" s="2194">
        <v>733133.78</v>
      </c>
      <c r="AF48" s="2195">
        <v>733133.78</v>
      </c>
      <c r="AG48" s="273"/>
      <c r="AH48" s="273"/>
      <c r="AI48" s="273"/>
      <c r="AJ48" s="273"/>
      <c r="AK48" s="273"/>
      <c r="AL48" s="273"/>
      <c r="AM48" s="273"/>
    </row>
    <row r="49" spans="1:39">
      <c r="A49" s="273"/>
      <c r="B49" s="273"/>
      <c r="C49" s="275"/>
      <c r="D49" s="267"/>
      <c r="E49" s="267"/>
      <c r="F49" s="267"/>
      <c r="G49" s="267" t="str">
        <f>Datos!A53</f>
        <v>04</v>
      </c>
      <c r="H49" s="267" t="str">
        <f>Datos!B53</f>
        <v>Contribución a Fondos</v>
      </c>
      <c r="I49" s="267"/>
      <c r="J49" s="267"/>
      <c r="K49" s="267"/>
      <c r="L49" s="273"/>
      <c r="M49" s="273"/>
      <c r="N49" s="273"/>
      <c r="O49" s="273"/>
      <c r="P49" s="273"/>
      <c r="Q49" s="273"/>
      <c r="R49" s="273"/>
      <c r="S49" s="273"/>
      <c r="T49" s="281" t="s">
        <v>17</v>
      </c>
      <c r="U49" s="273"/>
      <c r="V49" s="273"/>
      <c r="W49" s="2193">
        <f>Datos!E53</f>
        <v>0</v>
      </c>
      <c r="X49" s="2194"/>
      <c r="Y49" s="2194"/>
      <c r="Z49" s="2194"/>
      <c r="AA49" s="2194"/>
      <c r="AB49" s="2194"/>
      <c r="AC49" s="2194"/>
      <c r="AD49" s="2194"/>
      <c r="AE49" s="2194"/>
      <c r="AF49" s="2195"/>
      <c r="AG49" s="273"/>
      <c r="AH49" s="273"/>
      <c r="AI49" s="273"/>
      <c r="AJ49" s="273"/>
      <c r="AK49" s="273"/>
      <c r="AL49" s="273"/>
      <c r="AM49" s="273"/>
    </row>
    <row r="50" spans="1:39">
      <c r="A50" s="273"/>
      <c r="B50" s="273"/>
      <c r="C50" s="275"/>
      <c r="D50" s="267"/>
      <c r="E50" s="267"/>
      <c r="F50" s="267"/>
      <c r="G50" s="267" t="str">
        <f>Datos!A54</f>
        <v>07</v>
      </c>
      <c r="H50" s="267" t="str">
        <f>Datos!B54</f>
        <v>Fondos de Compensación Municipal</v>
      </c>
      <c r="I50" s="267"/>
      <c r="J50" s="267"/>
      <c r="K50" s="267"/>
      <c r="L50" s="273"/>
      <c r="M50" s="273"/>
      <c r="N50" s="273"/>
      <c r="O50" s="273"/>
      <c r="P50" s="273"/>
      <c r="Q50" s="273"/>
      <c r="R50" s="273"/>
      <c r="S50" s="273"/>
      <c r="T50" s="281" t="s">
        <v>17</v>
      </c>
      <c r="U50" s="273"/>
      <c r="V50" s="273"/>
      <c r="W50" s="2193">
        <f>Datos!E54</f>
        <v>0</v>
      </c>
      <c r="X50" s="2194"/>
      <c r="Y50" s="2194"/>
      <c r="Z50" s="2194"/>
      <c r="AA50" s="2194"/>
      <c r="AB50" s="2194"/>
      <c r="AC50" s="2194"/>
      <c r="AD50" s="2194"/>
      <c r="AE50" s="2194"/>
      <c r="AF50" s="2195"/>
      <c r="AG50" s="273"/>
      <c r="AH50" s="273"/>
      <c r="AI50" s="273"/>
      <c r="AJ50" s="273"/>
      <c r="AK50" s="273"/>
      <c r="AL50" s="273"/>
      <c r="AM50" s="273"/>
    </row>
    <row r="51" spans="1:39">
      <c r="A51" s="273"/>
      <c r="B51" s="273"/>
      <c r="C51" s="275"/>
      <c r="D51" s="267"/>
      <c r="E51" s="267"/>
      <c r="F51" s="267"/>
      <c r="G51" s="267" t="str">
        <f>Datos!A55</f>
        <v>08</v>
      </c>
      <c r="H51" s="267" t="str">
        <f>Datos!B55</f>
        <v>Impuestos Municipales</v>
      </c>
      <c r="I51" s="267"/>
      <c r="J51" s="267"/>
      <c r="K51" s="267"/>
      <c r="L51" s="273"/>
      <c r="M51" s="273"/>
      <c r="N51" s="273"/>
      <c r="O51" s="273"/>
      <c r="P51" s="273"/>
      <c r="Q51" s="273"/>
      <c r="R51" s="273"/>
      <c r="S51" s="273"/>
      <c r="T51" s="281" t="s">
        <v>17</v>
      </c>
      <c r="U51" s="273"/>
      <c r="V51" s="273"/>
      <c r="W51" s="2193">
        <v>1400000</v>
      </c>
      <c r="X51" s="2194"/>
      <c r="Y51" s="2194"/>
      <c r="Z51" s="2194"/>
      <c r="AA51" s="2194"/>
      <c r="AB51" s="2194"/>
      <c r="AC51" s="2194"/>
      <c r="AD51" s="2194"/>
      <c r="AE51" s="2194"/>
      <c r="AF51" s="2195"/>
      <c r="AG51" s="273"/>
      <c r="AH51" s="273"/>
      <c r="AI51" s="273"/>
      <c r="AJ51" s="273"/>
      <c r="AK51" s="273"/>
      <c r="AL51" s="273"/>
      <c r="AM51" s="273"/>
    </row>
    <row r="52" spans="1:39">
      <c r="A52" s="273"/>
      <c r="B52" s="273"/>
      <c r="C52" s="275"/>
      <c r="D52" s="267"/>
      <c r="E52" s="267"/>
      <c r="F52" s="267"/>
      <c r="G52" s="267" t="str">
        <f>Datos!A56</f>
        <v>18</v>
      </c>
      <c r="H52" s="267" t="str">
        <f>Datos!B56</f>
        <v>Canon y Sobrecanon, Regalías, Renta de Aduanas y Participaciones</v>
      </c>
      <c r="I52" s="267"/>
      <c r="J52" s="267"/>
      <c r="K52" s="267"/>
      <c r="L52" s="273"/>
      <c r="M52" s="273"/>
      <c r="N52" s="273"/>
      <c r="O52" s="273"/>
      <c r="P52" s="273"/>
      <c r="Q52" s="273"/>
      <c r="R52" s="273"/>
      <c r="S52" s="273"/>
      <c r="T52" s="281" t="s">
        <v>17</v>
      </c>
      <c r="U52" s="273"/>
      <c r="V52" s="273"/>
      <c r="W52" s="2193">
        <v>14281002.859999999</v>
      </c>
      <c r="X52" s="2194"/>
      <c r="Y52" s="2194"/>
      <c r="Z52" s="2194"/>
      <c r="AA52" s="2194"/>
      <c r="AB52" s="2194"/>
      <c r="AC52" s="2194"/>
      <c r="AD52" s="2194"/>
      <c r="AE52" s="2194"/>
      <c r="AF52" s="2195"/>
      <c r="AG52" s="273"/>
      <c r="AH52" s="273"/>
      <c r="AI52" s="273"/>
      <c r="AJ52" s="273"/>
      <c r="AK52" s="273"/>
      <c r="AL52" s="273"/>
      <c r="AM52" s="273"/>
    </row>
    <row r="53" spans="1:39">
      <c r="A53" s="273"/>
      <c r="B53" s="273"/>
      <c r="C53" s="275"/>
      <c r="D53" s="267"/>
      <c r="E53" s="267"/>
      <c r="F53" s="267"/>
      <c r="G53" s="267"/>
      <c r="H53" s="267"/>
      <c r="I53" s="267"/>
      <c r="J53" s="267"/>
      <c r="K53" s="267"/>
      <c r="L53" s="273"/>
      <c r="M53" s="273"/>
      <c r="N53" s="273" t="s">
        <v>10</v>
      </c>
      <c r="O53" s="273"/>
      <c r="P53" s="273"/>
      <c r="Q53" s="273"/>
      <c r="R53" s="273"/>
      <c r="S53" s="273"/>
      <c r="T53" s="273"/>
      <c r="U53" s="273"/>
      <c r="V53" s="273"/>
      <c r="W53" s="2203">
        <f>W52+W51+W48</f>
        <v>16581002.859999999</v>
      </c>
      <c r="X53" s="2204"/>
      <c r="Y53" s="2204"/>
      <c r="Z53" s="2204"/>
      <c r="AA53" s="2204"/>
      <c r="AB53" s="2204"/>
      <c r="AC53" s="2204"/>
      <c r="AD53" s="2204"/>
      <c r="AE53" s="2204"/>
      <c r="AF53" s="2205"/>
      <c r="AG53" s="273"/>
      <c r="AH53" s="273"/>
      <c r="AI53" s="273"/>
      <c r="AJ53" s="273"/>
      <c r="AK53" s="273"/>
      <c r="AL53" s="273"/>
      <c r="AM53" s="273"/>
    </row>
    <row r="54" spans="1:39" ht="15.75">
      <c r="A54" s="273"/>
      <c r="B54" s="274" t="s">
        <v>79</v>
      </c>
      <c r="C54" s="285"/>
      <c r="D54" s="285"/>
      <c r="E54" s="285"/>
      <c r="F54" s="285"/>
      <c r="G54" s="285"/>
      <c r="H54" s="285"/>
      <c r="I54" s="285"/>
      <c r="J54" s="285"/>
      <c r="K54" s="285"/>
      <c r="L54" s="285"/>
      <c r="M54" s="285"/>
      <c r="N54" s="285"/>
      <c r="O54" s="285"/>
      <c r="P54" s="285"/>
      <c r="Q54" s="285"/>
      <c r="R54" s="285"/>
      <c r="S54" s="285"/>
      <c r="T54" s="285"/>
      <c r="U54" s="285"/>
      <c r="V54" s="285"/>
      <c r="W54" s="273"/>
      <c r="X54" s="273"/>
      <c r="Y54" s="273"/>
      <c r="Z54" s="273"/>
      <c r="AA54" s="273"/>
      <c r="AB54" s="273"/>
      <c r="AC54" s="273"/>
      <c r="AD54" s="273"/>
      <c r="AE54" s="273"/>
      <c r="AF54" s="273"/>
      <c r="AG54" s="273"/>
      <c r="AH54" s="273"/>
      <c r="AI54" s="273"/>
      <c r="AJ54" s="273"/>
      <c r="AK54" s="273"/>
      <c r="AL54" s="273"/>
      <c r="AM54" s="273"/>
    </row>
    <row r="55" spans="1:39" ht="15.75">
      <c r="A55" s="273"/>
      <c r="B55" s="274"/>
      <c r="C55" s="276" t="s">
        <v>80</v>
      </c>
      <c r="D55" s="275"/>
      <c r="E55" s="267"/>
      <c r="F55" s="267"/>
      <c r="G55" s="267"/>
      <c r="H55" s="267"/>
      <c r="I55" s="267"/>
      <c r="J55" s="267"/>
      <c r="K55" s="267"/>
      <c r="L55" s="267"/>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row>
    <row r="56" spans="1:39" ht="15.75">
      <c r="A56" s="273"/>
      <c r="B56" s="274"/>
      <c r="C56" s="285"/>
      <c r="D56" s="275"/>
      <c r="E56" s="267"/>
      <c r="F56" s="273"/>
      <c r="G56" s="275"/>
      <c r="H56" s="267"/>
      <c r="I56" s="267"/>
      <c r="J56" s="267"/>
      <c r="K56" s="267"/>
      <c r="L56" s="267"/>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row>
    <row r="57" spans="1:39" ht="30" customHeight="1">
      <c r="A57" s="273"/>
      <c r="B57" s="274"/>
      <c r="C57" s="2200" t="s">
        <v>81</v>
      </c>
      <c r="D57" s="2200"/>
      <c r="E57" s="2200"/>
      <c r="F57" s="2200"/>
      <c r="G57" s="2200"/>
      <c r="H57" s="2200"/>
      <c r="I57" s="2200"/>
      <c r="J57" s="2200"/>
      <c r="K57" s="2200" t="s">
        <v>1127</v>
      </c>
      <c r="L57" s="2200"/>
      <c r="M57" s="2200"/>
      <c r="N57" s="2200"/>
      <c r="O57" s="2200"/>
      <c r="P57" s="2200"/>
      <c r="Q57" s="2200"/>
      <c r="R57" s="2200"/>
      <c r="S57" s="2200"/>
      <c r="T57" s="2200" t="s">
        <v>2469</v>
      </c>
      <c r="U57" s="2200"/>
      <c r="V57" s="2200"/>
      <c r="W57" s="2200"/>
      <c r="X57" s="2200"/>
      <c r="Y57" s="2200"/>
      <c r="Z57" s="2200"/>
      <c r="AA57" s="2200"/>
      <c r="AB57" s="2200"/>
      <c r="AC57" s="2200" t="s">
        <v>82</v>
      </c>
      <c r="AD57" s="2200"/>
      <c r="AE57" s="2200"/>
      <c r="AF57" s="2200"/>
      <c r="AG57" s="2200"/>
      <c r="AH57" s="2200"/>
      <c r="AI57" s="2200"/>
      <c r="AJ57" s="2200" t="s">
        <v>2701</v>
      </c>
      <c r="AK57" s="2200"/>
      <c r="AL57" s="2200"/>
    </row>
    <row r="58" spans="1:39" ht="15.75">
      <c r="A58" s="273"/>
      <c r="B58" s="274"/>
      <c r="C58" s="2218">
        <f>Datos!C86</f>
        <v>44585</v>
      </c>
      <c r="D58" s="2218"/>
      <c r="E58" s="2218"/>
      <c r="F58" s="2218"/>
      <c r="G58" s="2218"/>
      <c r="H58" s="2218"/>
      <c r="I58" s="2218"/>
      <c r="J58" s="2218"/>
      <c r="K58" s="2218">
        <f>Datos!C87</f>
        <v>44585</v>
      </c>
      <c r="L58" s="2218"/>
      <c r="M58" s="2218"/>
      <c r="N58" s="2218"/>
      <c r="O58" s="2218"/>
      <c r="P58" s="2218"/>
      <c r="Q58" s="2218"/>
      <c r="R58" s="2218"/>
      <c r="S58" s="2218"/>
      <c r="T58" s="2218">
        <v>44970</v>
      </c>
      <c r="U58" s="2218"/>
      <c r="V58" s="2218"/>
      <c r="W58" s="2218"/>
      <c r="X58" s="2218"/>
      <c r="Y58" s="2218"/>
      <c r="Z58" s="2218"/>
      <c r="AA58" s="2218"/>
      <c r="AB58" s="2218"/>
      <c r="AC58" s="2218">
        <v>45009</v>
      </c>
      <c r="AD58" s="2218"/>
      <c r="AE58" s="2218"/>
      <c r="AF58" s="2218"/>
      <c r="AG58" s="2218"/>
      <c r="AH58" s="2218"/>
      <c r="AI58" s="2218"/>
      <c r="AJ58" s="2218">
        <v>45291</v>
      </c>
      <c r="AK58" s="2218"/>
      <c r="AL58" s="2218"/>
    </row>
    <row r="59" spans="1:39" ht="15.75">
      <c r="A59" s="273"/>
      <c r="B59" s="274"/>
      <c r="C59" s="285"/>
      <c r="D59" s="273"/>
      <c r="E59" s="267"/>
      <c r="F59" s="273"/>
      <c r="G59" s="273"/>
      <c r="H59" s="273"/>
      <c r="I59" s="273"/>
      <c r="J59" s="273"/>
      <c r="K59" s="273"/>
      <c r="L59" s="273"/>
      <c r="M59" s="273"/>
      <c r="N59" s="273"/>
      <c r="O59" s="273"/>
      <c r="P59" s="273"/>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row>
    <row r="60" spans="1:39" ht="18" customHeight="1">
      <c r="A60" s="273"/>
      <c r="B60" s="274"/>
      <c r="C60" s="285"/>
      <c r="D60" s="275"/>
      <c r="E60" s="267"/>
      <c r="F60" s="273"/>
      <c r="G60" s="273"/>
      <c r="H60" s="2200" t="s">
        <v>83</v>
      </c>
      <c r="I60" s="2200"/>
      <c r="J60" s="2200"/>
      <c r="K60" s="2200"/>
      <c r="L60" s="2200"/>
      <c r="M60" s="2200"/>
      <c r="N60" s="2200"/>
      <c r="O60" s="2200"/>
      <c r="P60" s="2200"/>
      <c r="Q60" s="2200"/>
      <c r="R60" s="2200"/>
      <c r="S60" s="2200"/>
      <c r="T60" s="2200"/>
      <c r="U60" s="2200"/>
      <c r="V60" s="2200"/>
      <c r="W60" s="2201">
        <f>Datos!C85</f>
        <v>707</v>
      </c>
      <c r="X60" s="2201"/>
      <c r="Y60" s="2201"/>
      <c r="Z60" s="268" t="s">
        <v>517</v>
      </c>
      <c r="AA60" s="268"/>
      <c r="AB60" s="286"/>
      <c r="AC60" s="273"/>
      <c r="AD60" s="273"/>
      <c r="AE60" s="273"/>
      <c r="AF60" s="273"/>
      <c r="AG60" s="273"/>
      <c r="AH60" s="273"/>
      <c r="AI60" s="273"/>
      <c r="AJ60" s="273"/>
      <c r="AK60" s="273"/>
      <c r="AL60" s="273"/>
      <c r="AM60" s="273"/>
    </row>
    <row r="61" spans="1:39" ht="18" customHeight="1">
      <c r="A61" s="273"/>
      <c r="B61" s="274"/>
      <c r="C61" s="285"/>
      <c r="D61" s="275"/>
      <c r="E61" s="267"/>
      <c r="F61" s="273"/>
      <c r="G61" s="273"/>
      <c r="H61" s="1526"/>
      <c r="I61" s="1526"/>
      <c r="J61" s="1526"/>
      <c r="K61" s="1526"/>
      <c r="L61" s="1526"/>
      <c r="M61" s="1526"/>
      <c r="N61" s="1526"/>
      <c r="O61" s="1526"/>
      <c r="P61" s="1526"/>
      <c r="Q61" s="1526"/>
      <c r="R61" s="1526"/>
      <c r="S61" s="1526"/>
      <c r="T61" s="1526"/>
      <c r="U61" s="1526"/>
      <c r="V61" s="1526"/>
      <c r="W61" s="273"/>
      <c r="X61" s="273"/>
      <c r="Y61" s="273"/>
      <c r="Z61" s="268"/>
      <c r="AA61" s="268"/>
      <c r="AB61" s="286"/>
      <c r="AC61" s="273"/>
      <c r="AD61" s="273"/>
      <c r="AE61" s="273"/>
      <c r="AF61" s="273"/>
      <c r="AG61" s="273"/>
      <c r="AH61" s="273"/>
      <c r="AI61" s="273"/>
      <c r="AJ61" s="273"/>
      <c r="AK61" s="273"/>
      <c r="AL61" s="273"/>
      <c r="AM61" s="273"/>
    </row>
    <row r="62" spans="1:39" ht="18" customHeight="1">
      <c r="A62" s="273"/>
      <c r="B62" s="274"/>
      <c r="C62" s="285"/>
      <c r="D62" s="275"/>
      <c r="E62" s="267"/>
      <c r="F62" s="273"/>
      <c r="G62" s="273"/>
      <c r="H62" s="2200" t="s">
        <v>2702</v>
      </c>
      <c r="I62" s="2200"/>
      <c r="J62" s="2200"/>
      <c r="K62" s="2200"/>
      <c r="L62" s="2200"/>
      <c r="M62" s="2200"/>
      <c r="N62" s="2200"/>
      <c r="O62" s="2200"/>
      <c r="P62" s="2200"/>
      <c r="Q62" s="2200"/>
      <c r="R62" s="2200"/>
      <c r="S62" s="2200"/>
      <c r="T62" s="2200"/>
      <c r="U62" s="2200"/>
      <c r="V62" s="2200"/>
      <c r="W62" s="2201">
        <v>190</v>
      </c>
      <c r="X62" s="2201"/>
      <c r="Y62" s="2201"/>
      <c r="Z62" s="268" t="s">
        <v>2706</v>
      </c>
      <c r="AA62" s="268"/>
      <c r="AB62" s="1527" t="s">
        <v>84</v>
      </c>
      <c r="AC62" s="2202" t="s">
        <v>2703</v>
      </c>
      <c r="AD62" s="2202"/>
      <c r="AE62" s="2202"/>
      <c r="AF62" s="2202"/>
      <c r="AG62" s="2202"/>
      <c r="AH62" s="2202"/>
      <c r="AI62" s="273"/>
      <c r="AJ62" s="273"/>
      <c r="AK62" s="273"/>
      <c r="AL62" s="273"/>
      <c r="AM62" s="273"/>
    </row>
    <row r="63" spans="1:39" ht="18" customHeight="1">
      <c r="A63" s="273"/>
      <c r="B63" s="274"/>
      <c r="C63" s="285"/>
      <c r="D63" s="275"/>
      <c r="E63" s="267"/>
      <c r="F63" s="273"/>
      <c r="G63" s="273"/>
      <c r="H63" s="286"/>
      <c r="I63" s="286"/>
      <c r="J63" s="286"/>
      <c r="K63" s="286"/>
      <c r="L63" s="286"/>
      <c r="M63" s="286"/>
      <c r="N63" s="286"/>
      <c r="O63" s="286"/>
      <c r="P63" s="286"/>
      <c r="Q63" s="286"/>
      <c r="R63" s="286"/>
      <c r="S63" s="286"/>
      <c r="T63" s="286"/>
      <c r="U63" s="286"/>
      <c r="V63" s="286"/>
      <c r="W63" s="273"/>
      <c r="X63" s="273"/>
      <c r="Y63" s="273"/>
      <c r="Z63" s="268"/>
      <c r="AA63" s="268"/>
      <c r="AB63" s="280"/>
      <c r="AC63" s="1870"/>
      <c r="AD63" s="1870"/>
      <c r="AE63" s="1870"/>
      <c r="AF63" s="1870"/>
      <c r="AG63" s="1870"/>
      <c r="AH63" s="1870"/>
      <c r="AI63" s="273"/>
      <c r="AJ63" s="273"/>
      <c r="AK63" s="273"/>
      <c r="AL63" s="273"/>
      <c r="AM63" s="273"/>
    </row>
    <row r="64" spans="1:39" ht="18" customHeight="1">
      <c r="A64" s="273"/>
      <c r="B64" s="274"/>
      <c r="C64" s="285"/>
      <c r="D64" s="275"/>
      <c r="E64" s="267"/>
      <c r="F64" s="273"/>
      <c r="G64" s="273"/>
      <c r="H64" s="2200" t="s">
        <v>4255</v>
      </c>
      <c r="I64" s="2200"/>
      <c r="J64" s="2200"/>
      <c r="K64" s="2200"/>
      <c r="L64" s="2200"/>
      <c r="M64" s="2200"/>
      <c r="N64" s="2200"/>
      <c r="O64" s="2200"/>
      <c r="P64" s="2200"/>
      <c r="Q64" s="2200"/>
      <c r="R64" s="2200"/>
      <c r="S64" s="2200"/>
      <c r="T64" s="2200"/>
      <c r="U64" s="2200"/>
      <c r="V64" s="2200"/>
      <c r="W64" s="2201">
        <v>92</v>
      </c>
      <c r="X64" s="2201"/>
      <c r="Y64" s="2201"/>
      <c r="Z64" s="268" t="s">
        <v>4256</v>
      </c>
      <c r="AA64" s="268"/>
      <c r="AB64" s="1527" t="s">
        <v>84</v>
      </c>
      <c r="AC64" s="2202" t="s">
        <v>4257</v>
      </c>
      <c r="AD64" s="2202"/>
      <c r="AE64" s="2202"/>
      <c r="AF64" s="2202"/>
      <c r="AG64" s="2202"/>
      <c r="AH64" s="2202"/>
      <c r="AI64" s="273"/>
      <c r="AJ64" s="273"/>
      <c r="AK64" s="273"/>
      <c r="AL64" s="273"/>
      <c r="AM64" s="273"/>
    </row>
    <row r="65" spans="1:39" ht="18" customHeight="1">
      <c r="A65" s="273"/>
      <c r="B65" s="274"/>
      <c r="C65" s="285"/>
      <c r="D65" s="275"/>
      <c r="E65" s="267"/>
      <c r="F65" s="273"/>
      <c r="G65" s="273"/>
      <c r="H65" s="1526"/>
      <c r="I65" s="1526"/>
      <c r="J65" s="1526"/>
      <c r="K65" s="1526"/>
      <c r="L65" s="1526"/>
      <c r="M65" s="1526"/>
      <c r="N65" s="1526"/>
      <c r="O65" s="1526"/>
      <c r="P65" s="1526"/>
      <c r="Q65" s="1526"/>
      <c r="R65" s="1526"/>
      <c r="S65" s="1526"/>
      <c r="T65" s="1526"/>
      <c r="U65" s="1526"/>
      <c r="V65" s="1526"/>
      <c r="W65" s="273"/>
      <c r="X65" s="273"/>
      <c r="Y65" s="273"/>
      <c r="Z65" s="268"/>
      <c r="AA65" s="268"/>
      <c r="AB65" s="286"/>
      <c r="AC65" s="273"/>
      <c r="AD65" s="273"/>
      <c r="AE65" s="273"/>
      <c r="AF65" s="273"/>
      <c r="AG65" s="273"/>
      <c r="AH65" s="273"/>
      <c r="AI65" s="273"/>
      <c r="AJ65" s="273"/>
      <c r="AK65" s="273"/>
      <c r="AL65" s="273"/>
      <c r="AM65" s="273"/>
    </row>
    <row r="66" spans="1:39" ht="18" customHeight="1">
      <c r="A66" s="273"/>
      <c r="B66" s="274"/>
      <c r="C66" s="285"/>
      <c r="D66" s="275"/>
      <c r="E66" s="267"/>
      <c r="F66" s="273"/>
      <c r="G66" s="273"/>
      <c r="H66" s="2200" t="s">
        <v>2704</v>
      </c>
      <c r="I66" s="2200"/>
      <c r="J66" s="2200"/>
      <c r="K66" s="2200"/>
      <c r="L66" s="2200"/>
      <c r="M66" s="2200"/>
      <c r="N66" s="2200"/>
      <c r="O66" s="2200"/>
      <c r="P66" s="2200"/>
      <c r="Q66" s="2200"/>
      <c r="R66" s="2200"/>
      <c r="S66" s="2200"/>
      <c r="T66" s="2200"/>
      <c r="U66" s="2200"/>
      <c r="V66" s="2200"/>
      <c r="W66" s="2219">
        <v>707</v>
      </c>
      <c r="X66" s="2219"/>
      <c r="Y66" s="2219"/>
      <c r="Z66" s="268"/>
      <c r="AA66" s="268"/>
      <c r="AB66" s="286"/>
      <c r="AC66" s="273"/>
      <c r="AD66" s="273"/>
      <c r="AE66" s="273"/>
      <c r="AF66" s="273"/>
      <c r="AG66" s="273"/>
      <c r="AH66" s="273"/>
      <c r="AI66" s="273"/>
      <c r="AJ66" s="273"/>
      <c r="AK66" s="273"/>
      <c r="AL66" s="273"/>
      <c r="AM66" s="273"/>
    </row>
    <row r="67" spans="1:39" ht="15.75">
      <c r="A67" s="273"/>
      <c r="B67" s="274"/>
      <c r="C67" s="285"/>
      <c r="D67" s="275"/>
      <c r="E67" s="267"/>
      <c r="F67" s="267"/>
      <c r="G67" s="267"/>
      <c r="H67" s="267"/>
      <c r="I67" s="267"/>
      <c r="J67" s="267"/>
      <c r="K67" s="267"/>
      <c r="L67" s="267"/>
      <c r="M67" s="267"/>
      <c r="N67" s="267"/>
      <c r="O67" s="267"/>
      <c r="P67" s="267"/>
      <c r="Q67" s="267"/>
      <c r="R67" s="267"/>
      <c r="S67" s="267"/>
      <c r="T67" s="267"/>
      <c r="U67" s="267"/>
      <c r="V67" s="267"/>
      <c r="W67" s="1882"/>
      <c r="X67" s="1882"/>
      <c r="Y67" s="1882"/>
      <c r="Z67" s="273"/>
      <c r="AA67" s="273"/>
      <c r="AB67" s="273"/>
      <c r="AC67" s="273"/>
      <c r="AD67" s="273"/>
      <c r="AE67" s="273"/>
      <c r="AF67" s="273"/>
      <c r="AG67" s="273"/>
      <c r="AH67" s="273"/>
      <c r="AI67" s="273"/>
      <c r="AJ67" s="273"/>
      <c r="AK67" s="273"/>
      <c r="AL67" s="273"/>
      <c r="AM67" s="273"/>
    </row>
    <row r="68" spans="1:39" ht="18" customHeight="1">
      <c r="A68" s="273"/>
      <c r="B68" s="274"/>
      <c r="C68" s="285"/>
      <c r="D68" s="280"/>
      <c r="E68" s="280"/>
      <c r="F68" s="280"/>
      <c r="G68" s="280"/>
      <c r="H68" s="2200" t="s">
        <v>2705</v>
      </c>
      <c r="I68" s="2200"/>
      <c r="J68" s="2200"/>
      <c r="K68" s="2200"/>
      <c r="L68" s="2200"/>
      <c r="M68" s="2200"/>
      <c r="N68" s="2200"/>
      <c r="O68" s="2200"/>
      <c r="P68" s="2200"/>
      <c r="Q68" s="2200"/>
      <c r="R68" s="2200"/>
      <c r="S68" s="2200"/>
      <c r="T68" s="2200"/>
      <c r="U68" s="2200"/>
      <c r="V68" s="2200"/>
      <c r="W68" s="2219">
        <f>W66</f>
        <v>707</v>
      </c>
      <c r="X68" s="2219"/>
      <c r="Y68" s="2219"/>
      <c r="Z68" s="280"/>
      <c r="AA68" s="280"/>
      <c r="AI68" s="280"/>
      <c r="AJ68" s="280"/>
      <c r="AK68" s="280"/>
      <c r="AL68" s="280"/>
      <c r="AM68" s="280"/>
    </row>
    <row r="69" spans="1:39" ht="15.75">
      <c r="A69" s="273"/>
      <c r="B69" s="274"/>
      <c r="C69" s="285"/>
      <c r="D69" s="280"/>
      <c r="E69" s="280"/>
      <c r="F69" s="280"/>
      <c r="G69" s="280"/>
      <c r="H69" s="280"/>
      <c r="I69" s="280"/>
      <c r="J69" s="280"/>
      <c r="K69" s="280"/>
      <c r="L69" s="280"/>
      <c r="M69" s="280"/>
      <c r="N69" s="280"/>
      <c r="O69" s="280"/>
      <c r="P69" s="280"/>
      <c r="Q69" s="280"/>
      <c r="R69" s="280"/>
      <c r="S69" s="280"/>
      <c r="T69" s="280"/>
      <c r="U69" s="280"/>
      <c r="V69" s="280"/>
      <c r="W69" s="273"/>
      <c r="X69" s="273"/>
      <c r="Y69" s="273"/>
      <c r="Z69" s="280"/>
      <c r="AA69" s="280"/>
      <c r="AB69" s="280"/>
      <c r="AC69" s="280"/>
      <c r="AD69" s="280"/>
      <c r="AE69" s="280"/>
      <c r="AF69" s="280"/>
      <c r="AG69" s="280"/>
      <c r="AH69" s="280"/>
      <c r="AI69" s="280"/>
      <c r="AJ69" s="280"/>
      <c r="AK69" s="280"/>
      <c r="AL69" s="280"/>
      <c r="AM69" s="280"/>
    </row>
    <row r="70" spans="1:39" ht="15.75">
      <c r="A70" s="273"/>
      <c r="B70" s="274" t="s">
        <v>1106</v>
      </c>
      <c r="C70" s="285"/>
      <c r="D70" s="280"/>
      <c r="E70" s="280"/>
      <c r="F70" s="280"/>
      <c r="G70" s="280"/>
      <c r="H70" s="280"/>
      <c r="I70" s="280"/>
      <c r="J70" s="287"/>
      <c r="K70" s="287"/>
      <c r="L70" s="287"/>
      <c r="M70" s="287"/>
      <c r="N70" s="287"/>
      <c r="O70" s="287"/>
      <c r="P70" s="287"/>
      <c r="Q70" s="287"/>
      <c r="R70" s="287"/>
      <c r="S70" s="287"/>
      <c r="T70" s="287"/>
      <c r="U70" s="287"/>
      <c r="V70" s="287"/>
      <c r="W70" s="273"/>
      <c r="X70" s="273"/>
      <c r="Y70" s="273"/>
      <c r="Z70" s="280"/>
      <c r="AA70" s="280"/>
      <c r="AB70" s="280"/>
      <c r="AC70" s="280"/>
      <c r="AD70" s="280"/>
      <c r="AE70" s="280"/>
      <c r="AF70" s="280"/>
      <c r="AG70" s="280"/>
      <c r="AH70" s="280"/>
      <c r="AI70" s="280"/>
      <c r="AJ70" s="280"/>
      <c r="AK70" s="280"/>
      <c r="AL70" s="280"/>
      <c r="AM70" s="280"/>
    </row>
    <row r="71" spans="1:39" ht="15.75">
      <c r="A71" s="273"/>
      <c r="B71" s="285"/>
      <c r="C71" s="276" t="s">
        <v>1107</v>
      </c>
      <c r="D71" s="272"/>
      <c r="E71" s="272"/>
      <c r="F71" s="272"/>
      <c r="G71" s="272"/>
      <c r="H71" s="272"/>
      <c r="I71" s="272"/>
      <c r="J71" s="272"/>
      <c r="K71" s="272"/>
      <c r="L71" s="272"/>
      <c r="M71" s="272"/>
      <c r="N71" s="272"/>
      <c r="O71" s="272"/>
      <c r="P71" s="272"/>
      <c r="Q71" s="272"/>
      <c r="R71" s="272"/>
      <c r="S71" s="272"/>
      <c r="T71" s="272"/>
      <c r="U71" s="272"/>
      <c r="V71" s="272"/>
      <c r="W71" s="272"/>
      <c r="X71" s="272"/>
      <c r="Y71" s="272"/>
      <c r="Z71" s="273"/>
      <c r="AA71" s="273"/>
      <c r="AB71" s="273"/>
      <c r="AC71" s="273"/>
      <c r="AD71" s="273"/>
      <c r="AE71" s="273"/>
      <c r="AF71" s="273"/>
      <c r="AG71" s="273"/>
      <c r="AH71" s="273"/>
      <c r="AI71" s="273"/>
      <c r="AJ71" s="273"/>
      <c r="AK71" s="273"/>
      <c r="AL71" s="273"/>
      <c r="AM71" s="273"/>
    </row>
    <row r="72" spans="1:39" ht="12.75" customHeight="1">
      <c r="A72" s="273"/>
      <c r="B72" s="285"/>
      <c r="C72" s="276"/>
      <c r="D72" s="2225" t="s">
        <v>1108</v>
      </c>
      <c r="E72" s="2225"/>
      <c r="F72" s="2225"/>
      <c r="G72" s="2225"/>
      <c r="H72" s="2225"/>
      <c r="I72" s="2225"/>
      <c r="J72" s="2225"/>
      <c r="K72" s="2225"/>
      <c r="L72" s="2225"/>
      <c r="M72" s="2225"/>
      <c r="N72" s="2225"/>
      <c r="O72" s="2225"/>
      <c r="P72" s="2225"/>
      <c r="Q72" s="2225"/>
      <c r="R72" s="2225"/>
      <c r="S72" s="2225"/>
      <c r="T72" s="2225"/>
      <c r="U72" s="2225"/>
      <c r="V72" s="2225"/>
      <c r="W72" s="2225"/>
      <c r="X72" s="2225"/>
      <c r="Y72" s="2225"/>
      <c r="Z72" s="2225"/>
      <c r="AA72" s="2225"/>
      <c r="AB72" s="2225"/>
      <c r="AC72" s="2225"/>
      <c r="AD72" s="2225"/>
      <c r="AE72" s="2225"/>
      <c r="AF72" s="2225"/>
      <c r="AG72" s="2225"/>
      <c r="AH72" s="2225"/>
      <c r="AI72" s="2225"/>
      <c r="AJ72" s="2225"/>
      <c r="AK72" s="1849"/>
      <c r="AL72" s="1849"/>
      <c r="AM72" s="273"/>
    </row>
    <row r="73" spans="1:39" ht="12.75" customHeight="1">
      <c r="A73" s="273"/>
      <c r="B73" s="285"/>
      <c r="C73" s="276"/>
      <c r="D73" s="1849"/>
      <c r="E73" s="1849"/>
      <c r="F73" s="1849"/>
      <c r="G73" s="1849"/>
      <c r="H73" s="1849"/>
      <c r="I73" s="1849"/>
      <c r="J73" s="1849"/>
      <c r="K73" s="1849"/>
      <c r="L73" s="1849"/>
      <c r="M73" s="1849"/>
      <c r="N73" s="1849"/>
      <c r="O73" s="1849"/>
      <c r="P73" s="1849"/>
      <c r="Q73" s="1849"/>
      <c r="R73" s="1849"/>
      <c r="S73" s="1849"/>
      <c r="T73" s="1849"/>
      <c r="U73" s="1849"/>
      <c r="V73" s="1849"/>
      <c r="W73" s="1849"/>
      <c r="X73" s="1849"/>
      <c r="Y73" s="1849"/>
      <c r="Z73" s="1849"/>
      <c r="AA73" s="1849"/>
      <c r="AB73" s="1849"/>
      <c r="AC73" s="1849"/>
      <c r="AD73" s="1849"/>
      <c r="AE73" s="1849"/>
      <c r="AF73" s="1849"/>
      <c r="AG73" s="1849"/>
      <c r="AH73" s="1849"/>
      <c r="AI73" s="1849"/>
      <c r="AJ73" s="1849"/>
      <c r="AK73" s="1849"/>
      <c r="AL73" s="1849"/>
      <c r="AM73" s="273"/>
    </row>
    <row r="74" spans="1:39" ht="12.75" customHeight="1" thickBot="1">
      <c r="A74" s="273"/>
      <c r="B74" s="285"/>
      <c r="C74" s="276"/>
      <c r="D74" s="288" t="s">
        <v>4273</v>
      </c>
      <c r="E74" s="10"/>
      <c r="F74" s="10"/>
      <c r="G74" s="10"/>
      <c r="H74" s="10"/>
      <c r="I74" s="10"/>
      <c r="J74" s="10"/>
      <c r="K74" s="10"/>
      <c r="L74" s="10"/>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row>
    <row r="75" spans="1:39" ht="12.75" customHeight="1" thickBot="1">
      <c r="A75" s="273"/>
      <c r="B75" s="285"/>
      <c r="C75" s="276"/>
      <c r="D75" s="2220" t="s">
        <v>424</v>
      </c>
      <c r="E75" s="2221"/>
      <c r="F75" s="2222"/>
      <c r="G75" s="2220" t="s">
        <v>4285</v>
      </c>
      <c r="H75" s="2221"/>
      <c r="I75" s="2221"/>
      <c r="J75" s="2221"/>
      <c r="K75" s="2221"/>
      <c r="L75" s="2221"/>
      <c r="M75" s="2221"/>
      <c r="N75" s="2221"/>
      <c r="O75" s="2221"/>
      <c r="P75" s="2221"/>
      <c r="Q75" s="2221"/>
      <c r="R75" s="2221"/>
      <c r="S75" s="2221"/>
      <c r="T75" s="2221"/>
      <c r="U75" s="2221"/>
      <c r="V75" s="2221"/>
      <c r="W75" s="2221"/>
      <c r="X75" s="2221"/>
      <c r="Y75" s="2221"/>
      <c r="Z75" s="2221"/>
      <c r="AA75" s="2221"/>
      <c r="AB75" s="2221"/>
      <c r="AC75" s="2221"/>
      <c r="AD75" s="2221"/>
      <c r="AE75" s="2221"/>
      <c r="AF75" s="2221"/>
      <c r="AG75" s="2221"/>
      <c r="AH75" s="2222"/>
      <c r="AI75" s="1529" t="s">
        <v>86</v>
      </c>
      <c r="AJ75" s="1958" t="s">
        <v>712</v>
      </c>
      <c r="AK75" s="2223" t="s">
        <v>4286</v>
      </c>
      <c r="AL75" s="2224"/>
      <c r="AM75" s="273"/>
    </row>
    <row r="76" spans="1:39" ht="12.75" customHeight="1">
      <c r="A76" s="273"/>
      <c r="B76" s="285"/>
      <c r="C76" s="276"/>
      <c r="D76" s="1530"/>
      <c r="E76" s="1531">
        <v>1</v>
      </c>
      <c r="F76" s="1532"/>
      <c r="G76" s="2025" t="s">
        <v>1671</v>
      </c>
      <c r="H76" s="2023"/>
      <c r="I76" s="2023"/>
      <c r="J76" s="2023"/>
      <c r="K76" s="2023"/>
      <c r="L76" s="2023"/>
      <c r="M76" s="2023"/>
      <c r="N76" s="2023"/>
      <c r="O76" s="2023"/>
      <c r="P76" s="2023"/>
      <c r="Q76" s="2023"/>
      <c r="R76" s="2023"/>
      <c r="S76" s="2023"/>
      <c r="T76" s="2023"/>
      <c r="U76" s="2023"/>
      <c r="V76" s="2023"/>
      <c r="W76" s="2023"/>
      <c r="X76" s="2023"/>
      <c r="Y76" s="2023"/>
      <c r="Z76" s="2023"/>
      <c r="AA76" s="2023"/>
      <c r="AB76" s="2023"/>
      <c r="AC76" s="2023"/>
      <c r="AD76" s="2023"/>
      <c r="AE76" s="2023"/>
      <c r="AF76" s="2023"/>
      <c r="AG76" s="2023"/>
      <c r="AH76" s="2024"/>
      <c r="AI76" s="1533"/>
      <c r="AJ76" s="1545"/>
      <c r="AK76" s="1546"/>
      <c r="AL76" s="1534"/>
      <c r="AM76" s="273"/>
    </row>
    <row r="77" spans="1:39" ht="12.75" customHeight="1">
      <c r="A77" s="273"/>
      <c r="B77" s="285"/>
      <c r="C77" s="276"/>
      <c r="D77" s="1535"/>
      <c r="E77" s="1389">
        <v>1.1000000000000001</v>
      </c>
      <c r="F77" s="1536"/>
      <c r="G77" s="2027" t="s">
        <v>1672</v>
      </c>
      <c r="H77" s="1537"/>
      <c r="I77" s="1836"/>
      <c r="J77" s="1836"/>
      <c r="K77" s="1836"/>
      <c r="L77" s="1836"/>
      <c r="M77" s="1836"/>
      <c r="N77" s="1836"/>
      <c r="O77" s="1836"/>
      <c r="P77" s="1836"/>
      <c r="Q77" s="1836"/>
      <c r="R77" s="1836"/>
      <c r="S77" s="1836"/>
      <c r="T77" s="1836"/>
      <c r="U77" s="1836"/>
      <c r="V77" s="1836"/>
      <c r="W77" s="1836"/>
      <c r="X77" s="1836"/>
      <c r="Y77" s="1836"/>
      <c r="Z77" s="1836"/>
      <c r="AA77" s="1837"/>
      <c r="AB77" s="1837"/>
      <c r="AC77" s="1837"/>
      <c r="AD77" s="1837"/>
      <c r="AE77" s="1837"/>
      <c r="AF77" s="1837"/>
      <c r="AG77" s="1837"/>
      <c r="AH77" s="1837"/>
      <c r="AI77" s="1547"/>
      <c r="AJ77" s="1548"/>
      <c r="AK77" s="1549"/>
      <c r="AL77" s="1538"/>
      <c r="AM77" s="273"/>
    </row>
    <row r="78" spans="1:39" ht="12.75" customHeight="1">
      <c r="A78" s="273"/>
      <c r="B78" s="285"/>
      <c r="C78" s="276"/>
      <c r="D78" s="1535"/>
      <c r="E78" s="1389" t="s">
        <v>1189</v>
      </c>
      <c r="F78" s="1536"/>
      <c r="G78" s="2026" t="s">
        <v>1673</v>
      </c>
      <c r="H78" s="1950"/>
      <c r="I78" s="1836"/>
      <c r="J78" s="1836"/>
      <c r="K78" s="1836"/>
      <c r="L78" s="1836"/>
      <c r="M78" s="1836"/>
      <c r="N78" s="1836"/>
      <c r="O78" s="1836"/>
      <c r="P78" s="1836"/>
      <c r="Q78" s="1836"/>
      <c r="R78" s="1836"/>
      <c r="S78" s="1836"/>
      <c r="T78" s="1836"/>
      <c r="U78" s="1836"/>
      <c r="V78" s="1836"/>
      <c r="W78" s="1836"/>
      <c r="X78" s="1836"/>
      <c r="Y78" s="1836"/>
      <c r="Z78" s="1836"/>
      <c r="AA78" s="1837"/>
      <c r="AB78" s="1837"/>
      <c r="AC78" s="1837"/>
      <c r="AD78" s="1837"/>
      <c r="AE78" s="1837"/>
      <c r="AF78" s="1837"/>
      <c r="AG78" s="1837"/>
      <c r="AH78" s="1837"/>
      <c r="AI78" s="1547"/>
      <c r="AJ78" s="1548"/>
      <c r="AK78" s="1549"/>
      <c r="AL78" s="1538"/>
      <c r="AM78" s="273"/>
    </row>
    <row r="79" spans="1:39" ht="12.75" customHeight="1">
      <c r="A79" s="273"/>
      <c r="B79" s="285"/>
      <c r="C79" s="276"/>
      <c r="D79" s="1535"/>
      <c r="E79" s="1389" t="s">
        <v>1193</v>
      </c>
      <c r="F79" s="1536"/>
      <c r="G79" t="s">
        <v>1677</v>
      </c>
      <c r="H79" s="1836"/>
      <c r="I79" s="1836"/>
      <c r="J79" s="1836"/>
      <c r="K79" s="1836"/>
      <c r="L79" s="1836"/>
      <c r="M79" s="1836"/>
      <c r="N79" s="1836"/>
      <c r="O79" s="1836"/>
      <c r="P79" s="1836"/>
      <c r="Q79" s="1836"/>
      <c r="R79" s="1836"/>
      <c r="S79" s="1836"/>
      <c r="T79" s="1836"/>
      <c r="U79" s="1836"/>
      <c r="V79" s="1836"/>
      <c r="W79" s="1836"/>
      <c r="X79" s="1836"/>
      <c r="Y79" s="1836"/>
      <c r="Z79" s="1836"/>
      <c r="AA79" s="1837"/>
      <c r="AB79" s="1837"/>
      <c r="AC79" s="1837"/>
      <c r="AD79" s="1837"/>
      <c r="AE79" s="1837"/>
      <c r="AF79" s="1837"/>
      <c r="AG79" s="1837"/>
      <c r="AH79" s="1837"/>
      <c r="AI79" s="1547" t="s">
        <v>51</v>
      </c>
      <c r="AJ79" s="1548">
        <v>30</v>
      </c>
      <c r="AK79" s="1549"/>
      <c r="AL79" s="1538">
        <v>0.14760000000000001</v>
      </c>
      <c r="AM79" s="273"/>
    </row>
    <row r="80" spans="1:39" ht="12.75" customHeight="1" thickBot="1">
      <c r="A80" s="273"/>
      <c r="B80" s="285"/>
      <c r="C80" s="276"/>
      <c r="D80" s="1539"/>
      <c r="E80" s="1540"/>
      <c r="F80" s="1541"/>
      <c r="G80" s="1542"/>
      <c r="H80" s="2457"/>
      <c r="I80" s="2457"/>
      <c r="J80" s="2457"/>
      <c r="K80" s="2457"/>
      <c r="L80" s="2457"/>
      <c r="M80" s="2457"/>
      <c r="N80" s="2457"/>
      <c r="O80" s="2457"/>
      <c r="P80" s="2457"/>
      <c r="Q80" s="2457"/>
      <c r="R80" s="2457"/>
      <c r="S80" s="2457"/>
      <c r="T80" s="2457"/>
      <c r="U80" s="2457"/>
      <c r="V80" s="2457"/>
      <c r="W80" s="2457"/>
      <c r="X80" s="2457"/>
      <c r="Y80" s="2457"/>
      <c r="Z80" s="2457"/>
      <c r="AA80" s="1543"/>
      <c r="AB80" s="1543"/>
      <c r="AC80" s="1543"/>
      <c r="AD80" s="1543"/>
      <c r="AE80" s="1543"/>
      <c r="AF80" s="1543"/>
      <c r="AG80" s="1543"/>
      <c r="AH80" s="1543"/>
      <c r="AI80" s="1550"/>
      <c r="AJ80" s="1552"/>
      <c r="AK80" s="1551"/>
      <c r="AL80" s="1544"/>
      <c r="AM80" s="273"/>
    </row>
    <row r="81" spans="1:39" ht="12.75" customHeight="1">
      <c r="A81" s="273"/>
      <c r="B81" s="285"/>
      <c r="C81" s="276"/>
      <c r="D81" s="1951"/>
      <c r="E81" s="1389"/>
      <c r="F81" s="1952"/>
      <c r="G81" s="1390"/>
      <c r="H81" s="1836"/>
      <c r="I81" s="1836"/>
      <c r="J81" s="1836"/>
      <c r="K81" s="1836"/>
      <c r="L81" s="1836"/>
      <c r="M81" s="1836"/>
      <c r="N81" s="1836"/>
      <c r="O81" s="1836"/>
      <c r="P81" s="1836"/>
      <c r="Q81" s="1836"/>
      <c r="R81" s="1836"/>
      <c r="S81" s="1836"/>
      <c r="T81" s="1836"/>
      <c r="U81" s="1836"/>
      <c r="V81" s="1836"/>
      <c r="W81" s="1836"/>
      <c r="X81" s="1836"/>
      <c r="Y81" s="1836"/>
      <c r="Z81" s="1836"/>
      <c r="AA81" s="1837"/>
      <c r="AB81" s="1837"/>
      <c r="AC81" s="1837"/>
      <c r="AD81" s="1837"/>
      <c r="AE81" s="1837"/>
      <c r="AF81" s="1837"/>
      <c r="AG81" s="1837"/>
      <c r="AH81" s="1837"/>
      <c r="AI81" s="1953"/>
      <c r="AJ81" s="1954"/>
      <c r="AK81" s="668"/>
      <c r="AL81" s="1955"/>
      <c r="AM81" s="273"/>
    </row>
    <row r="82" spans="1:39" ht="12.75" customHeight="1" thickBot="1">
      <c r="A82" s="273"/>
      <c r="B82" s="285"/>
      <c r="C82" s="276"/>
      <c r="D82" s="288" t="s">
        <v>4284</v>
      </c>
      <c r="E82" s="10"/>
      <c r="F82" s="10"/>
      <c r="G82" s="10"/>
      <c r="H82" s="10"/>
      <c r="I82" s="10"/>
      <c r="J82" s="10"/>
      <c r="K82" s="10"/>
      <c r="L82" s="10"/>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row>
    <row r="83" spans="1:39" ht="12.75" customHeight="1" thickBot="1">
      <c r="A83" s="273"/>
      <c r="B83" s="285"/>
      <c r="C83" s="276"/>
      <c r="D83" s="2220" t="s">
        <v>424</v>
      </c>
      <c r="E83" s="2221"/>
      <c r="F83" s="2222"/>
      <c r="G83" s="2220" t="s">
        <v>4285</v>
      </c>
      <c r="H83" s="2221"/>
      <c r="I83" s="2221"/>
      <c r="J83" s="2221"/>
      <c r="K83" s="2221"/>
      <c r="L83" s="2221"/>
      <c r="M83" s="2221"/>
      <c r="N83" s="2221"/>
      <c r="O83" s="2221"/>
      <c r="P83" s="2221"/>
      <c r="Q83" s="2221"/>
      <c r="R83" s="2221"/>
      <c r="S83" s="2221"/>
      <c r="T83" s="2221"/>
      <c r="U83" s="2221"/>
      <c r="V83" s="2221"/>
      <c r="W83" s="2221"/>
      <c r="X83" s="2221"/>
      <c r="Y83" s="2221"/>
      <c r="Z83" s="2221"/>
      <c r="AA83" s="2221"/>
      <c r="AB83" s="2221"/>
      <c r="AC83" s="2221"/>
      <c r="AD83" s="2221"/>
      <c r="AE83" s="2221"/>
      <c r="AF83" s="2221"/>
      <c r="AG83" s="2221"/>
      <c r="AH83" s="2222"/>
      <c r="AI83" s="1529" t="s">
        <v>86</v>
      </c>
      <c r="AJ83" s="1958" t="s">
        <v>712</v>
      </c>
      <c r="AK83" s="2223" t="s">
        <v>4286</v>
      </c>
      <c r="AL83" s="2224"/>
      <c r="AM83" s="273"/>
    </row>
    <row r="84" spans="1:39" ht="12.75" customHeight="1">
      <c r="A84" s="273"/>
      <c r="B84" s="285"/>
      <c r="C84" s="276"/>
      <c r="D84" s="1530"/>
      <c r="E84" s="1531">
        <v>1</v>
      </c>
      <c r="F84" s="1532"/>
      <c r="G84" s="2455" t="s">
        <v>1736</v>
      </c>
      <c r="H84" s="2456"/>
      <c r="I84" s="2456"/>
      <c r="J84" s="2456"/>
      <c r="K84" s="2456"/>
      <c r="L84" s="2456"/>
      <c r="M84" s="2456"/>
      <c r="N84" s="2456"/>
      <c r="O84" s="2456"/>
      <c r="P84" s="2456"/>
      <c r="Q84" s="2023"/>
      <c r="R84" s="2023"/>
      <c r="S84" s="2023"/>
      <c r="T84" s="2023"/>
      <c r="U84" s="2023"/>
      <c r="V84" s="2023"/>
      <c r="W84" s="2023"/>
      <c r="X84" s="2023"/>
      <c r="Y84" s="2023"/>
      <c r="Z84" s="2023"/>
      <c r="AA84" s="2023"/>
      <c r="AB84" s="2023"/>
      <c r="AC84" s="2023"/>
      <c r="AD84" s="2023"/>
      <c r="AE84" s="2023"/>
      <c r="AF84" s="2023"/>
      <c r="AG84" s="2023"/>
      <c r="AH84" s="2023"/>
      <c r="AI84" s="1533"/>
      <c r="AJ84" s="1545"/>
      <c r="AK84" s="1546"/>
      <c r="AL84" s="1534"/>
      <c r="AM84" s="273"/>
    </row>
    <row r="85" spans="1:39" ht="12.75" customHeight="1">
      <c r="A85" s="273"/>
      <c r="B85" s="285"/>
      <c r="C85" s="276"/>
      <c r="D85" s="1535"/>
      <c r="E85" s="1389">
        <v>1.1000000000000001</v>
      </c>
      <c r="F85" s="1536"/>
      <c r="G85" s="2027" t="s">
        <v>2263</v>
      </c>
      <c r="H85" s="1537"/>
      <c r="I85" s="1836"/>
      <c r="J85" s="1836"/>
      <c r="K85" s="1836"/>
      <c r="L85" s="1836"/>
      <c r="M85" s="1836"/>
      <c r="N85" s="1836"/>
      <c r="O85" s="1836"/>
      <c r="P85" s="1836"/>
      <c r="Q85" s="1836"/>
      <c r="R85" s="1836"/>
      <c r="S85" s="1836"/>
      <c r="T85" s="1836"/>
      <c r="U85" s="1836"/>
      <c r="V85" s="1836"/>
      <c r="W85" s="1836"/>
      <c r="X85" s="1836"/>
      <c r="Y85" s="1836"/>
      <c r="Z85" s="1836"/>
      <c r="AA85" s="1837"/>
      <c r="AB85" s="1837"/>
      <c r="AC85" s="1837"/>
      <c r="AD85" s="1837"/>
      <c r="AE85" s="1837"/>
      <c r="AF85" s="1837"/>
      <c r="AG85" s="1837"/>
      <c r="AH85" s="1837"/>
      <c r="AI85" s="1547"/>
      <c r="AJ85" s="1548"/>
      <c r="AK85" s="1549"/>
      <c r="AL85" s="1538"/>
      <c r="AM85" s="273"/>
    </row>
    <row r="86" spans="1:39" ht="12.75" customHeight="1">
      <c r="A86" s="273"/>
      <c r="B86" s="285"/>
      <c r="C86" s="276"/>
      <c r="D86" s="1535"/>
      <c r="E86" s="1389" t="s">
        <v>1189</v>
      </c>
      <c r="F86" s="1536"/>
      <c r="G86" s="2026" t="s">
        <v>2264</v>
      </c>
      <c r="H86" s="1950"/>
      <c r="I86" s="1836"/>
      <c r="J86" s="1836"/>
      <c r="K86" s="1836"/>
      <c r="L86" s="1836"/>
      <c r="M86" s="1836"/>
      <c r="N86" s="1836"/>
      <c r="O86" s="1836"/>
      <c r="P86" s="1836"/>
      <c r="Q86" s="1836"/>
      <c r="R86" s="1836"/>
      <c r="S86" s="1836"/>
      <c r="T86" s="1836"/>
      <c r="U86" s="1836"/>
      <c r="V86" s="1836"/>
      <c r="W86" s="1836"/>
      <c r="X86" s="1836"/>
      <c r="Y86" s="1836"/>
      <c r="Z86" s="1836"/>
      <c r="AA86" s="1837"/>
      <c r="AB86" s="1837"/>
      <c r="AC86" s="1837"/>
      <c r="AD86" s="1837"/>
      <c r="AE86" s="1837"/>
      <c r="AF86" s="1837"/>
      <c r="AG86" s="1837"/>
      <c r="AH86" s="1837"/>
      <c r="AI86" s="1547" t="s">
        <v>52</v>
      </c>
      <c r="AJ86" s="1548">
        <v>16.34</v>
      </c>
      <c r="AK86" s="1549"/>
      <c r="AL86" s="1538">
        <v>1</v>
      </c>
      <c r="AM86" s="273"/>
    </row>
    <row r="87" spans="1:39" ht="12.75" customHeight="1">
      <c r="A87" s="273"/>
      <c r="B87" s="285"/>
      <c r="C87" s="276"/>
      <c r="D87" s="1535"/>
      <c r="E87" s="1389" t="s">
        <v>1194</v>
      </c>
      <c r="F87" s="1536"/>
      <c r="G87" s="2026" t="s">
        <v>2265</v>
      </c>
      <c r="H87" s="1836"/>
      <c r="I87" s="1836"/>
      <c r="J87" s="1836"/>
      <c r="K87" s="1836"/>
      <c r="L87" s="1836"/>
      <c r="M87" s="1836"/>
      <c r="N87" s="1836"/>
      <c r="O87" s="1836"/>
      <c r="P87" s="1836"/>
      <c r="Q87" s="1836"/>
      <c r="R87" s="1836"/>
      <c r="S87" s="1836"/>
      <c r="T87" s="1836"/>
      <c r="U87" s="1836"/>
      <c r="V87" s="1836"/>
      <c r="W87" s="1836"/>
      <c r="X87" s="1836"/>
      <c r="Y87" s="1836"/>
      <c r="Z87" s="1836"/>
      <c r="AA87" s="1837"/>
      <c r="AB87" s="1837"/>
      <c r="AC87" s="1837"/>
      <c r="AD87" s="1837"/>
      <c r="AE87" s="1837"/>
      <c r="AF87" s="1837"/>
      <c r="AG87" s="1837"/>
      <c r="AH87" s="1837"/>
      <c r="AI87" s="1547" t="s">
        <v>2147</v>
      </c>
      <c r="AJ87" s="1548">
        <v>65.430000000000007</v>
      </c>
      <c r="AK87" s="1549"/>
      <c r="AL87" s="1538">
        <v>1</v>
      </c>
      <c r="AM87" s="273"/>
    </row>
    <row r="88" spans="1:39" ht="12.75" customHeight="1">
      <c r="A88" s="273"/>
      <c r="B88" s="285"/>
      <c r="C88" s="276"/>
      <c r="D88" s="1535"/>
      <c r="E88" s="1389" t="s">
        <v>1197</v>
      </c>
      <c r="F88" s="1536"/>
      <c r="G88" s="2026" t="s">
        <v>2266</v>
      </c>
      <c r="H88" s="1836"/>
      <c r="I88" s="1836"/>
      <c r="J88" s="1836"/>
      <c r="K88" s="1836"/>
      <c r="L88" s="1836"/>
      <c r="M88" s="1836"/>
      <c r="N88" s="1836"/>
      <c r="O88" s="1836"/>
      <c r="P88" s="1836"/>
      <c r="Q88" s="1836"/>
      <c r="R88" s="1836"/>
      <c r="S88" s="1836"/>
      <c r="T88" s="1836"/>
      <c r="U88" s="1836"/>
      <c r="V88" s="1836"/>
      <c r="W88" s="1836"/>
      <c r="X88" s="1836"/>
      <c r="Y88" s="1836"/>
      <c r="Z88" s="1836"/>
      <c r="AA88" s="1837"/>
      <c r="AB88" s="1837"/>
      <c r="AC88" s="1837"/>
      <c r="AD88" s="1837"/>
      <c r="AE88" s="1837"/>
      <c r="AF88" s="1837"/>
      <c r="AG88" s="1837"/>
      <c r="AH88" s="1837"/>
      <c r="AI88" s="1547" t="s">
        <v>2147</v>
      </c>
      <c r="AJ88" s="1548">
        <v>30.72</v>
      </c>
      <c r="AK88" s="1549"/>
      <c r="AL88" s="1538">
        <v>1</v>
      </c>
      <c r="AM88" s="273"/>
    </row>
    <row r="89" spans="1:39" ht="12.75" customHeight="1">
      <c r="A89" s="273"/>
      <c r="B89" s="285"/>
      <c r="C89" s="276"/>
      <c r="D89" s="1535"/>
      <c r="E89" s="1389" t="s">
        <v>1199</v>
      </c>
      <c r="F89" s="1536"/>
      <c r="G89" s="2026" t="s">
        <v>2267</v>
      </c>
      <c r="H89" s="1836"/>
      <c r="I89" s="1836"/>
      <c r="J89" s="1836"/>
      <c r="K89" s="1836"/>
      <c r="L89" s="1836"/>
      <c r="M89" s="1836"/>
      <c r="N89" s="1836"/>
      <c r="O89" s="1836"/>
      <c r="P89" s="1836"/>
      <c r="Q89" s="1836"/>
      <c r="R89" s="1836"/>
      <c r="S89" s="1836"/>
      <c r="T89" s="1836"/>
      <c r="U89" s="1836"/>
      <c r="V89" s="1836"/>
      <c r="W89" s="1836"/>
      <c r="X89" s="1836"/>
      <c r="Y89" s="1836"/>
      <c r="Z89" s="1836"/>
      <c r="AA89" s="1837"/>
      <c r="AB89" s="1837"/>
      <c r="AC89" s="1837"/>
      <c r="AD89" s="1837"/>
      <c r="AE89" s="1837"/>
      <c r="AF89" s="1837"/>
      <c r="AG89" s="1837"/>
      <c r="AH89" s="1837"/>
      <c r="AI89" s="1547" t="s">
        <v>2147</v>
      </c>
      <c r="AJ89" s="1548">
        <v>76.319999999999993</v>
      </c>
      <c r="AK89" s="1549"/>
      <c r="AL89" s="1538">
        <v>0.91598655784925587</v>
      </c>
      <c r="AM89" s="273"/>
    </row>
    <row r="90" spans="1:39" ht="12.75" customHeight="1">
      <c r="A90" s="273"/>
      <c r="B90" s="285"/>
      <c r="C90" s="276"/>
      <c r="D90" s="1535"/>
      <c r="E90" s="1389" t="s">
        <v>1201</v>
      </c>
      <c r="F90" s="1536"/>
      <c r="G90" s="2026" t="s">
        <v>2268</v>
      </c>
      <c r="H90" s="1836"/>
      <c r="I90" s="1836"/>
      <c r="J90" s="1836"/>
      <c r="K90" s="1836"/>
      <c r="L90" s="1836"/>
      <c r="M90" s="1836"/>
      <c r="N90" s="1836"/>
      <c r="O90" s="1836"/>
      <c r="P90" s="1836"/>
      <c r="Q90" s="1836"/>
      <c r="R90" s="1836"/>
      <c r="S90" s="1836"/>
      <c r="T90" s="1836"/>
      <c r="U90" s="1836"/>
      <c r="V90" s="1836"/>
      <c r="W90" s="1836"/>
      <c r="X90" s="1836"/>
      <c r="Y90" s="1836"/>
      <c r="Z90" s="1836"/>
      <c r="AA90" s="1837"/>
      <c r="AB90" s="1837"/>
      <c r="AC90" s="1837"/>
      <c r="AD90" s="1837"/>
      <c r="AE90" s="1837"/>
      <c r="AF90" s="1837"/>
      <c r="AG90" s="1837"/>
      <c r="AH90" s="1837"/>
      <c r="AI90" s="1547" t="s">
        <v>2147</v>
      </c>
      <c r="AJ90" s="1548">
        <v>19.93</v>
      </c>
      <c r="AK90" s="1549"/>
      <c r="AL90" s="1538">
        <v>0.7686077902043964</v>
      </c>
      <c r="AM90" s="273"/>
    </row>
    <row r="91" spans="1:39" ht="12.75" customHeight="1">
      <c r="A91" s="273"/>
      <c r="B91" s="285"/>
      <c r="C91" s="276"/>
      <c r="D91" s="1535"/>
      <c r="E91" s="1389" t="s">
        <v>2291</v>
      </c>
      <c r="F91" s="1536"/>
      <c r="G91" s="2026" t="s">
        <v>2269</v>
      </c>
      <c r="H91" s="1520"/>
      <c r="I91" s="1836"/>
      <c r="J91" s="1836"/>
      <c r="K91" s="1836"/>
      <c r="L91" s="1836"/>
      <c r="M91" s="1836"/>
      <c r="N91" s="1836"/>
      <c r="O91" s="1836"/>
      <c r="P91" s="1836"/>
      <c r="Q91" s="1836"/>
      <c r="R91" s="1836"/>
      <c r="S91" s="1836"/>
      <c r="T91" s="1836"/>
      <c r="U91" s="1836"/>
      <c r="V91" s="1836"/>
      <c r="W91" s="1836"/>
      <c r="X91" s="1836"/>
      <c r="Y91" s="1836"/>
      <c r="Z91" s="1836"/>
      <c r="AA91" s="1837"/>
      <c r="AB91" s="1837"/>
      <c r="AC91" s="1837"/>
      <c r="AD91" s="1837"/>
      <c r="AE91" s="1837"/>
      <c r="AF91" s="1837"/>
      <c r="AG91" s="1837"/>
      <c r="AH91" s="1837"/>
      <c r="AI91" s="1547" t="s">
        <v>2147</v>
      </c>
      <c r="AJ91" s="1548">
        <v>15</v>
      </c>
      <c r="AK91" s="1549"/>
      <c r="AL91" s="1538">
        <v>0.3926701570680628</v>
      </c>
      <c r="AM91" s="273"/>
    </row>
    <row r="92" spans="1:39" ht="12.75" customHeight="1">
      <c r="A92" s="273"/>
      <c r="B92" s="285"/>
      <c r="C92" s="276"/>
      <c r="D92" s="1535"/>
      <c r="E92" s="1389" t="s">
        <v>2292</v>
      </c>
      <c r="F92" s="1536"/>
      <c r="G92" s="2026" t="s">
        <v>2270</v>
      </c>
      <c r="H92" s="1836"/>
      <c r="I92" s="1836"/>
      <c r="J92" s="1836"/>
      <c r="K92" s="1836"/>
      <c r="L92" s="1836"/>
      <c r="M92" s="1836"/>
      <c r="N92" s="1836"/>
      <c r="O92" s="1836"/>
      <c r="P92" s="1836"/>
      <c r="Q92" s="1836"/>
      <c r="R92" s="1836"/>
      <c r="S92" s="1836"/>
      <c r="T92" s="1836"/>
      <c r="U92" s="1836"/>
      <c r="V92" s="1836"/>
      <c r="W92" s="1836"/>
      <c r="X92" s="1836"/>
      <c r="Y92" s="1836"/>
      <c r="Z92" s="1836"/>
      <c r="AA92" s="1837"/>
      <c r="AB92" s="1837"/>
      <c r="AC92" s="1837"/>
      <c r="AD92" s="1837"/>
      <c r="AE92" s="1837"/>
      <c r="AF92" s="1837"/>
      <c r="AG92" s="1837"/>
      <c r="AH92" s="1837"/>
      <c r="AI92" s="1547" t="s">
        <v>2147</v>
      </c>
      <c r="AJ92" s="1548">
        <v>20</v>
      </c>
      <c r="AK92" s="1549"/>
      <c r="AL92" s="1538">
        <v>0.32414910858995138</v>
      </c>
      <c r="AM92" s="273"/>
    </row>
    <row r="93" spans="1:39" ht="12.75" customHeight="1">
      <c r="A93" s="273"/>
      <c r="B93" s="285"/>
      <c r="C93" s="276"/>
      <c r="D93" s="1535"/>
      <c r="E93" s="1389" t="s">
        <v>2293</v>
      </c>
      <c r="F93" s="1536"/>
      <c r="G93" s="2026" t="s">
        <v>2271</v>
      </c>
      <c r="H93" s="1836"/>
      <c r="I93" s="1836"/>
      <c r="J93" s="1836"/>
      <c r="K93" s="1836"/>
      <c r="L93" s="1836"/>
      <c r="M93" s="1836"/>
      <c r="N93" s="1836"/>
      <c r="O93" s="1836"/>
      <c r="P93" s="1836"/>
      <c r="Q93" s="1836"/>
      <c r="R93" s="1836"/>
      <c r="S93" s="1836"/>
      <c r="T93" s="1836"/>
      <c r="U93" s="1836"/>
      <c r="V93" s="1836"/>
      <c r="W93" s="1836"/>
      <c r="X93" s="1836"/>
      <c r="Y93" s="1836"/>
      <c r="Z93" s="1836"/>
      <c r="AA93" s="1837"/>
      <c r="AB93" s="1837"/>
      <c r="AC93" s="1837"/>
      <c r="AD93" s="1837"/>
      <c r="AE93" s="1837"/>
      <c r="AF93" s="1837"/>
      <c r="AG93" s="1837"/>
      <c r="AH93" s="1837"/>
      <c r="AI93" s="1547" t="s">
        <v>2147</v>
      </c>
      <c r="AJ93" s="1548">
        <v>107.33</v>
      </c>
      <c r="AK93" s="1549"/>
      <c r="AL93" s="1538">
        <v>0.34996250285304381</v>
      </c>
      <c r="AM93" s="273"/>
    </row>
    <row r="94" spans="1:39" ht="12.75" customHeight="1">
      <c r="A94" s="273"/>
      <c r="B94" s="285"/>
      <c r="C94" s="276"/>
      <c r="D94" s="1535"/>
      <c r="E94" s="1389" t="s">
        <v>2294</v>
      </c>
      <c r="F94" s="1536"/>
      <c r="G94" s="2026" t="s">
        <v>2272</v>
      </c>
      <c r="H94" s="1836"/>
      <c r="I94" s="1836"/>
      <c r="J94" s="1836"/>
      <c r="K94" s="1836"/>
      <c r="L94" s="1836"/>
      <c r="M94" s="1836"/>
      <c r="N94" s="1836"/>
      <c r="O94" s="1836"/>
      <c r="P94" s="1836"/>
      <c r="Q94" s="1836"/>
      <c r="R94" s="1836"/>
      <c r="S94" s="1836"/>
      <c r="T94" s="1836"/>
      <c r="U94" s="1836"/>
      <c r="V94" s="1836"/>
      <c r="W94" s="1836"/>
      <c r="X94" s="1836"/>
      <c r="Y94" s="1836"/>
      <c r="Z94" s="1836"/>
      <c r="AA94" s="1837"/>
      <c r="AB94" s="1837"/>
      <c r="AC94" s="1837"/>
      <c r="AD94" s="1837"/>
      <c r="AE94" s="1837"/>
      <c r="AF94" s="1837"/>
      <c r="AG94" s="1837"/>
      <c r="AH94" s="1837"/>
      <c r="AI94" s="1547" t="s">
        <v>2147</v>
      </c>
      <c r="AJ94" s="1548">
        <v>20</v>
      </c>
      <c r="AK94" s="1549"/>
      <c r="AL94" s="1538">
        <v>0.13767467474358092</v>
      </c>
      <c r="AM94" s="273"/>
    </row>
    <row r="95" spans="1:39" ht="12.75" customHeight="1">
      <c r="A95" s="273"/>
      <c r="B95" s="285"/>
      <c r="C95" s="276"/>
      <c r="D95" s="1535"/>
      <c r="E95" s="1389">
        <v>1.3</v>
      </c>
      <c r="F95" s="1536"/>
      <c r="G95" s="2027" t="s">
        <v>2276</v>
      </c>
      <c r="H95" s="1836"/>
      <c r="I95" s="1836"/>
      <c r="J95" s="1836"/>
      <c r="K95" s="1836"/>
      <c r="L95" s="1836"/>
      <c r="M95" s="1836"/>
      <c r="N95" s="1836"/>
      <c r="O95" s="1836"/>
      <c r="P95" s="1836"/>
      <c r="Q95" s="1836"/>
      <c r="R95" s="1836"/>
      <c r="S95" s="1836"/>
      <c r="T95" s="1836"/>
      <c r="U95" s="1836"/>
      <c r="V95" s="1836"/>
      <c r="W95" s="1836"/>
      <c r="X95" s="1836"/>
      <c r="Y95" s="1836"/>
      <c r="Z95" s="1836"/>
      <c r="AA95" s="1837"/>
      <c r="AB95" s="1837"/>
      <c r="AC95" s="1837"/>
      <c r="AD95" s="1837"/>
      <c r="AE95" s="1837"/>
      <c r="AF95" s="1837"/>
      <c r="AG95" s="1837"/>
      <c r="AH95" s="1837"/>
      <c r="AI95" s="1547"/>
      <c r="AJ95" s="1548"/>
      <c r="AK95" s="1549"/>
      <c r="AL95" s="1538"/>
      <c r="AM95" s="273"/>
    </row>
    <row r="96" spans="1:39" ht="12.75" customHeight="1">
      <c r="A96" s="273"/>
      <c r="B96" s="285"/>
      <c r="C96" s="276"/>
      <c r="D96" s="1535"/>
      <c r="E96" s="1389" t="s">
        <v>2209</v>
      </c>
      <c r="F96" s="1536"/>
      <c r="G96" s="2026" t="s">
        <v>2277</v>
      </c>
      <c r="H96" s="1836"/>
      <c r="I96" s="1836"/>
      <c r="J96" s="1836"/>
      <c r="K96" s="1836"/>
      <c r="L96" s="1836"/>
      <c r="M96" s="1836"/>
      <c r="N96" s="1836"/>
      <c r="O96" s="1836"/>
      <c r="P96" s="1836"/>
      <c r="Q96" s="1836"/>
      <c r="R96" s="1836"/>
      <c r="S96" s="1836"/>
      <c r="T96" s="1836"/>
      <c r="U96" s="1836"/>
      <c r="V96" s="1836"/>
      <c r="W96" s="1836"/>
      <c r="X96" s="1836"/>
      <c r="Y96" s="1836"/>
      <c r="Z96" s="1836"/>
      <c r="AA96" s="1837"/>
      <c r="AB96" s="1837"/>
      <c r="AC96" s="1837"/>
      <c r="AD96" s="1837"/>
      <c r="AE96" s="1837"/>
      <c r="AF96" s="1837"/>
      <c r="AG96" s="1837"/>
      <c r="AH96" s="1837"/>
      <c r="AI96" s="1547" t="s">
        <v>2147</v>
      </c>
      <c r="AJ96" s="1548">
        <v>24.46</v>
      </c>
      <c r="AK96" s="1549"/>
      <c r="AL96" s="1538">
        <v>1</v>
      </c>
      <c r="AM96" s="273"/>
    </row>
    <row r="97" spans="1:39" ht="12.75" customHeight="1">
      <c r="A97" s="273"/>
      <c r="B97" s="285"/>
      <c r="C97" s="276"/>
      <c r="D97" s="1535"/>
      <c r="E97" s="1389" t="s">
        <v>2210</v>
      </c>
      <c r="F97" s="1536"/>
      <c r="G97" s="2026" t="s">
        <v>2278</v>
      </c>
      <c r="H97" s="1836"/>
      <c r="I97" s="1836"/>
      <c r="J97" s="1836"/>
      <c r="K97" s="1836"/>
      <c r="L97" s="1836"/>
      <c r="M97" s="1836"/>
      <c r="N97" s="1836"/>
      <c r="O97" s="1836"/>
      <c r="P97" s="1836"/>
      <c r="Q97" s="1836"/>
      <c r="R97" s="1836"/>
      <c r="S97" s="1836"/>
      <c r="T97" s="1836"/>
      <c r="U97" s="1836"/>
      <c r="V97" s="1836"/>
      <c r="W97" s="1836"/>
      <c r="X97" s="1836"/>
      <c r="Y97" s="1836"/>
      <c r="Z97" s="1836"/>
      <c r="AA97" s="1837"/>
      <c r="AB97" s="1837"/>
      <c r="AC97" s="1837"/>
      <c r="AD97" s="1837"/>
      <c r="AE97" s="1837"/>
      <c r="AF97" s="1837"/>
      <c r="AG97" s="1837"/>
      <c r="AH97" s="1837"/>
      <c r="AI97" s="1547" t="s">
        <v>2147</v>
      </c>
      <c r="AJ97" s="1548">
        <v>18.79</v>
      </c>
      <c r="AK97" s="1549"/>
      <c r="AL97" s="1538">
        <v>1</v>
      </c>
      <c r="AM97" s="273"/>
    </row>
    <row r="98" spans="1:39" ht="12.75" customHeight="1">
      <c r="A98" s="273"/>
      <c r="B98" s="285"/>
      <c r="C98" s="276"/>
      <c r="D98" s="1535"/>
      <c r="E98" s="1389">
        <v>1.5</v>
      </c>
      <c r="F98" s="1536"/>
      <c r="G98" s="2027" t="s">
        <v>2281</v>
      </c>
      <c r="H98" s="1836"/>
      <c r="I98" s="1836"/>
      <c r="J98" s="1836"/>
      <c r="K98" s="1836"/>
      <c r="L98" s="1836"/>
      <c r="M98" s="1836"/>
      <c r="N98" s="1836"/>
      <c r="O98" s="1836"/>
      <c r="P98" s="1836"/>
      <c r="Q98" s="1836"/>
      <c r="R98" s="1836"/>
      <c r="S98" s="1836"/>
      <c r="T98" s="1836"/>
      <c r="U98" s="1836"/>
      <c r="V98" s="1836"/>
      <c r="W98" s="1836"/>
      <c r="X98" s="1836"/>
      <c r="Y98" s="1836"/>
      <c r="Z98" s="1836"/>
      <c r="AA98" s="1837"/>
      <c r="AB98" s="1837"/>
      <c r="AC98" s="1837"/>
      <c r="AD98" s="1837"/>
      <c r="AE98" s="1837"/>
      <c r="AF98" s="1837"/>
      <c r="AG98" s="1837"/>
      <c r="AH98" s="1837"/>
      <c r="AI98" s="1547"/>
      <c r="AJ98" s="1548"/>
      <c r="AK98" s="1549"/>
      <c r="AL98" s="1538"/>
      <c r="AM98" s="273"/>
    </row>
    <row r="99" spans="1:39" ht="12.75" customHeight="1">
      <c r="A99" s="273"/>
      <c r="B99" s="285"/>
      <c r="C99" s="276"/>
      <c r="D99" s="1535"/>
      <c r="E99" s="1389" t="s">
        <v>2296</v>
      </c>
      <c r="F99" s="1536"/>
      <c r="G99" s="2026" t="s">
        <v>2282</v>
      </c>
      <c r="H99" s="1836"/>
      <c r="I99" s="1836"/>
      <c r="J99" s="1836"/>
      <c r="K99" s="1836"/>
      <c r="L99" s="1836"/>
      <c r="M99" s="1836"/>
      <c r="N99" s="1836"/>
      <c r="O99" s="1836"/>
      <c r="P99" s="1836"/>
      <c r="Q99" s="1836"/>
      <c r="R99" s="1836"/>
      <c r="S99" s="1836"/>
      <c r="T99" s="1836"/>
      <c r="U99" s="1836"/>
      <c r="V99" s="1836"/>
      <c r="W99" s="1836"/>
      <c r="X99" s="1836"/>
      <c r="Y99" s="1836"/>
      <c r="Z99" s="1836"/>
      <c r="AA99" s="1837"/>
      <c r="AB99" s="1837"/>
      <c r="AC99" s="1837"/>
      <c r="AD99" s="1837"/>
      <c r="AE99" s="1837"/>
      <c r="AF99" s="1837"/>
      <c r="AG99" s="1837"/>
      <c r="AH99" s="1837"/>
      <c r="AI99" s="1547" t="s">
        <v>51</v>
      </c>
      <c r="AJ99" s="1548">
        <v>91.48</v>
      </c>
      <c r="AK99" s="1549"/>
      <c r="AL99" s="1538">
        <v>0.14587087206799229</v>
      </c>
      <c r="AM99" s="273"/>
    </row>
    <row r="100" spans="1:39" ht="12.75" customHeight="1">
      <c r="A100" s="273"/>
      <c r="B100" s="285"/>
      <c r="C100" s="276"/>
      <c r="D100" s="1535"/>
      <c r="E100" s="1389" t="s">
        <v>2297</v>
      </c>
      <c r="F100" s="1536"/>
      <c r="G100" s="2026" t="s">
        <v>2283</v>
      </c>
      <c r="H100" s="1836"/>
      <c r="I100" s="1836"/>
      <c r="J100" s="1836"/>
      <c r="K100" s="1836"/>
      <c r="L100" s="1836"/>
      <c r="M100" s="1836"/>
      <c r="N100" s="1836"/>
      <c r="O100" s="1836"/>
      <c r="P100" s="1836"/>
      <c r="Q100" s="1836"/>
      <c r="R100" s="1836"/>
      <c r="S100" s="1836"/>
      <c r="T100" s="1836"/>
      <c r="U100" s="1836"/>
      <c r="V100" s="1836"/>
      <c r="W100" s="1836"/>
      <c r="X100" s="1836"/>
      <c r="Y100" s="1836"/>
      <c r="Z100" s="1836"/>
      <c r="AA100" s="1837"/>
      <c r="AB100" s="1837"/>
      <c r="AC100" s="1837"/>
      <c r="AD100" s="1837"/>
      <c r="AE100" s="1837"/>
      <c r="AF100" s="1837"/>
      <c r="AG100" s="1837"/>
      <c r="AH100" s="1837"/>
      <c r="AI100" s="1547" t="s">
        <v>2147</v>
      </c>
      <c r="AJ100" s="1548">
        <v>29.8</v>
      </c>
      <c r="AK100" s="1549"/>
      <c r="AL100" s="1538">
        <v>0.29138554805905936</v>
      </c>
      <c r="AM100" s="273"/>
    </row>
    <row r="101" spans="1:39" ht="12.75" customHeight="1">
      <c r="A101" s="273"/>
      <c r="B101" s="285"/>
      <c r="C101" s="276"/>
      <c r="D101" s="1535"/>
      <c r="E101" s="1389" t="s">
        <v>2298</v>
      </c>
      <c r="F101" s="1536"/>
      <c r="G101" s="2026" t="s">
        <v>2284</v>
      </c>
      <c r="H101" s="1836"/>
      <c r="I101" s="1836"/>
      <c r="J101" s="1836"/>
      <c r="K101" s="1836"/>
      <c r="L101" s="1836"/>
      <c r="M101" s="1836"/>
      <c r="N101" s="1836"/>
      <c r="O101" s="1836"/>
      <c r="P101" s="1836"/>
      <c r="Q101" s="1836"/>
      <c r="R101" s="1836"/>
      <c r="S101" s="1836"/>
      <c r="T101" s="1836"/>
      <c r="U101" s="1836"/>
      <c r="V101" s="1836"/>
      <c r="W101" s="1836"/>
      <c r="X101" s="1836"/>
      <c r="Y101" s="1836"/>
      <c r="Z101" s="1836"/>
      <c r="AA101" s="1837"/>
      <c r="AB101" s="1837"/>
      <c r="AC101" s="1837"/>
      <c r="AD101" s="1837"/>
      <c r="AE101" s="1837"/>
      <c r="AF101" s="1837"/>
      <c r="AG101" s="1837"/>
      <c r="AH101" s="1837"/>
      <c r="AI101" s="1547" t="s">
        <v>2147</v>
      </c>
      <c r="AJ101" s="1548">
        <v>45.02</v>
      </c>
      <c r="AK101" s="1549"/>
      <c r="AL101" s="1538">
        <v>0.28312684736809007</v>
      </c>
      <c r="AM101" s="273"/>
    </row>
    <row r="102" spans="1:39" ht="12.75" customHeight="1">
      <c r="A102" s="273"/>
      <c r="B102" s="285"/>
      <c r="C102" s="276"/>
      <c r="D102" s="1535"/>
      <c r="E102" s="1389" t="s">
        <v>2299</v>
      </c>
      <c r="F102" s="1536"/>
      <c r="G102" s="2026" t="s">
        <v>2285</v>
      </c>
      <c r="H102" s="1836"/>
      <c r="I102" s="1836"/>
      <c r="J102" s="1836"/>
      <c r="K102" s="1836"/>
      <c r="L102" s="1836"/>
      <c r="M102" s="1836"/>
      <c r="N102" s="1836"/>
      <c r="O102" s="1836"/>
      <c r="P102" s="1836"/>
      <c r="Q102" s="1836"/>
      <c r="R102" s="1836"/>
      <c r="S102" s="1836"/>
      <c r="T102" s="1836"/>
      <c r="U102" s="1836"/>
      <c r="V102" s="1836"/>
      <c r="W102" s="1836"/>
      <c r="X102" s="1836"/>
      <c r="Y102" s="1836"/>
      <c r="Z102" s="1836"/>
      <c r="AA102" s="1837"/>
      <c r="AB102" s="1837"/>
      <c r="AC102" s="1837"/>
      <c r="AD102" s="1837"/>
      <c r="AE102" s="1837"/>
      <c r="AF102" s="1837"/>
      <c r="AG102" s="1837"/>
      <c r="AH102" s="1837"/>
      <c r="AI102" s="1547" t="s">
        <v>2147</v>
      </c>
      <c r="AJ102" s="1548">
        <v>7</v>
      </c>
      <c r="AK102" s="1549"/>
      <c r="AL102" s="1538">
        <v>0.36842105263157893</v>
      </c>
      <c r="AM102" s="273"/>
    </row>
    <row r="103" spans="1:39" ht="12.75" customHeight="1" thickBot="1">
      <c r="A103" s="273"/>
      <c r="B103" s="285"/>
      <c r="C103" s="276"/>
      <c r="D103" s="1539"/>
      <c r="E103" s="2028"/>
      <c r="F103" s="1541"/>
      <c r="G103" s="1542"/>
      <c r="H103" s="2457"/>
      <c r="I103" s="2457"/>
      <c r="J103" s="2457"/>
      <c r="K103" s="2457"/>
      <c r="L103" s="2457"/>
      <c r="M103" s="2457"/>
      <c r="N103" s="2457"/>
      <c r="O103" s="2457"/>
      <c r="P103" s="2457"/>
      <c r="Q103" s="2457"/>
      <c r="R103" s="2457"/>
      <c r="S103" s="2457"/>
      <c r="T103" s="2457"/>
      <c r="U103" s="2457"/>
      <c r="V103" s="2457"/>
      <c r="W103" s="2457"/>
      <c r="X103" s="2457"/>
      <c r="Y103" s="2457"/>
      <c r="Z103" s="2457"/>
      <c r="AA103" s="1543"/>
      <c r="AB103" s="1543"/>
      <c r="AC103" s="1543"/>
      <c r="AD103" s="1543"/>
      <c r="AE103" s="1543"/>
      <c r="AF103" s="1543"/>
      <c r="AG103" s="1543"/>
      <c r="AH103" s="1543"/>
      <c r="AI103" s="1550"/>
      <c r="AJ103" s="1552"/>
      <c r="AK103" s="1551"/>
      <c r="AL103" s="1544"/>
      <c r="AM103" s="273"/>
    </row>
    <row r="104" spans="1:39" ht="12.75" customHeight="1">
      <c r="A104" s="273"/>
      <c r="B104" s="285"/>
      <c r="C104" s="276"/>
      <c r="D104" s="1951"/>
      <c r="E104" s="1389"/>
      <c r="F104" s="1952"/>
      <c r="G104" s="1390"/>
      <c r="H104" s="1836"/>
      <c r="I104" s="1836"/>
      <c r="J104" s="1836"/>
      <c r="K104" s="1836"/>
      <c r="L104" s="1836"/>
      <c r="M104" s="1836"/>
      <c r="N104" s="1836"/>
      <c r="O104" s="1836"/>
      <c r="P104" s="1836"/>
      <c r="Q104" s="1836"/>
      <c r="R104" s="1836"/>
      <c r="S104" s="1836"/>
      <c r="T104" s="1836"/>
      <c r="U104" s="1836"/>
      <c r="V104" s="1836"/>
      <c r="W104" s="1836"/>
      <c r="X104" s="1836"/>
      <c r="Y104" s="1836"/>
      <c r="Z104" s="1836"/>
      <c r="AA104" s="1837"/>
      <c r="AB104" s="1837"/>
      <c r="AC104" s="1837"/>
      <c r="AD104" s="1837"/>
      <c r="AE104" s="1837"/>
      <c r="AF104" s="1837"/>
      <c r="AG104" s="1837"/>
      <c r="AH104" s="1837"/>
      <c r="AI104" s="1953"/>
      <c r="AJ104" s="1954"/>
      <c r="AK104" s="668"/>
      <c r="AL104" s="1955"/>
      <c r="AM104" s="273"/>
    </row>
    <row r="105" spans="1:39" ht="12.6" customHeight="1" thickBot="1">
      <c r="A105" s="273"/>
      <c r="B105" s="285"/>
      <c r="C105" s="276"/>
      <c r="D105" s="288" t="s">
        <v>4287</v>
      </c>
      <c r="E105" s="10"/>
      <c r="F105" s="10"/>
      <c r="G105" s="10"/>
      <c r="H105" s="10"/>
      <c r="I105" s="10"/>
      <c r="J105" s="10"/>
      <c r="K105" s="10"/>
      <c r="L105" s="10"/>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row>
    <row r="106" spans="1:39" ht="12.75" customHeight="1" thickBot="1">
      <c r="A106" s="273"/>
      <c r="B106" s="285"/>
      <c r="C106" s="276"/>
      <c r="D106" s="2220" t="s">
        <v>424</v>
      </c>
      <c r="E106" s="2221"/>
      <c r="F106" s="2222"/>
      <c r="G106" s="2220" t="s">
        <v>4285</v>
      </c>
      <c r="H106" s="2221"/>
      <c r="I106" s="2221"/>
      <c r="J106" s="2221"/>
      <c r="K106" s="2221"/>
      <c r="L106" s="2221"/>
      <c r="M106" s="2221"/>
      <c r="N106" s="2221"/>
      <c r="O106" s="2221"/>
      <c r="P106" s="2221"/>
      <c r="Q106" s="2221"/>
      <c r="R106" s="2221"/>
      <c r="S106" s="2221"/>
      <c r="T106" s="2221"/>
      <c r="U106" s="2221"/>
      <c r="V106" s="2221"/>
      <c r="W106" s="2221"/>
      <c r="X106" s="2221"/>
      <c r="Y106" s="2221"/>
      <c r="Z106" s="2221"/>
      <c r="AA106" s="2221"/>
      <c r="AB106" s="2221"/>
      <c r="AC106" s="2221"/>
      <c r="AD106" s="2221"/>
      <c r="AE106" s="2221"/>
      <c r="AF106" s="2221"/>
      <c r="AG106" s="2221"/>
      <c r="AH106" s="2222"/>
      <c r="AI106" s="2048" t="s">
        <v>86</v>
      </c>
      <c r="AJ106" s="1958" t="s">
        <v>712</v>
      </c>
      <c r="AK106" s="2223" t="s">
        <v>4286</v>
      </c>
      <c r="AL106" s="2224"/>
      <c r="AM106" s="273"/>
    </row>
    <row r="107" spans="1:39" ht="12.75" customHeight="1">
      <c r="A107" s="273"/>
      <c r="B107" s="285"/>
      <c r="C107" s="276"/>
      <c r="D107" s="1530"/>
      <c r="E107" s="1389" t="s">
        <v>34</v>
      </c>
      <c r="F107" s="2060"/>
      <c r="G107" s="2063" t="s">
        <v>1695</v>
      </c>
      <c r="H107" s="2058"/>
      <c r="I107" s="2058"/>
      <c r="J107" s="2058"/>
      <c r="K107" s="2058"/>
      <c r="L107" s="2023"/>
      <c r="M107" s="2023"/>
      <c r="N107" s="2023"/>
      <c r="O107" s="2023"/>
      <c r="P107" s="2023"/>
      <c r="Q107" s="2023"/>
      <c r="R107" s="2023"/>
      <c r="S107" s="2023"/>
      <c r="T107" s="2023"/>
      <c r="U107" s="2023"/>
      <c r="V107" s="2023"/>
      <c r="W107" s="2023"/>
      <c r="X107" s="2023"/>
      <c r="Y107" s="2023"/>
      <c r="Z107" s="2023"/>
      <c r="AA107" s="2023"/>
      <c r="AB107" s="2023"/>
      <c r="AC107" s="2023"/>
      <c r="AD107" s="2023"/>
      <c r="AE107" s="2023"/>
      <c r="AF107" s="2023"/>
      <c r="AG107" s="2023"/>
      <c r="AH107" s="2024"/>
      <c r="AI107" s="2046"/>
      <c r="AJ107" s="1545"/>
      <c r="AK107" s="2054"/>
      <c r="AL107" s="2055"/>
      <c r="AM107" s="273"/>
    </row>
    <row r="108" spans="1:39" ht="12.75" customHeight="1">
      <c r="A108" s="273"/>
      <c r="B108" s="285"/>
      <c r="C108" s="276"/>
      <c r="D108" s="2044"/>
      <c r="E108" s="1389" t="s">
        <v>551</v>
      </c>
      <c r="F108" s="2061"/>
      <c r="G108" s="2064" t="s">
        <v>3813</v>
      </c>
      <c r="H108" s="2064"/>
      <c r="I108" s="2064"/>
      <c r="J108" s="2064"/>
      <c r="K108" s="2064"/>
      <c r="L108" s="2065"/>
      <c r="M108" s="2065"/>
      <c r="N108" s="2065"/>
      <c r="O108" s="2065"/>
      <c r="P108" s="2065"/>
      <c r="Q108" s="2065"/>
      <c r="R108" s="2065"/>
      <c r="S108" s="2065"/>
      <c r="T108" s="2065"/>
      <c r="U108" s="2065"/>
      <c r="V108" s="2065"/>
      <c r="W108" s="2065"/>
      <c r="X108" s="2065"/>
      <c r="Y108" s="2065"/>
      <c r="Z108" s="2065"/>
      <c r="AA108" s="2065"/>
      <c r="AB108" s="2065"/>
      <c r="AC108" s="2065"/>
      <c r="AD108" s="2065"/>
      <c r="AE108" s="2065"/>
      <c r="AF108" s="2065"/>
      <c r="AG108" s="2065"/>
      <c r="AH108" s="2051"/>
      <c r="AI108" s="2047"/>
      <c r="AJ108" s="2045"/>
      <c r="AK108" s="2056"/>
      <c r="AL108" s="2057"/>
      <c r="AM108" s="273"/>
    </row>
    <row r="109" spans="1:39" ht="12.75" customHeight="1">
      <c r="A109" s="273"/>
      <c r="B109" s="285"/>
      <c r="C109" s="276"/>
      <c r="D109" s="2044"/>
      <c r="E109" s="1389" t="s">
        <v>555</v>
      </c>
      <c r="F109" s="2061"/>
      <c r="G109" s="2066" t="s">
        <v>2520</v>
      </c>
      <c r="H109" s="2064"/>
      <c r="I109" s="2064"/>
      <c r="J109" s="2064"/>
      <c r="K109" s="2064"/>
      <c r="L109" s="2065"/>
      <c r="M109" s="2065"/>
      <c r="N109" s="2065"/>
      <c r="O109" s="2065"/>
      <c r="P109" s="2065"/>
      <c r="Q109" s="2065"/>
      <c r="R109" s="2065"/>
      <c r="S109" s="2065"/>
      <c r="T109" s="2065"/>
      <c r="U109" s="2065"/>
      <c r="V109" s="2065"/>
      <c r="W109" s="2065"/>
      <c r="X109" s="2065"/>
      <c r="Y109" s="2065"/>
      <c r="Z109" s="2065"/>
      <c r="AA109" s="2065"/>
      <c r="AB109" s="2065"/>
      <c r="AC109" s="2065"/>
      <c r="AD109" s="2065"/>
      <c r="AE109" s="2065"/>
      <c r="AF109" s="2065"/>
      <c r="AG109" s="2065"/>
      <c r="AH109" s="2051"/>
      <c r="AI109" s="2059"/>
      <c r="AJ109" s="2045"/>
      <c r="AK109" s="2056"/>
      <c r="AL109" s="1538"/>
      <c r="AM109" s="273"/>
    </row>
    <row r="110" spans="1:39" ht="12.75" customHeight="1">
      <c r="A110" s="273"/>
      <c r="B110" s="285"/>
      <c r="C110" s="276"/>
      <c r="D110" s="2044"/>
      <c r="E110" s="1389" t="s">
        <v>2830</v>
      </c>
      <c r="F110" s="2061"/>
      <c r="G110" s="2064" t="s">
        <v>3818</v>
      </c>
      <c r="I110" s="2064"/>
      <c r="J110" s="2064"/>
      <c r="K110" s="2064"/>
      <c r="L110" s="2065"/>
      <c r="M110" s="2065"/>
      <c r="N110" s="2065"/>
      <c r="O110" s="2065"/>
      <c r="P110" s="2065"/>
      <c r="Q110" s="2065"/>
      <c r="R110" s="2065"/>
      <c r="S110" s="2065"/>
      <c r="T110" s="2065"/>
      <c r="U110" s="2065"/>
      <c r="V110" s="2065"/>
      <c r="W110" s="2065"/>
      <c r="X110" s="2065"/>
      <c r="Y110" s="2065"/>
      <c r="Z110" s="2065"/>
      <c r="AA110" s="2065"/>
      <c r="AB110" s="2065"/>
      <c r="AC110" s="2065"/>
      <c r="AD110" s="2065"/>
      <c r="AE110" s="2065"/>
      <c r="AF110" s="2065"/>
      <c r="AG110" s="2065"/>
      <c r="AH110" s="2051"/>
      <c r="AI110" s="2059" t="s">
        <v>49</v>
      </c>
      <c r="AJ110" s="2045">
        <v>10</v>
      </c>
      <c r="AK110" s="2056"/>
      <c r="AL110" s="1538">
        <v>0.63051702395964682</v>
      </c>
      <c r="AM110" s="273"/>
    </row>
    <row r="111" spans="1:39" ht="12.75" customHeight="1">
      <c r="A111" s="273"/>
      <c r="B111" s="285"/>
      <c r="C111" s="276"/>
      <c r="D111" s="2044"/>
      <c r="E111" s="1389" t="s">
        <v>2832</v>
      </c>
      <c r="F111" s="2061"/>
      <c r="G111" s="2064" t="s">
        <v>3819</v>
      </c>
      <c r="I111" s="2064"/>
      <c r="J111" s="2064"/>
      <c r="K111" s="2064"/>
      <c r="L111" s="2065"/>
      <c r="M111" s="2065"/>
      <c r="N111" s="2065"/>
      <c r="O111" s="2065"/>
      <c r="P111" s="2065"/>
      <c r="Q111" s="2065"/>
      <c r="R111" s="2065"/>
      <c r="S111" s="2065"/>
      <c r="T111" s="2065"/>
      <c r="U111" s="2065"/>
      <c r="V111" s="2065"/>
      <c r="W111" s="2065"/>
      <c r="X111" s="2065"/>
      <c r="Y111" s="2065"/>
      <c r="Z111" s="2065"/>
      <c r="AA111" s="2065"/>
      <c r="AB111" s="2065"/>
      <c r="AC111" s="2065"/>
      <c r="AD111" s="2065"/>
      <c r="AE111" s="2065"/>
      <c r="AF111" s="2065"/>
      <c r="AG111" s="2065"/>
      <c r="AH111" s="2051"/>
      <c r="AI111" s="2059" t="s">
        <v>49</v>
      </c>
      <c r="AJ111" s="2045">
        <v>100</v>
      </c>
      <c r="AK111" s="2056"/>
      <c r="AL111" s="1538">
        <v>0.7412898443291327</v>
      </c>
      <c r="AM111" s="273"/>
    </row>
    <row r="112" spans="1:39" ht="12.75" customHeight="1">
      <c r="A112" s="273"/>
      <c r="B112" s="285"/>
      <c r="C112" s="276"/>
      <c r="D112" s="2044"/>
      <c r="E112" s="1389">
        <v>1.08</v>
      </c>
      <c r="F112" s="2062"/>
      <c r="G112" t="s">
        <v>3850</v>
      </c>
      <c r="L112" s="2065"/>
      <c r="M112" s="2065"/>
      <c r="N112" s="2065"/>
      <c r="O112" s="2065"/>
      <c r="P112" s="2065"/>
      <c r="Q112" s="2065"/>
      <c r="R112" s="2065"/>
      <c r="S112" s="2065"/>
      <c r="T112" s="2065"/>
      <c r="U112" s="2065"/>
      <c r="V112" s="2065"/>
      <c r="W112" s="2065"/>
      <c r="X112" s="2065"/>
      <c r="Y112" s="2065"/>
      <c r="Z112" s="2065"/>
      <c r="AA112" s="2065"/>
      <c r="AB112" s="2065"/>
      <c r="AC112" s="2065"/>
      <c r="AD112" s="2065"/>
      <c r="AE112" s="2065"/>
      <c r="AF112" s="2065"/>
      <c r="AG112" s="2065"/>
      <c r="AH112" s="2051"/>
      <c r="AI112" s="2049"/>
      <c r="AJ112" s="2045"/>
      <c r="AK112" s="1549"/>
      <c r="AL112" s="1538"/>
      <c r="AM112" s="273"/>
    </row>
    <row r="113" spans="1:39" ht="12.75" customHeight="1">
      <c r="A113" s="273"/>
      <c r="B113" s="285"/>
      <c r="C113" s="276"/>
      <c r="D113" s="2044"/>
      <c r="E113" s="1389" t="s">
        <v>596</v>
      </c>
      <c r="F113" s="2062"/>
      <c r="G113" t="s">
        <v>3851</v>
      </c>
      <c r="L113" s="2065"/>
      <c r="M113" s="2065"/>
      <c r="N113" s="2065"/>
      <c r="O113" s="2065"/>
      <c r="P113" s="2065"/>
      <c r="Q113" s="2065"/>
      <c r="R113" s="2065"/>
      <c r="S113" s="2065"/>
      <c r="T113" s="2065"/>
      <c r="U113" s="2065"/>
      <c r="V113" s="2065"/>
      <c r="W113" s="2065"/>
      <c r="X113" s="2065"/>
      <c r="Y113" s="2065"/>
      <c r="Z113" s="2065"/>
      <c r="AA113" s="2065"/>
      <c r="AB113" s="2065"/>
      <c r="AC113" s="2065"/>
      <c r="AD113" s="2065"/>
      <c r="AE113" s="2065"/>
      <c r="AF113" s="2065"/>
      <c r="AG113" s="2065"/>
      <c r="AH113" s="2051"/>
      <c r="AI113" s="2059" t="s">
        <v>49</v>
      </c>
      <c r="AJ113" s="2045">
        <v>120</v>
      </c>
      <c r="AK113" s="1549"/>
      <c r="AL113" s="1538">
        <v>0.48</v>
      </c>
      <c r="AM113" s="273"/>
    </row>
    <row r="114" spans="1:39" ht="12.75" customHeight="1">
      <c r="A114" s="273"/>
      <c r="B114" s="285"/>
      <c r="C114" s="276"/>
      <c r="D114" s="2044"/>
      <c r="E114" s="1389">
        <v>2</v>
      </c>
      <c r="F114" s="1536"/>
      <c r="G114" s="2063" t="s">
        <v>1736</v>
      </c>
      <c r="H114" s="2065"/>
      <c r="I114" s="2065"/>
      <c r="J114" s="2065"/>
      <c r="L114" s="2065"/>
      <c r="M114" s="2065"/>
      <c r="N114" s="2065"/>
      <c r="O114" s="2065"/>
      <c r="P114" s="2065"/>
      <c r="Q114" s="2065"/>
      <c r="R114" s="2065"/>
      <c r="S114" s="2065"/>
      <c r="T114" s="2065"/>
      <c r="U114" s="2065"/>
      <c r="V114" s="2065"/>
      <c r="W114" s="2065"/>
      <c r="X114" s="2065"/>
      <c r="Y114" s="2065"/>
      <c r="Z114" s="2065"/>
      <c r="AA114" s="2065"/>
      <c r="AB114" s="2065"/>
      <c r="AC114" s="2065"/>
      <c r="AD114" s="2065"/>
      <c r="AE114" s="2065"/>
      <c r="AF114" s="2065"/>
      <c r="AG114" s="2065"/>
      <c r="AH114" s="2051"/>
      <c r="AI114" s="2049"/>
      <c r="AJ114" s="2045"/>
      <c r="AK114" s="1549"/>
      <c r="AL114" s="1538"/>
      <c r="AM114" s="273"/>
    </row>
    <row r="115" spans="1:39" ht="12.75" customHeight="1">
      <c r="A115" s="273"/>
      <c r="B115" s="285"/>
      <c r="C115" s="276"/>
      <c r="D115" s="2044"/>
      <c r="E115" s="1389">
        <v>2.0499999999999998</v>
      </c>
      <c r="F115" s="2062"/>
      <c r="G115" s="2067" t="s">
        <v>3879</v>
      </c>
      <c r="L115" s="2065"/>
      <c r="M115" s="2065"/>
      <c r="N115" s="2065"/>
      <c r="O115" s="2065"/>
      <c r="P115" s="2065"/>
      <c r="Q115" s="2065"/>
      <c r="R115" s="2065"/>
      <c r="S115" s="2065"/>
      <c r="T115" s="2065"/>
      <c r="U115" s="2065"/>
      <c r="V115" s="2065"/>
      <c r="W115" s="2065"/>
      <c r="X115" s="2065"/>
      <c r="Y115" s="2065"/>
      <c r="Z115" s="2065"/>
      <c r="AA115" s="2065"/>
      <c r="AB115" s="2065"/>
      <c r="AC115" s="2065"/>
      <c r="AD115" s="2065"/>
      <c r="AE115" s="2065"/>
      <c r="AF115" s="2065"/>
      <c r="AG115" s="2065"/>
      <c r="AH115" s="2051"/>
      <c r="AI115" s="2049"/>
      <c r="AJ115" s="2045"/>
      <c r="AK115" s="1549"/>
      <c r="AL115" s="1538"/>
      <c r="AM115" s="273"/>
    </row>
    <row r="116" spans="1:39" ht="12.75" customHeight="1">
      <c r="A116" s="273"/>
      <c r="B116" s="285"/>
      <c r="C116" s="276"/>
      <c r="D116" s="2044"/>
      <c r="E116" s="1389" t="s">
        <v>2614</v>
      </c>
      <c r="F116" s="2062"/>
      <c r="G116" s="2068" t="s">
        <v>3884</v>
      </c>
      <c r="L116" s="2065"/>
      <c r="M116" s="2065"/>
      <c r="N116" s="2065"/>
      <c r="O116" s="2065"/>
      <c r="P116" s="2065"/>
      <c r="Q116" s="2065"/>
      <c r="R116" s="2065"/>
      <c r="S116" s="2065"/>
      <c r="T116" s="2065"/>
      <c r="U116" s="2065"/>
      <c r="V116" s="2065"/>
      <c r="W116" s="2065"/>
      <c r="X116" s="2065"/>
      <c r="Y116" s="2065"/>
      <c r="Z116" s="2065"/>
      <c r="AA116" s="2065"/>
      <c r="AB116" s="2065"/>
      <c r="AC116" s="2065"/>
      <c r="AD116" s="2065"/>
      <c r="AE116" s="2065"/>
      <c r="AF116" s="2065"/>
      <c r="AG116" s="2065"/>
      <c r="AH116" s="2051"/>
      <c r="AI116" s="2049"/>
      <c r="AJ116" s="2045"/>
      <c r="AK116" s="1549"/>
      <c r="AL116" s="1538"/>
      <c r="AM116" s="273"/>
    </row>
    <row r="117" spans="1:39" ht="12.75" customHeight="1">
      <c r="A117" s="273"/>
      <c r="B117" s="285"/>
      <c r="C117" s="276"/>
      <c r="D117" s="2044"/>
      <c r="E117" s="1389" t="s">
        <v>2941</v>
      </c>
      <c r="F117" s="2062"/>
      <c r="G117" t="s">
        <v>3885</v>
      </c>
      <c r="L117" s="2065"/>
      <c r="M117" s="2065"/>
      <c r="N117" s="2065"/>
      <c r="O117" s="2065"/>
      <c r="P117" s="2065"/>
      <c r="Q117" s="2065"/>
      <c r="R117" s="2065"/>
      <c r="S117" s="2065"/>
      <c r="T117" s="2065"/>
      <c r="U117" s="2065"/>
      <c r="V117" s="2065"/>
      <c r="W117" s="2065"/>
      <c r="X117" s="2065"/>
      <c r="Y117" s="2065"/>
      <c r="Z117" s="2065"/>
      <c r="AA117" s="2065"/>
      <c r="AB117" s="2065"/>
      <c r="AC117" s="2065"/>
      <c r="AD117" s="2065"/>
      <c r="AE117" s="2065"/>
      <c r="AF117" s="2065"/>
      <c r="AG117" s="2065"/>
      <c r="AH117" s="2051"/>
      <c r="AI117" s="2049" t="s">
        <v>268</v>
      </c>
      <c r="AJ117" s="2045">
        <v>1</v>
      </c>
      <c r="AK117" s="1549"/>
      <c r="AL117" s="1538">
        <v>1</v>
      </c>
      <c r="AM117" s="273"/>
    </row>
    <row r="118" spans="1:39" ht="12.75" customHeight="1">
      <c r="A118" s="273"/>
      <c r="B118" s="285"/>
      <c r="C118" s="276"/>
      <c r="D118" s="2044"/>
      <c r="E118" s="1389" t="s">
        <v>2943</v>
      </c>
      <c r="F118" s="2062"/>
      <c r="G118" t="s">
        <v>3886</v>
      </c>
      <c r="L118" s="2065"/>
      <c r="M118" s="2065"/>
      <c r="N118" s="2065"/>
      <c r="O118" s="2065"/>
      <c r="P118" s="2065"/>
      <c r="Q118" s="2065"/>
      <c r="R118" s="2065"/>
      <c r="S118" s="2065"/>
      <c r="T118" s="2065"/>
      <c r="U118" s="2065"/>
      <c r="V118" s="2065"/>
      <c r="W118" s="2065"/>
      <c r="X118" s="2065"/>
      <c r="Y118" s="2065"/>
      <c r="Z118" s="2065"/>
      <c r="AA118" s="2065"/>
      <c r="AB118" s="2065"/>
      <c r="AC118" s="2065"/>
      <c r="AD118" s="2065"/>
      <c r="AE118" s="2065"/>
      <c r="AF118" s="2065"/>
      <c r="AG118" s="2065"/>
      <c r="AH118" s="2051"/>
      <c r="AI118" s="2049" t="s">
        <v>268</v>
      </c>
      <c r="AJ118" s="2045">
        <v>0.3</v>
      </c>
      <c r="AK118" s="1549"/>
      <c r="AL118" s="1538">
        <v>0.3</v>
      </c>
      <c r="AM118" s="273"/>
    </row>
    <row r="119" spans="1:39" ht="12.75" customHeight="1">
      <c r="A119" s="273"/>
      <c r="B119" s="285"/>
      <c r="C119" s="276"/>
      <c r="D119" s="2044"/>
      <c r="E119" s="1389" t="s">
        <v>2945</v>
      </c>
      <c r="F119" s="2062"/>
      <c r="G119" t="s">
        <v>3887</v>
      </c>
      <c r="L119" s="2065"/>
      <c r="M119" s="2065"/>
      <c r="N119" s="2065"/>
      <c r="O119" s="2065"/>
      <c r="P119" s="2065"/>
      <c r="Q119" s="2065"/>
      <c r="R119" s="2065"/>
      <c r="S119" s="2065"/>
      <c r="T119" s="2065"/>
      <c r="U119" s="2065"/>
      <c r="V119" s="2065"/>
      <c r="W119" s="2065"/>
      <c r="X119" s="2065"/>
      <c r="Y119" s="2065"/>
      <c r="Z119" s="2065"/>
      <c r="AA119" s="2065"/>
      <c r="AB119" s="2065"/>
      <c r="AC119" s="2065"/>
      <c r="AD119" s="2065"/>
      <c r="AE119" s="2065"/>
      <c r="AF119" s="2065"/>
      <c r="AG119" s="2065"/>
      <c r="AH119" s="2051"/>
      <c r="AI119" s="2049" t="s">
        <v>268</v>
      </c>
      <c r="AJ119" s="2045">
        <v>0.5</v>
      </c>
      <c r="AK119" s="1549"/>
      <c r="AL119" s="1538">
        <v>0.5</v>
      </c>
      <c r="AM119" s="273"/>
    </row>
    <row r="120" spans="1:39" ht="12.75" customHeight="1">
      <c r="A120" s="273"/>
      <c r="B120" s="285"/>
      <c r="C120" s="276"/>
      <c r="D120" s="2044"/>
      <c r="E120" s="1389" t="s">
        <v>2947</v>
      </c>
      <c r="F120" s="2062"/>
      <c r="G120" t="s">
        <v>3888</v>
      </c>
      <c r="L120" s="2065"/>
      <c r="M120" s="2065"/>
      <c r="N120" s="2065"/>
      <c r="O120" s="2065"/>
      <c r="P120" s="2065"/>
      <c r="Q120" s="2065"/>
      <c r="R120" s="2065"/>
      <c r="S120" s="2065"/>
      <c r="T120" s="2065"/>
      <c r="U120" s="2065"/>
      <c r="V120" s="2065"/>
      <c r="W120" s="2065"/>
      <c r="X120" s="2065"/>
      <c r="Y120" s="2065"/>
      <c r="Z120" s="2065"/>
      <c r="AA120" s="2065"/>
      <c r="AB120" s="2065"/>
      <c r="AC120" s="2065"/>
      <c r="AD120" s="2065"/>
      <c r="AE120" s="2065"/>
      <c r="AF120" s="2065"/>
      <c r="AG120" s="2065"/>
      <c r="AH120" s="2051"/>
      <c r="AI120" s="2049" t="s">
        <v>268</v>
      </c>
      <c r="AJ120" s="2045">
        <v>0.5</v>
      </c>
      <c r="AK120" s="1549"/>
      <c r="AL120" s="1538">
        <v>0.5</v>
      </c>
      <c r="AM120" s="273"/>
    </row>
    <row r="121" spans="1:39" ht="12.75" customHeight="1">
      <c r="A121" s="273"/>
      <c r="B121" s="285"/>
      <c r="C121" s="276"/>
      <c r="D121" s="2044"/>
      <c r="E121" s="1389" t="s">
        <v>2949</v>
      </c>
      <c r="F121" s="2062"/>
      <c r="G121" t="s">
        <v>3889</v>
      </c>
      <c r="L121" s="2065"/>
      <c r="M121" s="2065"/>
      <c r="N121" s="2065"/>
      <c r="O121" s="2065"/>
      <c r="P121" s="2065"/>
      <c r="Q121" s="2065"/>
      <c r="R121" s="2065"/>
      <c r="S121" s="2065"/>
      <c r="T121" s="2065"/>
      <c r="U121" s="2065"/>
      <c r="V121" s="2065"/>
      <c r="W121" s="2065"/>
      <c r="X121" s="2065"/>
      <c r="Y121" s="2065"/>
      <c r="Z121" s="2065"/>
      <c r="AA121" s="2065"/>
      <c r="AB121" s="2065"/>
      <c r="AC121" s="2065"/>
      <c r="AD121" s="2065"/>
      <c r="AE121" s="2065"/>
      <c r="AF121" s="2065"/>
      <c r="AG121" s="2065"/>
      <c r="AH121" s="2051"/>
      <c r="AI121" s="2049" t="s">
        <v>268</v>
      </c>
      <c r="AJ121" s="2045">
        <v>0.5</v>
      </c>
      <c r="AK121" s="1549"/>
      <c r="AL121" s="1538">
        <v>0.5</v>
      </c>
      <c r="AM121" s="273"/>
    </row>
    <row r="122" spans="1:39" ht="12.75" customHeight="1">
      <c r="A122" s="273"/>
      <c r="B122" s="285"/>
      <c r="C122" s="276"/>
      <c r="D122" s="2044"/>
      <c r="E122" s="1389">
        <v>2.06</v>
      </c>
      <c r="F122" s="2062"/>
      <c r="G122" s="2067" t="s">
        <v>4293</v>
      </c>
      <c r="L122" s="2065"/>
      <c r="M122" s="2065"/>
      <c r="N122" s="2065"/>
      <c r="O122" s="2065"/>
      <c r="P122" s="2065"/>
      <c r="Q122" s="2065"/>
      <c r="R122" s="2065"/>
      <c r="S122" s="2065"/>
      <c r="T122" s="2065"/>
      <c r="U122" s="2065"/>
      <c r="V122" s="2065"/>
      <c r="W122" s="2065"/>
      <c r="X122" s="2065"/>
      <c r="Y122" s="2065"/>
      <c r="Z122" s="2065"/>
      <c r="AA122" s="2065"/>
      <c r="AB122" s="2065"/>
      <c r="AC122" s="2065"/>
      <c r="AD122" s="2065"/>
      <c r="AE122" s="2065"/>
      <c r="AF122" s="2065"/>
      <c r="AG122" s="2065"/>
      <c r="AH122" s="2051"/>
      <c r="AI122" s="2049"/>
      <c r="AJ122" s="2045"/>
      <c r="AK122" s="1549"/>
      <c r="AL122" s="1538"/>
      <c r="AM122" s="273"/>
    </row>
    <row r="123" spans="1:39" ht="12.75" customHeight="1">
      <c r="A123" s="273"/>
      <c r="B123" s="285"/>
      <c r="C123" s="276"/>
      <c r="D123" s="2044"/>
      <c r="E123" s="1389" t="s">
        <v>2619</v>
      </c>
      <c r="F123" s="2062"/>
      <c r="G123" s="2068" t="s">
        <v>3903</v>
      </c>
      <c r="H123" s="2069"/>
      <c r="L123" s="2065"/>
      <c r="M123" s="2065"/>
      <c r="N123" s="2065"/>
      <c r="O123" s="2065"/>
      <c r="P123" s="2065"/>
      <c r="Q123" s="2065"/>
      <c r="R123" s="2065"/>
      <c r="S123" s="2065"/>
      <c r="T123" s="2065"/>
      <c r="U123" s="2065"/>
      <c r="V123" s="2065"/>
      <c r="W123" s="2065"/>
      <c r="X123" s="2065"/>
      <c r="Y123" s="2065"/>
      <c r="Z123" s="2065"/>
      <c r="AA123" s="2065"/>
      <c r="AB123" s="2065"/>
      <c r="AC123" s="2065"/>
      <c r="AD123" s="2065"/>
      <c r="AE123" s="2065"/>
      <c r="AF123" s="2065"/>
      <c r="AG123" s="2065"/>
      <c r="AH123" s="2051"/>
      <c r="AI123" s="2049"/>
      <c r="AJ123" s="2045"/>
      <c r="AK123" s="1549"/>
      <c r="AL123" s="1538"/>
      <c r="AM123" s="273"/>
    </row>
    <row r="124" spans="1:39" ht="12.75" customHeight="1">
      <c r="A124" s="273"/>
      <c r="B124" s="285"/>
      <c r="C124" s="276"/>
      <c r="D124" s="2044"/>
      <c r="E124" s="1389" t="s">
        <v>2976</v>
      </c>
      <c r="F124" s="2062"/>
      <c r="G124" t="s">
        <v>3904</v>
      </c>
      <c r="L124" s="2065"/>
      <c r="M124" s="2065"/>
      <c r="N124" s="2065"/>
      <c r="O124" s="2065"/>
      <c r="P124" s="2065"/>
      <c r="Q124" s="2065"/>
      <c r="R124" s="2065"/>
      <c r="S124" s="2065"/>
      <c r="T124" s="2065"/>
      <c r="U124" s="2065"/>
      <c r="V124" s="2065"/>
      <c r="W124" s="2065"/>
      <c r="X124" s="2065"/>
      <c r="Y124" s="2065"/>
      <c r="Z124" s="2065"/>
      <c r="AA124" s="2065"/>
      <c r="AB124" s="2065"/>
      <c r="AC124" s="2065"/>
      <c r="AD124" s="2065"/>
      <c r="AE124" s="2065"/>
      <c r="AF124" s="2065"/>
      <c r="AG124" s="2065"/>
      <c r="AH124" s="2051"/>
      <c r="AI124" s="2049" t="s">
        <v>268</v>
      </c>
      <c r="AJ124" s="2045">
        <v>1</v>
      </c>
      <c r="AK124" s="1549"/>
      <c r="AL124" s="1538">
        <v>1</v>
      </c>
      <c r="AM124" s="273"/>
    </row>
    <row r="125" spans="1:39" ht="12.75" customHeight="1">
      <c r="A125" s="273"/>
      <c r="B125" s="285"/>
      <c r="C125" s="276"/>
      <c r="D125" s="2044"/>
      <c r="E125" s="1389" t="s">
        <v>3003</v>
      </c>
      <c r="F125" s="2062"/>
      <c r="G125" s="2067" t="s">
        <v>3923</v>
      </c>
      <c r="L125" s="2065"/>
      <c r="M125" s="2065"/>
      <c r="N125" s="2065"/>
      <c r="O125" s="2065"/>
      <c r="P125" s="2065"/>
      <c r="Q125" s="2065"/>
      <c r="R125" s="2065"/>
      <c r="S125" s="2065"/>
      <c r="T125" s="2065"/>
      <c r="U125" s="2065"/>
      <c r="V125" s="2065"/>
      <c r="W125" s="2065"/>
      <c r="X125" s="2065"/>
      <c r="Y125" s="2065"/>
      <c r="Z125" s="2065"/>
      <c r="AA125" s="2065"/>
      <c r="AB125" s="2065"/>
      <c r="AC125" s="2065"/>
      <c r="AD125" s="2065"/>
      <c r="AE125" s="2065"/>
      <c r="AF125" s="2065"/>
      <c r="AG125" s="2065"/>
      <c r="AH125" s="2051"/>
      <c r="AI125" s="2049"/>
      <c r="AJ125" s="2045"/>
      <c r="AK125" s="1549"/>
      <c r="AL125" s="1538"/>
      <c r="AM125" s="273"/>
    </row>
    <row r="126" spans="1:39" ht="12.75" customHeight="1">
      <c r="A126" s="273"/>
      <c r="B126" s="285"/>
      <c r="C126" s="276"/>
      <c r="D126" s="2044"/>
      <c r="E126" s="1389" t="s">
        <v>3017</v>
      </c>
      <c r="F126" s="2062"/>
      <c r="G126" s="2068" t="s">
        <v>3930</v>
      </c>
      <c r="L126" s="2065"/>
      <c r="M126" s="2065"/>
      <c r="N126" s="2065"/>
      <c r="O126" s="2065"/>
      <c r="P126" s="2065"/>
      <c r="Q126" s="2065"/>
      <c r="R126" s="2065"/>
      <c r="S126" s="2065"/>
      <c r="T126" s="2065"/>
      <c r="U126" s="2065"/>
      <c r="V126" s="2065"/>
      <c r="W126" s="2065"/>
      <c r="X126" s="2065"/>
      <c r="Y126" s="2065"/>
      <c r="Z126" s="2065"/>
      <c r="AA126" s="2065"/>
      <c r="AB126" s="2065"/>
      <c r="AC126" s="2065"/>
      <c r="AD126" s="2065"/>
      <c r="AE126" s="2065"/>
      <c r="AF126" s="2065"/>
      <c r="AG126" s="2065"/>
      <c r="AH126" s="2051"/>
      <c r="AI126" s="2049"/>
      <c r="AJ126" s="2045"/>
      <c r="AK126" s="1549"/>
      <c r="AL126" s="1538"/>
      <c r="AM126" s="273"/>
    </row>
    <row r="127" spans="1:39" ht="12.75" customHeight="1">
      <c r="A127" s="273"/>
      <c r="B127" s="285"/>
      <c r="C127" s="276"/>
      <c r="D127" s="2044"/>
      <c r="E127" s="1389" t="s">
        <v>3019</v>
      </c>
      <c r="F127" s="2062"/>
      <c r="G127" t="s">
        <v>3931</v>
      </c>
      <c r="L127" s="2065"/>
      <c r="M127" s="2065"/>
      <c r="N127" s="2065"/>
      <c r="O127" s="2065"/>
      <c r="P127" s="2065"/>
      <c r="Q127" s="2065"/>
      <c r="R127" s="2065"/>
      <c r="S127" s="2065"/>
      <c r="T127" s="2065"/>
      <c r="U127" s="2065"/>
      <c r="V127" s="2065"/>
      <c r="W127" s="2065"/>
      <c r="X127" s="2065"/>
      <c r="Y127" s="2065"/>
      <c r="Z127" s="2065"/>
      <c r="AA127" s="2065"/>
      <c r="AB127" s="2065"/>
      <c r="AC127" s="2065"/>
      <c r="AD127" s="2065"/>
      <c r="AE127" s="2065"/>
      <c r="AF127" s="2065"/>
      <c r="AG127" s="2065"/>
      <c r="AH127" s="2051"/>
      <c r="AI127" s="2049" t="s">
        <v>51</v>
      </c>
      <c r="AJ127" s="2045">
        <v>13.85</v>
      </c>
      <c r="AK127" s="1549"/>
      <c r="AL127" s="1538">
        <v>1</v>
      </c>
      <c r="AM127" s="273"/>
    </row>
    <row r="128" spans="1:39" ht="12.75" customHeight="1">
      <c r="A128" s="273"/>
      <c r="B128" s="285"/>
      <c r="C128" s="276"/>
      <c r="D128" s="2044"/>
      <c r="E128" s="1389" t="s">
        <v>3021</v>
      </c>
      <c r="F128" s="2062"/>
      <c r="G128" t="s">
        <v>3932</v>
      </c>
      <c r="L128" s="2065"/>
      <c r="M128" s="2065"/>
      <c r="N128" s="2065"/>
      <c r="O128" s="2065"/>
      <c r="P128" s="2065"/>
      <c r="Q128" s="2065"/>
      <c r="R128" s="2065"/>
      <c r="S128" s="2065"/>
      <c r="T128" s="2065"/>
      <c r="U128" s="2065"/>
      <c r="V128" s="2065"/>
      <c r="W128" s="2065"/>
      <c r="X128" s="2065"/>
      <c r="Y128" s="2065"/>
      <c r="Z128" s="2065"/>
      <c r="AA128" s="2065"/>
      <c r="AB128" s="2065"/>
      <c r="AC128" s="2065"/>
      <c r="AD128" s="2065"/>
      <c r="AE128" s="2065"/>
      <c r="AF128" s="2065"/>
      <c r="AG128" s="2065"/>
      <c r="AH128" s="2051"/>
      <c r="AI128" s="2049" t="s">
        <v>51</v>
      </c>
      <c r="AJ128" s="2045">
        <v>5.5</v>
      </c>
      <c r="AK128" s="1549"/>
      <c r="AL128" s="1538">
        <v>1</v>
      </c>
      <c r="AM128" s="273"/>
    </row>
    <row r="129" spans="1:39" ht="12.75" customHeight="1">
      <c r="A129" s="273"/>
      <c r="B129" s="285"/>
      <c r="C129" s="276"/>
      <c r="D129" s="2044"/>
      <c r="E129" s="1389" t="s">
        <v>3027</v>
      </c>
      <c r="F129" s="2062"/>
      <c r="G129" s="2067" t="s">
        <v>3934</v>
      </c>
      <c r="L129" s="2065"/>
      <c r="M129" s="2065"/>
      <c r="N129" s="2065"/>
      <c r="O129" s="2065"/>
      <c r="P129" s="2065"/>
      <c r="Q129" s="2065"/>
      <c r="R129" s="2065"/>
      <c r="S129" s="2065"/>
      <c r="T129" s="2065"/>
      <c r="U129" s="2065"/>
      <c r="V129" s="2065"/>
      <c r="W129" s="2065"/>
      <c r="X129" s="2065"/>
      <c r="Y129" s="2065"/>
      <c r="Z129" s="2065"/>
      <c r="AA129" s="2065"/>
      <c r="AB129" s="2065"/>
      <c r="AC129" s="2065"/>
      <c r="AD129" s="2065"/>
      <c r="AE129" s="2065"/>
      <c r="AF129" s="2065"/>
      <c r="AG129" s="2065"/>
      <c r="AH129" s="2051"/>
      <c r="AI129" s="2049"/>
      <c r="AJ129" s="2045"/>
      <c r="AK129" s="1549"/>
      <c r="AL129" s="1538"/>
      <c r="AM129" s="273"/>
    </row>
    <row r="130" spans="1:39" ht="12.75" customHeight="1">
      <c r="A130" s="273"/>
      <c r="B130" s="285"/>
      <c r="C130" s="276"/>
      <c r="D130" s="2044"/>
      <c r="E130" s="1389" t="s">
        <v>3029</v>
      </c>
      <c r="F130" s="2062"/>
      <c r="G130" t="s">
        <v>3935</v>
      </c>
      <c r="L130" s="2065"/>
      <c r="M130" s="2065"/>
      <c r="N130" s="2065"/>
      <c r="O130" s="2065"/>
      <c r="P130" s="2065"/>
      <c r="Q130" s="2065"/>
      <c r="R130" s="2065"/>
      <c r="S130" s="2065"/>
      <c r="T130" s="2065"/>
      <c r="U130" s="2065"/>
      <c r="V130" s="2065"/>
      <c r="W130" s="2065"/>
      <c r="X130" s="2065"/>
      <c r="Y130" s="2065"/>
      <c r="Z130" s="2065"/>
      <c r="AA130" s="2065"/>
      <c r="AB130" s="2065"/>
      <c r="AC130" s="2065"/>
      <c r="AD130" s="2065"/>
      <c r="AE130" s="2065"/>
      <c r="AF130" s="2065"/>
      <c r="AG130" s="2065"/>
      <c r="AH130" s="2051"/>
      <c r="AI130" s="2049" t="s">
        <v>52</v>
      </c>
      <c r="AJ130" s="2045">
        <v>1</v>
      </c>
      <c r="AK130" s="1549"/>
      <c r="AL130" s="1538">
        <v>1</v>
      </c>
      <c r="AM130" s="273"/>
    </row>
    <row r="131" spans="1:39" ht="12.75" customHeight="1">
      <c r="A131" s="273"/>
      <c r="B131" s="285"/>
      <c r="C131" s="276"/>
      <c r="D131" s="2044"/>
      <c r="E131" s="1389" t="s">
        <v>3031</v>
      </c>
      <c r="F131" s="2062"/>
      <c r="G131" t="s">
        <v>3936</v>
      </c>
      <c r="L131" s="2065"/>
      <c r="M131" s="2065"/>
      <c r="N131" s="2065"/>
      <c r="O131" s="2065"/>
      <c r="P131" s="2065"/>
      <c r="Q131" s="2065"/>
      <c r="R131" s="2065"/>
      <c r="S131" s="2065"/>
      <c r="T131" s="2065"/>
      <c r="U131" s="2065"/>
      <c r="V131" s="2065"/>
      <c r="W131" s="2065"/>
      <c r="X131" s="2065"/>
      <c r="Y131" s="2065"/>
      <c r="Z131" s="2065"/>
      <c r="AA131" s="2065"/>
      <c r="AB131" s="2065"/>
      <c r="AC131" s="2065"/>
      <c r="AD131" s="2065"/>
      <c r="AE131" s="2065"/>
      <c r="AF131" s="2065"/>
      <c r="AG131" s="2065"/>
      <c r="AH131" s="2051"/>
      <c r="AI131" s="2049" t="s">
        <v>52</v>
      </c>
      <c r="AJ131" s="2045">
        <v>5</v>
      </c>
      <c r="AK131" s="1549"/>
      <c r="AL131" s="1538">
        <v>1</v>
      </c>
      <c r="AM131" s="273"/>
    </row>
    <row r="132" spans="1:39" ht="12.75" customHeight="1">
      <c r="A132" s="273"/>
      <c r="B132" s="285"/>
      <c r="C132" s="276"/>
      <c r="D132" s="2044"/>
      <c r="E132" s="1389" t="s">
        <v>3033</v>
      </c>
      <c r="F132" s="2062"/>
      <c r="G132" t="s">
        <v>3937</v>
      </c>
      <c r="L132" s="2065"/>
      <c r="M132" s="2065"/>
      <c r="N132" s="2065"/>
      <c r="O132" s="2065"/>
      <c r="P132" s="2065"/>
      <c r="Q132" s="2065"/>
      <c r="R132" s="2065"/>
      <c r="S132" s="2065"/>
      <c r="T132" s="2065"/>
      <c r="U132" s="2065"/>
      <c r="V132" s="2065"/>
      <c r="W132" s="2065"/>
      <c r="X132" s="2065"/>
      <c r="Y132" s="2065"/>
      <c r="Z132" s="2065"/>
      <c r="AA132" s="2065"/>
      <c r="AB132" s="2065"/>
      <c r="AC132" s="2065"/>
      <c r="AD132" s="2065"/>
      <c r="AE132" s="2065"/>
      <c r="AF132" s="2065"/>
      <c r="AG132" s="2065"/>
      <c r="AH132" s="2051"/>
      <c r="AI132" s="2049" t="s">
        <v>52</v>
      </c>
      <c r="AJ132" s="2045">
        <v>1</v>
      </c>
      <c r="AK132" s="1549"/>
      <c r="AL132" s="1538">
        <v>1</v>
      </c>
      <c r="AM132" s="273"/>
    </row>
    <row r="133" spans="1:39" ht="12.75" customHeight="1">
      <c r="A133" s="273"/>
      <c r="B133" s="285"/>
      <c r="C133" s="276"/>
      <c r="D133" s="2044"/>
      <c r="E133" s="1389">
        <v>6</v>
      </c>
      <c r="F133" s="2062"/>
      <c r="G133" s="2070" t="s">
        <v>3782</v>
      </c>
      <c r="L133" s="2065"/>
      <c r="M133" s="2065"/>
      <c r="N133" s="2065"/>
      <c r="O133" s="2065"/>
      <c r="P133" s="2065"/>
      <c r="Q133" s="2065"/>
      <c r="R133" s="2065"/>
      <c r="S133" s="2065"/>
      <c r="T133" s="2065"/>
      <c r="U133" s="2065"/>
      <c r="V133" s="2065"/>
      <c r="W133" s="2065"/>
      <c r="X133" s="2065"/>
      <c r="Y133" s="2065"/>
      <c r="Z133" s="2065"/>
      <c r="AA133" s="2065"/>
      <c r="AB133" s="2065"/>
      <c r="AC133" s="2065"/>
      <c r="AD133" s="2065"/>
      <c r="AE133" s="2065"/>
      <c r="AF133" s="2065"/>
      <c r="AG133" s="2065"/>
      <c r="AH133" s="2051"/>
      <c r="AI133" s="2049"/>
      <c r="AJ133" s="2045"/>
      <c r="AK133" s="1549"/>
      <c r="AL133" s="1538"/>
      <c r="AM133" s="273"/>
    </row>
    <row r="134" spans="1:39" ht="12.75" customHeight="1">
      <c r="A134" s="273"/>
      <c r="B134" s="285"/>
      <c r="C134" s="276"/>
      <c r="D134" s="2044"/>
      <c r="E134" s="1389">
        <v>6.01</v>
      </c>
      <c r="F134" s="2062"/>
      <c r="G134" s="2067" t="s">
        <v>3783</v>
      </c>
      <c r="L134" s="2065"/>
      <c r="M134" s="2065"/>
      <c r="N134" s="2065"/>
      <c r="O134" s="2065"/>
      <c r="P134" s="2065"/>
      <c r="Q134" s="2065"/>
      <c r="R134" s="2065"/>
      <c r="S134" s="2065"/>
      <c r="T134" s="2065"/>
      <c r="U134" s="2065"/>
      <c r="V134" s="2065"/>
      <c r="W134" s="2065"/>
      <c r="X134" s="2065"/>
      <c r="Y134" s="2065"/>
      <c r="Z134" s="2065"/>
      <c r="AA134" s="2065"/>
      <c r="AB134" s="2065"/>
      <c r="AC134" s="2065"/>
      <c r="AD134" s="2065"/>
      <c r="AE134" s="2065"/>
      <c r="AF134" s="2065"/>
      <c r="AG134" s="2065"/>
      <c r="AH134" s="2051"/>
      <c r="AI134" s="2049"/>
      <c r="AJ134" s="2045"/>
      <c r="AK134" s="1549"/>
      <c r="AL134" s="1538"/>
      <c r="AM134" s="273"/>
    </row>
    <row r="135" spans="1:39" ht="12.75" customHeight="1">
      <c r="A135" s="273"/>
      <c r="B135" s="285"/>
      <c r="C135" s="276"/>
      <c r="D135" s="2044"/>
      <c r="E135" s="1389" t="s">
        <v>3777</v>
      </c>
      <c r="F135" s="2062"/>
      <c r="G135" t="s">
        <v>3784</v>
      </c>
      <c r="L135" s="2065"/>
      <c r="M135" s="2065"/>
      <c r="N135" s="2065"/>
      <c r="O135" s="2065"/>
      <c r="P135" s="2065"/>
      <c r="Q135" s="2065"/>
      <c r="R135" s="2065"/>
      <c r="S135" s="2065"/>
      <c r="T135" s="2065"/>
      <c r="U135" s="2065"/>
      <c r="V135" s="2065"/>
      <c r="W135" s="2065"/>
      <c r="X135" s="2065"/>
      <c r="Y135" s="2065"/>
      <c r="Z135" s="2065"/>
      <c r="AA135" s="2065"/>
      <c r="AB135" s="2065"/>
      <c r="AC135" s="2065"/>
      <c r="AD135" s="2065"/>
      <c r="AE135" s="2065"/>
      <c r="AF135" s="2065"/>
      <c r="AG135" s="2065"/>
      <c r="AH135" s="2051"/>
      <c r="AI135" s="2049" t="s">
        <v>49</v>
      </c>
      <c r="AJ135" s="2045">
        <v>110</v>
      </c>
      <c r="AK135" s="1549"/>
      <c r="AL135" s="1538">
        <v>1</v>
      </c>
      <c r="AM135" s="273"/>
    </row>
    <row r="136" spans="1:39" ht="12.75" customHeight="1">
      <c r="A136" s="273"/>
      <c r="B136" s="285"/>
      <c r="C136" s="276"/>
      <c r="D136" s="2044"/>
      <c r="E136" s="1389"/>
      <c r="F136" s="2062"/>
      <c r="L136" s="2065"/>
      <c r="M136" s="2065"/>
      <c r="N136" s="2065"/>
      <c r="O136" s="2065"/>
      <c r="P136" s="2065"/>
      <c r="Q136" s="2065"/>
      <c r="R136" s="2065"/>
      <c r="S136" s="2065"/>
      <c r="T136" s="2065"/>
      <c r="U136" s="2065"/>
      <c r="V136" s="2065"/>
      <c r="W136" s="2065"/>
      <c r="X136" s="2065"/>
      <c r="Y136" s="2065"/>
      <c r="Z136" s="2065"/>
      <c r="AA136" s="2065"/>
      <c r="AB136" s="2065"/>
      <c r="AC136" s="2065"/>
      <c r="AD136" s="2065"/>
      <c r="AE136" s="2065"/>
      <c r="AF136" s="2065"/>
      <c r="AG136" s="2065"/>
      <c r="AH136" s="2051"/>
      <c r="AI136" s="2049"/>
      <c r="AJ136" s="2045"/>
      <c r="AK136" s="1549"/>
      <c r="AL136" s="1538"/>
      <c r="AM136" s="273"/>
    </row>
    <row r="137" spans="1:39" ht="12.75" customHeight="1">
      <c r="A137" s="273"/>
      <c r="B137" s="285"/>
      <c r="C137" s="276"/>
      <c r="D137" s="2044"/>
      <c r="E137" s="1389"/>
      <c r="F137" s="2062"/>
      <c r="G137" s="2070" t="s">
        <v>4294</v>
      </c>
      <c r="L137" s="2065"/>
      <c r="M137" s="2065"/>
      <c r="N137" s="2065"/>
      <c r="O137" s="2065"/>
      <c r="P137" s="2065"/>
      <c r="Q137" s="2065"/>
      <c r="R137" s="2065"/>
      <c r="S137" s="2065"/>
      <c r="T137" s="2065"/>
      <c r="U137" s="2065"/>
      <c r="V137" s="2065"/>
      <c r="W137" s="2065"/>
      <c r="X137" s="2065"/>
      <c r="Y137" s="2065"/>
      <c r="Z137" s="2065"/>
      <c r="AA137" s="2065"/>
      <c r="AB137" s="2065"/>
      <c r="AC137" s="2065"/>
      <c r="AD137" s="2065"/>
      <c r="AE137" s="2065"/>
      <c r="AF137" s="2065"/>
      <c r="AG137" s="2065"/>
      <c r="AH137" s="2051"/>
      <c r="AI137" s="2049"/>
      <c r="AJ137" s="2045"/>
      <c r="AK137" s="1549"/>
      <c r="AL137" s="1538"/>
      <c r="AM137" s="273"/>
    </row>
    <row r="138" spans="1:39" ht="12.75" customHeight="1">
      <c r="A138" s="273"/>
      <c r="B138" s="285"/>
      <c r="C138" s="276"/>
      <c r="D138" s="2044"/>
      <c r="E138" s="1389">
        <v>1</v>
      </c>
      <c r="F138" s="1536"/>
      <c r="G138" s="2071" t="s">
        <v>1671</v>
      </c>
      <c r="H138" s="2065"/>
      <c r="I138" s="2065"/>
      <c r="J138" s="2065"/>
      <c r="K138" s="2065"/>
      <c r="L138" s="2065"/>
      <c r="M138" s="2065"/>
      <c r="N138" s="2065"/>
      <c r="O138" s="2065"/>
      <c r="P138" s="2065"/>
      <c r="Q138" s="2065"/>
      <c r="R138" s="2065"/>
      <c r="S138" s="2065"/>
      <c r="T138" s="2065"/>
      <c r="U138" s="2065"/>
      <c r="V138" s="2065"/>
      <c r="W138" s="2065"/>
      <c r="X138" s="2065"/>
      <c r="Y138" s="2065"/>
      <c r="Z138" s="2065"/>
      <c r="AA138" s="2065"/>
      <c r="AB138" s="2065"/>
      <c r="AC138" s="2065"/>
      <c r="AD138" s="2065"/>
      <c r="AE138" s="2065"/>
      <c r="AF138" s="2065"/>
      <c r="AG138" s="2065"/>
      <c r="AH138" s="2051"/>
      <c r="AI138" s="2049"/>
      <c r="AJ138" s="2045"/>
      <c r="AK138" s="1549"/>
      <c r="AL138" s="1538"/>
      <c r="AM138" s="273"/>
    </row>
    <row r="139" spans="1:39" ht="12.75" customHeight="1">
      <c r="A139" s="273"/>
      <c r="B139" s="285"/>
      <c r="C139" s="276"/>
      <c r="D139" s="1535"/>
      <c r="E139" s="1389">
        <v>1.1000000000000001</v>
      </c>
      <c r="F139" s="1536"/>
      <c r="G139" s="2072" t="s">
        <v>1672</v>
      </c>
      <c r="H139" s="2073"/>
      <c r="I139" s="1836"/>
      <c r="J139" s="1836"/>
      <c r="K139" s="1836"/>
      <c r="L139" s="1836"/>
      <c r="M139" s="1836"/>
      <c r="N139" s="1836"/>
      <c r="O139" s="1836"/>
      <c r="P139" s="1836"/>
      <c r="Q139" s="1836"/>
      <c r="R139" s="1836"/>
      <c r="S139" s="1836"/>
      <c r="T139" s="1836"/>
      <c r="U139" s="1836"/>
      <c r="V139" s="1836"/>
      <c r="W139" s="1836"/>
      <c r="X139" s="1836"/>
      <c r="Y139" s="1836"/>
      <c r="Z139" s="1836"/>
      <c r="AA139" s="1837"/>
      <c r="AB139" s="1837"/>
      <c r="AC139" s="1837"/>
      <c r="AD139" s="1837"/>
      <c r="AE139" s="1837"/>
      <c r="AF139" s="1837"/>
      <c r="AG139" s="1837"/>
      <c r="AH139" s="2052"/>
      <c r="AI139" s="2049"/>
      <c r="AJ139" s="1548"/>
      <c r="AK139" s="1549"/>
      <c r="AL139" s="1538"/>
      <c r="AM139" s="273"/>
    </row>
    <row r="140" spans="1:39" ht="12.75" customHeight="1">
      <c r="A140" s="273"/>
      <c r="B140" s="285"/>
      <c r="C140" s="276"/>
      <c r="D140" s="1535"/>
      <c r="E140" s="1389" t="s">
        <v>1189</v>
      </c>
      <c r="F140" s="1536"/>
      <c r="G140" s="1390" t="s">
        <v>1673</v>
      </c>
      <c r="H140" s="1950"/>
      <c r="I140" s="1836"/>
      <c r="J140" s="1836"/>
      <c r="K140" s="1836"/>
      <c r="L140" s="1836"/>
      <c r="M140" s="1836"/>
      <c r="N140" s="1836"/>
      <c r="O140" s="1836"/>
      <c r="P140" s="1836"/>
      <c r="Q140" s="1836"/>
      <c r="R140" s="1836"/>
      <c r="S140" s="1836"/>
      <c r="T140" s="1836"/>
      <c r="U140" s="1836"/>
      <c r="V140" s="1836"/>
      <c r="W140" s="1836"/>
      <c r="X140" s="1836"/>
      <c r="Y140" s="1836"/>
      <c r="Z140" s="1836"/>
      <c r="AA140" s="1837"/>
      <c r="AB140" s="1837"/>
      <c r="AC140" s="1837"/>
      <c r="AD140" s="1837"/>
      <c r="AE140" s="1837"/>
      <c r="AF140" s="1837"/>
      <c r="AG140" s="1837"/>
      <c r="AH140" s="2052"/>
      <c r="AI140" s="2049"/>
      <c r="AJ140" s="1548"/>
      <c r="AK140" s="1549"/>
      <c r="AL140" s="1538"/>
      <c r="AM140" s="273"/>
    </row>
    <row r="141" spans="1:39" ht="12.75" customHeight="1">
      <c r="A141" s="273"/>
      <c r="B141" s="285"/>
      <c r="C141" s="276"/>
      <c r="D141" s="1535"/>
      <c r="E141" s="1389"/>
      <c r="F141" s="1536"/>
      <c r="G141" s="2026" t="s">
        <v>2326</v>
      </c>
      <c r="H141" s="2074"/>
      <c r="I141" s="1836"/>
      <c r="J141" s="1836"/>
      <c r="K141" s="1836"/>
      <c r="L141" s="1836"/>
      <c r="M141" s="1836"/>
      <c r="N141" s="1836"/>
      <c r="O141" s="1836"/>
      <c r="P141" s="1836"/>
      <c r="Q141" s="1836"/>
      <c r="R141" s="1836"/>
      <c r="S141" s="1836"/>
      <c r="T141" s="1836"/>
      <c r="U141" s="1836"/>
      <c r="V141" s="1836"/>
      <c r="W141" s="1836"/>
      <c r="X141" s="1836"/>
      <c r="Y141" s="1836"/>
      <c r="Z141" s="1836"/>
      <c r="AA141" s="1837"/>
      <c r="AB141" s="1837"/>
      <c r="AC141" s="1837"/>
      <c r="AD141" s="1837"/>
      <c r="AE141" s="1837"/>
      <c r="AF141" s="1837"/>
      <c r="AG141" s="1837"/>
      <c r="AH141" s="2052"/>
      <c r="AI141" s="2049" t="s">
        <v>53</v>
      </c>
      <c r="AJ141" s="1548">
        <v>1</v>
      </c>
      <c r="AK141" s="1549"/>
      <c r="AL141" s="1538">
        <v>0.14285714285714285</v>
      </c>
      <c r="AM141" s="273"/>
    </row>
    <row r="142" spans="1:39" ht="12.75" customHeight="1">
      <c r="A142" s="273"/>
      <c r="B142" s="285"/>
      <c r="C142" s="276"/>
      <c r="D142" s="1535"/>
      <c r="E142" s="1389"/>
      <c r="F142" s="1536"/>
      <c r="G142" s="2026" t="s">
        <v>2328</v>
      </c>
      <c r="H142" s="2075"/>
      <c r="I142" s="1836"/>
      <c r="J142" s="1836"/>
      <c r="K142" s="1836"/>
      <c r="L142" s="1836"/>
      <c r="M142" s="1836"/>
      <c r="N142" s="1836"/>
      <c r="O142" s="1836"/>
      <c r="P142" s="1836"/>
      <c r="Q142" s="1836"/>
      <c r="R142" s="1836"/>
      <c r="S142" s="1836"/>
      <c r="T142" s="1836"/>
      <c r="U142" s="1836"/>
      <c r="V142" s="1836"/>
      <c r="W142" s="1836"/>
      <c r="X142" s="1836"/>
      <c r="Y142" s="1836"/>
      <c r="Z142" s="1836"/>
      <c r="AA142" s="1837"/>
      <c r="AB142" s="1837"/>
      <c r="AC142" s="1837"/>
      <c r="AD142" s="1837"/>
      <c r="AE142" s="1837"/>
      <c r="AF142" s="1837"/>
      <c r="AG142" s="1837"/>
      <c r="AH142" s="2052"/>
      <c r="AI142" s="2049" t="s">
        <v>53</v>
      </c>
      <c r="AJ142" s="1548">
        <v>1</v>
      </c>
      <c r="AK142" s="1549"/>
      <c r="AL142" s="1538">
        <v>0.14285714285714285</v>
      </c>
      <c r="AM142" s="273"/>
    </row>
    <row r="143" spans="1:39" ht="12.75" customHeight="1">
      <c r="A143" s="273"/>
      <c r="B143" s="285"/>
      <c r="C143" s="276"/>
      <c r="D143" s="1535"/>
      <c r="E143" s="1389" t="s">
        <v>1194</v>
      </c>
      <c r="F143" s="1536"/>
      <c r="G143" s="2026" t="s">
        <v>1678</v>
      </c>
      <c r="H143" s="2075"/>
      <c r="I143" s="1836"/>
      <c r="J143" s="1836"/>
      <c r="K143" s="1836"/>
      <c r="L143" s="1836"/>
      <c r="M143" s="1836"/>
      <c r="N143" s="1836"/>
      <c r="O143" s="1836"/>
      <c r="P143" s="1836"/>
      <c r="Q143" s="1836"/>
      <c r="R143" s="1836"/>
      <c r="S143" s="1836"/>
      <c r="T143" s="1836"/>
      <c r="U143" s="1836"/>
      <c r="V143" s="1836"/>
      <c r="W143" s="1836"/>
      <c r="X143" s="1836"/>
      <c r="Y143" s="1836"/>
      <c r="Z143" s="1836"/>
      <c r="AA143" s="1837"/>
      <c r="AB143" s="1837"/>
      <c r="AC143" s="1837"/>
      <c r="AD143" s="1837"/>
      <c r="AE143" s="1837"/>
      <c r="AF143" s="1837"/>
      <c r="AG143" s="1837"/>
      <c r="AH143" s="2052"/>
      <c r="AI143" s="2049"/>
      <c r="AJ143" s="1548"/>
      <c r="AK143" s="1549"/>
      <c r="AL143" s="1538"/>
      <c r="AM143" s="273"/>
    </row>
    <row r="144" spans="1:39" ht="12.75" customHeight="1">
      <c r="A144" s="273"/>
      <c r="B144" s="285"/>
      <c r="C144" s="276"/>
      <c r="D144" s="1535"/>
      <c r="E144" s="1389"/>
      <c r="F144" s="1536"/>
      <c r="G144" s="2026" t="s">
        <v>2330</v>
      </c>
      <c r="H144" s="2075"/>
      <c r="I144" s="1836"/>
      <c r="J144" s="1836"/>
      <c r="K144" s="1836"/>
      <c r="L144" s="1836"/>
      <c r="M144" s="1836"/>
      <c r="N144" s="1836"/>
      <c r="O144" s="1836"/>
      <c r="P144" s="1836"/>
      <c r="Q144" s="1836"/>
      <c r="R144" s="1836"/>
      <c r="S144" s="1836"/>
      <c r="T144" s="1836"/>
      <c r="U144" s="1836"/>
      <c r="V144" s="1836"/>
      <c r="W144" s="1836"/>
      <c r="X144" s="1836"/>
      <c r="Y144" s="1836"/>
      <c r="Z144" s="1836"/>
      <c r="AA144" s="1837"/>
      <c r="AB144" s="1837"/>
      <c r="AC144" s="1837"/>
      <c r="AD144" s="1837"/>
      <c r="AE144" s="1837"/>
      <c r="AF144" s="1837"/>
      <c r="AG144" s="1837"/>
      <c r="AH144" s="2052"/>
      <c r="AI144" s="2049" t="s">
        <v>53</v>
      </c>
      <c r="AJ144" s="1548">
        <v>1</v>
      </c>
      <c r="AK144" s="1549"/>
      <c r="AL144" s="1538">
        <v>0.14285714285714285</v>
      </c>
      <c r="AM144" s="273"/>
    </row>
    <row r="145" spans="1:41" ht="12.75" customHeight="1">
      <c r="A145" s="273"/>
      <c r="B145" s="285"/>
      <c r="C145" s="276"/>
      <c r="D145" s="1535"/>
      <c r="E145" s="1389"/>
      <c r="F145" s="1536"/>
      <c r="G145" s="2026" t="s">
        <v>2331</v>
      </c>
      <c r="H145" s="2075"/>
      <c r="I145" s="1836"/>
      <c r="J145" s="1836"/>
      <c r="K145" s="1836"/>
      <c r="L145" s="1836"/>
      <c r="M145" s="1836"/>
      <c r="N145" s="1836"/>
      <c r="O145" s="1836"/>
      <c r="P145" s="1836"/>
      <c r="Q145" s="1836"/>
      <c r="R145" s="1836"/>
      <c r="S145" s="1836"/>
      <c r="T145" s="1836"/>
      <c r="U145" s="1836"/>
      <c r="V145" s="1836"/>
      <c r="W145" s="1836"/>
      <c r="X145" s="1836"/>
      <c r="Y145" s="1836"/>
      <c r="Z145" s="1836"/>
      <c r="AA145" s="1837"/>
      <c r="AB145" s="1837"/>
      <c r="AC145" s="1837"/>
      <c r="AD145" s="1837"/>
      <c r="AE145" s="1837"/>
      <c r="AF145" s="1837"/>
      <c r="AG145" s="1837"/>
      <c r="AH145" s="2052"/>
      <c r="AI145" s="2049" t="s">
        <v>53</v>
      </c>
      <c r="AJ145" s="1548">
        <v>1</v>
      </c>
      <c r="AK145" s="1549"/>
      <c r="AL145" s="1538">
        <v>0.14285714285714285</v>
      </c>
      <c r="AM145" s="273"/>
    </row>
    <row r="146" spans="1:41" ht="12.75" customHeight="1">
      <c r="A146" s="273"/>
      <c r="B146" s="285"/>
      <c r="C146" s="276"/>
      <c r="D146" s="1535"/>
      <c r="E146" s="1389">
        <v>1.2</v>
      </c>
      <c r="F146" s="1536"/>
      <c r="G146" s="1390" t="s">
        <v>1688</v>
      </c>
      <c r="H146" s="2076"/>
      <c r="I146" s="1836"/>
      <c r="J146" s="1836"/>
      <c r="K146" s="1836"/>
      <c r="L146" s="1836"/>
      <c r="M146" s="1836"/>
      <c r="N146" s="1836"/>
      <c r="O146" s="1836"/>
      <c r="P146" s="1836"/>
      <c r="Q146" s="1836"/>
      <c r="R146" s="1836"/>
      <c r="S146" s="1836"/>
      <c r="T146" s="1836"/>
      <c r="U146" s="1836"/>
      <c r="V146" s="1836"/>
      <c r="W146" s="1836"/>
      <c r="X146" s="1836"/>
      <c r="Y146" s="1836"/>
      <c r="Z146" s="1836"/>
      <c r="AA146" s="1837"/>
      <c r="AB146" s="1837"/>
      <c r="AC146" s="1837"/>
      <c r="AD146" s="1837"/>
      <c r="AE146" s="1837"/>
      <c r="AF146" s="1837"/>
      <c r="AG146" s="1837"/>
      <c r="AH146" s="2052"/>
      <c r="AI146" s="2049"/>
      <c r="AJ146" s="1548"/>
      <c r="AK146" s="1549"/>
      <c r="AL146" s="1538"/>
      <c r="AM146" s="273"/>
    </row>
    <row r="147" spans="1:41" ht="12.75" customHeight="1">
      <c r="A147" s="273"/>
      <c r="B147" s="285"/>
      <c r="C147" s="276"/>
      <c r="D147" s="1535"/>
      <c r="E147" s="1389" t="s">
        <v>1204</v>
      </c>
      <c r="F147" s="1536"/>
      <c r="G147" s="2026" t="s">
        <v>1689</v>
      </c>
      <c r="H147" s="2077"/>
      <c r="I147" s="1836"/>
      <c r="J147" s="1836"/>
      <c r="K147" s="1836"/>
      <c r="L147" s="1836"/>
      <c r="M147" s="1836"/>
      <c r="N147" s="1836"/>
      <c r="O147" s="1836"/>
      <c r="P147" s="1836"/>
      <c r="Q147" s="1836"/>
      <c r="R147" s="1836"/>
      <c r="S147" s="1836"/>
      <c r="T147" s="1836"/>
      <c r="U147" s="1836"/>
      <c r="V147" s="1836"/>
      <c r="W147" s="1836"/>
      <c r="X147" s="1836"/>
      <c r="Y147" s="1836"/>
      <c r="Z147" s="1836"/>
      <c r="AA147" s="1837"/>
      <c r="AB147" s="1837"/>
      <c r="AC147" s="1837"/>
      <c r="AD147" s="1837"/>
      <c r="AE147" s="1837"/>
      <c r="AF147" s="1837"/>
      <c r="AG147" s="1837"/>
      <c r="AH147" s="2052"/>
      <c r="AI147" s="2049" t="s">
        <v>268</v>
      </c>
      <c r="AJ147" s="1548">
        <v>0.1</v>
      </c>
      <c r="AK147" s="1549"/>
      <c r="AL147" s="1538">
        <v>0.1</v>
      </c>
      <c r="AM147" s="273"/>
    </row>
    <row r="148" spans="1:41" ht="12.75" customHeight="1">
      <c r="A148" s="273"/>
      <c r="B148" s="285"/>
      <c r="C148" s="276"/>
      <c r="D148" s="1535"/>
      <c r="E148" s="1389" t="s">
        <v>1206</v>
      </c>
      <c r="F148" s="1536"/>
      <c r="G148" s="2026" t="s">
        <v>1691</v>
      </c>
      <c r="H148" s="2078"/>
      <c r="I148" s="1836"/>
      <c r="J148" s="1836"/>
      <c r="K148" s="1836"/>
      <c r="L148" s="1836"/>
      <c r="M148" s="1836"/>
      <c r="N148" s="1836"/>
      <c r="O148" s="1836"/>
      <c r="P148" s="1836"/>
      <c r="Q148" s="1836"/>
      <c r="R148" s="1836"/>
      <c r="S148" s="1836"/>
      <c r="T148" s="1836"/>
      <c r="U148" s="1836"/>
      <c r="V148" s="1836"/>
      <c r="W148" s="1836"/>
      <c r="X148" s="1836"/>
      <c r="Y148" s="1836"/>
      <c r="Z148" s="1836"/>
      <c r="AA148" s="1837"/>
      <c r="AB148" s="1837"/>
      <c r="AC148" s="1837"/>
      <c r="AD148" s="1837"/>
      <c r="AE148" s="1837"/>
      <c r="AF148" s="1837"/>
      <c r="AG148" s="1837"/>
      <c r="AH148" s="2052"/>
      <c r="AI148" s="2049" t="s">
        <v>268</v>
      </c>
      <c r="AJ148" s="1548">
        <v>0.5</v>
      </c>
      <c r="AK148" s="1549"/>
      <c r="AL148" s="1538">
        <v>0.125</v>
      </c>
      <c r="AM148" s="273"/>
    </row>
    <row r="149" spans="1:41" ht="12.75" customHeight="1">
      <c r="A149" s="273"/>
      <c r="B149" s="285"/>
      <c r="C149" s="276"/>
      <c r="D149" s="1535"/>
      <c r="E149" s="1389" t="s">
        <v>1207</v>
      </c>
      <c r="F149" s="1536"/>
      <c r="G149" s="2026" t="s">
        <v>1692</v>
      </c>
      <c r="H149" s="2075"/>
      <c r="I149" s="1836"/>
      <c r="J149" s="1836"/>
      <c r="K149" s="1836"/>
      <c r="L149" s="1836"/>
      <c r="M149" s="1836"/>
      <c r="N149" s="1836"/>
      <c r="O149" s="1836"/>
      <c r="P149" s="1836"/>
      <c r="Q149" s="1836"/>
      <c r="R149" s="1836"/>
      <c r="S149" s="1836"/>
      <c r="T149" s="1836"/>
      <c r="U149" s="1836"/>
      <c r="V149" s="1836"/>
      <c r="W149" s="1836"/>
      <c r="X149" s="1836"/>
      <c r="Y149" s="1836"/>
      <c r="Z149" s="1836"/>
      <c r="AA149" s="1837"/>
      <c r="AB149" s="1837"/>
      <c r="AC149" s="1837"/>
      <c r="AD149" s="1837"/>
      <c r="AE149" s="1837"/>
      <c r="AF149" s="1837"/>
      <c r="AG149" s="1837"/>
      <c r="AH149" s="2052"/>
      <c r="AI149" s="2049" t="s">
        <v>268</v>
      </c>
      <c r="AJ149" s="1548">
        <v>0.5</v>
      </c>
      <c r="AK149" s="1549"/>
      <c r="AL149" s="1538">
        <v>0.125</v>
      </c>
      <c r="AM149" s="273"/>
    </row>
    <row r="150" spans="1:41" ht="12.75" customHeight="1">
      <c r="A150" s="273"/>
      <c r="B150" s="285"/>
      <c r="C150" s="276"/>
      <c r="D150" s="1535"/>
      <c r="E150" s="1389" t="s">
        <v>1208</v>
      </c>
      <c r="F150" s="1536"/>
      <c r="G150" s="2026" t="s">
        <v>1693</v>
      </c>
      <c r="H150" s="2075"/>
      <c r="I150" s="1836"/>
      <c r="J150" s="1836"/>
      <c r="K150" s="1836"/>
      <c r="L150" s="1836"/>
      <c r="M150" s="1836"/>
      <c r="N150" s="1836"/>
      <c r="O150" s="1836"/>
      <c r="P150" s="1836"/>
      <c r="Q150" s="1836"/>
      <c r="R150" s="1836"/>
      <c r="S150" s="1836"/>
      <c r="T150" s="1836"/>
      <c r="U150" s="1836"/>
      <c r="V150" s="1836"/>
      <c r="W150" s="1836"/>
      <c r="X150" s="1836"/>
      <c r="Y150" s="1836"/>
      <c r="Z150" s="1836"/>
      <c r="AA150" s="1837"/>
      <c r="AB150" s="1837"/>
      <c r="AC150" s="1837"/>
      <c r="AD150" s="1837"/>
      <c r="AE150" s="1837"/>
      <c r="AF150" s="1837"/>
      <c r="AG150" s="1837"/>
      <c r="AH150" s="2052"/>
      <c r="AI150" s="2049" t="s">
        <v>268</v>
      </c>
      <c r="AJ150" s="1548">
        <v>0.5</v>
      </c>
      <c r="AK150" s="1549"/>
      <c r="AL150" s="1538">
        <v>0.125</v>
      </c>
      <c r="AM150" s="273"/>
    </row>
    <row r="151" spans="1:41" ht="12.75" customHeight="1" thickBot="1">
      <c r="A151" s="273"/>
      <c r="B151" s="285"/>
      <c r="C151" s="276"/>
      <c r="D151" s="1539"/>
      <c r="E151" s="1540"/>
      <c r="F151" s="1541"/>
      <c r="G151" s="1542"/>
      <c r="H151" s="2043"/>
      <c r="I151" s="2042"/>
      <c r="J151" s="2042"/>
      <c r="K151" s="2042"/>
      <c r="L151" s="2042"/>
      <c r="M151" s="2042"/>
      <c r="N151" s="2042"/>
      <c r="O151" s="2042"/>
      <c r="P151" s="2042"/>
      <c r="Q151" s="2042"/>
      <c r="R151" s="2042"/>
      <c r="S151" s="2042"/>
      <c r="T151" s="2042"/>
      <c r="U151" s="2042"/>
      <c r="V151" s="2042"/>
      <c r="W151" s="2042"/>
      <c r="X151" s="2042"/>
      <c r="Y151" s="2042"/>
      <c r="Z151" s="2042"/>
      <c r="AA151" s="1543"/>
      <c r="AB151" s="1543"/>
      <c r="AC151" s="1543"/>
      <c r="AD151" s="1543"/>
      <c r="AE151" s="1543"/>
      <c r="AF151" s="1543"/>
      <c r="AG151" s="1543"/>
      <c r="AH151" s="2053"/>
      <c r="AI151" s="2050"/>
      <c r="AJ151" s="1552"/>
      <c r="AK151" s="1551"/>
      <c r="AL151" s="1544"/>
      <c r="AM151" s="273"/>
    </row>
    <row r="152" spans="1:41" ht="12.75" customHeight="1">
      <c r="A152" s="273"/>
      <c r="B152" s="285"/>
      <c r="C152" s="276"/>
      <c r="D152" s="288"/>
      <c r="E152" s="10"/>
      <c r="F152" s="10"/>
      <c r="G152" s="10"/>
      <c r="H152" s="10"/>
      <c r="I152" s="10"/>
      <c r="J152" s="10"/>
      <c r="K152" s="10"/>
      <c r="L152" s="10"/>
      <c r="M152" s="273"/>
      <c r="N152" s="273"/>
      <c r="O152" s="273"/>
      <c r="P152" s="273"/>
      <c r="Q152" s="273"/>
      <c r="R152" s="273"/>
      <c r="S152" s="273"/>
      <c r="T152" s="273"/>
      <c r="U152" s="273"/>
      <c r="V152" s="273"/>
      <c r="W152" s="273"/>
      <c r="X152" s="273"/>
      <c r="Y152" s="273"/>
      <c r="Z152" s="273"/>
      <c r="AA152" s="273"/>
      <c r="AB152" s="273"/>
      <c r="AC152" s="273"/>
      <c r="AD152" s="273"/>
      <c r="AE152" s="273"/>
      <c r="AF152" s="273"/>
      <c r="AG152" s="273"/>
      <c r="AH152" s="273"/>
      <c r="AI152" s="273"/>
      <c r="AJ152" s="273"/>
      <c r="AK152" s="273"/>
      <c r="AL152" s="273"/>
      <c r="AM152" s="273"/>
    </row>
    <row r="153" spans="1:41">
      <c r="A153" s="273"/>
      <c r="B153" s="273"/>
      <c r="C153" s="280"/>
      <c r="D153" s="1132"/>
      <c r="E153" s="1132"/>
      <c r="F153" s="1132"/>
      <c r="G153" s="1132"/>
      <c r="H153" s="1132"/>
      <c r="I153" s="1132"/>
      <c r="J153" s="1132"/>
      <c r="K153" s="1132"/>
      <c r="L153" s="1132"/>
      <c r="M153" s="1132"/>
      <c r="N153" s="1132"/>
      <c r="O153" s="1132"/>
      <c r="P153" s="1132"/>
      <c r="Q153" s="1132"/>
      <c r="R153" s="1132"/>
      <c r="S153" s="1132"/>
      <c r="T153" s="1132"/>
      <c r="U153" s="1132"/>
      <c r="V153" s="1132"/>
      <c r="W153" s="1132"/>
      <c r="X153" s="1132"/>
      <c r="Y153" s="1132"/>
      <c r="Z153" s="1132"/>
      <c r="AA153" s="1132"/>
      <c r="AB153" s="1132"/>
      <c r="AC153" s="1132"/>
      <c r="AD153" s="1132"/>
      <c r="AE153" s="1132"/>
      <c r="AF153" s="1132"/>
      <c r="AG153" s="1132"/>
      <c r="AH153" s="1132"/>
      <c r="AI153" s="1186"/>
      <c r="AJ153" s="1132"/>
      <c r="AK153" s="1119"/>
      <c r="AL153" s="1119"/>
      <c r="AM153" s="668"/>
    </row>
    <row r="154" spans="1:41">
      <c r="A154" s="273"/>
      <c r="B154" s="273"/>
      <c r="C154" s="276" t="s">
        <v>1109</v>
      </c>
      <c r="D154" s="1122"/>
      <c r="E154" s="1121"/>
      <c r="F154" s="1123"/>
      <c r="G154" s="1120"/>
      <c r="H154" s="1120"/>
      <c r="I154" s="1120"/>
      <c r="J154" s="1120"/>
      <c r="K154" s="1120"/>
      <c r="L154" s="1120"/>
      <c r="M154" s="1120"/>
      <c r="N154" s="1120"/>
      <c r="O154" s="1120"/>
      <c r="P154" s="1120"/>
      <c r="Q154" s="1120"/>
      <c r="R154" s="1120"/>
      <c r="S154" s="1120"/>
      <c r="T154" s="1120"/>
      <c r="U154" s="1120"/>
      <c r="V154" s="1120"/>
      <c r="W154" s="1120"/>
      <c r="X154" s="1120"/>
      <c r="Y154" s="1120"/>
      <c r="Z154" s="1120"/>
      <c r="AA154" s="1120"/>
      <c r="AB154" s="1120"/>
      <c r="AC154" s="1120"/>
      <c r="AD154" s="1120"/>
      <c r="AE154" s="1120"/>
      <c r="AF154" s="1120"/>
      <c r="AG154" s="1120"/>
      <c r="AH154" s="1120"/>
      <c r="AI154" s="1120"/>
      <c r="AJ154" s="290"/>
      <c r="AK154" s="290"/>
      <c r="AL154" s="290"/>
      <c r="AM154" s="273"/>
    </row>
    <row r="155" spans="1:41">
      <c r="A155" s="273"/>
      <c r="B155" s="273"/>
      <c r="C155" s="267"/>
      <c r="D155" s="273"/>
      <c r="E155" s="273"/>
      <c r="F155" s="289"/>
      <c r="G155" s="289"/>
      <c r="H155" s="289"/>
      <c r="I155" s="289"/>
      <c r="J155" s="289"/>
      <c r="K155" s="289"/>
      <c r="L155" s="289"/>
      <c r="M155" s="289"/>
      <c r="N155" s="289"/>
      <c r="O155" s="289"/>
      <c r="P155" s="289"/>
      <c r="Q155" s="289"/>
      <c r="R155" s="289"/>
      <c r="S155" s="289"/>
      <c r="T155" s="273"/>
      <c r="U155" s="273"/>
      <c r="V155" s="273"/>
      <c r="W155" s="273"/>
      <c r="X155" s="273"/>
      <c r="Y155" s="273"/>
      <c r="Z155" s="290"/>
      <c r="AA155" s="290"/>
      <c r="AB155" s="290"/>
      <c r="AC155" s="290"/>
      <c r="AD155" s="290"/>
      <c r="AE155" s="290"/>
      <c r="AF155" s="290"/>
      <c r="AG155" s="290"/>
      <c r="AH155" s="290"/>
      <c r="AI155" s="290"/>
      <c r="AJ155" s="290"/>
      <c r="AK155" s="290"/>
      <c r="AL155" s="290"/>
      <c r="AM155" s="273"/>
    </row>
    <row r="156" spans="1:41" ht="15" hidden="1" customHeight="1">
      <c r="A156" s="273"/>
      <c r="B156" s="273"/>
      <c r="C156" s="1150"/>
      <c r="D156" s="1152"/>
      <c r="E156" s="1151" t="s">
        <v>766</v>
      </c>
      <c r="F156" s="1152"/>
      <c r="G156" s="1153"/>
      <c r="H156" s="2209" t="s">
        <v>88</v>
      </c>
      <c r="I156" s="2210"/>
      <c r="J156" s="2210"/>
      <c r="K156" s="2210"/>
      <c r="L156" s="2211"/>
      <c r="M156" s="2215" t="s">
        <v>89</v>
      </c>
      <c r="N156" s="2216"/>
      <c r="O156" s="2216"/>
      <c r="P156" s="2216"/>
      <c r="Q156" s="2216"/>
      <c r="R156" s="2216"/>
      <c r="S156" s="2217"/>
      <c r="T156" s="2215" t="s">
        <v>90</v>
      </c>
      <c r="U156" s="2216"/>
      <c r="V156" s="2216"/>
      <c r="W156" s="2216"/>
      <c r="X156" s="2216"/>
      <c r="Y156" s="2216"/>
      <c r="Z156" s="2216"/>
      <c r="AA156" s="2216"/>
      <c r="AB156" s="2217"/>
      <c r="AC156" s="2215" t="s">
        <v>91</v>
      </c>
      <c r="AD156" s="2216"/>
      <c r="AE156" s="2216"/>
      <c r="AF156" s="2216"/>
      <c r="AG156" s="2216"/>
      <c r="AH156" s="2216"/>
      <c r="AI156" s="2217"/>
      <c r="AJ156" s="2215" t="s">
        <v>92</v>
      </c>
      <c r="AK156" s="2216"/>
      <c r="AL156" s="2216"/>
      <c r="AM156" s="2250"/>
    </row>
    <row r="157" spans="1:41" ht="15" hidden="1" customHeight="1" thickBot="1">
      <c r="A157" s="273"/>
      <c r="B157" s="273"/>
      <c r="C157" s="1154"/>
      <c r="D157" s="1156"/>
      <c r="E157" s="1155" t="s">
        <v>33</v>
      </c>
      <c r="F157" s="1156"/>
      <c r="G157" s="1157"/>
      <c r="H157" s="2212"/>
      <c r="I157" s="2213"/>
      <c r="J157" s="2213"/>
      <c r="K157" s="2213"/>
      <c r="L157" s="2214"/>
      <c r="M157" s="2206" t="s">
        <v>32</v>
      </c>
      <c r="N157" s="2251"/>
      <c r="O157" s="2251"/>
      <c r="P157" s="2251"/>
      <c r="Q157" s="2207"/>
      <c r="R157" s="2206" t="s">
        <v>30</v>
      </c>
      <c r="S157" s="2207"/>
      <c r="T157" s="2206" t="s">
        <v>32</v>
      </c>
      <c r="U157" s="2251"/>
      <c r="V157" s="2251"/>
      <c r="W157" s="2251"/>
      <c r="X157" s="2251"/>
      <c r="Y157" s="2207"/>
      <c r="Z157" s="2206" t="s">
        <v>30</v>
      </c>
      <c r="AA157" s="2251"/>
      <c r="AB157" s="2207"/>
      <c r="AC157" s="2206" t="s">
        <v>32</v>
      </c>
      <c r="AD157" s="2251"/>
      <c r="AE157" s="2251"/>
      <c r="AF157" s="2251"/>
      <c r="AG157" s="2207"/>
      <c r="AH157" s="2206" t="s">
        <v>30</v>
      </c>
      <c r="AI157" s="2207"/>
      <c r="AJ157" s="1158" t="s">
        <v>32</v>
      </c>
      <c r="AK157" s="1159"/>
      <c r="AL157" s="2206" t="s">
        <v>30</v>
      </c>
      <c r="AM157" s="2208"/>
    </row>
    <row r="158" spans="1:41" ht="14.45" hidden="1" customHeight="1">
      <c r="A158" s="273"/>
      <c r="B158" s="273"/>
      <c r="C158" s="2238" t="s">
        <v>2287</v>
      </c>
      <c r="D158" s="2239"/>
      <c r="E158" s="2239"/>
      <c r="F158" s="2239"/>
      <c r="G158" s="2240"/>
      <c r="H158" s="2241">
        <v>13550641.68</v>
      </c>
      <c r="I158" s="2242"/>
      <c r="J158" s="2242"/>
      <c r="K158" s="2242"/>
      <c r="L158" s="2243"/>
      <c r="M158" s="2241">
        <v>13550641.680000002</v>
      </c>
      <c r="N158" s="2242"/>
      <c r="O158" s="2242"/>
      <c r="P158" s="2242"/>
      <c r="Q158" s="2243"/>
      <c r="R158" s="2244">
        <f>+M158/H158</f>
        <v>1.0000000000000002</v>
      </c>
      <c r="S158" s="2245"/>
      <c r="T158" s="2246">
        <v>0</v>
      </c>
      <c r="U158" s="2247"/>
      <c r="V158" s="2247"/>
      <c r="W158" s="2247"/>
      <c r="X158" s="2247"/>
      <c r="Y158" s="2248"/>
      <c r="Z158" s="2244">
        <f>+T158/H158</f>
        <v>0</v>
      </c>
      <c r="AA158" s="2249"/>
      <c r="AB158" s="2245"/>
      <c r="AC158" s="2241">
        <f>T158+M158</f>
        <v>13550641.680000002</v>
      </c>
      <c r="AD158" s="2242"/>
      <c r="AE158" s="2242"/>
      <c r="AF158" s="2242"/>
      <c r="AG158" s="2243"/>
      <c r="AH158" s="2244">
        <f>+AC158/H158</f>
        <v>1.0000000000000002</v>
      </c>
      <c r="AI158" s="2245"/>
      <c r="AJ158" s="2241">
        <f>+H158-AC158</f>
        <v>0</v>
      </c>
      <c r="AK158" s="2243"/>
      <c r="AL158" s="2244">
        <f>+AJ158/H158</f>
        <v>0</v>
      </c>
      <c r="AM158" s="2252"/>
      <c r="AO158">
        <v>9666482.9100000001</v>
      </c>
    </row>
    <row r="159" spans="1:41" ht="15" hidden="1" customHeight="1" thickBot="1">
      <c r="A159" s="273"/>
      <c r="B159" s="273"/>
      <c r="C159" s="2226" t="s">
        <v>21</v>
      </c>
      <c r="D159" s="2227"/>
      <c r="E159" s="2227"/>
      <c r="F159" s="2227"/>
      <c r="G159" s="2228"/>
      <c r="H159" s="2229">
        <v>5759103.1727999998</v>
      </c>
      <c r="I159" s="2230"/>
      <c r="J159" s="2230"/>
      <c r="K159" s="2230"/>
      <c r="L159" s="2231"/>
      <c r="M159" s="2229">
        <v>5759103.1727999998</v>
      </c>
      <c r="N159" s="2230"/>
      <c r="O159" s="2230"/>
      <c r="P159" s="2230"/>
      <c r="Q159" s="2231"/>
      <c r="R159" s="2232">
        <f>+M159/H158</f>
        <v>0.42500593763763372</v>
      </c>
      <c r="S159" s="2233"/>
      <c r="T159" s="2234">
        <v>0</v>
      </c>
      <c r="U159" s="2235"/>
      <c r="V159" s="2235"/>
      <c r="W159" s="2235"/>
      <c r="X159" s="2235"/>
      <c r="Y159" s="2236"/>
      <c r="Z159" s="2232">
        <f>+T159/H158</f>
        <v>0</v>
      </c>
      <c r="AA159" s="2237"/>
      <c r="AB159" s="2233"/>
      <c r="AC159" s="2229">
        <f>M159+T159</f>
        <v>5759103.1727999998</v>
      </c>
      <c r="AD159" s="2230"/>
      <c r="AE159" s="2230"/>
      <c r="AF159" s="2230"/>
      <c r="AG159" s="2231"/>
      <c r="AH159" s="2232">
        <f>+R159+Z159</f>
        <v>0.42500593763763372</v>
      </c>
      <c r="AI159" s="2233"/>
      <c r="AJ159" s="2229">
        <f>+H158-AC159</f>
        <v>7791538.5071999999</v>
      </c>
      <c r="AK159" s="2231"/>
      <c r="AL159" s="2232">
        <f>AJ159/H158</f>
        <v>0.57499406236236628</v>
      </c>
      <c r="AM159" s="2253"/>
      <c r="AO159">
        <v>5403028.1899999995</v>
      </c>
    </row>
    <row r="160" spans="1:41" ht="14.45" hidden="1" customHeight="1">
      <c r="A160" s="273"/>
      <c r="B160" s="273"/>
      <c r="C160" s="1853"/>
      <c r="D160" s="1853"/>
      <c r="E160" s="1853"/>
      <c r="F160" s="1853"/>
      <c r="G160" s="1853"/>
      <c r="H160" s="1851"/>
      <c r="I160" s="1851"/>
      <c r="J160" s="1851"/>
      <c r="K160" s="1851"/>
      <c r="L160" s="1851"/>
      <c r="M160" s="1851"/>
      <c r="N160" s="1851"/>
      <c r="O160" s="1851"/>
      <c r="P160" s="1851"/>
      <c r="Q160" s="1851"/>
      <c r="R160" s="292"/>
      <c r="S160" s="292"/>
      <c r="T160" s="1219"/>
      <c r="U160" s="1219"/>
      <c r="V160" s="1219"/>
      <c r="W160" s="1219"/>
      <c r="X160" s="1219"/>
      <c r="Y160" s="1219"/>
      <c r="Z160" s="292"/>
      <c r="AA160" s="292"/>
      <c r="AB160" s="292"/>
      <c r="AC160" s="1851"/>
      <c r="AD160" s="1851"/>
      <c r="AE160" s="1851"/>
      <c r="AF160" s="1851"/>
      <c r="AG160" s="1851"/>
      <c r="AH160" s="292"/>
      <c r="AI160" s="292"/>
      <c r="AJ160" s="1220"/>
      <c r="AK160" s="1220"/>
      <c r="AL160" s="1221"/>
      <c r="AM160" s="1221"/>
    </row>
    <row r="161" spans="1:39" ht="15.75" thickBot="1">
      <c r="A161" s="273"/>
      <c r="B161" s="273"/>
      <c r="C161" s="1256" t="s">
        <v>2288</v>
      </c>
      <c r="D161" s="1256"/>
      <c r="E161" s="1256"/>
      <c r="F161" s="1256"/>
      <c r="G161" s="1256"/>
      <c r="H161" s="1256"/>
      <c r="I161" s="1256"/>
      <c r="J161" s="1256"/>
      <c r="K161" s="1256"/>
      <c r="L161" s="1256"/>
      <c r="M161" s="1256"/>
      <c r="N161" s="1256"/>
      <c r="O161" s="1256"/>
      <c r="P161" s="1256"/>
      <c r="Q161" s="1256"/>
      <c r="R161" s="1256"/>
      <c r="S161" s="1256"/>
      <c r="T161" s="1256"/>
      <c r="U161" s="1256"/>
      <c r="V161" s="1256"/>
      <c r="W161" s="1219"/>
      <c r="X161" s="1219"/>
      <c r="Y161" s="1219"/>
      <c r="Z161" s="292"/>
      <c r="AA161" s="292"/>
      <c r="AB161" s="292"/>
      <c r="AC161" s="1851"/>
      <c r="AD161" s="1851"/>
      <c r="AE161" s="1851"/>
      <c r="AF161" s="1851"/>
      <c r="AG161" s="1851"/>
      <c r="AH161" s="292"/>
      <c r="AI161" s="292"/>
      <c r="AJ161" s="1220"/>
      <c r="AK161" s="1220"/>
      <c r="AL161" s="1221"/>
      <c r="AM161" s="1221"/>
    </row>
    <row r="162" spans="1:39" ht="15" customHeight="1">
      <c r="A162" s="273"/>
      <c r="B162" s="273"/>
      <c r="C162" s="1150"/>
      <c r="D162" s="1152"/>
      <c r="E162" s="1151" t="s">
        <v>766</v>
      </c>
      <c r="F162" s="1152"/>
      <c r="G162" s="1153"/>
      <c r="H162" s="2209" t="s">
        <v>88</v>
      </c>
      <c r="I162" s="2210"/>
      <c r="J162" s="2210"/>
      <c r="K162" s="2210"/>
      <c r="L162" s="2211"/>
      <c r="M162" s="2215" t="s">
        <v>89</v>
      </c>
      <c r="N162" s="2216"/>
      <c r="O162" s="2216"/>
      <c r="P162" s="2216"/>
      <c r="Q162" s="2216"/>
      <c r="R162" s="2216"/>
      <c r="S162" s="2217"/>
      <c r="T162" s="2215" t="s">
        <v>90</v>
      </c>
      <c r="U162" s="2216"/>
      <c r="V162" s="2216"/>
      <c r="W162" s="2216"/>
      <c r="X162" s="2216"/>
      <c r="Y162" s="2216"/>
      <c r="Z162" s="2216"/>
      <c r="AA162" s="2216"/>
      <c r="AB162" s="2217"/>
      <c r="AC162" s="2215" t="s">
        <v>91</v>
      </c>
      <c r="AD162" s="2216"/>
      <c r="AE162" s="2216"/>
      <c r="AF162" s="2216"/>
      <c r="AG162" s="2216"/>
      <c r="AH162" s="2216"/>
      <c r="AI162" s="2217"/>
      <c r="AJ162" s="2215" t="s">
        <v>92</v>
      </c>
      <c r="AK162" s="2216"/>
      <c r="AL162" s="2216"/>
      <c r="AM162" s="2250"/>
    </row>
    <row r="163" spans="1:39" ht="15.75" thickBot="1">
      <c r="A163" s="273"/>
      <c r="B163" s="273"/>
      <c r="C163" s="1154"/>
      <c r="D163" s="1156"/>
      <c r="E163" s="1155" t="s">
        <v>33</v>
      </c>
      <c r="F163" s="1156"/>
      <c r="G163" s="1157"/>
      <c r="H163" s="2212"/>
      <c r="I163" s="2213"/>
      <c r="J163" s="2213"/>
      <c r="K163" s="2213"/>
      <c r="L163" s="2214"/>
      <c r="M163" s="2206" t="s">
        <v>32</v>
      </c>
      <c r="N163" s="2251"/>
      <c r="O163" s="2251"/>
      <c r="P163" s="2251"/>
      <c r="Q163" s="2207"/>
      <c r="R163" s="2206" t="s">
        <v>30</v>
      </c>
      <c r="S163" s="2207"/>
      <c r="T163" s="2206" t="s">
        <v>32</v>
      </c>
      <c r="U163" s="2251"/>
      <c r="V163" s="2251"/>
      <c r="W163" s="2251"/>
      <c r="X163" s="2251"/>
      <c r="Y163" s="2207"/>
      <c r="Z163" s="2206" t="s">
        <v>30</v>
      </c>
      <c r="AA163" s="2251"/>
      <c r="AB163" s="2207"/>
      <c r="AC163" s="2206" t="s">
        <v>32</v>
      </c>
      <c r="AD163" s="2251"/>
      <c r="AE163" s="2251"/>
      <c r="AF163" s="2251"/>
      <c r="AG163" s="2207"/>
      <c r="AH163" s="2206" t="s">
        <v>30</v>
      </c>
      <c r="AI163" s="2207"/>
      <c r="AJ163" s="1158" t="s">
        <v>32</v>
      </c>
      <c r="AK163" s="1159"/>
      <c r="AL163" s="2206" t="s">
        <v>30</v>
      </c>
      <c r="AM163" s="2208"/>
    </row>
    <row r="164" spans="1:39">
      <c r="A164" s="273"/>
      <c r="B164" s="273"/>
      <c r="C164" s="2238" t="s">
        <v>2289</v>
      </c>
      <c r="D164" s="2239"/>
      <c r="E164" s="2239"/>
      <c r="F164" s="2239"/>
      <c r="G164" s="2240"/>
      <c r="H164" s="2241">
        <v>1252795.3999999999</v>
      </c>
      <c r="I164" s="2242"/>
      <c r="J164" s="2242"/>
      <c r="K164" s="2242"/>
      <c r="L164" s="2243"/>
      <c r="M164" s="2241">
        <f>'VAL ADI-OBRA N°01'!H44</f>
        <v>880376.1</v>
      </c>
      <c r="N164" s="2242"/>
      <c r="O164" s="2242"/>
      <c r="P164" s="2242"/>
      <c r="Q164" s="2243"/>
      <c r="R164" s="2244">
        <f>+M164/H164</f>
        <v>0.70272935229487599</v>
      </c>
      <c r="S164" s="2245"/>
      <c r="T164" s="2257">
        <f>'R- FE-1'!F20</f>
        <v>243761.50000000003</v>
      </c>
      <c r="U164" s="2258"/>
      <c r="V164" s="2258"/>
      <c r="W164" s="2258"/>
      <c r="X164" s="2258"/>
      <c r="Y164" s="2259"/>
      <c r="Z164" s="2244">
        <f>+T164/H164</f>
        <v>0.1945740701155193</v>
      </c>
      <c r="AA164" s="2249"/>
      <c r="AB164" s="2245"/>
      <c r="AC164" s="2241">
        <f>T164+M164</f>
        <v>1124137.6000000001</v>
      </c>
      <c r="AD164" s="2242"/>
      <c r="AE164" s="2242"/>
      <c r="AF164" s="2242"/>
      <c r="AG164" s="2243"/>
      <c r="AH164" s="2244">
        <f>+AC164/H164</f>
        <v>0.89730342241039529</v>
      </c>
      <c r="AI164" s="2245"/>
      <c r="AJ164" s="2241">
        <f>+H164-AC164</f>
        <v>128657.79999999981</v>
      </c>
      <c r="AK164" s="2243"/>
      <c r="AL164" s="2244">
        <f>+AJ164/H164</f>
        <v>0.10269657758960467</v>
      </c>
      <c r="AM164" s="2252"/>
    </row>
    <row r="165" spans="1:39" ht="15.75" thickBot="1">
      <c r="A165" s="273"/>
      <c r="B165" s="273"/>
      <c r="C165" s="2226" t="s">
        <v>2290</v>
      </c>
      <c r="D165" s="2227"/>
      <c r="E165" s="2227"/>
      <c r="F165" s="2227"/>
      <c r="G165" s="2228"/>
      <c r="H165" s="2229">
        <v>660953.69999999995</v>
      </c>
      <c r="I165" s="2230"/>
      <c r="J165" s="2230"/>
      <c r="K165" s="2230"/>
      <c r="L165" s="2231"/>
      <c r="M165" s="2229">
        <v>0</v>
      </c>
      <c r="N165" s="2230"/>
      <c r="O165" s="2230"/>
      <c r="P165" s="2230"/>
      <c r="Q165" s="2231"/>
      <c r="R165" s="2232">
        <f>+M165/H164</f>
        <v>0</v>
      </c>
      <c r="S165" s="2233"/>
      <c r="T165" s="2254">
        <f>'R- FE-1'!F21</f>
        <v>0</v>
      </c>
      <c r="U165" s="2255"/>
      <c r="V165" s="2255"/>
      <c r="W165" s="2255"/>
      <c r="X165" s="2255"/>
      <c r="Y165" s="2256"/>
      <c r="Z165" s="2232">
        <f>+T165/H164</f>
        <v>0</v>
      </c>
      <c r="AA165" s="2237"/>
      <c r="AB165" s="2233"/>
      <c r="AC165" s="2229">
        <f>M165+T165</f>
        <v>0</v>
      </c>
      <c r="AD165" s="2230"/>
      <c r="AE165" s="2230"/>
      <c r="AF165" s="2230"/>
      <c r="AG165" s="2231"/>
      <c r="AH165" s="2232">
        <f>+R165+Z165</f>
        <v>0</v>
      </c>
      <c r="AI165" s="2233"/>
      <c r="AJ165" s="2229">
        <f>+H165-AC165</f>
        <v>660953.69999999995</v>
      </c>
      <c r="AK165" s="2231"/>
      <c r="AL165" s="2232">
        <f>AJ165/H165</f>
        <v>1</v>
      </c>
      <c r="AM165" s="2253"/>
    </row>
    <row r="166" spans="1:39">
      <c r="A166" s="273"/>
      <c r="B166" s="273"/>
      <c r="C166" s="1853"/>
      <c r="D166" s="1853"/>
      <c r="E166" s="1853"/>
      <c r="F166" s="1853"/>
      <c r="G166" s="1853"/>
      <c r="H166" s="1851"/>
      <c r="I166" s="1851"/>
      <c r="J166" s="1851"/>
      <c r="K166" s="1851"/>
      <c r="L166" s="1851"/>
      <c r="M166" s="1851"/>
      <c r="N166" s="1851"/>
      <c r="O166" s="1851"/>
      <c r="P166" s="1851"/>
      <c r="Q166" s="1851"/>
      <c r="R166" s="292"/>
      <c r="S166" s="292"/>
      <c r="T166" s="1219"/>
      <c r="U166" s="1219"/>
      <c r="V166" s="1219"/>
      <c r="W166" s="1219"/>
      <c r="X166" s="1219"/>
      <c r="Y166" s="1219"/>
      <c r="Z166" s="292"/>
      <c r="AA166" s="292"/>
      <c r="AB166" s="292"/>
      <c r="AC166" s="1851"/>
      <c r="AD166" s="1851"/>
      <c r="AE166" s="1851"/>
      <c r="AF166" s="1851"/>
      <c r="AG166" s="1851"/>
      <c r="AH166" s="292"/>
      <c r="AI166" s="292"/>
      <c r="AJ166" s="1851"/>
      <c r="AK166" s="1851"/>
      <c r="AL166" s="292"/>
      <c r="AM166" s="292"/>
    </row>
    <row r="167" spans="1:39" ht="15.75" thickBot="1">
      <c r="A167" s="273"/>
      <c r="B167" s="273"/>
      <c r="C167" s="1256" t="s">
        <v>2470</v>
      </c>
      <c r="D167" s="1256"/>
      <c r="E167" s="1256"/>
      <c r="F167" s="1256"/>
      <c r="G167" s="1256"/>
      <c r="H167" s="1256"/>
      <c r="I167" s="1256"/>
      <c r="J167" s="1256"/>
      <c r="K167" s="1256"/>
      <c r="L167" s="1256"/>
      <c r="M167" s="1256"/>
      <c r="N167" s="1256"/>
      <c r="O167" s="1256"/>
      <c r="P167" s="1256"/>
      <c r="Q167" s="1256"/>
      <c r="R167" s="1256"/>
      <c r="S167" s="1256"/>
      <c r="T167" s="1256"/>
      <c r="U167" s="1256"/>
      <c r="V167" s="1256"/>
      <c r="W167" s="1219"/>
      <c r="X167" s="1219"/>
      <c r="Y167" s="1219"/>
      <c r="Z167" s="292"/>
      <c r="AA167" s="292"/>
      <c r="AB167" s="292"/>
      <c r="AC167" s="1851"/>
      <c r="AD167" s="1851"/>
      <c r="AE167" s="1851"/>
      <c r="AF167" s="1851"/>
      <c r="AG167" s="1851"/>
      <c r="AH167" s="292"/>
      <c r="AI167" s="292"/>
      <c r="AJ167" s="1220"/>
      <c r="AK167" s="1220"/>
      <c r="AL167" s="1221"/>
      <c r="AM167" s="1221"/>
    </row>
    <row r="168" spans="1:39" ht="14.45" customHeight="1">
      <c r="A168" s="273"/>
      <c r="B168" s="273"/>
      <c r="C168" s="1150"/>
      <c r="D168" s="1152"/>
      <c r="E168" s="1151" t="s">
        <v>766</v>
      </c>
      <c r="F168" s="1152"/>
      <c r="G168" s="1153"/>
      <c r="H168" s="2209" t="s">
        <v>88</v>
      </c>
      <c r="I168" s="2210"/>
      <c r="J168" s="2210"/>
      <c r="K168" s="2210"/>
      <c r="L168" s="2211"/>
      <c r="M168" s="2215" t="s">
        <v>89</v>
      </c>
      <c r="N168" s="2216"/>
      <c r="O168" s="2216"/>
      <c r="P168" s="2216"/>
      <c r="Q168" s="2216"/>
      <c r="R168" s="2216"/>
      <c r="S168" s="2217"/>
      <c r="T168" s="2215" t="s">
        <v>90</v>
      </c>
      <c r="U168" s="2216"/>
      <c r="V168" s="2216"/>
      <c r="W168" s="2216"/>
      <c r="X168" s="2216"/>
      <c r="Y168" s="2216"/>
      <c r="Z168" s="2216"/>
      <c r="AA168" s="2216"/>
      <c r="AB168" s="2217"/>
      <c r="AC168" s="2215" t="s">
        <v>91</v>
      </c>
      <c r="AD168" s="2216"/>
      <c r="AE168" s="2216"/>
      <c r="AF168" s="2216"/>
      <c r="AG168" s="2216"/>
      <c r="AH168" s="2216"/>
      <c r="AI168" s="2217"/>
      <c r="AJ168" s="2215" t="s">
        <v>92</v>
      </c>
      <c r="AK168" s="2216"/>
      <c r="AL168" s="2216"/>
      <c r="AM168" s="2250"/>
    </row>
    <row r="169" spans="1:39" ht="15.75" thickBot="1">
      <c r="A169" s="273"/>
      <c r="B169" s="273"/>
      <c r="C169" s="1154"/>
      <c r="D169" s="1156"/>
      <c r="E169" s="1155" t="s">
        <v>33</v>
      </c>
      <c r="F169" s="1156"/>
      <c r="G169" s="1157"/>
      <c r="H169" s="2212"/>
      <c r="I169" s="2213"/>
      <c r="J169" s="2213"/>
      <c r="K169" s="2213"/>
      <c r="L169" s="2214"/>
      <c r="M169" s="2206" t="s">
        <v>32</v>
      </c>
      <c r="N169" s="2251"/>
      <c r="O169" s="2251"/>
      <c r="P169" s="2251"/>
      <c r="Q169" s="2207"/>
      <c r="R169" s="2206" t="s">
        <v>30</v>
      </c>
      <c r="S169" s="2207"/>
      <c r="T169" s="2206" t="s">
        <v>32</v>
      </c>
      <c r="U169" s="2251"/>
      <c r="V169" s="2251"/>
      <c r="W169" s="2251"/>
      <c r="X169" s="2251"/>
      <c r="Y169" s="2207"/>
      <c r="Z169" s="2206" t="s">
        <v>30</v>
      </c>
      <c r="AA169" s="2251"/>
      <c r="AB169" s="2207"/>
      <c r="AC169" s="2206" t="s">
        <v>32</v>
      </c>
      <c r="AD169" s="2251"/>
      <c r="AE169" s="2251"/>
      <c r="AF169" s="2251"/>
      <c r="AG169" s="2207"/>
      <c r="AH169" s="2206" t="s">
        <v>30</v>
      </c>
      <c r="AI169" s="2207"/>
      <c r="AJ169" s="1158" t="s">
        <v>32</v>
      </c>
      <c r="AK169" s="1159"/>
      <c r="AL169" s="2206" t="s">
        <v>30</v>
      </c>
      <c r="AM169" s="2208"/>
    </row>
    <row r="170" spans="1:39">
      <c r="A170" s="273"/>
      <c r="B170" s="273"/>
      <c r="C170" s="2238" t="s">
        <v>2289</v>
      </c>
      <c r="D170" s="2239"/>
      <c r="E170" s="2239"/>
      <c r="F170" s="2239"/>
      <c r="G170" s="2240"/>
      <c r="H170" s="2241">
        <v>1635915.44</v>
      </c>
      <c r="I170" s="2242"/>
      <c r="J170" s="2242"/>
      <c r="K170" s="2242"/>
      <c r="L170" s="2243"/>
      <c r="M170" s="2241">
        <f>'VAL ADI-OBRA N°02'!H170</f>
        <v>1421331.4917847496</v>
      </c>
      <c r="N170" s="2242"/>
      <c r="O170" s="2242"/>
      <c r="P170" s="2242"/>
      <c r="Q170" s="2243"/>
      <c r="R170" s="2244">
        <f>+M170/H170</f>
        <v>0.86882943765403275</v>
      </c>
      <c r="S170" s="2245"/>
      <c r="T170" s="2257">
        <f>'R- FE-1'!F36</f>
        <v>0</v>
      </c>
      <c r="U170" s="2258"/>
      <c r="V170" s="2258"/>
      <c r="W170" s="2258"/>
      <c r="X170" s="2258"/>
      <c r="Y170" s="2259"/>
      <c r="Z170" s="2244">
        <f>+T170/H170</f>
        <v>0</v>
      </c>
      <c r="AA170" s="2249"/>
      <c r="AB170" s="2245"/>
      <c r="AC170" s="2241">
        <f>T170+M170</f>
        <v>1421331.4917847496</v>
      </c>
      <c r="AD170" s="2242"/>
      <c r="AE170" s="2242"/>
      <c r="AF170" s="2242"/>
      <c r="AG170" s="2243"/>
      <c r="AH170" s="2244">
        <f>+AC170/H170</f>
        <v>0.86882943765403275</v>
      </c>
      <c r="AI170" s="2245"/>
      <c r="AJ170" s="2241">
        <f>+H170-AC170</f>
        <v>214583.94821525039</v>
      </c>
      <c r="AK170" s="2243"/>
      <c r="AL170" s="2244">
        <f>+AJ170/H170</f>
        <v>0.13117056234596722</v>
      </c>
      <c r="AM170" s="2252"/>
    </row>
    <row r="171" spans="1:39">
      <c r="A171" s="273"/>
      <c r="B171" s="273"/>
      <c r="C171" s="2260" t="s">
        <v>2460</v>
      </c>
      <c r="D171" s="2261"/>
      <c r="E171" s="2261"/>
      <c r="F171" s="2261"/>
      <c r="G171" s="2262"/>
      <c r="H171" s="2263">
        <v>577014.64</v>
      </c>
      <c r="I171" s="2264"/>
      <c r="J171" s="2264"/>
      <c r="K171" s="2264"/>
      <c r="L171" s="2265"/>
      <c r="M171" s="2263">
        <f>'VAL ADI-OBRA N°02'!H227</f>
        <v>575823.35999999999</v>
      </c>
      <c r="N171" s="2264"/>
      <c r="O171" s="2264"/>
      <c r="P171" s="2264"/>
      <c r="Q171" s="2265"/>
      <c r="R171" s="2266">
        <f>+M171/H171</f>
        <v>0.99793544233123788</v>
      </c>
      <c r="S171" s="2267"/>
      <c r="T171" s="2268">
        <f>'R- FE-1'!F37</f>
        <v>0</v>
      </c>
      <c r="U171" s="2269"/>
      <c r="V171" s="2269"/>
      <c r="W171" s="2269"/>
      <c r="X171" s="2269"/>
      <c r="Y171" s="2270"/>
      <c r="Z171" s="2266">
        <f>+T171/H171</f>
        <v>0</v>
      </c>
      <c r="AA171" s="2271"/>
      <c r="AB171" s="2267"/>
      <c r="AC171" s="2263">
        <f>M171+T171</f>
        <v>575823.35999999999</v>
      </c>
      <c r="AD171" s="2264"/>
      <c r="AE171" s="2264"/>
      <c r="AF171" s="2264"/>
      <c r="AG171" s="2265"/>
      <c r="AH171" s="2266">
        <f>+R171+Z171</f>
        <v>0.99793544233123788</v>
      </c>
      <c r="AI171" s="2267"/>
      <c r="AJ171" s="2263">
        <f>+H171-AC171</f>
        <v>1191.2800000000279</v>
      </c>
      <c r="AK171" s="2265"/>
      <c r="AL171" s="2266">
        <f>AJ171/H171</f>
        <v>2.064557668762144E-3</v>
      </c>
      <c r="AM171" s="2275"/>
    </row>
    <row r="172" spans="1:39" ht="15.75" thickBot="1">
      <c r="A172" s="273"/>
      <c r="B172" s="273"/>
      <c r="C172" s="2226" t="s">
        <v>2290</v>
      </c>
      <c r="D172" s="2227"/>
      <c r="E172" s="2227"/>
      <c r="F172" s="2227"/>
      <c r="G172" s="2228"/>
      <c r="H172" s="2272">
        <v>1754453.3</v>
      </c>
      <c r="I172" s="2273"/>
      <c r="J172" s="2273"/>
      <c r="K172" s="2273"/>
      <c r="L172" s="2274"/>
      <c r="M172" s="2229">
        <v>0</v>
      </c>
      <c r="N172" s="2230"/>
      <c r="O172" s="2230"/>
      <c r="P172" s="2230"/>
      <c r="Q172" s="2231"/>
      <c r="R172" s="2232">
        <f>+M172/H170</f>
        <v>0</v>
      </c>
      <c r="S172" s="2233"/>
      <c r="T172" s="2254">
        <f>'R- FE-1'!F38</f>
        <v>0</v>
      </c>
      <c r="U172" s="2255"/>
      <c r="V172" s="2255"/>
      <c r="W172" s="2255"/>
      <c r="X172" s="2255"/>
      <c r="Y172" s="2256"/>
      <c r="Z172" s="2232">
        <f>+T172/H172</f>
        <v>0</v>
      </c>
      <c r="AA172" s="2237"/>
      <c r="AB172" s="2233"/>
      <c r="AC172" s="2229">
        <f>M172+T172</f>
        <v>0</v>
      </c>
      <c r="AD172" s="2230"/>
      <c r="AE172" s="2230"/>
      <c r="AF172" s="2230"/>
      <c r="AG172" s="2231"/>
      <c r="AH172" s="2232">
        <f>+R172+Z172</f>
        <v>0</v>
      </c>
      <c r="AI172" s="2233"/>
      <c r="AJ172" s="2229">
        <f>+H172-AC172</f>
        <v>1754453.3</v>
      </c>
      <c r="AK172" s="2231"/>
      <c r="AL172" s="2232">
        <f>AJ172/H172</f>
        <v>1</v>
      </c>
      <c r="AM172" s="2253"/>
    </row>
    <row r="173" spans="1:39">
      <c r="A173" s="273"/>
      <c r="B173" s="273"/>
      <c r="C173" s="1853"/>
      <c r="D173" s="1853"/>
      <c r="E173" s="1853"/>
      <c r="F173" s="1853"/>
      <c r="G173" s="1853"/>
      <c r="H173" s="1513"/>
      <c r="I173" s="1513"/>
      <c r="J173" s="1513"/>
      <c r="K173" s="1513"/>
      <c r="L173" s="1513"/>
      <c r="M173" s="1851"/>
      <c r="N173" s="1851"/>
      <c r="O173" s="1851"/>
      <c r="P173" s="1851"/>
      <c r="Q173" s="1851"/>
      <c r="R173" s="292"/>
      <c r="S173" s="292"/>
      <c r="T173" s="1219"/>
      <c r="U173" s="1219"/>
      <c r="V173" s="1219"/>
      <c r="W173" s="1219"/>
      <c r="X173" s="1219"/>
      <c r="Y173" s="1219"/>
      <c r="Z173" s="292"/>
      <c r="AA173" s="292"/>
      <c r="AB173" s="292"/>
      <c r="AC173" s="1851"/>
      <c r="AD173" s="1851"/>
      <c r="AE173" s="1851"/>
      <c r="AF173" s="1851"/>
      <c r="AG173" s="1851"/>
      <c r="AH173" s="292"/>
      <c r="AI173" s="292"/>
      <c r="AJ173" s="1851"/>
      <c r="AK173" s="1851"/>
      <c r="AL173" s="292"/>
      <c r="AM173" s="292"/>
    </row>
    <row r="174" spans="1:39" ht="15.75" thickBot="1">
      <c r="A174" s="273"/>
      <c r="B174" s="273"/>
      <c r="C174" s="1256" t="s">
        <v>2692</v>
      </c>
      <c r="D174" s="1256"/>
      <c r="E174" s="1256"/>
      <c r="F174" s="1256"/>
      <c r="G174" s="1256"/>
      <c r="H174" s="1256"/>
      <c r="I174" s="1256"/>
      <c r="J174" s="1256"/>
      <c r="K174" s="1256"/>
      <c r="L174" s="1256"/>
      <c r="M174" s="1256"/>
      <c r="N174" s="1256"/>
      <c r="O174" s="1256"/>
      <c r="P174" s="1256"/>
      <c r="Q174" s="1256"/>
      <c r="R174" s="1256"/>
      <c r="S174" s="1256"/>
      <c r="T174" s="1256"/>
      <c r="U174" s="1256"/>
      <c r="V174" s="1256"/>
      <c r="W174" s="1219"/>
      <c r="X174" s="1219"/>
      <c r="Y174" s="1219"/>
      <c r="Z174" s="292"/>
      <c r="AA174" s="292"/>
      <c r="AB174" s="292"/>
      <c r="AC174" s="1851"/>
      <c r="AD174" s="1851"/>
      <c r="AE174" s="1851"/>
      <c r="AF174" s="1851"/>
      <c r="AG174" s="1851"/>
      <c r="AH174" s="292"/>
      <c r="AI174" s="292"/>
      <c r="AJ174" s="1220"/>
      <c r="AK174" s="1220"/>
      <c r="AL174" s="1221"/>
      <c r="AM174" s="1221"/>
    </row>
    <row r="175" spans="1:39" ht="14.45" customHeight="1">
      <c r="A175" s="273"/>
      <c r="B175" s="273"/>
      <c r="C175" s="1150"/>
      <c r="D175" s="1152"/>
      <c r="E175" s="1151" t="s">
        <v>766</v>
      </c>
      <c r="F175" s="1152"/>
      <c r="G175" s="1153"/>
      <c r="H175" s="2209" t="s">
        <v>88</v>
      </c>
      <c r="I175" s="2210"/>
      <c r="J175" s="2210"/>
      <c r="K175" s="2210"/>
      <c r="L175" s="2211"/>
      <c r="M175" s="2215" t="s">
        <v>89</v>
      </c>
      <c r="N175" s="2216"/>
      <c r="O175" s="2216"/>
      <c r="P175" s="2216"/>
      <c r="Q175" s="2216"/>
      <c r="R175" s="2216"/>
      <c r="S175" s="2217"/>
      <c r="T175" s="2215" t="s">
        <v>90</v>
      </c>
      <c r="U175" s="2216"/>
      <c r="V175" s="2216"/>
      <c r="W175" s="2216"/>
      <c r="X175" s="2216"/>
      <c r="Y175" s="2216"/>
      <c r="Z175" s="2216"/>
      <c r="AA175" s="2216"/>
      <c r="AB175" s="2217"/>
      <c r="AC175" s="2215" t="s">
        <v>91</v>
      </c>
      <c r="AD175" s="2216"/>
      <c r="AE175" s="2216"/>
      <c r="AF175" s="2216"/>
      <c r="AG175" s="2216"/>
      <c r="AH175" s="2216"/>
      <c r="AI175" s="2217"/>
      <c r="AJ175" s="2215" t="s">
        <v>92</v>
      </c>
      <c r="AK175" s="2216"/>
      <c r="AL175" s="2216"/>
      <c r="AM175" s="2250"/>
    </row>
    <row r="176" spans="1:39" ht="15.75" thickBot="1">
      <c r="A176" s="273"/>
      <c r="B176" s="273"/>
      <c r="C176" s="1154"/>
      <c r="D176" s="1156"/>
      <c r="E176" s="1155" t="s">
        <v>33</v>
      </c>
      <c r="F176" s="1156"/>
      <c r="G176" s="1157"/>
      <c r="H176" s="2212"/>
      <c r="I176" s="2213"/>
      <c r="J176" s="2213"/>
      <c r="K176" s="2213"/>
      <c r="L176" s="2214"/>
      <c r="M176" s="2206" t="s">
        <v>32</v>
      </c>
      <c r="N176" s="2251"/>
      <c r="O176" s="2251"/>
      <c r="P176" s="2251"/>
      <c r="Q176" s="2207"/>
      <c r="R176" s="2206" t="s">
        <v>30</v>
      </c>
      <c r="S176" s="2207"/>
      <c r="T176" s="2206" t="s">
        <v>32</v>
      </c>
      <c r="U176" s="2251"/>
      <c r="V176" s="2251"/>
      <c r="W176" s="2251"/>
      <c r="X176" s="2251"/>
      <c r="Y176" s="2207"/>
      <c r="Z176" s="2206" t="s">
        <v>30</v>
      </c>
      <c r="AA176" s="2251"/>
      <c r="AB176" s="2207"/>
      <c r="AC176" s="2206" t="s">
        <v>32</v>
      </c>
      <c r="AD176" s="2251"/>
      <c r="AE176" s="2251"/>
      <c r="AF176" s="2251"/>
      <c r="AG176" s="2207"/>
      <c r="AH176" s="2206" t="s">
        <v>30</v>
      </c>
      <c r="AI176" s="2207"/>
      <c r="AJ176" s="1158" t="s">
        <v>32</v>
      </c>
      <c r="AK176" s="1159"/>
      <c r="AL176" s="2206" t="s">
        <v>30</v>
      </c>
      <c r="AM176" s="2208"/>
    </row>
    <row r="177" spans="1:40">
      <c r="A177" s="273"/>
      <c r="B177" s="273"/>
      <c r="C177" s="2238" t="s">
        <v>2289</v>
      </c>
      <c r="D177" s="2239"/>
      <c r="E177" s="2239"/>
      <c r="F177" s="2239"/>
      <c r="G177" s="2240"/>
      <c r="H177" s="2241">
        <v>2022520.64</v>
      </c>
      <c r="I177" s="2242"/>
      <c r="J177" s="2242"/>
      <c r="K177" s="2242"/>
      <c r="L177" s="2243"/>
      <c r="M177" s="2241">
        <f>'VAL ADI-OBRA N°03 (2)'!H116</f>
        <v>1831109.6892000006</v>
      </c>
      <c r="N177" s="2242"/>
      <c r="O177" s="2242"/>
      <c r="P177" s="2242"/>
      <c r="Q177" s="2243"/>
      <c r="R177" s="2244">
        <f>+M177/H177</f>
        <v>0.90536019904350673</v>
      </c>
      <c r="S177" s="2245"/>
      <c r="T177" s="2279">
        <f>'VAL ADI-OBRA N°03 (2)'!K116</f>
        <v>0</v>
      </c>
      <c r="U177" s="2280"/>
      <c r="V177" s="2280"/>
      <c r="W177" s="2280"/>
      <c r="X177" s="2280"/>
      <c r="Y177" s="2281"/>
      <c r="Z177" s="2244">
        <f>+T177/H177</f>
        <v>0</v>
      </c>
      <c r="AA177" s="2249"/>
      <c r="AB177" s="2245"/>
      <c r="AC177" s="2241">
        <f>T177+M177</f>
        <v>1831109.6892000006</v>
      </c>
      <c r="AD177" s="2242"/>
      <c r="AE177" s="2242"/>
      <c r="AF177" s="2242"/>
      <c r="AG177" s="2243"/>
      <c r="AH177" s="2244">
        <f>+AC177/H177</f>
        <v>0.90536019904350673</v>
      </c>
      <c r="AI177" s="2245"/>
      <c r="AJ177" s="2241">
        <f>+H177-AC177</f>
        <v>191410.95079999929</v>
      </c>
      <c r="AK177" s="2243"/>
      <c r="AL177" s="2244">
        <f>+AJ177/H177</f>
        <v>9.4639800956493228E-2</v>
      </c>
      <c r="AM177" s="2252"/>
    </row>
    <row r="178" spans="1:40">
      <c r="A178" s="273"/>
      <c r="B178" s="273"/>
      <c r="C178" s="2260" t="s">
        <v>2460</v>
      </c>
      <c r="D178" s="2261"/>
      <c r="E178" s="2261"/>
      <c r="F178" s="2261"/>
      <c r="G178" s="2262"/>
      <c r="H178" s="2263">
        <v>130284.96</v>
      </c>
      <c r="I178" s="2264"/>
      <c r="J178" s="2264"/>
      <c r="K178" s="2264"/>
      <c r="L178" s="2265"/>
      <c r="M178" s="2263">
        <f>'VAL ADI-OBRA N°03 (2)'!H156</f>
        <v>104135.00000000001</v>
      </c>
      <c r="N178" s="2264"/>
      <c r="O178" s="2264"/>
      <c r="P178" s="2264"/>
      <c r="Q178" s="2265"/>
      <c r="R178" s="2266">
        <f>+M178/H178</f>
        <v>0.79928642569334185</v>
      </c>
      <c r="S178" s="2267"/>
      <c r="T178" s="2276">
        <f>'VAL ADI-OBRA N°03 (2)'!K156</f>
        <v>0</v>
      </c>
      <c r="U178" s="2277"/>
      <c r="V178" s="2277"/>
      <c r="W178" s="2277"/>
      <c r="X178" s="2277"/>
      <c r="Y178" s="2278"/>
      <c r="Z178" s="2266">
        <f>+T178/H178</f>
        <v>0</v>
      </c>
      <c r="AA178" s="2271"/>
      <c r="AB178" s="2267"/>
      <c r="AC178" s="2263">
        <f>M178+T178</f>
        <v>104135.00000000001</v>
      </c>
      <c r="AD178" s="2264"/>
      <c r="AE178" s="2264"/>
      <c r="AF178" s="2264"/>
      <c r="AG178" s="2265"/>
      <c r="AH178" s="2266">
        <f>+R178+Z178</f>
        <v>0.79928642569334185</v>
      </c>
      <c r="AI178" s="2267"/>
      <c r="AJ178" s="2263">
        <f>+H178-AC178</f>
        <v>26149.959999999992</v>
      </c>
      <c r="AK178" s="2265"/>
      <c r="AL178" s="2266">
        <f>AJ178/H178</f>
        <v>0.2007135743066582</v>
      </c>
      <c r="AM178" s="2275"/>
    </row>
    <row r="179" spans="1:40" ht="15.75" thickBot="1">
      <c r="A179" s="273"/>
      <c r="B179" s="273"/>
      <c r="C179" s="2226" t="s">
        <v>2290</v>
      </c>
      <c r="D179" s="2227"/>
      <c r="E179" s="2227"/>
      <c r="F179" s="2227"/>
      <c r="G179" s="2228"/>
      <c r="H179" s="2272">
        <v>704911.18</v>
      </c>
      <c r="I179" s="2273"/>
      <c r="J179" s="2273"/>
      <c r="K179" s="2273"/>
      <c r="L179" s="2274"/>
      <c r="M179" s="2229">
        <v>0</v>
      </c>
      <c r="N179" s="2230"/>
      <c r="O179" s="2230"/>
      <c r="P179" s="2230"/>
      <c r="Q179" s="2231"/>
      <c r="R179" s="2232">
        <f>+M179/H177</f>
        <v>0</v>
      </c>
      <c r="S179" s="2233"/>
      <c r="T179" s="2282">
        <f>'VAL ADI-OBRA N°03 (2)'!K190</f>
        <v>0</v>
      </c>
      <c r="U179" s="2283"/>
      <c r="V179" s="2283"/>
      <c r="W179" s="2283"/>
      <c r="X179" s="2283"/>
      <c r="Y179" s="2284"/>
      <c r="Z179" s="2232">
        <f>+T179/H179</f>
        <v>0</v>
      </c>
      <c r="AA179" s="2237"/>
      <c r="AB179" s="2233"/>
      <c r="AC179" s="2229">
        <f>M179+T179</f>
        <v>0</v>
      </c>
      <c r="AD179" s="2230"/>
      <c r="AE179" s="2230"/>
      <c r="AF179" s="2230"/>
      <c r="AG179" s="2231"/>
      <c r="AH179" s="2232">
        <f>+R179+Z179</f>
        <v>0</v>
      </c>
      <c r="AI179" s="2233"/>
      <c r="AJ179" s="2229">
        <f>+H179-AC179</f>
        <v>704911.18</v>
      </c>
      <c r="AK179" s="2231"/>
      <c r="AL179" s="2232">
        <f>AJ179/H179</f>
        <v>1</v>
      </c>
      <c r="AM179" s="2253"/>
    </row>
    <row r="180" spans="1:40">
      <c r="A180" s="273"/>
      <c r="B180" s="273"/>
      <c r="C180" s="1853"/>
      <c r="D180" s="1853"/>
      <c r="E180" s="1853"/>
      <c r="F180" s="1853"/>
      <c r="G180" s="1853"/>
      <c r="H180" s="1513"/>
      <c r="I180" s="1513"/>
      <c r="J180" s="1513"/>
      <c r="K180" s="1513"/>
      <c r="L180" s="1513"/>
      <c r="M180" s="1851"/>
      <c r="N180" s="1851"/>
      <c r="O180" s="1851"/>
      <c r="P180" s="1851"/>
      <c r="Q180" s="1851"/>
      <c r="R180" s="292"/>
      <c r="S180" s="292"/>
      <c r="T180" s="1219"/>
      <c r="U180" s="1219"/>
      <c r="V180" s="1219"/>
      <c r="W180" s="1219"/>
      <c r="X180" s="1219"/>
      <c r="Y180" s="1219"/>
      <c r="Z180" s="292"/>
      <c r="AA180" s="292"/>
      <c r="AB180" s="292"/>
      <c r="AC180" s="1851"/>
      <c r="AD180" s="1851"/>
      <c r="AE180" s="1851"/>
      <c r="AF180" s="1851"/>
      <c r="AG180" s="1851"/>
      <c r="AH180" s="292"/>
      <c r="AI180" s="292"/>
      <c r="AJ180" s="1851"/>
      <c r="AK180" s="1851"/>
      <c r="AL180" s="292"/>
      <c r="AM180" s="292"/>
    </row>
    <row r="181" spans="1:40" ht="15.75" thickBot="1">
      <c r="A181" s="273"/>
      <c r="B181" s="273"/>
      <c r="C181" s="1256" t="s">
        <v>3799</v>
      </c>
      <c r="D181" s="1256"/>
      <c r="E181" s="1256"/>
      <c r="F181" s="1256"/>
      <c r="G181" s="1256"/>
      <c r="H181" s="1256"/>
      <c r="I181" s="1256"/>
      <c r="J181" s="1256"/>
      <c r="K181" s="1256"/>
      <c r="L181" s="1256"/>
      <c r="M181" s="1256"/>
      <c r="N181" s="1256"/>
      <c r="O181" s="1256"/>
      <c r="P181" s="1256"/>
      <c r="Q181" s="1256"/>
      <c r="R181" s="1256"/>
      <c r="S181" s="1256"/>
      <c r="T181" s="1256"/>
      <c r="U181" s="1256"/>
      <c r="V181" s="1256"/>
      <c r="W181" s="1219"/>
      <c r="X181" s="1219"/>
      <c r="Y181" s="1219"/>
      <c r="Z181" s="292"/>
      <c r="AA181" s="292"/>
      <c r="AB181" s="292"/>
      <c r="AC181" s="1851"/>
      <c r="AD181" s="1851"/>
      <c r="AE181" s="1851"/>
      <c r="AF181" s="1851"/>
      <c r="AG181" s="1851"/>
      <c r="AH181" s="292"/>
      <c r="AI181" s="292"/>
      <c r="AJ181" s="1220"/>
      <c r="AK181" s="1220"/>
      <c r="AL181" s="1221"/>
      <c r="AM181" s="1221"/>
    </row>
    <row r="182" spans="1:40" ht="14.45" customHeight="1">
      <c r="A182" s="273"/>
      <c r="B182" s="273"/>
      <c r="C182" s="1150"/>
      <c r="D182" s="1152"/>
      <c r="E182" s="1151" t="s">
        <v>766</v>
      </c>
      <c r="F182" s="1152"/>
      <c r="G182" s="1153"/>
      <c r="H182" s="2209" t="s">
        <v>88</v>
      </c>
      <c r="I182" s="2210"/>
      <c r="J182" s="2210"/>
      <c r="K182" s="2210"/>
      <c r="L182" s="2211"/>
      <c r="M182" s="2215" t="s">
        <v>89</v>
      </c>
      <c r="N182" s="2216"/>
      <c r="O182" s="2216"/>
      <c r="P182" s="2216"/>
      <c r="Q182" s="2216"/>
      <c r="R182" s="2216"/>
      <c r="S182" s="2217"/>
      <c r="T182" s="2215" t="s">
        <v>90</v>
      </c>
      <c r="U182" s="2216"/>
      <c r="V182" s="2216"/>
      <c r="W182" s="2216"/>
      <c r="X182" s="2216"/>
      <c r="Y182" s="2216"/>
      <c r="Z182" s="2216"/>
      <c r="AA182" s="2216"/>
      <c r="AB182" s="2217"/>
      <c r="AC182" s="2215" t="s">
        <v>91</v>
      </c>
      <c r="AD182" s="2216"/>
      <c r="AE182" s="2216"/>
      <c r="AF182" s="2216"/>
      <c r="AG182" s="2216"/>
      <c r="AH182" s="2216"/>
      <c r="AI182" s="2217"/>
      <c r="AJ182" s="2215" t="s">
        <v>92</v>
      </c>
      <c r="AK182" s="2216"/>
      <c r="AL182" s="2216"/>
      <c r="AM182" s="2250"/>
    </row>
    <row r="183" spans="1:40" ht="15.75" thickBot="1">
      <c r="A183" s="273"/>
      <c r="B183" s="273"/>
      <c r="C183" s="1154"/>
      <c r="D183" s="1156"/>
      <c r="E183" s="1155" t="s">
        <v>33</v>
      </c>
      <c r="F183" s="1156"/>
      <c r="G183" s="1157"/>
      <c r="H183" s="2212"/>
      <c r="I183" s="2213"/>
      <c r="J183" s="2213"/>
      <c r="K183" s="2213"/>
      <c r="L183" s="2214"/>
      <c r="M183" s="2206" t="s">
        <v>32</v>
      </c>
      <c r="N183" s="2251"/>
      <c r="O183" s="2251"/>
      <c r="P183" s="2251"/>
      <c r="Q183" s="2207"/>
      <c r="R183" s="2206" t="s">
        <v>30</v>
      </c>
      <c r="S183" s="2207"/>
      <c r="T183" s="2206" t="s">
        <v>32</v>
      </c>
      <c r="U183" s="2251"/>
      <c r="V183" s="2251"/>
      <c r="W183" s="2251"/>
      <c r="X183" s="2251"/>
      <c r="Y183" s="2207"/>
      <c r="Z183" s="2206" t="s">
        <v>30</v>
      </c>
      <c r="AA183" s="2251"/>
      <c r="AB183" s="2207"/>
      <c r="AC183" s="2206" t="s">
        <v>32</v>
      </c>
      <c r="AD183" s="2251"/>
      <c r="AE183" s="2251"/>
      <c r="AF183" s="2251"/>
      <c r="AG183" s="2207"/>
      <c r="AH183" s="2206" t="s">
        <v>30</v>
      </c>
      <c r="AI183" s="2207"/>
      <c r="AJ183" s="1158" t="s">
        <v>32</v>
      </c>
      <c r="AK183" s="1159"/>
      <c r="AL183" s="2206" t="s">
        <v>30</v>
      </c>
      <c r="AM183" s="2208"/>
    </row>
    <row r="184" spans="1:40">
      <c r="A184" s="273"/>
      <c r="B184" s="273"/>
      <c r="C184" s="2238" t="s">
        <v>2289</v>
      </c>
      <c r="D184" s="2239"/>
      <c r="E184" s="2239"/>
      <c r="F184" s="2239"/>
      <c r="G184" s="2240"/>
      <c r="H184" s="2241">
        <f>'R- FE-1'!C52</f>
        <v>4142136.5430000024</v>
      </c>
      <c r="I184" s="2242"/>
      <c r="J184" s="2242"/>
      <c r="K184" s="2242"/>
      <c r="L184" s="2243"/>
      <c r="M184" s="2288">
        <f>'VAL ADI-OBRA N°04'!H588</f>
        <v>967150.91</v>
      </c>
      <c r="N184" s="2289"/>
      <c r="O184" s="2289"/>
      <c r="P184" s="2289"/>
      <c r="Q184" s="2290"/>
      <c r="R184" s="2244">
        <f>+M184/H184</f>
        <v>0.2334908325594518</v>
      </c>
      <c r="S184" s="2245"/>
      <c r="T184" s="2257">
        <f>'R- FE-1'!F52</f>
        <v>91446.268500000006</v>
      </c>
      <c r="U184" s="2258"/>
      <c r="V184" s="2258"/>
      <c r="W184" s="2258"/>
      <c r="X184" s="2258"/>
      <c r="Y184" s="2259"/>
      <c r="Z184" s="2244">
        <f>+T184/H184</f>
        <v>2.207707726451932E-2</v>
      </c>
      <c r="AA184" s="2249"/>
      <c r="AB184" s="2245"/>
      <c r="AC184" s="2241">
        <f>T184+M184</f>
        <v>1058597.1784999999</v>
      </c>
      <c r="AD184" s="2242"/>
      <c r="AE184" s="2242"/>
      <c r="AF184" s="2242"/>
      <c r="AG184" s="2243"/>
      <c r="AH184" s="2244">
        <f>+AC184/H184</f>
        <v>0.2555679098239711</v>
      </c>
      <c r="AI184" s="2245"/>
      <c r="AJ184" s="2241">
        <f>+H184-AC184-0.01</f>
        <v>3083539.3545000027</v>
      </c>
      <c r="AK184" s="2243"/>
      <c r="AL184" s="2244">
        <f>+AJ184/H184</f>
        <v>0.74443208776181591</v>
      </c>
      <c r="AM184" s="2252"/>
      <c r="AN184" s="1016"/>
    </row>
    <row r="185" spans="1:40">
      <c r="A185" s="273"/>
      <c r="B185" s="273"/>
      <c r="C185" s="2260" t="s">
        <v>2460</v>
      </c>
      <c r="D185" s="2261"/>
      <c r="E185" s="2261"/>
      <c r="F185" s="2261"/>
      <c r="G185" s="2262"/>
      <c r="H185" s="2263">
        <f>'R- FE-1'!C53</f>
        <v>433266.30559999991</v>
      </c>
      <c r="I185" s="2264"/>
      <c r="J185" s="2264"/>
      <c r="K185" s="2264"/>
      <c r="L185" s="2265"/>
      <c r="M185" s="2285">
        <f>'VAL ADI-OBRA N°04'!H744</f>
        <v>230287.28000000006</v>
      </c>
      <c r="N185" s="2286"/>
      <c r="O185" s="2286"/>
      <c r="P185" s="2286"/>
      <c r="Q185" s="2287"/>
      <c r="R185" s="2266">
        <f>+M185/H185</f>
        <v>0.53151439893552643</v>
      </c>
      <c r="S185" s="2267"/>
      <c r="T185" s="2268">
        <f>'R- FE-1'!F53</f>
        <v>17400</v>
      </c>
      <c r="U185" s="2269"/>
      <c r="V185" s="2269"/>
      <c r="W185" s="2269"/>
      <c r="X185" s="2269"/>
      <c r="Y185" s="2270"/>
      <c r="Z185" s="2266">
        <f>+T185/H185</f>
        <v>4.0160058086917166E-2</v>
      </c>
      <c r="AA185" s="2271"/>
      <c r="AB185" s="2267"/>
      <c r="AC185" s="2263">
        <f>M185+T185</f>
        <v>247687.28000000006</v>
      </c>
      <c r="AD185" s="2264"/>
      <c r="AE185" s="2264"/>
      <c r="AF185" s="2264"/>
      <c r="AG185" s="2265"/>
      <c r="AH185" s="2266">
        <f>+R185+Z185</f>
        <v>0.57167445702244357</v>
      </c>
      <c r="AI185" s="2267"/>
      <c r="AJ185" s="2263">
        <f>+H185-AC185</f>
        <v>185579.02559999985</v>
      </c>
      <c r="AK185" s="2265"/>
      <c r="AL185" s="2266">
        <f>AJ185/H185</f>
        <v>0.42832554297755643</v>
      </c>
      <c r="AM185" s="2275"/>
    </row>
    <row r="186" spans="1:40" ht="15.75" thickBot="1">
      <c r="A186" s="273"/>
      <c r="B186" s="273"/>
      <c r="C186" s="2226" t="s">
        <v>2290</v>
      </c>
      <c r="D186" s="2227"/>
      <c r="E186" s="2227"/>
      <c r="F186" s="2227"/>
      <c r="G186" s="2228"/>
      <c r="H186" s="2272">
        <f>'R- FE-1'!C54</f>
        <v>1394520.9335069996</v>
      </c>
      <c r="I186" s="2273"/>
      <c r="J186" s="2273"/>
      <c r="K186" s="2273"/>
      <c r="L186" s="2274"/>
      <c r="M186" s="2291">
        <v>0</v>
      </c>
      <c r="N186" s="2292"/>
      <c r="O186" s="2292"/>
      <c r="P186" s="2292"/>
      <c r="Q186" s="2293"/>
      <c r="R186" s="2232">
        <f>+M186/H184</f>
        <v>0</v>
      </c>
      <c r="S186" s="2233"/>
      <c r="T186" s="2254">
        <f>'R- FE-1'!F54</f>
        <v>0</v>
      </c>
      <c r="U186" s="2255"/>
      <c r="V186" s="2255"/>
      <c r="W186" s="2255"/>
      <c r="X186" s="2255"/>
      <c r="Y186" s="2256"/>
      <c r="Z186" s="2232">
        <f>+T186/H186</f>
        <v>0</v>
      </c>
      <c r="AA186" s="2237"/>
      <c r="AB186" s="2233"/>
      <c r="AC186" s="2229">
        <f>M186+T186</f>
        <v>0</v>
      </c>
      <c r="AD186" s="2230"/>
      <c r="AE186" s="2230"/>
      <c r="AF186" s="2230"/>
      <c r="AG186" s="2231"/>
      <c r="AH186" s="2232">
        <f>+R186+Z186</f>
        <v>0</v>
      </c>
      <c r="AI186" s="2233"/>
      <c r="AJ186" s="2229">
        <f>+H186-AC186</f>
        <v>1394520.9335069996</v>
      </c>
      <c r="AK186" s="2231"/>
      <c r="AL186" s="2232">
        <f>AJ186/H186</f>
        <v>1</v>
      </c>
      <c r="AM186" s="2253"/>
    </row>
    <row r="187" spans="1:40">
      <c r="A187" s="273"/>
      <c r="B187" s="273"/>
      <c r="C187" s="1853"/>
      <c r="D187" s="1853"/>
      <c r="E187" s="1853"/>
      <c r="F187" s="1853"/>
      <c r="G187" s="1853"/>
      <c r="H187" s="1851"/>
      <c r="I187" s="1851"/>
      <c r="J187" s="1851"/>
      <c r="K187" s="1851"/>
      <c r="L187" s="1851"/>
      <c r="M187" s="1851"/>
      <c r="N187" s="1851"/>
      <c r="O187" s="1851"/>
      <c r="P187" s="1851"/>
      <c r="Q187" s="1851"/>
      <c r="R187" s="292"/>
      <c r="S187" s="292"/>
      <c r="T187" s="1219"/>
      <c r="U187" s="1219"/>
      <c r="V187" s="1219"/>
      <c r="W187" s="1219"/>
      <c r="X187" s="1219"/>
      <c r="Y187" s="1219"/>
      <c r="Z187" s="292"/>
      <c r="AA187" s="292"/>
      <c r="AB187" s="292"/>
      <c r="AC187" s="1851"/>
      <c r="AD187" s="1851"/>
      <c r="AE187" s="1851"/>
      <c r="AF187" s="1851"/>
      <c r="AG187" s="1851"/>
      <c r="AH187" s="292"/>
      <c r="AI187" s="292"/>
      <c r="AJ187" s="1851"/>
      <c r="AK187" s="1851"/>
      <c r="AL187" s="292"/>
      <c r="AM187" s="292"/>
    </row>
    <row r="188" spans="1:40" ht="15.75" thickBot="1">
      <c r="A188" s="273"/>
      <c r="B188" s="273"/>
      <c r="C188" s="283" t="s">
        <v>2510</v>
      </c>
      <c r="D188" s="283"/>
      <c r="E188" s="283"/>
      <c r="F188" s="283"/>
      <c r="G188" s="283"/>
      <c r="H188" s="283"/>
      <c r="I188" s="283"/>
      <c r="J188" s="283"/>
      <c r="K188" s="283"/>
      <c r="L188" s="283"/>
      <c r="M188" s="283"/>
      <c r="N188" s="283"/>
      <c r="O188" s="283"/>
      <c r="P188" s="283"/>
      <c r="Q188" s="283"/>
      <c r="R188" s="283"/>
      <c r="S188" s="283"/>
      <c r="T188" s="283"/>
      <c r="U188" s="283"/>
      <c r="V188" s="283"/>
      <c r="W188" s="1219"/>
      <c r="X188" s="1219"/>
      <c r="Y188" s="1219"/>
      <c r="Z188" s="292"/>
      <c r="AA188" s="292"/>
      <c r="AB188" s="1851"/>
      <c r="AC188" s="1851"/>
      <c r="AD188" s="1851"/>
      <c r="AE188" s="1851"/>
      <c r="AF188" s="1851"/>
      <c r="AG188" s="292"/>
      <c r="AH188" s="292"/>
      <c r="AI188" s="1220"/>
      <c r="AJ188" s="1220"/>
      <c r="AK188" s="1221"/>
      <c r="AL188" s="1221"/>
    </row>
    <row r="189" spans="1:40" ht="15" customHeight="1">
      <c r="A189" s="273"/>
      <c r="B189" s="273"/>
      <c r="C189" s="1150"/>
      <c r="D189" s="1152"/>
      <c r="E189" s="1151" t="s">
        <v>766</v>
      </c>
      <c r="F189" s="1152"/>
      <c r="G189" s="1153"/>
      <c r="H189" s="2209" t="s">
        <v>88</v>
      </c>
      <c r="I189" s="2210"/>
      <c r="J189" s="2210"/>
      <c r="K189" s="2210"/>
      <c r="L189" s="2211"/>
      <c r="M189" s="2215" t="s">
        <v>89</v>
      </c>
      <c r="N189" s="2216"/>
      <c r="O189" s="2216"/>
      <c r="P189" s="2216"/>
      <c r="Q189" s="2216"/>
      <c r="R189" s="2216"/>
      <c r="S189" s="2217"/>
      <c r="T189" s="2215" t="s">
        <v>90</v>
      </c>
      <c r="U189" s="2216"/>
      <c r="V189" s="2216"/>
      <c r="W189" s="2216"/>
      <c r="X189" s="2216"/>
      <c r="Y189" s="2216"/>
      <c r="Z189" s="2216"/>
      <c r="AA189" s="2216"/>
      <c r="AB189" s="2217"/>
      <c r="AC189" s="2215" t="s">
        <v>91</v>
      </c>
      <c r="AD189" s="2216"/>
      <c r="AE189" s="2216"/>
      <c r="AF189" s="2216"/>
      <c r="AG189" s="2216"/>
      <c r="AH189" s="2216"/>
      <c r="AI189" s="2217"/>
      <c r="AJ189" s="2215" t="s">
        <v>92</v>
      </c>
      <c r="AK189" s="2216"/>
      <c r="AL189" s="2216"/>
      <c r="AM189" s="2250"/>
    </row>
    <row r="190" spans="1:40" ht="15.75" thickBot="1">
      <c r="A190" s="273"/>
      <c r="B190" s="273"/>
      <c r="C190" s="1154"/>
      <c r="D190" s="1156"/>
      <c r="E190" s="1155"/>
      <c r="F190" s="1156"/>
      <c r="G190" s="1157"/>
      <c r="H190" s="2212"/>
      <c r="I190" s="2213"/>
      <c r="J190" s="2213"/>
      <c r="K190" s="2213"/>
      <c r="L190" s="2214"/>
      <c r="M190" s="2206" t="s">
        <v>32</v>
      </c>
      <c r="N190" s="2251"/>
      <c r="O190" s="2251"/>
      <c r="P190" s="2251"/>
      <c r="Q190" s="2207"/>
      <c r="R190" s="2206" t="s">
        <v>30</v>
      </c>
      <c r="S190" s="2207"/>
      <c r="T190" s="2206" t="s">
        <v>32</v>
      </c>
      <c r="U190" s="2251"/>
      <c r="V190" s="2251"/>
      <c r="W190" s="2251"/>
      <c r="X190" s="2251"/>
      <c r="Y190" s="2207"/>
      <c r="Z190" s="2206" t="s">
        <v>30</v>
      </c>
      <c r="AA190" s="2251"/>
      <c r="AB190" s="2207"/>
      <c r="AC190" s="2206" t="s">
        <v>32</v>
      </c>
      <c r="AD190" s="2251"/>
      <c r="AE190" s="2251"/>
      <c r="AF190" s="2251"/>
      <c r="AG190" s="2207"/>
      <c r="AH190" s="2206" t="s">
        <v>30</v>
      </c>
      <c r="AI190" s="2207"/>
      <c r="AJ190" s="1841" t="s">
        <v>32</v>
      </c>
      <c r="AK190" s="1842"/>
      <c r="AL190" s="2206" t="s">
        <v>30</v>
      </c>
      <c r="AM190" s="2208"/>
    </row>
    <row r="191" spans="1:40">
      <c r="A191" s="273"/>
      <c r="B191" s="273"/>
      <c r="C191" s="2304" t="s">
        <v>20</v>
      </c>
      <c r="D191" s="2216"/>
      <c r="E191" s="2216"/>
      <c r="F191" s="2216"/>
      <c r="G191" s="2217"/>
      <c r="H191" s="2305">
        <f>H208</f>
        <v>19229736.5</v>
      </c>
      <c r="I191" s="2306"/>
      <c r="J191" s="2306"/>
      <c r="K191" s="2306"/>
      <c r="L191" s="2307"/>
      <c r="M191" s="2308">
        <v>14381971.803844502</v>
      </c>
      <c r="N191" s="2309"/>
      <c r="O191" s="2309"/>
      <c r="P191" s="2309"/>
      <c r="Q191" s="2310"/>
      <c r="R191" s="2311">
        <f>(M191/H191)</f>
        <v>0.74790269767058437</v>
      </c>
      <c r="S191" s="2312"/>
      <c r="T191" s="2313">
        <v>4847764.7</v>
      </c>
      <c r="U191" s="2314"/>
      <c r="V191" s="2314"/>
      <c r="W191" s="2314"/>
      <c r="X191" s="2314"/>
      <c r="Y191" s="2315"/>
      <c r="Z191" s="2311">
        <f>T191/H191</f>
        <v>0.25209730252934043</v>
      </c>
      <c r="AA191" s="2316"/>
      <c r="AB191" s="2312"/>
      <c r="AC191" s="2294">
        <f>T191+M191</f>
        <v>19229736.503844503</v>
      </c>
      <c r="AD191" s="2295"/>
      <c r="AE191" s="2295"/>
      <c r="AF191" s="2295"/>
      <c r="AG191" s="2296"/>
      <c r="AH191" s="2297">
        <f>AC191/H191</f>
        <v>1.000000000199925</v>
      </c>
      <c r="AI191" s="2298"/>
      <c r="AJ191" s="2294">
        <f>H191-AC191</f>
        <v>-3.8445033133029938E-3</v>
      </c>
      <c r="AK191" s="2296"/>
      <c r="AL191" s="2299">
        <f>AJ191/H191</f>
        <v>-1.999249086592005E-10</v>
      </c>
      <c r="AM191" s="2300"/>
    </row>
    <row r="192" spans="1:40">
      <c r="A192" s="273"/>
      <c r="B192" s="273"/>
      <c r="C192" s="2301" t="s">
        <v>2506</v>
      </c>
      <c r="D192" s="2302"/>
      <c r="E192" s="2302"/>
      <c r="F192" s="2302"/>
      <c r="G192" s="2303"/>
      <c r="H192" s="2263">
        <f>H158</f>
        <v>13550641.68</v>
      </c>
      <c r="I192" s="2264"/>
      <c r="J192" s="2264"/>
      <c r="K192" s="2264"/>
      <c r="L192" s="2265"/>
      <c r="M192" s="2285">
        <v>6667211.2400000002</v>
      </c>
      <c r="N192" s="2286"/>
      <c r="O192" s="2286"/>
      <c r="P192" s="2286"/>
      <c r="Q192" s="2287"/>
      <c r="R192" s="2266">
        <f>+M192/H192</f>
        <v>0.49202180955315472</v>
      </c>
      <c r="S192" s="2267"/>
      <c r="T192" s="2285">
        <f>'FE3-1 '!K544</f>
        <v>1092.9000000000001</v>
      </c>
      <c r="U192" s="2286"/>
      <c r="V192" s="2286"/>
      <c r="W192" s="2286"/>
      <c r="X192" s="2286"/>
      <c r="Y192" s="2287"/>
      <c r="Z192" s="2266">
        <f>+T192/H192</f>
        <v>8.0653007127556197E-5</v>
      </c>
      <c r="AA192" s="2271"/>
      <c r="AB192" s="2267"/>
      <c r="AC192" s="2263">
        <f>+M192+T192</f>
        <v>6668304.1400000006</v>
      </c>
      <c r="AD192" s="2264"/>
      <c r="AE192" s="2264"/>
      <c r="AF192" s="2264"/>
      <c r="AG192" s="2265"/>
      <c r="AH192" s="2266">
        <f t="shared" ref="AH192" si="0">+AC192/H192</f>
        <v>0.49210246256028228</v>
      </c>
      <c r="AI192" s="2267"/>
      <c r="AJ192" s="2263">
        <f t="shared" ref="AJ192" si="1">+H192-AC192</f>
        <v>6882337.5399999991</v>
      </c>
      <c r="AK192" s="2265"/>
      <c r="AL192" s="2266">
        <f t="shared" ref="AL192" si="2">+AJ192/H192</f>
        <v>0.50789753743971766</v>
      </c>
      <c r="AM192" s="2275"/>
    </row>
    <row r="193" spans="1:44">
      <c r="A193" s="273"/>
      <c r="B193" s="273"/>
      <c r="C193" s="2317" t="s">
        <v>2507</v>
      </c>
      <c r="D193" s="2318"/>
      <c r="E193" s="2318"/>
      <c r="F193" s="2318"/>
      <c r="G193" s="2319"/>
      <c r="H193" s="2263"/>
      <c r="I193" s="2264"/>
      <c r="J193" s="2264"/>
      <c r="K193" s="2264"/>
      <c r="L193" s="2265"/>
      <c r="M193" s="2263"/>
      <c r="N193" s="2264"/>
      <c r="O193" s="2264"/>
      <c r="P193" s="2264"/>
      <c r="Q193" s="2265"/>
      <c r="R193" s="2266"/>
      <c r="S193" s="2267"/>
      <c r="T193" s="2320"/>
      <c r="U193" s="2321"/>
      <c r="V193" s="2321"/>
      <c r="W193" s="2321"/>
      <c r="X193" s="2321"/>
      <c r="Y193" s="2322"/>
      <c r="Z193" s="2266"/>
      <c r="AA193" s="2271"/>
      <c r="AB193" s="2267"/>
      <c r="AC193" s="2263"/>
      <c r="AD193" s="2264"/>
      <c r="AE193" s="2264"/>
      <c r="AF193" s="2264"/>
      <c r="AG193" s="2265"/>
      <c r="AH193" s="2266"/>
      <c r="AI193" s="2267"/>
      <c r="AJ193" s="2263"/>
      <c r="AK193" s="2265"/>
      <c r="AL193" s="2266"/>
      <c r="AM193" s="2275"/>
    </row>
    <row r="194" spans="1:44">
      <c r="A194" s="273"/>
      <c r="B194" s="273"/>
      <c r="C194" s="2260" t="s">
        <v>2464</v>
      </c>
      <c r="D194" s="2261"/>
      <c r="E194" s="2261"/>
      <c r="F194" s="2261"/>
      <c r="G194" s="2262"/>
      <c r="H194" s="2263">
        <f>H164</f>
        <v>1252795.3999999999</v>
      </c>
      <c r="I194" s="2264"/>
      <c r="J194" s="2264"/>
      <c r="K194" s="2264"/>
      <c r="L194" s="2265"/>
      <c r="M194" s="2263">
        <v>880376.1</v>
      </c>
      <c r="N194" s="2264"/>
      <c r="O194" s="2264"/>
      <c r="P194" s="2264"/>
      <c r="Q194" s="2265"/>
      <c r="R194" s="2266">
        <f>M194/H194</f>
        <v>0.70272935229487599</v>
      </c>
      <c r="S194" s="2267"/>
      <c r="T194" s="2285">
        <f>T164</f>
        <v>243761.50000000003</v>
      </c>
      <c r="U194" s="2286"/>
      <c r="V194" s="2286"/>
      <c r="W194" s="2286"/>
      <c r="X194" s="2286"/>
      <c r="Y194" s="2287"/>
      <c r="Z194" s="2266">
        <f t="shared" ref="Z194:Z207" si="3">+T194/H194</f>
        <v>0.1945740701155193</v>
      </c>
      <c r="AA194" s="2271"/>
      <c r="AB194" s="2267"/>
      <c r="AC194" s="2263">
        <f t="shared" ref="AC194:AC199" si="4">+M194+T194</f>
        <v>1124137.6000000001</v>
      </c>
      <c r="AD194" s="2264"/>
      <c r="AE194" s="2264"/>
      <c r="AF194" s="2264"/>
      <c r="AG194" s="2265"/>
      <c r="AH194" s="2266">
        <f t="shared" ref="AH194" si="5">AC194/H194</f>
        <v>0.89730342241039529</v>
      </c>
      <c r="AI194" s="2267"/>
      <c r="AJ194" s="2263">
        <f t="shared" ref="AJ194:AJ195" si="6">+H194-AC194</f>
        <v>128657.79999999981</v>
      </c>
      <c r="AK194" s="2265"/>
      <c r="AL194" s="2266">
        <f t="shared" ref="AL194" si="7">AJ194/H194</f>
        <v>0.10269657758960467</v>
      </c>
      <c r="AM194" s="2275"/>
    </row>
    <row r="195" spans="1:44">
      <c r="A195" s="273"/>
      <c r="B195" s="273"/>
      <c r="C195" s="2260" t="s">
        <v>2505</v>
      </c>
      <c r="D195" s="2261"/>
      <c r="E195" s="2261"/>
      <c r="F195" s="2261"/>
      <c r="G195" s="2262"/>
      <c r="H195" s="2325">
        <f>H165</f>
        <v>660953.69999999995</v>
      </c>
      <c r="I195" s="2325"/>
      <c r="J195" s="2325"/>
      <c r="K195" s="2325"/>
      <c r="L195" s="2325"/>
      <c r="M195" s="2263">
        <v>0</v>
      </c>
      <c r="N195" s="2264"/>
      <c r="O195" s="2264"/>
      <c r="P195" s="2264"/>
      <c r="Q195" s="2265"/>
      <c r="R195" s="2266">
        <f>M195/H195</f>
        <v>0</v>
      </c>
      <c r="S195" s="2267"/>
      <c r="T195" s="2285">
        <f>T165</f>
        <v>0</v>
      </c>
      <c r="U195" s="2286"/>
      <c r="V195" s="2286"/>
      <c r="W195" s="2286"/>
      <c r="X195" s="2286"/>
      <c r="Y195" s="2287"/>
      <c r="Z195" s="2326">
        <f t="shared" si="3"/>
        <v>0</v>
      </c>
      <c r="AA195" s="2326"/>
      <c r="AB195" s="2326"/>
      <c r="AC195" s="2327">
        <f t="shared" si="4"/>
        <v>0</v>
      </c>
      <c r="AD195" s="2328"/>
      <c r="AE195" s="2328"/>
      <c r="AF195" s="2328"/>
      <c r="AG195" s="2329"/>
      <c r="AH195" s="2323">
        <f t="shared" ref="AH195" si="8">+AC195/H195</f>
        <v>0</v>
      </c>
      <c r="AI195" s="2330"/>
      <c r="AJ195" s="2327">
        <f t="shared" si="6"/>
        <v>660953.69999999995</v>
      </c>
      <c r="AK195" s="2329"/>
      <c r="AL195" s="2323">
        <f t="shared" ref="AL195" si="9">+AJ195/H195</f>
        <v>1</v>
      </c>
      <c r="AM195" s="2324"/>
    </row>
    <row r="196" spans="1:44">
      <c r="A196" s="273"/>
      <c r="B196" s="273"/>
      <c r="C196" s="2260" t="s">
        <v>2508</v>
      </c>
      <c r="D196" s="2261"/>
      <c r="E196" s="2261"/>
      <c r="F196" s="2261"/>
      <c r="G196" s="2262"/>
      <c r="H196" s="2325"/>
      <c r="I196" s="2325"/>
      <c r="J196" s="2325"/>
      <c r="K196" s="2325"/>
      <c r="L196" s="2325"/>
      <c r="M196" s="2263"/>
      <c r="N196" s="2264"/>
      <c r="O196" s="2264"/>
      <c r="P196" s="2264"/>
      <c r="Q196" s="2265"/>
      <c r="R196" s="2266"/>
      <c r="S196" s="2267"/>
      <c r="T196" s="2285"/>
      <c r="U196" s="2286"/>
      <c r="V196" s="2286"/>
      <c r="W196" s="2286"/>
      <c r="X196" s="2286"/>
      <c r="Y196" s="2287"/>
      <c r="Z196" s="2326"/>
      <c r="AA196" s="2326"/>
      <c r="AB196" s="2326"/>
      <c r="AC196" s="2263"/>
      <c r="AD196" s="2264"/>
      <c r="AE196" s="2264"/>
      <c r="AF196" s="2264"/>
      <c r="AG196" s="2265"/>
      <c r="AH196" s="2266"/>
      <c r="AI196" s="2267"/>
      <c r="AJ196" s="2263"/>
      <c r="AK196" s="2265"/>
      <c r="AL196" s="2266"/>
      <c r="AM196" s="2275"/>
    </row>
    <row r="197" spans="1:44">
      <c r="A197" s="273"/>
      <c r="B197" s="273"/>
      <c r="C197" s="2331" t="s">
        <v>2464</v>
      </c>
      <c r="D197" s="2332"/>
      <c r="E197" s="2332"/>
      <c r="F197" s="2332"/>
      <c r="G197" s="2332"/>
      <c r="H197" s="2325">
        <f>H170</f>
        <v>1635915.44</v>
      </c>
      <c r="I197" s="2325"/>
      <c r="J197" s="2325"/>
      <c r="K197" s="2325"/>
      <c r="L197" s="2325"/>
      <c r="M197" s="2263">
        <v>1421331.4917847496</v>
      </c>
      <c r="N197" s="2264"/>
      <c r="O197" s="2264"/>
      <c r="P197" s="2264"/>
      <c r="Q197" s="2265"/>
      <c r="R197" s="2266">
        <f>M197/H197</f>
        <v>0.86882943765403275</v>
      </c>
      <c r="S197" s="2267"/>
      <c r="T197" s="2285">
        <f>T170</f>
        <v>0</v>
      </c>
      <c r="U197" s="2286"/>
      <c r="V197" s="2286"/>
      <c r="W197" s="2286"/>
      <c r="X197" s="2286"/>
      <c r="Y197" s="2287"/>
      <c r="Z197" s="2326">
        <f t="shared" si="3"/>
        <v>0</v>
      </c>
      <c r="AA197" s="2326"/>
      <c r="AB197" s="2326"/>
      <c r="AC197" s="2263">
        <f t="shared" si="4"/>
        <v>1421331.4917847496</v>
      </c>
      <c r="AD197" s="2264"/>
      <c r="AE197" s="2264"/>
      <c r="AF197" s="2264"/>
      <c r="AG197" s="2265"/>
      <c r="AH197" s="2266">
        <f t="shared" ref="AH197" si="10">AC197/H197</f>
        <v>0.86882943765403275</v>
      </c>
      <c r="AI197" s="2267"/>
      <c r="AJ197" s="2263">
        <f t="shared" ref="AJ197" si="11">+H197-AC197</f>
        <v>214583.94821525039</v>
      </c>
      <c r="AK197" s="2265"/>
      <c r="AL197" s="2266">
        <f t="shared" ref="AL197" si="12">AJ197/H197</f>
        <v>0.13117056234596722</v>
      </c>
      <c r="AM197" s="2275"/>
    </row>
    <row r="198" spans="1:44">
      <c r="A198" s="273"/>
      <c r="B198" s="273"/>
      <c r="C198" s="2260" t="s">
        <v>2509</v>
      </c>
      <c r="D198" s="2261"/>
      <c r="E198" s="2261"/>
      <c r="F198" s="2261"/>
      <c r="G198" s="2262"/>
      <c r="H198" s="2325">
        <f>H171</f>
        <v>577014.64</v>
      </c>
      <c r="I198" s="2325"/>
      <c r="J198" s="2325"/>
      <c r="K198" s="2325"/>
      <c r="L198" s="2325"/>
      <c r="M198" s="2263">
        <v>575823.35999999999</v>
      </c>
      <c r="N198" s="2264"/>
      <c r="O198" s="2264"/>
      <c r="P198" s="2264"/>
      <c r="Q198" s="2265"/>
      <c r="R198" s="2266">
        <f>M198/H198</f>
        <v>0.99793544233123788</v>
      </c>
      <c r="S198" s="2267"/>
      <c r="T198" s="2285">
        <f>T171</f>
        <v>0</v>
      </c>
      <c r="U198" s="2286"/>
      <c r="V198" s="2286"/>
      <c r="W198" s="2286"/>
      <c r="X198" s="2286"/>
      <c r="Y198" s="2287"/>
      <c r="Z198" s="2326">
        <f t="shared" si="3"/>
        <v>0</v>
      </c>
      <c r="AA198" s="2326"/>
      <c r="AB198" s="2326"/>
      <c r="AC198" s="2327">
        <f t="shared" si="4"/>
        <v>575823.35999999999</v>
      </c>
      <c r="AD198" s="2328"/>
      <c r="AE198" s="2328"/>
      <c r="AF198" s="2328"/>
      <c r="AG198" s="2329"/>
      <c r="AH198" s="2323">
        <f t="shared" ref="AH198" si="13">+AC198/H198</f>
        <v>0.99793544233123788</v>
      </c>
      <c r="AI198" s="2330"/>
      <c r="AJ198" s="2327">
        <f>+H198-AC198</f>
        <v>1191.2800000000279</v>
      </c>
      <c r="AK198" s="2329"/>
      <c r="AL198" s="2323">
        <f t="shared" ref="AL198" si="14">+AJ198/H198</f>
        <v>2.064557668762144E-3</v>
      </c>
      <c r="AM198" s="2324"/>
    </row>
    <row r="199" spans="1:44" ht="15.75" thickBot="1">
      <c r="A199" s="273"/>
      <c r="B199" s="273"/>
      <c r="C199" s="2301" t="s">
        <v>2505</v>
      </c>
      <c r="D199" s="2302"/>
      <c r="E199" s="2302"/>
      <c r="F199" s="2302"/>
      <c r="G199" s="2303"/>
      <c r="H199" s="2337">
        <f>H172</f>
        <v>1754453.3</v>
      </c>
      <c r="I199" s="2337"/>
      <c r="J199" s="2337"/>
      <c r="K199" s="2337"/>
      <c r="L199" s="2337"/>
      <c r="M199" s="2229">
        <v>0</v>
      </c>
      <c r="N199" s="2230"/>
      <c r="O199" s="2230"/>
      <c r="P199" s="2230"/>
      <c r="Q199" s="2231"/>
      <c r="R199" s="2232">
        <f>M199/H199</f>
        <v>0</v>
      </c>
      <c r="S199" s="2233"/>
      <c r="T199" s="2338">
        <f>T172</f>
        <v>0</v>
      </c>
      <c r="U199" s="2339"/>
      <c r="V199" s="2339"/>
      <c r="W199" s="2339"/>
      <c r="X199" s="2339"/>
      <c r="Y199" s="2340"/>
      <c r="Z199" s="2341">
        <f t="shared" si="3"/>
        <v>0</v>
      </c>
      <c r="AA199" s="2341"/>
      <c r="AB199" s="2341"/>
      <c r="AC199" s="2342">
        <f t="shared" si="4"/>
        <v>0</v>
      </c>
      <c r="AD199" s="2343"/>
      <c r="AE199" s="2343"/>
      <c r="AF199" s="2343"/>
      <c r="AG199" s="2344"/>
      <c r="AH199" s="2333">
        <f t="shared" ref="AH199" si="15">AC199/H198</f>
        <v>0</v>
      </c>
      <c r="AI199" s="2345"/>
      <c r="AJ199" s="2342">
        <f>+H199-AC199</f>
        <v>1754453.3</v>
      </c>
      <c r="AK199" s="2344"/>
      <c r="AL199" s="2333">
        <f>AJ199/H199</f>
        <v>1</v>
      </c>
      <c r="AM199" s="2334"/>
    </row>
    <row r="200" spans="1:44">
      <c r="A200" s="273"/>
      <c r="B200" s="273"/>
      <c r="C200" s="2238" t="s">
        <v>2691</v>
      </c>
      <c r="D200" s="2239"/>
      <c r="E200" s="2239"/>
      <c r="F200" s="2239"/>
      <c r="G200" s="2240"/>
      <c r="H200" s="2335"/>
      <c r="I200" s="2335"/>
      <c r="J200" s="2335"/>
      <c r="K200" s="2335"/>
      <c r="L200" s="2335"/>
      <c r="M200" s="2241"/>
      <c r="N200" s="2242"/>
      <c r="O200" s="2242"/>
      <c r="P200" s="2242"/>
      <c r="Q200" s="2243"/>
      <c r="R200" s="2244"/>
      <c r="S200" s="2245"/>
      <c r="T200" s="2288"/>
      <c r="U200" s="2289"/>
      <c r="V200" s="2289"/>
      <c r="W200" s="2289"/>
      <c r="X200" s="2289"/>
      <c r="Y200" s="2290"/>
      <c r="Z200" s="2336"/>
      <c r="AA200" s="2336"/>
      <c r="AB200" s="2336"/>
      <c r="AC200" s="2241"/>
      <c r="AD200" s="2242"/>
      <c r="AE200" s="2242"/>
      <c r="AF200" s="2242"/>
      <c r="AG200" s="2243"/>
      <c r="AH200" s="2244"/>
      <c r="AI200" s="2245"/>
      <c r="AJ200" s="2241"/>
      <c r="AK200" s="2243"/>
      <c r="AL200" s="2244"/>
      <c r="AM200" s="2252"/>
    </row>
    <row r="201" spans="1:44">
      <c r="A201" s="273"/>
      <c r="B201" s="273"/>
      <c r="C201" s="2331" t="s">
        <v>2464</v>
      </c>
      <c r="D201" s="2332"/>
      <c r="E201" s="2332"/>
      <c r="F201" s="2332"/>
      <c r="G201" s="2332"/>
      <c r="H201" s="2325">
        <f>H177</f>
        <v>2022520.64</v>
      </c>
      <c r="I201" s="2325"/>
      <c r="J201" s="2325"/>
      <c r="K201" s="2325"/>
      <c r="L201" s="2325"/>
      <c r="M201" s="2263">
        <v>1831109.6892000006</v>
      </c>
      <c r="N201" s="2264"/>
      <c r="O201" s="2264"/>
      <c r="P201" s="2264"/>
      <c r="Q201" s="2265"/>
      <c r="R201" s="2266">
        <f>M201/H201</f>
        <v>0.90536019904350673</v>
      </c>
      <c r="S201" s="2267"/>
      <c r="T201" s="2285">
        <f>T177</f>
        <v>0</v>
      </c>
      <c r="U201" s="2286"/>
      <c r="V201" s="2286"/>
      <c r="W201" s="2286"/>
      <c r="X201" s="2286"/>
      <c r="Y201" s="2287"/>
      <c r="Z201" s="2326">
        <f t="shared" si="3"/>
        <v>0</v>
      </c>
      <c r="AA201" s="2326"/>
      <c r="AB201" s="2326"/>
      <c r="AC201" s="2263">
        <f>+M201+T201</f>
        <v>1831109.6892000006</v>
      </c>
      <c r="AD201" s="2264"/>
      <c r="AE201" s="2264"/>
      <c r="AF201" s="2264"/>
      <c r="AG201" s="2265"/>
      <c r="AH201" s="2266">
        <f t="shared" ref="AH201" si="16">AC201/H201</f>
        <v>0.90536019904350673</v>
      </c>
      <c r="AI201" s="2267"/>
      <c r="AJ201" s="2263">
        <f>+H201-AC201</f>
        <v>191410.95079999929</v>
      </c>
      <c r="AK201" s="2265"/>
      <c r="AL201" s="2266">
        <f t="shared" ref="AL201" si="17">AJ201/H201</f>
        <v>9.4639800956493228E-2</v>
      </c>
      <c r="AM201" s="2275"/>
      <c r="AN201">
        <v>330056.87849999999</v>
      </c>
    </row>
    <row r="202" spans="1:44">
      <c r="A202" s="273"/>
      <c r="B202" s="273"/>
      <c r="C202" s="2260" t="s">
        <v>2509</v>
      </c>
      <c r="D202" s="2261"/>
      <c r="E202" s="2261"/>
      <c r="F202" s="2261"/>
      <c r="G202" s="2262"/>
      <c r="H202" s="2325">
        <f>H178</f>
        <v>130284.96</v>
      </c>
      <c r="I202" s="2325"/>
      <c r="J202" s="2325"/>
      <c r="K202" s="2325"/>
      <c r="L202" s="2325"/>
      <c r="M202" s="2263">
        <v>104135.00000000001</v>
      </c>
      <c r="N202" s="2264"/>
      <c r="O202" s="2264"/>
      <c r="P202" s="2264"/>
      <c r="Q202" s="2265"/>
      <c r="R202" s="2266">
        <f>M202/H202</f>
        <v>0.79928642569334185</v>
      </c>
      <c r="S202" s="2267"/>
      <c r="T202" s="2285">
        <f>T178</f>
        <v>0</v>
      </c>
      <c r="U202" s="2286"/>
      <c r="V202" s="2286"/>
      <c r="W202" s="2286"/>
      <c r="X202" s="2286"/>
      <c r="Y202" s="2287"/>
      <c r="Z202" s="2326">
        <f t="shared" si="3"/>
        <v>0</v>
      </c>
      <c r="AA202" s="2326"/>
      <c r="AB202" s="2326"/>
      <c r="AC202" s="2327">
        <f t="shared" ref="AC202:AC203" si="18">+M202+T202</f>
        <v>104135.00000000001</v>
      </c>
      <c r="AD202" s="2328"/>
      <c r="AE202" s="2328"/>
      <c r="AF202" s="2328"/>
      <c r="AG202" s="2329"/>
      <c r="AH202" s="2323">
        <f t="shared" ref="AH202" si="19">+AC202/H202</f>
        <v>0.79928642569334185</v>
      </c>
      <c r="AI202" s="2330"/>
      <c r="AJ202" s="2327">
        <f>+H202-AC202</f>
        <v>26149.959999999992</v>
      </c>
      <c r="AK202" s="2329"/>
      <c r="AL202" s="2323">
        <f t="shared" ref="AL202" si="20">+AJ202/H202</f>
        <v>0.2007135743066582</v>
      </c>
      <c r="AM202" s="2324"/>
    </row>
    <row r="203" spans="1:44" ht="15.75" thickBot="1">
      <c r="A203" s="273"/>
      <c r="B203" s="273"/>
      <c r="C203" s="2226" t="s">
        <v>2505</v>
      </c>
      <c r="D203" s="2227"/>
      <c r="E203" s="2227"/>
      <c r="F203" s="2227"/>
      <c r="G203" s="2228"/>
      <c r="H203" s="2350">
        <f>H179</f>
        <v>704911.18</v>
      </c>
      <c r="I203" s="2350"/>
      <c r="J203" s="2350"/>
      <c r="K203" s="2350"/>
      <c r="L203" s="2350"/>
      <c r="M203" s="2229">
        <v>0</v>
      </c>
      <c r="N203" s="2230"/>
      <c r="O203" s="2230"/>
      <c r="P203" s="2230"/>
      <c r="Q203" s="2231"/>
      <c r="R203" s="2232">
        <f>M203/H203</f>
        <v>0</v>
      </c>
      <c r="S203" s="2233"/>
      <c r="T203" s="2291">
        <f>T179</f>
        <v>0</v>
      </c>
      <c r="U203" s="2292"/>
      <c r="V203" s="2292"/>
      <c r="W203" s="2292"/>
      <c r="X203" s="2292"/>
      <c r="Y203" s="2293"/>
      <c r="Z203" s="2351">
        <f t="shared" si="3"/>
        <v>0</v>
      </c>
      <c r="AA203" s="2351"/>
      <c r="AB203" s="2351"/>
      <c r="AC203" s="2229">
        <f t="shared" si="18"/>
        <v>0</v>
      </c>
      <c r="AD203" s="2230"/>
      <c r="AE203" s="2230"/>
      <c r="AF203" s="2230"/>
      <c r="AG203" s="2231"/>
      <c r="AH203" s="2232">
        <f t="shared" ref="AH203" si="21">AC203/H202</f>
        <v>0</v>
      </c>
      <c r="AI203" s="2233"/>
      <c r="AJ203" s="2229">
        <f>+H203-AC203</f>
        <v>704911.18</v>
      </c>
      <c r="AK203" s="2231"/>
      <c r="AL203" s="2232">
        <f>AJ203/H203</f>
        <v>1</v>
      </c>
      <c r="AM203" s="2253"/>
    </row>
    <row r="204" spans="1:44">
      <c r="A204" s="273"/>
      <c r="B204" s="273"/>
      <c r="C204" s="2317" t="s">
        <v>3797</v>
      </c>
      <c r="D204" s="2318"/>
      <c r="E204" s="2318"/>
      <c r="F204" s="2318"/>
      <c r="G204" s="2319"/>
      <c r="H204" s="2346"/>
      <c r="I204" s="2346"/>
      <c r="J204" s="2346"/>
      <c r="K204" s="2346"/>
      <c r="L204" s="2346"/>
      <c r="M204" s="2241"/>
      <c r="N204" s="2242"/>
      <c r="O204" s="2242"/>
      <c r="P204" s="2242"/>
      <c r="Q204" s="2243"/>
      <c r="R204" s="2244"/>
      <c r="S204" s="2245"/>
      <c r="T204" s="2347"/>
      <c r="U204" s="2348"/>
      <c r="V204" s="2348"/>
      <c r="W204" s="2348"/>
      <c r="X204" s="2348"/>
      <c r="Y204" s="2349"/>
      <c r="Z204" s="2326"/>
      <c r="AA204" s="2326"/>
      <c r="AB204" s="2326"/>
      <c r="AC204" s="2327"/>
      <c r="AD204" s="2328"/>
      <c r="AE204" s="2328"/>
      <c r="AF204" s="2328"/>
      <c r="AG204" s="2329"/>
      <c r="AH204" s="2323"/>
      <c r="AI204" s="2330"/>
      <c r="AJ204" s="2327"/>
      <c r="AK204" s="2329"/>
      <c r="AL204" s="2323"/>
      <c r="AM204" s="2324"/>
    </row>
    <row r="205" spans="1:44">
      <c r="A205" s="273"/>
      <c r="B205" s="273"/>
      <c r="C205" s="2331" t="s">
        <v>2464</v>
      </c>
      <c r="D205" s="2332"/>
      <c r="E205" s="2332"/>
      <c r="F205" s="2332"/>
      <c r="G205" s="2332"/>
      <c r="H205" s="2325">
        <f>H184</f>
        <v>4142136.5430000024</v>
      </c>
      <c r="I205" s="2325"/>
      <c r="J205" s="2325"/>
      <c r="K205" s="2325"/>
      <c r="L205" s="2325"/>
      <c r="M205" s="2285">
        <v>967150.90599999996</v>
      </c>
      <c r="N205" s="2286"/>
      <c r="O205" s="2286"/>
      <c r="P205" s="2286"/>
      <c r="Q205" s="2287"/>
      <c r="R205" s="2266">
        <f>M205/H205</f>
        <v>0.23349083159376657</v>
      </c>
      <c r="S205" s="2267"/>
      <c r="T205" s="2285">
        <f>T184</f>
        <v>91446.268500000006</v>
      </c>
      <c r="U205" s="2286"/>
      <c r="V205" s="2286"/>
      <c r="W205" s="2286"/>
      <c r="X205" s="2286"/>
      <c r="Y205" s="2287"/>
      <c r="Z205" s="2326">
        <f t="shared" si="3"/>
        <v>2.207707726451932E-2</v>
      </c>
      <c r="AA205" s="2326"/>
      <c r="AB205" s="2326"/>
      <c r="AC205" s="2263">
        <f t="shared" ref="AC205:AC207" si="22">+M205+T205</f>
        <v>1058597.1745</v>
      </c>
      <c r="AD205" s="2264"/>
      <c r="AE205" s="2264"/>
      <c r="AF205" s="2264"/>
      <c r="AG205" s="2265"/>
      <c r="AH205" s="2266">
        <f t="shared" ref="AH205" si="23">AC205/H205</f>
        <v>0.2555679088582859</v>
      </c>
      <c r="AI205" s="2267"/>
      <c r="AJ205" s="2263">
        <f t="shared" ref="AJ205:AJ207" si="24">+H205-AC205</f>
        <v>3083539.3685000027</v>
      </c>
      <c r="AK205" s="2265"/>
      <c r="AL205" s="2266">
        <f t="shared" ref="AL205" si="25">AJ205/H205</f>
        <v>0.74443209114171416</v>
      </c>
      <c r="AM205" s="2275"/>
    </row>
    <row r="206" spans="1:44">
      <c r="A206" s="273"/>
      <c r="B206" s="273"/>
      <c r="C206" s="2260" t="s">
        <v>2509</v>
      </c>
      <c r="D206" s="2261"/>
      <c r="E206" s="2261"/>
      <c r="F206" s="2261"/>
      <c r="G206" s="2262"/>
      <c r="H206" s="2325">
        <f t="shared" ref="H206:H207" si="26">H185</f>
        <v>433266.30559999991</v>
      </c>
      <c r="I206" s="2325"/>
      <c r="J206" s="2325"/>
      <c r="K206" s="2325"/>
      <c r="L206" s="2325"/>
      <c r="M206" s="2285">
        <v>230287.28000000006</v>
      </c>
      <c r="N206" s="2286"/>
      <c r="O206" s="2286"/>
      <c r="P206" s="2286"/>
      <c r="Q206" s="2287"/>
      <c r="R206" s="2266">
        <f>M206/H206</f>
        <v>0.53151439893552643</v>
      </c>
      <c r="S206" s="2267"/>
      <c r="T206" s="2285">
        <f t="shared" ref="T206:T207" si="27">T185</f>
        <v>17400</v>
      </c>
      <c r="U206" s="2286"/>
      <c r="V206" s="2286"/>
      <c r="W206" s="2286"/>
      <c r="X206" s="2286"/>
      <c r="Y206" s="2287"/>
      <c r="Z206" s="2326">
        <f t="shared" si="3"/>
        <v>4.0160058086917166E-2</v>
      </c>
      <c r="AA206" s="2326"/>
      <c r="AB206" s="2326"/>
      <c r="AC206" s="2263">
        <f t="shared" si="22"/>
        <v>247687.28000000006</v>
      </c>
      <c r="AD206" s="2264"/>
      <c r="AE206" s="2264"/>
      <c r="AF206" s="2264"/>
      <c r="AG206" s="2265"/>
      <c r="AH206" s="2323">
        <f t="shared" ref="AH206" si="28">+AC206/H206</f>
        <v>0.57167445702244357</v>
      </c>
      <c r="AI206" s="2330"/>
      <c r="AJ206" s="2263">
        <f t="shared" si="24"/>
        <v>185579.02559999985</v>
      </c>
      <c r="AK206" s="2265"/>
      <c r="AL206" s="2323">
        <f t="shared" ref="AL206" si="29">+AJ206/H206</f>
        <v>0.42832554297755643</v>
      </c>
      <c r="AM206" s="2324"/>
    </row>
    <row r="207" spans="1:44" ht="15.75" thickBot="1">
      <c r="A207" s="273"/>
      <c r="B207" s="273"/>
      <c r="C207" s="2226" t="s">
        <v>2505</v>
      </c>
      <c r="D207" s="2227"/>
      <c r="E207" s="2227"/>
      <c r="F207" s="2227"/>
      <c r="G207" s="2228"/>
      <c r="H207" s="2325">
        <f t="shared" si="26"/>
        <v>1394520.9335069996</v>
      </c>
      <c r="I207" s="2325"/>
      <c r="J207" s="2325"/>
      <c r="K207" s="2325"/>
      <c r="L207" s="2325"/>
      <c r="M207" s="2291">
        <v>0</v>
      </c>
      <c r="N207" s="2292"/>
      <c r="O207" s="2292"/>
      <c r="P207" s="2292"/>
      <c r="Q207" s="2293"/>
      <c r="R207" s="2232">
        <f>M207/H207</f>
        <v>0</v>
      </c>
      <c r="S207" s="2233"/>
      <c r="T207" s="2285">
        <f t="shared" si="27"/>
        <v>0</v>
      </c>
      <c r="U207" s="2286"/>
      <c r="V207" s="2286"/>
      <c r="W207" s="2286"/>
      <c r="X207" s="2286"/>
      <c r="Y207" s="2287"/>
      <c r="Z207" s="2326">
        <f t="shared" si="3"/>
        <v>0</v>
      </c>
      <c r="AA207" s="2326"/>
      <c r="AB207" s="2326"/>
      <c r="AC207" s="2263">
        <f t="shared" si="22"/>
        <v>0</v>
      </c>
      <c r="AD207" s="2264"/>
      <c r="AE207" s="2264"/>
      <c r="AF207" s="2264"/>
      <c r="AG207" s="2265"/>
      <c r="AH207" s="2232">
        <f t="shared" ref="AH207" si="30">AC207/H206</f>
        <v>0</v>
      </c>
      <c r="AI207" s="2233"/>
      <c r="AJ207" s="2263">
        <f t="shared" si="24"/>
        <v>1394520.9335069996</v>
      </c>
      <c r="AK207" s="2265"/>
      <c r="AL207" s="2232">
        <f>AJ207/H207</f>
        <v>1</v>
      </c>
      <c r="AM207" s="2253"/>
    </row>
    <row r="208" spans="1:44" ht="15.75" thickBot="1">
      <c r="A208" s="273"/>
      <c r="B208" s="273"/>
      <c r="C208" s="2352" t="s">
        <v>33</v>
      </c>
      <c r="D208" s="2353"/>
      <c r="E208" s="2353"/>
      <c r="F208" s="2353"/>
      <c r="G208" s="2354"/>
      <c r="H208" s="2355">
        <v>19229736.5</v>
      </c>
      <c r="I208" s="2355"/>
      <c r="J208" s="2355"/>
      <c r="K208" s="2355"/>
      <c r="L208" s="2355"/>
      <c r="M208" s="2355">
        <f>M192+M194-M195+M197+M198-M199+M201+M202+M205+M206-M207+0.01</f>
        <v>12677425.076984748</v>
      </c>
      <c r="N208" s="2355"/>
      <c r="O208" s="2355"/>
      <c r="P208" s="2355"/>
      <c r="Q208" s="2355"/>
      <c r="R208" s="2356">
        <f>M208/H208</f>
        <v>0.65926150766469149</v>
      </c>
      <c r="S208" s="2356"/>
      <c r="T208" s="2357">
        <f>SUM(T192:Y207)</f>
        <v>353700.66850000003</v>
      </c>
      <c r="U208" s="2358"/>
      <c r="V208" s="2358"/>
      <c r="W208" s="2358"/>
      <c r="X208" s="2358"/>
      <c r="Y208" s="2359"/>
      <c r="Z208" s="2356">
        <f>+T208/H208</f>
        <v>1.8393422525576471E-2</v>
      </c>
      <c r="AA208" s="2356"/>
      <c r="AB208" s="2356"/>
      <c r="AC208" s="2357">
        <f>SUM(M208+T208)</f>
        <v>13031125.745484749</v>
      </c>
      <c r="AD208" s="2358"/>
      <c r="AE208" s="2358"/>
      <c r="AF208" s="2358"/>
      <c r="AG208" s="2359"/>
      <c r="AH208" s="2360">
        <f>AC208/H208</f>
        <v>0.67765493019026801</v>
      </c>
      <c r="AI208" s="2361"/>
      <c r="AJ208" s="2357">
        <f>H208-AC208</f>
        <v>6198610.7545152511</v>
      </c>
      <c r="AK208" s="2359"/>
      <c r="AL208" s="2360">
        <f t="shared" ref="AL208" si="31">AJ208/H208</f>
        <v>0.32234506980973199</v>
      </c>
      <c r="AM208" s="2362"/>
      <c r="AN208" s="1016">
        <f>AC192+AC194+AC197+AC198+AC201+AC202+AC205+AC206</f>
        <v>13031125.735484749</v>
      </c>
      <c r="AR208" t="s">
        <v>0</v>
      </c>
    </row>
    <row r="209" spans="1:45">
      <c r="A209" s="273"/>
      <c r="B209" s="273"/>
      <c r="C209" s="1853"/>
      <c r="D209" s="1853"/>
      <c r="E209" s="1853"/>
      <c r="F209" s="1853"/>
      <c r="G209" s="1853"/>
      <c r="H209" s="1524"/>
      <c r="I209" s="1524"/>
      <c r="J209" s="1524"/>
      <c r="K209" s="1524"/>
      <c r="L209" s="1524"/>
      <c r="M209" s="1524"/>
      <c r="N209" s="1524"/>
      <c r="O209" s="1524"/>
      <c r="P209" s="1524"/>
      <c r="Q209" s="1524"/>
      <c r="R209" s="1525"/>
      <c r="S209" s="1525"/>
      <c r="T209" s="1524"/>
      <c r="U209" s="1524"/>
      <c r="V209" s="1524"/>
      <c r="W209" s="1524"/>
      <c r="X209" s="1524"/>
      <c r="Y209" s="1524"/>
      <c r="Z209" s="1525"/>
      <c r="AA209" s="1525"/>
      <c r="AB209" s="1525"/>
      <c r="AC209" s="1524"/>
      <c r="AD209" s="1524"/>
      <c r="AE209" s="1524"/>
      <c r="AF209" s="1524"/>
      <c r="AG209" s="1524"/>
      <c r="AH209" s="1525"/>
      <c r="AI209" s="1525"/>
      <c r="AJ209" s="1524"/>
      <c r="AK209" s="1524"/>
      <c r="AL209" s="1525"/>
      <c r="AM209" s="1525"/>
      <c r="AN209" s="1016"/>
    </row>
    <row r="210" spans="1:45" ht="16.5" thickBot="1">
      <c r="A210" s="273"/>
      <c r="B210" s="273"/>
      <c r="C210" s="2363" t="s">
        <v>4282</v>
      </c>
      <c r="D210" s="2363"/>
      <c r="E210" s="2363"/>
      <c r="F210" s="2363"/>
      <c r="G210" s="2363"/>
      <c r="H210" s="2363"/>
      <c r="I210" s="2363"/>
      <c r="J210" s="2363"/>
      <c r="K210" s="2363"/>
      <c r="L210" s="2363"/>
      <c r="M210" s="2363"/>
      <c r="N210" s="2363"/>
      <c r="O210" s="2363"/>
      <c r="P210" s="2363"/>
      <c r="Q210" s="2363"/>
      <c r="R210" s="2363"/>
      <c r="S210" s="2363"/>
      <c r="T210" s="1851"/>
      <c r="U210" s="1851"/>
      <c r="V210" s="1851"/>
      <c r="W210" s="1851"/>
      <c r="X210" s="1851"/>
      <c r="Y210" s="1851"/>
      <c r="Z210" s="292"/>
      <c r="AA210" s="292"/>
      <c r="AB210" s="292"/>
      <c r="AC210" s="1851"/>
      <c r="AD210" s="1851"/>
      <c r="AE210" s="1851"/>
      <c r="AF210" s="1851"/>
      <c r="AG210" s="1851"/>
      <c r="AH210" s="292"/>
      <c r="AI210" s="292"/>
      <c r="AJ210" s="291"/>
      <c r="AK210" s="291"/>
      <c r="AL210" s="291"/>
      <c r="AM210" s="291"/>
    </row>
    <row r="211" spans="1:45" ht="15" customHeight="1">
      <c r="A211" s="273"/>
      <c r="B211" s="273"/>
      <c r="C211" s="2364" t="s">
        <v>93</v>
      </c>
      <c r="D211" s="2365"/>
      <c r="E211" s="2365"/>
      <c r="F211" s="2365"/>
      <c r="G211" s="2366"/>
      <c r="H211" s="2209" t="s">
        <v>770</v>
      </c>
      <c r="I211" s="2210"/>
      <c r="J211" s="2210"/>
      <c r="K211" s="2210"/>
      <c r="L211" s="2211"/>
      <c r="M211" s="2215" t="s">
        <v>89</v>
      </c>
      <c r="N211" s="2216"/>
      <c r="O211" s="2216"/>
      <c r="P211" s="2216"/>
      <c r="Q211" s="2216"/>
      <c r="R211" s="2216"/>
      <c r="S211" s="2217"/>
      <c r="T211" s="2215" t="s">
        <v>90</v>
      </c>
      <c r="U211" s="2216"/>
      <c r="V211" s="2216"/>
      <c r="W211" s="2216"/>
      <c r="X211" s="2216"/>
      <c r="Y211" s="2216"/>
      <c r="Z211" s="2216"/>
      <c r="AA211" s="2216"/>
      <c r="AB211" s="2217"/>
      <c r="AC211" s="2215" t="s">
        <v>91</v>
      </c>
      <c r="AD211" s="2216"/>
      <c r="AE211" s="2216"/>
      <c r="AF211" s="2216"/>
      <c r="AG211" s="2216"/>
      <c r="AH211" s="2216"/>
      <c r="AI211" s="2217"/>
      <c r="AJ211" s="2215" t="s">
        <v>92</v>
      </c>
      <c r="AK211" s="2216"/>
      <c r="AL211" s="2216"/>
      <c r="AM211" s="2250"/>
    </row>
    <row r="212" spans="1:45" ht="15.75" thickBot="1">
      <c r="A212" s="273"/>
      <c r="B212" s="273"/>
      <c r="C212" s="2367"/>
      <c r="D212" s="2368"/>
      <c r="E212" s="2368"/>
      <c r="F212" s="2368"/>
      <c r="G212" s="2369"/>
      <c r="H212" s="2212"/>
      <c r="I212" s="2213"/>
      <c r="J212" s="2213"/>
      <c r="K212" s="2213"/>
      <c r="L212" s="2214"/>
      <c r="M212" s="2206" t="s">
        <v>32</v>
      </c>
      <c r="N212" s="2251"/>
      <c r="O212" s="2251"/>
      <c r="P212" s="2251"/>
      <c r="Q212" s="2207"/>
      <c r="R212" s="2206" t="s">
        <v>30</v>
      </c>
      <c r="S212" s="2207"/>
      <c r="T212" s="2206" t="s">
        <v>32</v>
      </c>
      <c r="U212" s="2251"/>
      <c r="V212" s="2251"/>
      <c r="W212" s="2251"/>
      <c r="X212" s="2251"/>
      <c r="Y212" s="2207"/>
      <c r="Z212" s="2206" t="s">
        <v>30</v>
      </c>
      <c r="AA212" s="2251"/>
      <c r="AB212" s="2207"/>
      <c r="AC212" s="2206" t="s">
        <v>32</v>
      </c>
      <c r="AD212" s="2251"/>
      <c r="AE212" s="2251"/>
      <c r="AF212" s="2251"/>
      <c r="AG212" s="2207"/>
      <c r="AH212" s="2206" t="s">
        <v>30</v>
      </c>
      <c r="AI212" s="2207"/>
      <c r="AJ212" s="1841" t="s">
        <v>32</v>
      </c>
      <c r="AK212" s="1842"/>
      <c r="AL212" s="2206" t="s">
        <v>30</v>
      </c>
      <c r="AM212" s="2208"/>
    </row>
    <row r="213" spans="1:45">
      <c r="A213" s="273"/>
      <c r="B213" s="273"/>
      <c r="C213" s="2317" t="s">
        <v>20</v>
      </c>
      <c r="D213" s="2318"/>
      <c r="E213" s="2318"/>
      <c r="F213" s="2318"/>
      <c r="G213" s="2319"/>
      <c r="H213" s="2241">
        <f>W43</f>
        <v>21915999.452200003</v>
      </c>
      <c r="I213" s="2242"/>
      <c r="J213" s="2242"/>
      <c r="K213" s="2242"/>
      <c r="L213" s="2243"/>
      <c r="M213" s="2288">
        <v>20252491.879999999</v>
      </c>
      <c r="N213" s="2289"/>
      <c r="O213" s="2289"/>
      <c r="P213" s="2289"/>
      <c r="Q213" s="2290"/>
      <c r="R213" s="2244">
        <f>M213/H213</f>
        <v>0.92409620305803508</v>
      </c>
      <c r="S213" s="2245"/>
      <c r="T213" s="2370">
        <v>1323308</v>
      </c>
      <c r="U213" s="2371"/>
      <c r="V213" s="2371"/>
      <c r="W213" s="2371"/>
      <c r="X213" s="2371"/>
      <c r="Y213" s="2372"/>
      <c r="Z213" s="2323">
        <f>+T213/H213</f>
        <v>6.0380910434233555E-2</v>
      </c>
      <c r="AA213" s="2373"/>
      <c r="AB213" s="2330"/>
      <c r="AC213" s="2327">
        <f>M213+T213</f>
        <v>21575799.879999999</v>
      </c>
      <c r="AD213" s="2328"/>
      <c r="AE213" s="2328"/>
      <c r="AF213" s="2328"/>
      <c r="AG213" s="2329"/>
      <c r="AH213" s="2323">
        <f>+AC213/H213</f>
        <v>0.98447711349226863</v>
      </c>
      <c r="AI213" s="2330"/>
      <c r="AJ213" s="2327">
        <f>+H213-AC213</f>
        <v>340199.57220000401</v>
      </c>
      <c r="AK213" s="2329"/>
      <c r="AL213" s="2323">
        <f>+AJ213/H213</f>
        <v>1.5522886507731393E-2</v>
      </c>
      <c r="AM213" s="2324"/>
      <c r="AN213" s="2452">
        <v>1323308</v>
      </c>
      <c r="AO213" s="2453"/>
      <c r="AP213" s="2453"/>
      <c r="AQ213" s="2453"/>
      <c r="AR213" s="2453"/>
      <c r="AS213" s="2454"/>
    </row>
    <row r="214" spans="1:45">
      <c r="A214" s="273"/>
      <c r="B214" s="273"/>
      <c r="C214" s="2260" t="s">
        <v>21</v>
      </c>
      <c r="D214" s="2261"/>
      <c r="E214" s="2261"/>
      <c r="F214" s="2261"/>
      <c r="G214" s="2262"/>
      <c r="H214" s="2263">
        <f>AC214</f>
        <v>16519898</v>
      </c>
      <c r="I214" s="2264"/>
      <c r="J214" s="2264"/>
      <c r="K214" s="2264"/>
      <c r="L214" s="2265"/>
      <c r="M214" s="2285">
        <v>15005495.33</v>
      </c>
      <c r="N214" s="2286"/>
      <c r="O214" s="2286"/>
      <c r="P214" s="2286"/>
      <c r="Q214" s="2287"/>
      <c r="R214" s="2266">
        <f>+M214/H213</f>
        <v>0.68468222782756538</v>
      </c>
      <c r="S214" s="2267"/>
      <c r="T214" s="2276">
        <v>1514402.67</v>
      </c>
      <c r="U214" s="2277"/>
      <c r="V214" s="2277"/>
      <c r="W214" s="2277"/>
      <c r="X214" s="2277"/>
      <c r="Y214" s="2278"/>
      <c r="Z214" s="2266">
        <f>+T214/H213</f>
        <v>6.9100324322556916E-2</v>
      </c>
      <c r="AA214" s="2271"/>
      <c r="AB214" s="2267"/>
      <c r="AC214" s="2263">
        <f>+M214+T214</f>
        <v>16519898</v>
      </c>
      <c r="AD214" s="2264"/>
      <c r="AE214" s="2264"/>
      <c r="AF214" s="2264"/>
      <c r="AG214" s="2265"/>
      <c r="AH214" s="2266">
        <f>AC214/H213</f>
        <v>0.75378255215012224</v>
      </c>
      <c r="AI214" s="2267"/>
      <c r="AJ214" s="2263">
        <f>+H213-AC214</f>
        <v>5396101.452200003</v>
      </c>
      <c r="AK214" s="2265"/>
      <c r="AL214" s="2266">
        <f>AJ214/H213</f>
        <v>0.24621744784987773</v>
      </c>
      <c r="AM214" s="2275"/>
      <c r="AN214" s="2452">
        <f>BC256</f>
        <v>0</v>
      </c>
      <c r="AO214" s="2453"/>
      <c r="AP214" s="2453"/>
      <c r="AQ214" s="2453"/>
      <c r="AR214" s="2453"/>
      <c r="AS214" s="2454"/>
    </row>
    <row r="215" spans="1:45" ht="15.75" thickBot="1">
      <c r="A215" s="273"/>
      <c r="B215" s="273"/>
      <c r="C215" s="2226" t="s">
        <v>2478</v>
      </c>
      <c r="D215" s="2227"/>
      <c r="E215" s="2227"/>
      <c r="F215" s="2227"/>
      <c r="G215" s="2228"/>
      <c r="H215" s="2229">
        <v>6474481</v>
      </c>
      <c r="I215" s="2230"/>
      <c r="J215" s="2230"/>
      <c r="K215" s="2230"/>
      <c r="L215" s="2231"/>
      <c r="M215" s="2291">
        <v>4898973.47</v>
      </c>
      <c r="N215" s="2292"/>
      <c r="O215" s="2292"/>
      <c r="P215" s="2292"/>
      <c r="Q215" s="2293"/>
      <c r="R215" s="2232">
        <f>+M215/H215</f>
        <v>0.75665886887304168</v>
      </c>
      <c r="S215" s="2233"/>
      <c r="T215" s="2282">
        <f>T214</f>
        <v>1514402.67</v>
      </c>
      <c r="U215" s="2283"/>
      <c r="V215" s="2283"/>
      <c r="W215" s="2283"/>
      <c r="X215" s="2283"/>
      <c r="Y215" s="2284"/>
      <c r="Z215" s="2232">
        <f>+T215/H215</f>
        <v>0.23390333062989913</v>
      </c>
      <c r="AA215" s="2237"/>
      <c r="AB215" s="2233"/>
      <c r="AC215" s="2229">
        <f>+M215+T215</f>
        <v>6413376.1399999997</v>
      </c>
      <c r="AD215" s="2230"/>
      <c r="AE215" s="2230"/>
      <c r="AF215" s="2230"/>
      <c r="AG215" s="2231"/>
      <c r="AH215" s="2232">
        <f>AC215/H215</f>
        <v>0.99056219950294078</v>
      </c>
      <c r="AI215" s="2233"/>
      <c r="AJ215" s="2229">
        <f>+H215-AC215</f>
        <v>61104.860000000335</v>
      </c>
      <c r="AK215" s="2231"/>
      <c r="AL215" s="2232">
        <f>AJ215/H215</f>
        <v>9.437800497059199E-3</v>
      </c>
      <c r="AM215" s="2253"/>
      <c r="AN215" s="2452">
        <f>AN214</f>
        <v>0</v>
      </c>
      <c r="AO215" s="2453"/>
      <c r="AP215" s="2453"/>
      <c r="AQ215" s="2453"/>
      <c r="AR215" s="2453"/>
      <c r="AS215" s="2454"/>
    </row>
    <row r="216" spans="1:45">
      <c r="A216" s="273"/>
      <c r="B216" s="273"/>
      <c r="C216" s="1853"/>
      <c r="D216" s="1853"/>
      <c r="E216" s="1853"/>
      <c r="F216" s="1853"/>
      <c r="G216" s="1853"/>
      <c r="H216" s="1851"/>
      <c r="I216" s="1851"/>
      <c r="J216" s="1851"/>
      <c r="K216" s="1851"/>
      <c r="L216" s="1851"/>
      <c r="M216" s="1851"/>
      <c r="N216" s="1851"/>
      <c r="O216" s="1851"/>
      <c r="P216" s="1851"/>
      <c r="Q216" s="1851"/>
      <c r="R216" s="292"/>
      <c r="S216" s="292"/>
      <c r="T216" s="1219"/>
      <c r="U216" s="1219"/>
      <c r="V216" s="1219"/>
      <c r="W216" s="1219"/>
      <c r="X216" s="1219"/>
      <c r="Y216" s="1219"/>
      <c r="Z216" s="292"/>
      <c r="AA216" s="292"/>
      <c r="AB216" s="292"/>
      <c r="AC216" s="1851"/>
      <c r="AD216" s="1851"/>
      <c r="AE216" s="1851"/>
      <c r="AF216" s="1851"/>
      <c r="AG216" s="1851"/>
      <c r="AH216" s="292"/>
      <c r="AI216" s="292"/>
      <c r="AJ216" s="1851"/>
      <c r="AK216" s="1851"/>
      <c r="AL216" s="292"/>
      <c r="AM216" s="292"/>
    </row>
    <row r="217" spans="1:45" ht="15.75">
      <c r="A217" s="273"/>
      <c r="B217" s="274" t="s">
        <v>1110</v>
      </c>
      <c r="C217" s="273"/>
      <c r="D217" s="273"/>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row>
    <row r="218" spans="1:45">
      <c r="A218" s="272"/>
      <c r="B218" s="272"/>
      <c r="C218" s="272"/>
      <c r="D218" s="293" t="s">
        <v>95</v>
      </c>
      <c r="E218" s="275"/>
      <c r="F218" s="272"/>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c r="AC218" s="272"/>
      <c r="AD218" s="272"/>
      <c r="AE218" s="272"/>
      <c r="AF218" s="272"/>
      <c r="AG218" s="272"/>
      <c r="AH218" s="272"/>
      <c r="AI218" s="272"/>
      <c r="AJ218" s="272"/>
      <c r="AK218" s="272"/>
      <c r="AL218" s="272"/>
      <c r="AM218" s="272"/>
    </row>
    <row r="219" spans="1:45" ht="15.75" customHeight="1">
      <c r="A219" s="273"/>
      <c r="B219" s="273"/>
      <c r="C219" s="280"/>
      <c r="D219" s="2387" t="s">
        <v>4290</v>
      </c>
      <c r="E219" s="2388"/>
      <c r="F219" s="2388"/>
      <c r="G219" s="2388"/>
      <c r="H219" s="2388"/>
      <c r="I219" s="2388"/>
      <c r="J219" s="2388"/>
      <c r="K219" s="2388"/>
      <c r="L219" s="2388"/>
      <c r="M219" s="2388"/>
      <c r="N219" s="2388"/>
      <c r="O219" s="2388"/>
      <c r="P219" s="2388"/>
      <c r="Q219" s="2388"/>
      <c r="R219" s="2388"/>
      <c r="S219" s="2388"/>
      <c r="T219" s="2388"/>
      <c r="U219" s="2388"/>
      <c r="V219" s="2388"/>
      <c r="W219" s="2388"/>
      <c r="X219" s="2388"/>
      <c r="Y219" s="2388"/>
      <c r="Z219" s="2388"/>
      <c r="AA219" s="2388"/>
      <c r="AB219" s="2388"/>
      <c r="AC219" s="2388"/>
      <c r="AD219" s="2388"/>
      <c r="AE219" s="2388"/>
      <c r="AF219" s="2388"/>
      <c r="AG219" s="2388"/>
      <c r="AH219" s="2388"/>
      <c r="AI219" s="2388"/>
      <c r="AJ219" s="2388"/>
      <c r="AK219" s="2388"/>
      <c r="AL219" s="2388"/>
      <c r="AM219" s="2389"/>
      <c r="AN219" s="672"/>
    </row>
    <row r="220" spans="1:45" ht="15.75" customHeight="1">
      <c r="A220" s="273"/>
      <c r="B220" s="273"/>
      <c r="C220" s="280"/>
      <c r="D220" s="2390" t="s">
        <v>96</v>
      </c>
      <c r="E220" s="2391"/>
      <c r="F220" s="2392"/>
      <c r="G220" s="2381" t="s">
        <v>97</v>
      </c>
      <c r="H220" s="2382"/>
      <c r="I220" s="2382"/>
      <c r="J220" s="2382"/>
      <c r="K220" s="2382"/>
      <c r="L220" s="2383"/>
      <c r="M220" s="2381" t="s">
        <v>98</v>
      </c>
      <c r="N220" s="2382"/>
      <c r="O220" s="2382"/>
      <c r="P220" s="2382"/>
      <c r="Q220" s="2382"/>
      <c r="R220" s="2382"/>
      <c r="S220" s="2382"/>
      <c r="T220" s="2382"/>
      <c r="U220" s="2383"/>
      <c r="V220" s="2396" t="s">
        <v>99</v>
      </c>
      <c r="W220" s="2397"/>
      <c r="X220" s="2397"/>
      <c r="Y220" s="2397"/>
      <c r="Z220" s="2397"/>
      <c r="AA220" s="2397"/>
      <c r="AB220" s="2397"/>
      <c r="AC220" s="2397"/>
      <c r="AD220" s="2397"/>
      <c r="AE220" s="2398"/>
      <c r="AF220" s="2396" t="s">
        <v>132</v>
      </c>
      <c r="AG220" s="2397"/>
      <c r="AH220" s="2397"/>
      <c r="AI220" s="2397"/>
      <c r="AJ220" s="2397"/>
      <c r="AK220" s="2397"/>
      <c r="AL220" s="2397"/>
      <c r="AM220" s="2398"/>
      <c r="AN220" s="2380"/>
    </row>
    <row r="221" spans="1:45" ht="19.5" customHeight="1">
      <c r="A221" s="273"/>
      <c r="B221" s="273"/>
      <c r="C221" s="280"/>
      <c r="D221" s="2393"/>
      <c r="E221" s="2394"/>
      <c r="F221" s="2395"/>
      <c r="G221" s="2381" t="s">
        <v>100</v>
      </c>
      <c r="H221" s="2382"/>
      <c r="I221" s="2383"/>
      <c r="J221" s="2381" t="s">
        <v>101</v>
      </c>
      <c r="K221" s="2382"/>
      <c r="L221" s="2383"/>
      <c r="M221" s="2381" t="s">
        <v>102</v>
      </c>
      <c r="N221" s="2382"/>
      <c r="O221" s="2383"/>
      <c r="P221" s="2381" t="s">
        <v>103</v>
      </c>
      <c r="Q221" s="2382"/>
      <c r="R221" s="2383"/>
      <c r="S221" s="2381" t="s">
        <v>104</v>
      </c>
      <c r="T221" s="2382"/>
      <c r="U221" s="2383"/>
      <c r="V221" s="2381" t="s">
        <v>102</v>
      </c>
      <c r="W221" s="2382"/>
      <c r="X221" s="2383"/>
      <c r="Y221" s="2381" t="s">
        <v>103</v>
      </c>
      <c r="Z221" s="2382"/>
      <c r="AA221" s="2382"/>
      <c r="AB221" s="2383"/>
      <c r="AC221" s="2381" t="s">
        <v>104</v>
      </c>
      <c r="AD221" s="2382"/>
      <c r="AE221" s="2383"/>
      <c r="AF221" s="2381" t="s">
        <v>102</v>
      </c>
      <c r="AG221" s="2382"/>
      <c r="AH221" s="2383"/>
      <c r="AI221" s="2381" t="s">
        <v>103</v>
      </c>
      <c r="AJ221" s="2383"/>
      <c r="AK221" s="2381" t="s">
        <v>104</v>
      </c>
      <c r="AL221" s="2382"/>
      <c r="AM221" s="2383"/>
      <c r="AN221" s="2380"/>
    </row>
    <row r="222" spans="1:45">
      <c r="A222" s="273"/>
      <c r="B222" s="273"/>
      <c r="C222" s="280"/>
      <c r="D222" s="2374">
        <v>1</v>
      </c>
      <c r="E222" s="2375"/>
      <c r="F222" s="2376"/>
      <c r="G222" s="2377">
        <v>45261</v>
      </c>
      <c r="H222" s="2378"/>
      <c r="I222" s="2379"/>
      <c r="J222" s="2377">
        <f>G222+2</f>
        <v>45263</v>
      </c>
      <c r="K222" s="2378"/>
      <c r="L222" s="2379"/>
      <c r="M222" s="2374">
        <v>0</v>
      </c>
      <c r="N222" s="2375"/>
      <c r="O222" s="2376"/>
      <c r="P222" s="2374">
        <v>6</v>
      </c>
      <c r="Q222" s="2375"/>
      <c r="R222" s="2376"/>
      <c r="S222" s="2374">
        <v>6</v>
      </c>
      <c r="T222" s="2375"/>
      <c r="U222" s="2376"/>
      <c r="V222" s="2384">
        <v>125</v>
      </c>
      <c r="W222" s="2385"/>
      <c r="X222" s="2386"/>
      <c r="Y222" s="2384">
        <v>145</v>
      </c>
      <c r="Z222" s="2385"/>
      <c r="AA222" s="2385"/>
      <c r="AB222" s="2386"/>
      <c r="AC222" s="2384">
        <v>166</v>
      </c>
      <c r="AD222" s="2385"/>
      <c r="AE222" s="2386"/>
      <c r="AF222" s="2384">
        <f>+V222*M222</f>
        <v>0</v>
      </c>
      <c r="AG222" s="2385"/>
      <c r="AH222" s="2386"/>
      <c r="AI222" s="2384">
        <f>+Y222*P222</f>
        <v>870</v>
      </c>
      <c r="AJ222" s="2386"/>
      <c r="AK222" s="2384">
        <f t="shared" ref="AK222:AK226" si="32">+AC222*S222</f>
        <v>996</v>
      </c>
      <c r="AL222" s="2385"/>
      <c r="AM222" s="2386"/>
      <c r="AN222" s="297"/>
    </row>
    <row r="223" spans="1:45">
      <c r="A223" s="273"/>
      <c r="B223" s="273"/>
      <c r="C223" s="280"/>
      <c r="D223" s="2374">
        <v>2</v>
      </c>
      <c r="E223" s="2375"/>
      <c r="F223" s="2376"/>
      <c r="G223" s="2377">
        <f>J222+1</f>
        <v>45264</v>
      </c>
      <c r="H223" s="2378"/>
      <c r="I223" s="2379"/>
      <c r="J223" s="2377">
        <f>G223+6</f>
        <v>45270</v>
      </c>
      <c r="K223" s="2378"/>
      <c r="L223" s="2379"/>
      <c r="M223" s="2374">
        <v>15</v>
      </c>
      <c r="N223" s="2375"/>
      <c r="O223" s="2376"/>
      <c r="P223" s="2374">
        <v>19</v>
      </c>
      <c r="Q223" s="2375"/>
      <c r="R223" s="2376"/>
      <c r="S223" s="2374">
        <v>24</v>
      </c>
      <c r="T223" s="2375"/>
      <c r="U223" s="2376"/>
      <c r="V223" s="2384">
        <v>125</v>
      </c>
      <c r="W223" s="2385"/>
      <c r="X223" s="2386"/>
      <c r="Y223" s="2384">
        <v>145</v>
      </c>
      <c r="Z223" s="2385"/>
      <c r="AA223" s="2385"/>
      <c r="AB223" s="2386"/>
      <c r="AC223" s="2384">
        <v>166</v>
      </c>
      <c r="AD223" s="2385"/>
      <c r="AE223" s="2386"/>
      <c r="AF223" s="2384">
        <f>+V223*M223</f>
        <v>1875</v>
      </c>
      <c r="AG223" s="2385"/>
      <c r="AH223" s="2386"/>
      <c r="AI223" s="2384">
        <f t="shared" ref="AI223:AI226" si="33">+Y223*P223</f>
        <v>2755</v>
      </c>
      <c r="AJ223" s="2386"/>
      <c r="AK223" s="2384">
        <f t="shared" si="32"/>
        <v>3984</v>
      </c>
      <c r="AL223" s="2385"/>
      <c r="AM223" s="2386"/>
      <c r="AN223" s="297"/>
    </row>
    <row r="224" spans="1:45">
      <c r="A224" s="273"/>
      <c r="B224" s="273"/>
      <c r="C224" s="280"/>
      <c r="D224" s="2374">
        <v>3</v>
      </c>
      <c r="E224" s="2375"/>
      <c r="F224" s="2376"/>
      <c r="G224" s="2377">
        <f>J223+1</f>
        <v>45271</v>
      </c>
      <c r="H224" s="2378"/>
      <c r="I224" s="2379"/>
      <c r="J224" s="2377">
        <f>G224+6</f>
        <v>45277</v>
      </c>
      <c r="K224" s="2378"/>
      <c r="L224" s="2379"/>
      <c r="M224" s="2374">
        <v>21</v>
      </c>
      <c r="N224" s="2375"/>
      <c r="O224" s="2376"/>
      <c r="P224" s="2374">
        <v>21</v>
      </c>
      <c r="Q224" s="2375"/>
      <c r="R224" s="2376"/>
      <c r="S224" s="2374">
        <v>28</v>
      </c>
      <c r="T224" s="2375"/>
      <c r="U224" s="2376"/>
      <c r="V224" s="2384">
        <v>125</v>
      </c>
      <c r="W224" s="2385"/>
      <c r="X224" s="2386"/>
      <c r="Y224" s="2384">
        <v>145</v>
      </c>
      <c r="Z224" s="2385"/>
      <c r="AA224" s="2385"/>
      <c r="AB224" s="2386"/>
      <c r="AC224" s="2384">
        <v>166</v>
      </c>
      <c r="AD224" s="2385"/>
      <c r="AE224" s="2386"/>
      <c r="AF224" s="2384">
        <f>+V224*M224</f>
        <v>2625</v>
      </c>
      <c r="AG224" s="2385"/>
      <c r="AH224" s="2386"/>
      <c r="AI224" s="2384">
        <f t="shared" si="33"/>
        <v>3045</v>
      </c>
      <c r="AJ224" s="2386"/>
      <c r="AK224" s="2384">
        <f t="shared" si="32"/>
        <v>4648</v>
      </c>
      <c r="AL224" s="2385"/>
      <c r="AM224" s="2386"/>
      <c r="AN224" s="297"/>
    </row>
    <row r="225" spans="1:41">
      <c r="A225" s="273"/>
      <c r="B225" s="273"/>
      <c r="C225" s="280"/>
      <c r="D225" s="2374">
        <v>4</v>
      </c>
      <c r="E225" s="2375"/>
      <c r="F225" s="2376"/>
      <c r="G225" s="2377">
        <f>J224+1</f>
        <v>45278</v>
      </c>
      <c r="H225" s="2378"/>
      <c r="I225" s="2379"/>
      <c r="J225" s="2377">
        <f>G225+6</f>
        <v>45284</v>
      </c>
      <c r="K225" s="2378"/>
      <c r="L225" s="2379"/>
      <c r="M225" s="2374">
        <v>12</v>
      </c>
      <c r="N225" s="2375"/>
      <c r="O225" s="2376"/>
      <c r="P225" s="2374">
        <v>21</v>
      </c>
      <c r="Q225" s="2375"/>
      <c r="R225" s="2376"/>
      <c r="S225" s="2374">
        <v>28</v>
      </c>
      <c r="T225" s="2375"/>
      <c r="U225" s="2376"/>
      <c r="V225" s="2384">
        <v>125</v>
      </c>
      <c r="W225" s="2385"/>
      <c r="X225" s="2386"/>
      <c r="Y225" s="2384">
        <v>145</v>
      </c>
      <c r="Z225" s="2385"/>
      <c r="AA225" s="2385"/>
      <c r="AB225" s="2386"/>
      <c r="AC225" s="2384">
        <v>166</v>
      </c>
      <c r="AD225" s="2385"/>
      <c r="AE225" s="2386"/>
      <c r="AF225" s="2384">
        <f t="shared" ref="AF225:AF226" si="34">+V225*M225</f>
        <v>1500</v>
      </c>
      <c r="AG225" s="2385"/>
      <c r="AH225" s="2386"/>
      <c r="AI225" s="2384">
        <f t="shared" si="33"/>
        <v>3045</v>
      </c>
      <c r="AJ225" s="2386"/>
      <c r="AK225" s="2384">
        <f t="shared" si="32"/>
        <v>4648</v>
      </c>
      <c r="AL225" s="2385"/>
      <c r="AM225" s="2386"/>
      <c r="AN225" s="673"/>
    </row>
    <row r="226" spans="1:41">
      <c r="A226" s="273"/>
      <c r="B226" s="273"/>
      <c r="C226" s="280"/>
      <c r="D226" s="2374">
        <v>5</v>
      </c>
      <c r="E226" s="2375"/>
      <c r="F226" s="2376"/>
      <c r="G226" s="2377">
        <f>+J225+1</f>
        <v>45285</v>
      </c>
      <c r="H226" s="2378"/>
      <c r="I226" s="2379"/>
      <c r="J226" s="2377">
        <f>G226+6</f>
        <v>45291</v>
      </c>
      <c r="K226" s="2378"/>
      <c r="L226" s="2379"/>
      <c r="M226" s="2374">
        <v>0</v>
      </c>
      <c r="N226" s="2375"/>
      <c r="O226" s="2376"/>
      <c r="P226" s="2374">
        <v>14</v>
      </c>
      <c r="Q226" s="2375"/>
      <c r="R226" s="2376"/>
      <c r="S226" s="2374">
        <v>14</v>
      </c>
      <c r="T226" s="2375"/>
      <c r="U226" s="2376"/>
      <c r="V226" s="2384">
        <v>125</v>
      </c>
      <c r="W226" s="2385"/>
      <c r="X226" s="2386"/>
      <c r="Y226" s="2384">
        <v>145</v>
      </c>
      <c r="Z226" s="2385"/>
      <c r="AA226" s="2385"/>
      <c r="AB226" s="2386"/>
      <c r="AC226" s="2384">
        <v>166</v>
      </c>
      <c r="AD226" s="2385"/>
      <c r="AE226" s="2386"/>
      <c r="AF226" s="2384">
        <f t="shared" si="34"/>
        <v>0</v>
      </c>
      <c r="AG226" s="2385"/>
      <c r="AH226" s="2386"/>
      <c r="AI226" s="2384">
        <f t="shared" si="33"/>
        <v>2030</v>
      </c>
      <c r="AJ226" s="2386"/>
      <c r="AK226" s="2384">
        <f t="shared" si="32"/>
        <v>2324</v>
      </c>
      <c r="AL226" s="2385"/>
      <c r="AM226" s="2386"/>
      <c r="AN226" s="297"/>
    </row>
    <row r="227" spans="1:41">
      <c r="A227" s="273"/>
      <c r="B227" s="273"/>
      <c r="C227" s="280"/>
      <c r="D227" s="2408" t="s">
        <v>105</v>
      </c>
      <c r="E227" s="2409"/>
      <c r="F227" s="2409"/>
      <c r="G227" s="2409"/>
      <c r="H227" s="2409"/>
      <c r="I227" s="2409"/>
      <c r="J227" s="2409"/>
      <c r="K227" s="2409"/>
      <c r="L227" s="2410"/>
      <c r="M227" s="2374">
        <f>SUM(M222:O226)</f>
        <v>48</v>
      </c>
      <c r="N227" s="2375"/>
      <c r="O227" s="2376"/>
      <c r="P227" s="2374">
        <f>SUM(P222:R226)</f>
        <v>81</v>
      </c>
      <c r="Q227" s="2375"/>
      <c r="R227" s="2376"/>
      <c r="S227" s="2374">
        <f>SUM(S222:U226)</f>
        <v>100</v>
      </c>
      <c r="T227" s="2375"/>
      <c r="U227" s="2376"/>
      <c r="V227" s="294"/>
      <c r="W227" s="295"/>
      <c r="X227" s="296"/>
      <c r="Y227" s="2374"/>
      <c r="Z227" s="2375"/>
      <c r="AA227" s="2375"/>
      <c r="AB227" s="2376"/>
      <c r="AC227" s="2374"/>
      <c r="AD227" s="2375"/>
      <c r="AE227" s="2376"/>
      <c r="AF227" s="2401">
        <f>SUM(AF222:AH226)</f>
        <v>6000</v>
      </c>
      <c r="AG227" s="2402"/>
      <c r="AH227" s="2403"/>
      <c r="AI227" s="2401">
        <f>SUM(AI222:AJ226)</f>
        <v>11745</v>
      </c>
      <c r="AJ227" s="2403"/>
      <c r="AK227" s="2401">
        <f>SUM(AK222:AM226)</f>
        <v>16600</v>
      </c>
      <c r="AL227" s="2402"/>
      <c r="AM227" s="2403"/>
      <c r="AO227" s="297"/>
    </row>
    <row r="228" spans="1:41" ht="15" hidden="1" customHeight="1">
      <c r="A228" s="273"/>
      <c r="B228" s="273"/>
      <c r="C228" s="280"/>
      <c r="D228" s="279"/>
      <c r="E228" s="279"/>
      <c r="F228" s="279"/>
      <c r="G228" s="279"/>
      <c r="H228" s="279"/>
      <c r="I228" s="279"/>
      <c r="J228" s="279"/>
      <c r="K228" s="279"/>
      <c r="L228" s="279"/>
      <c r="M228" s="279"/>
      <c r="N228" s="279"/>
      <c r="O228" s="279"/>
      <c r="P228" s="279"/>
      <c r="Q228" s="279"/>
      <c r="R228" s="279"/>
      <c r="S228" s="279"/>
      <c r="T228" s="279"/>
      <c r="U228" s="279"/>
      <c r="V228" s="291"/>
      <c r="W228" s="291"/>
      <c r="X228" s="291"/>
      <c r="Y228" s="291"/>
      <c r="Z228" s="291"/>
      <c r="AA228" s="291"/>
      <c r="AB228" s="291"/>
      <c r="AC228" s="291"/>
      <c r="AD228" s="291"/>
      <c r="AE228" s="291"/>
      <c r="AF228" s="2401">
        <f>SUM(AF227:AM227)+23.91</f>
        <v>34368.910000000003</v>
      </c>
      <c r="AG228" s="2402"/>
      <c r="AH228" s="2402"/>
      <c r="AI228" s="2402"/>
      <c r="AJ228" s="2402"/>
      <c r="AK228" s="2402"/>
      <c r="AL228" s="2402"/>
      <c r="AM228" s="2403"/>
      <c r="AN228" s="2404"/>
    </row>
    <row r="229" spans="1:41" ht="15" hidden="1" customHeight="1">
      <c r="A229" s="273"/>
      <c r="B229" s="273"/>
      <c r="C229" s="280"/>
      <c r="D229" s="279"/>
      <c r="E229" s="279"/>
      <c r="F229" s="279"/>
      <c r="G229" s="279"/>
      <c r="H229" s="279"/>
      <c r="I229" s="279"/>
      <c r="J229" s="279"/>
      <c r="K229" s="279"/>
      <c r="L229" s="279"/>
      <c r="M229" s="291"/>
      <c r="N229" s="291"/>
      <c r="O229" s="291"/>
      <c r="P229" s="291"/>
      <c r="Q229" s="291"/>
      <c r="R229" s="291"/>
      <c r="S229" s="291"/>
      <c r="T229" s="291"/>
      <c r="U229" s="291"/>
      <c r="V229" s="291"/>
      <c r="W229" s="291"/>
      <c r="X229" s="291"/>
      <c r="Y229" s="291"/>
      <c r="Z229" s="291"/>
      <c r="AA229" s="291"/>
      <c r="AB229" s="291"/>
      <c r="AC229" s="291"/>
      <c r="AD229" s="291"/>
      <c r="AE229" s="291"/>
      <c r="AF229" s="1856"/>
      <c r="AG229" s="1856"/>
      <c r="AH229" s="1856"/>
      <c r="AI229" s="1856"/>
      <c r="AJ229" s="1856"/>
      <c r="AK229" s="1856"/>
      <c r="AL229" s="1856"/>
      <c r="AM229" s="1856"/>
      <c r="AN229" s="2405"/>
    </row>
    <row r="230" spans="1:41" ht="15" hidden="1" customHeight="1">
      <c r="A230" s="273"/>
      <c r="B230" s="273"/>
      <c r="C230" s="280"/>
      <c r="D230" s="279"/>
      <c r="E230" s="279"/>
      <c r="F230" s="279"/>
      <c r="G230" s="279"/>
      <c r="H230" s="279"/>
      <c r="I230" s="279"/>
      <c r="J230" s="279"/>
      <c r="K230" s="279"/>
      <c r="L230" s="279"/>
      <c r="M230" s="291"/>
      <c r="N230" s="291"/>
      <c r="O230" s="291"/>
      <c r="P230" s="291"/>
      <c r="Q230" s="291"/>
      <c r="R230" s="291"/>
      <c r="S230" s="291"/>
      <c r="T230" s="291"/>
      <c r="U230" s="291"/>
      <c r="V230" s="291"/>
      <c r="W230" s="291"/>
      <c r="X230" s="291"/>
      <c r="Y230" s="291"/>
      <c r="Z230" s="291"/>
      <c r="AA230" s="291"/>
      <c r="AB230" s="291"/>
      <c r="AC230" s="291"/>
      <c r="AD230" s="291"/>
      <c r="AE230" s="291"/>
      <c r="AF230" s="2406" t="s">
        <v>148</v>
      </c>
      <c r="AG230" s="2407"/>
      <c r="AH230" s="2407"/>
      <c r="AI230" s="2407"/>
      <c r="AJ230" s="2407"/>
      <c r="AK230" s="2407"/>
      <c r="AL230" s="2407"/>
      <c r="AM230" s="2407"/>
      <c r="AN230" s="1839"/>
    </row>
    <row r="231" spans="1:41" ht="15" hidden="1" customHeight="1">
      <c r="A231" s="273"/>
      <c r="B231" s="273"/>
      <c r="C231" s="280"/>
      <c r="D231" s="279"/>
      <c r="E231" s="279"/>
      <c r="F231" s="279"/>
      <c r="G231" s="279"/>
      <c r="H231" s="279"/>
      <c r="I231" s="279"/>
      <c r="J231" s="279"/>
      <c r="K231" s="279"/>
      <c r="L231" s="279"/>
      <c r="M231" s="291"/>
      <c r="N231" s="291"/>
      <c r="O231" s="291"/>
      <c r="P231" s="291"/>
      <c r="Q231" s="291"/>
      <c r="R231" s="291"/>
      <c r="S231" s="291"/>
      <c r="T231" s="291"/>
      <c r="U231" s="291"/>
      <c r="V231" s="291"/>
      <c r="W231" s="291"/>
      <c r="X231" s="291"/>
      <c r="Y231" s="291"/>
      <c r="Z231" s="291"/>
      <c r="AA231" s="291"/>
      <c r="AB231" s="291"/>
      <c r="AC231" s="291"/>
      <c r="AD231" s="291"/>
      <c r="AE231" s="291"/>
      <c r="AF231" s="2411" t="s">
        <v>102</v>
      </c>
      <c r="AG231" s="2412"/>
      <c r="AH231" s="2413"/>
      <c r="AI231" s="2411" t="s">
        <v>103</v>
      </c>
      <c r="AJ231" s="2412"/>
      <c r="AK231" s="2413"/>
      <c r="AL231" s="2411" t="s">
        <v>104</v>
      </c>
      <c r="AM231" s="2412"/>
      <c r="AN231" s="1839"/>
    </row>
    <row r="232" spans="1:41" ht="15" hidden="1" customHeight="1">
      <c r="A232" s="273"/>
      <c r="B232" s="273"/>
      <c r="C232" s="280"/>
      <c r="D232" s="279"/>
      <c r="E232" s="279"/>
      <c r="F232" s="279"/>
      <c r="G232" s="279"/>
      <c r="H232" s="279"/>
      <c r="I232" s="279"/>
      <c r="J232" s="279"/>
      <c r="K232" s="279"/>
      <c r="L232" s="279"/>
      <c r="M232" s="291"/>
      <c r="N232" s="291"/>
      <c r="O232" s="291"/>
      <c r="P232" s="291"/>
      <c r="Q232" s="291"/>
      <c r="R232" s="291"/>
      <c r="S232" s="291"/>
      <c r="T232" s="291"/>
      <c r="U232" s="291"/>
      <c r="V232" s="291"/>
      <c r="W232" s="291"/>
      <c r="X232" s="291"/>
      <c r="Y232" s="291"/>
      <c r="Z232" s="291"/>
      <c r="AA232" s="291"/>
      <c r="AB232" s="291"/>
      <c r="AC232" s="291"/>
      <c r="AD232" s="291"/>
      <c r="AE232" s="291"/>
      <c r="AF232" s="2401">
        <v>2250</v>
      </c>
      <c r="AG232" s="2402"/>
      <c r="AH232" s="2403"/>
      <c r="AI232" s="2401">
        <v>340</v>
      </c>
      <c r="AJ232" s="2402"/>
      <c r="AK232" s="2403"/>
      <c r="AL232" s="2401">
        <v>247</v>
      </c>
      <c r="AM232" s="2402"/>
      <c r="AN232" s="1839"/>
    </row>
    <row r="233" spans="1:41" ht="15" customHeight="1">
      <c r="A233" s="273"/>
      <c r="B233" s="273"/>
      <c r="C233" s="280"/>
      <c r="D233" s="279"/>
      <c r="E233" s="279"/>
      <c r="F233" s="279"/>
      <c r="G233" s="279"/>
      <c r="H233" s="279"/>
      <c r="I233" s="279"/>
      <c r="J233" s="279"/>
      <c r="K233" s="279"/>
      <c r="L233" s="279"/>
      <c r="M233" s="291"/>
      <c r="N233" s="291"/>
      <c r="O233" s="291"/>
      <c r="P233" s="291"/>
      <c r="Q233" s="291"/>
      <c r="R233" s="291"/>
      <c r="S233" s="291"/>
      <c r="T233" s="291"/>
      <c r="U233" s="291"/>
      <c r="V233" s="291"/>
      <c r="W233" s="291"/>
      <c r="X233" s="291"/>
      <c r="Y233" s="291"/>
      <c r="Z233" s="291"/>
      <c r="AA233" s="297"/>
      <c r="AB233" s="291"/>
      <c r="AC233" s="291"/>
      <c r="AD233" s="291"/>
      <c r="AE233" s="291"/>
      <c r="AF233" s="2399">
        <f>SUM(AF227:AM227)+887.59</f>
        <v>35232.589999999997</v>
      </c>
      <c r="AG233" s="2400"/>
      <c r="AH233" s="2400"/>
      <c r="AI233" s="2400"/>
      <c r="AJ233" s="2400"/>
      <c r="AK233" s="2400"/>
      <c r="AL233" s="2400"/>
      <c r="AM233" s="2400"/>
      <c r="AN233" s="297">
        <v>35232.589999999997</v>
      </c>
    </row>
    <row r="234" spans="1:41" ht="15" customHeight="1">
      <c r="A234" s="273"/>
      <c r="B234" s="273"/>
      <c r="C234" s="280"/>
      <c r="D234" s="279"/>
      <c r="E234" s="279"/>
      <c r="F234" s="279"/>
      <c r="G234" s="279"/>
      <c r="H234" s="279"/>
      <c r="I234" s="279"/>
      <c r="J234" s="279"/>
      <c r="K234" s="279"/>
      <c r="L234" s="279"/>
      <c r="M234" s="291"/>
      <c r="N234" s="291"/>
      <c r="O234" s="291"/>
      <c r="P234" s="291"/>
      <c r="Q234" s="291"/>
      <c r="R234" s="291"/>
      <c r="S234" s="291"/>
      <c r="T234" s="291"/>
      <c r="U234" s="291"/>
      <c r="V234" s="291"/>
      <c r="W234" s="291"/>
      <c r="X234" s="291"/>
      <c r="Y234" s="291"/>
      <c r="Z234" s="291"/>
      <c r="AA234" s="291"/>
      <c r="AB234" s="291"/>
      <c r="AC234" s="291"/>
      <c r="AD234" s="291"/>
      <c r="AE234" s="291"/>
      <c r="AF234" s="1838"/>
      <c r="AG234" s="1840"/>
      <c r="AH234" s="1839"/>
      <c r="AI234" s="1838"/>
      <c r="AJ234" s="1840"/>
      <c r="AK234" s="1839"/>
      <c r="AL234" s="2384" t="s">
        <v>10</v>
      </c>
      <c r="AM234" s="2385"/>
      <c r="AN234" s="297">
        <f>AN233-AF233</f>
        <v>0</v>
      </c>
    </row>
    <row r="235" spans="1:41" ht="15" customHeight="1">
      <c r="A235" s="273"/>
      <c r="B235" s="273"/>
      <c r="C235" s="2458" t="s">
        <v>106</v>
      </c>
      <c r="D235" s="2459"/>
      <c r="E235" s="2459"/>
      <c r="F235" s="2459"/>
      <c r="G235" s="2460"/>
      <c r="H235" s="2458" t="s">
        <v>107</v>
      </c>
      <c r="I235" s="2459"/>
      <c r="J235" s="2459"/>
      <c r="K235" s="2459"/>
      <c r="L235" s="2460"/>
      <c r="M235" s="2416" t="s">
        <v>89</v>
      </c>
      <c r="N235" s="2417"/>
      <c r="O235" s="2417"/>
      <c r="P235" s="2417"/>
      <c r="Q235" s="2417"/>
      <c r="R235" s="2417"/>
      <c r="S235" s="2418"/>
      <c r="T235" s="2416" t="s">
        <v>90</v>
      </c>
      <c r="U235" s="2417"/>
      <c r="V235" s="2417"/>
      <c r="W235" s="2417"/>
      <c r="X235" s="2417"/>
      <c r="Y235" s="2417"/>
      <c r="Z235" s="2417"/>
      <c r="AA235" s="2417"/>
      <c r="AB235" s="2418"/>
      <c r="AC235" s="2416" t="s">
        <v>91</v>
      </c>
      <c r="AD235" s="2417"/>
      <c r="AE235" s="2417"/>
      <c r="AF235" s="2417"/>
      <c r="AG235" s="2417"/>
      <c r="AH235" s="2417"/>
      <c r="AI235" s="2418"/>
      <c r="AJ235" s="2416" t="s">
        <v>92</v>
      </c>
      <c r="AK235" s="2417"/>
      <c r="AL235" s="2417"/>
      <c r="AM235" s="2418"/>
      <c r="AN235" s="297"/>
      <c r="AO235" s="51"/>
    </row>
    <row r="236" spans="1:41" ht="19.5" customHeight="1">
      <c r="A236" s="273"/>
      <c r="B236" s="273"/>
      <c r="C236" s="2461"/>
      <c r="D236" s="2462"/>
      <c r="E236" s="2462"/>
      <c r="F236" s="2462"/>
      <c r="G236" s="2463"/>
      <c r="H236" s="2461"/>
      <c r="I236" s="2462"/>
      <c r="J236" s="2462"/>
      <c r="K236" s="2462"/>
      <c r="L236" s="2463"/>
      <c r="M236" s="2416" t="s">
        <v>32</v>
      </c>
      <c r="N236" s="2417"/>
      <c r="O236" s="2417"/>
      <c r="P236" s="2417"/>
      <c r="Q236" s="2418"/>
      <c r="R236" s="2416" t="s">
        <v>30</v>
      </c>
      <c r="S236" s="2418"/>
      <c r="T236" s="2416" t="s">
        <v>32</v>
      </c>
      <c r="U236" s="2417"/>
      <c r="V236" s="2417"/>
      <c r="W236" s="2417"/>
      <c r="X236" s="2417"/>
      <c r="Y236" s="2418"/>
      <c r="Z236" s="2416" t="s">
        <v>30</v>
      </c>
      <c r="AA236" s="2417"/>
      <c r="AB236" s="2418"/>
      <c r="AC236" s="2416" t="s">
        <v>32</v>
      </c>
      <c r="AD236" s="2417"/>
      <c r="AE236" s="2417"/>
      <c r="AF236" s="2417"/>
      <c r="AG236" s="2418"/>
      <c r="AH236" s="2416" t="s">
        <v>30</v>
      </c>
      <c r="AI236" s="2418"/>
      <c r="AJ236" s="1848" t="s">
        <v>32</v>
      </c>
      <c r="AK236" s="1035"/>
      <c r="AL236" s="2416" t="s">
        <v>30</v>
      </c>
      <c r="AM236" s="2418"/>
      <c r="AN236" s="297"/>
    </row>
    <row r="237" spans="1:41" ht="15" customHeight="1">
      <c r="A237" s="273"/>
      <c r="B237" s="273"/>
      <c r="C237" s="2434" t="s">
        <v>20</v>
      </c>
      <c r="D237" s="2261"/>
      <c r="E237" s="2261"/>
      <c r="F237" s="2261"/>
      <c r="G237" s="2262"/>
      <c r="H237" s="2435">
        <f>5881779.03+654402</f>
        <v>6536181.0300000003</v>
      </c>
      <c r="I237" s="2436"/>
      <c r="J237" s="2436"/>
      <c r="K237" s="2436"/>
      <c r="L237" s="2437"/>
      <c r="M237" s="2263">
        <v>6121311.5</v>
      </c>
      <c r="N237" s="2264"/>
      <c r="O237" s="2264"/>
      <c r="P237" s="2264"/>
      <c r="Q237" s="2265"/>
      <c r="R237" s="2266">
        <f>M237/H237</f>
        <v>0.93652722773500041</v>
      </c>
      <c r="S237" s="2267"/>
      <c r="T237" s="2446">
        <v>35232.589999999997</v>
      </c>
      <c r="U237" s="2447"/>
      <c r="V237" s="2447"/>
      <c r="W237" s="2447"/>
      <c r="X237" s="2447"/>
      <c r="Y237" s="2448"/>
      <c r="Z237" s="2266">
        <f>T237/H237</f>
        <v>5.390393845930549E-3</v>
      </c>
      <c r="AA237" s="2271"/>
      <c r="AB237" s="2267"/>
      <c r="AC237" s="2263">
        <f>M237+T237</f>
        <v>6156544.0899999999</v>
      </c>
      <c r="AD237" s="2264"/>
      <c r="AE237" s="2264"/>
      <c r="AF237" s="2264"/>
      <c r="AG237" s="2265"/>
      <c r="AH237" s="2266">
        <f>AC237/H237</f>
        <v>0.94191762158093095</v>
      </c>
      <c r="AI237" s="2267"/>
      <c r="AJ237" s="669">
        <f>+H237-AC237</f>
        <v>379636.94000000041</v>
      </c>
      <c r="AK237" s="295"/>
      <c r="AL237" s="2266">
        <f>+AJ237/H237</f>
        <v>5.8082378419069033E-2</v>
      </c>
      <c r="AM237" s="2267"/>
      <c r="AN237" s="297"/>
    </row>
    <row r="238" spans="1:41">
      <c r="A238" s="273"/>
      <c r="B238" s="273"/>
      <c r="C238" s="2434" t="s">
        <v>21</v>
      </c>
      <c r="D238" s="2261"/>
      <c r="E238" s="2261"/>
      <c r="F238" s="2261"/>
      <c r="G238" s="2262"/>
      <c r="H238" s="2435">
        <f>AC238</f>
        <v>5307542.8099999996</v>
      </c>
      <c r="I238" s="2436"/>
      <c r="J238" s="2436"/>
      <c r="K238" s="2436"/>
      <c r="L238" s="2437"/>
      <c r="M238" s="2285">
        <v>5272310.22</v>
      </c>
      <c r="N238" s="2286"/>
      <c r="O238" s="2286"/>
      <c r="P238" s="2286"/>
      <c r="Q238" s="2287"/>
      <c r="R238" s="2266">
        <f>M238/H237</f>
        <v>0.80663466874631529</v>
      </c>
      <c r="S238" s="2267"/>
      <c r="T238" s="2446">
        <f>AF233</f>
        <v>35232.589999999997</v>
      </c>
      <c r="U238" s="2447"/>
      <c r="V238" s="2447"/>
      <c r="W238" s="2447"/>
      <c r="X238" s="2447"/>
      <c r="Y238" s="2448"/>
      <c r="Z238" s="2266">
        <f>T238/H237</f>
        <v>5.390393845930549E-3</v>
      </c>
      <c r="AA238" s="2271"/>
      <c r="AB238" s="2267"/>
      <c r="AC238" s="2263">
        <f>M238+T238</f>
        <v>5307542.8099999996</v>
      </c>
      <c r="AD238" s="2264"/>
      <c r="AE238" s="2264"/>
      <c r="AF238" s="2264"/>
      <c r="AG238" s="2265"/>
      <c r="AH238" s="2266">
        <f>AC238/H237</f>
        <v>0.81202506259224572</v>
      </c>
      <c r="AI238" s="2267"/>
      <c r="AJ238" s="669">
        <f>+H237-AC238</f>
        <v>1228638.2200000007</v>
      </c>
      <c r="AK238" s="670"/>
      <c r="AL238" s="2266">
        <f>AJ238/H237</f>
        <v>0.18797493740775423</v>
      </c>
      <c r="AM238" s="2267"/>
      <c r="AN238" s="291"/>
    </row>
    <row r="239" spans="1:41" ht="15" hidden="1" customHeight="1">
      <c r="A239" s="273"/>
      <c r="B239" s="273"/>
      <c r="C239" s="280"/>
      <c r="D239" s="279"/>
      <c r="E239" s="279"/>
      <c r="F239" s="279"/>
      <c r="G239" s="279"/>
      <c r="H239" s="279"/>
      <c r="I239" s="279"/>
      <c r="J239" s="279"/>
      <c r="K239" s="279"/>
      <c r="L239" s="279"/>
      <c r="M239" s="291"/>
      <c r="N239" s="291"/>
      <c r="O239" s="291"/>
      <c r="P239" s="291"/>
      <c r="Q239" s="291"/>
      <c r="R239" s="291"/>
      <c r="S239" s="291"/>
      <c r="T239" s="291"/>
      <c r="U239" s="291"/>
      <c r="V239" s="291"/>
      <c r="W239" s="291"/>
      <c r="X239" s="291"/>
      <c r="Y239" s="291"/>
      <c r="Z239" s="291"/>
      <c r="AA239" s="291"/>
      <c r="AB239" s="291"/>
      <c r="AC239" s="291"/>
      <c r="AD239" s="291"/>
      <c r="AE239" s="291"/>
      <c r="AF239" s="297"/>
      <c r="AG239" s="297"/>
      <c r="AH239" s="297"/>
      <c r="AI239" s="297"/>
      <c r="AJ239" s="297"/>
      <c r="AK239" s="297"/>
      <c r="AL239" s="297"/>
      <c r="AM239" s="297"/>
    </row>
    <row r="240" spans="1:41" ht="18" hidden="1" customHeight="1">
      <c r="A240" s="273"/>
      <c r="B240" s="273"/>
      <c r="C240" s="280"/>
      <c r="D240" s="279"/>
      <c r="E240" s="279"/>
      <c r="F240" s="279"/>
      <c r="G240" s="279"/>
      <c r="H240" s="279"/>
      <c r="I240" s="279"/>
      <c r="J240" s="279"/>
      <c r="K240" s="279"/>
      <c r="L240" s="279"/>
      <c r="M240" s="667"/>
      <c r="N240" s="667"/>
      <c r="O240" s="667"/>
      <c r="P240" s="667"/>
      <c r="Q240" s="667"/>
      <c r="R240" s="667"/>
      <c r="S240" s="667"/>
      <c r="T240" s="667"/>
      <c r="U240" s="667"/>
      <c r="V240" s="667"/>
      <c r="W240" s="667"/>
      <c r="X240" s="667"/>
      <c r="Y240" s="667"/>
      <c r="Z240" s="667"/>
      <c r="AA240" s="667"/>
      <c r="AB240" s="667"/>
      <c r="AC240" s="667"/>
      <c r="AD240" s="667"/>
      <c r="AE240" s="291"/>
      <c r="AF240" s="291"/>
      <c r="AG240" s="291"/>
      <c r="AH240" s="291"/>
      <c r="AI240" s="291"/>
      <c r="AJ240" s="291"/>
      <c r="AK240" s="291"/>
      <c r="AL240" s="291"/>
      <c r="AM240" s="291"/>
    </row>
    <row r="241" spans="1:39" ht="15" hidden="1" customHeight="1">
      <c r="A241" s="273"/>
      <c r="B241" s="273"/>
      <c r="C241" s="1406" t="s">
        <v>106</v>
      </c>
      <c r="D241" s="1407"/>
      <c r="E241" s="1407"/>
      <c r="F241" s="1407"/>
      <c r="G241" s="1408"/>
      <c r="H241" s="2440" t="s">
        <v>107</v>
      </c>
      <c r="I241" s="2441"/>
      <c r="J241" s="2441"/>
      <c r="K241" s="2441"/>
      <c r="L241" s="2442"/>
      <c r="M241" s="2434" t="s">
        <v>89</v>
      </c>
      <c r="N241" s="2261"/>
      <c r="O241" s="2261"/>
      <c r="P241" s="2261"/>
      <c r="Q241" s="2261"/>
      <c r="R241" s="2261"/>
      <c r="S241" s="2262"/>
      <c r="T241" s="2434" t="s">
        <v>90</v>
      </c>
      <c r="U241" s="2261"/>
      <c r="V241" s="2261"/>
      <c r="W241" s="2261"/>
      <c r="X241" s="2261"/>
      <c r="Y241" s="2261"/>
      <c r="Z241" s="2261"/>
      <c r="AA241" s="2261"/>
      <c r="AB241" s="2262"/>
      <c r="AC241" s="2434" t="s">
        <v>91</v>
      </c>
      <c r="AD241" s="2261"/>
      <c r="AE241" s="2261"/>
      <c r="AF241" s="2261"/>
      <c r="AG241" s="2261"/>
      <c r="AH241" s="2261"/>
      <c r="AI241" s="2262"/>
      <c r="AJ241" s="2434" t="s">
        <v>92</v>
      </c>
      <c r="AK241" s="2261"/>
      <c r="AL241" s="2261"/>
      <c r="AM241" s="2262"/>
    </row>
    <row r="242" spans="1:39" ht="15" hidden="1" customHeight="1">
      <c r="A242" s="273"/>
      <c r="B242" s="273"/>
      <c r="C242" s="1405"/>
      <c r="D242" s="1846"/>
      <c r="E242" s="1846"/>
      <c r="F242" s="1846"/>
      <c r="G242" s="1847"/>
      <c r="H242" s="2443"/>
      <c r="I242" s="2444"/>
      <c r="J242" s="2444"/>
      <c r="K242" s="2444"/>
      <c r="L242" s="2445"/>
      <c r="M242" s="2434" t="s">
        <v>32</v>
      </c>
      <c r="N242" s="2261"/>
      <c r="O242" s="2261"/>
      <c r="P242" s="2261"/>
      <c r="Q242" s="2262"/>
      <c r="R242" s="2434" t="s">
        <v>30</v>
      </c>
      <c r="S242" s="2262"/>
      <c r="T242" s="2434" t="s">
        <v>32</v>
      </c>
      <c r="U242" s="2261"/>
      <c r="V242" s="2261"/>
      <c r="W242" s="2261"/>
      <c r="X242" s="2261"/>
      <c r="Y242" s="2262"/>
      <c r="Z242" s="2434" t="s">
        <v>30</v>
      </c>
      <c r="AA242" s="2261"/>
      <c r="AB242" s="2262"/>
      <c r="AC242" s="2434" t="s">
        <v>32</v>
      </c>
      <c r="AD242" s="2261"/>
      <c r="AE242" s="2261"/>
      <c r="AF242" s="2261"/>
      <c r="AG242" s="2262"/>
      <c r="AH242" s="2434" t="s">
        <v>30</v>
      </c>
      <c r="AI242" s="2262"/>
      <c r="AJ242" s="1843" t="s">
        <v>32</v>
      </c>
      <c r="AK242" s="671"/>
      <c r="AL242" s="2434" t="s">
        <v>30</v>
      </c>
      <c r="AM242" s="2262"/>
    </row>
    <row r="243" spans="1:39" hidden="1">
      <c r="A243" s="273"/>
      <c r="B243" s="273"/>
      <c r="C243" s="1843" t="s">
        <v>20</v>
      </c>
      <c r="D243" s="1845"/>
      <c r="E243" s="1845"/>
      <c r="F243" s="1845"/>
      <c r="G243" s="1844"/>
      <c r="H243" s="2435">
        <v>243494.2</v>
      </c>
      <c r="I243" s="2436"/>
      <c r="J243" s="2436"/>
      <c r="K243" s="2436"/>
      <c r="L243" s="2437"/>
      <c r="M243" s="2263">
        <v>0</v>
      </c>
      <c r="N243" s="2264"/>
      <c r="O243" s="2264"/>
      <c r="P243" s="2264"/>
      <c r="Q243" s="2265"/>
      <c r="R243" s="2438">
        <f>M243/H243</f>
        <v>0</v>
      </c>
      <c r="S243" s="2439"/>
      <c r="T243" s="2263">
        <v>26251.53</v>
      </c>
      <c r="U243" s="2264"/>
      <c r="V243" s="2264"/>
      <c r="W243" s="2264"/>
      <c r="X243" s="2264"/>
      <c r="Y243" s="2265"/>
      <c r="Z243" s="2266">
        <f>T243/H243</f>
        <v>0.10781172611092994</v>
      </c>
      <c r="AA243" s="2271"/>
      <c r="AB243" s="2267"/>
      <c r="AC243" s="2263">
        <f>M243+T243</f>
        <v>26251.53</v>
      </c>
      <c r="AD243" s="2264"/>
      <c r="AE243" s="2264"/>
      <c r="AF243" s="2264"/>
      <c r="AG243" s="2265"/>
      <c r="AH243" s="2266">
        <f>AC243/H243</f>
        <v>0.10781172611092994</v>
      </c>
      <c r="AI243" s="2267"/>
      <c r="AJ243" s="669">
        <f>+H243-AC243</f>
        <v>217242.67</v>
      </c>
      <c r="AK243" s="295"/>
      <c r="AL243" s="2266">
        <f>+AJ243/H243</f>
        <v>0.89218827388907007</v>
      </c>
      <c r="AM243" s="2267"/>
    </row>
    <row r="244" spans="1:39" ht="24" customHeight="1">
      <c r="A244" s="273"/>
      <c r="B244" s="273"/>
      <c r="C244" s="280"/>
      <c r="D244" s="10"/>
      <c r="E244" s="10"/>
      <c r="F244" s="10"/>
      <c r="G244" s="10"/>
      <c r="H244" s="10"/>
      <c r="I244" s="10"/>
      <c r="J244" s="10"/>
      <c r="K244" s="10"/>
      <c r="L244" s="10"/>
      <c r="M244" s="273"/>
      <c r="N244" s="273"/>
      <c r="O244" s="273"/>
      <c r="P244" s="273"/>
      <c r="Q244" s="273"/>
      <c r="R244" s="273"/>
      <c r="S244" s="273"/>
      <c r="T244" s="273"/>
      <c r="U244" s="273"/>
      <c r="V244" s="273"/>
      <c r="W244" s="273"/>
      <c r="X244" s="273"/>
      <c r="Y244" s="273"/>
      <c r="Z244" s="273"/>
      <c r="AA244" s="273"/>
      <c r="AB244" s="273"/>
      <c r="AC244" s="273"/>
      <c r="AD244" s="273"/>
      <c r="AE244" s="273"/>
      <c r="AF244" s="273"/>
      <c r="AG244" s="273"/>
      <c r="AH244" s="273"/>
      <c r="AI244" s="273"/>
      <c r="AJ244" s="273"/>
      <c r="AK244" s="273"/>
      <c r="AL244" s="1559"/>
      <c r="AM244" s="273"/>
    </row>
    <row r="245" spans="1:39" s="1093" customFormat="1" ht="38.25" customHeight="1">
      <c r="A245" s="1882"/>
      <c r="B245" s="1882"/>
      <c r="C245" s="2422" t="s">
        <v>4288</v>
      </c>
      <c r="D245" s="2423"/>
      <c r="E245" s="2423"/>
      <c r="F245" s="2423"/>
      <c r="G245" s="2423"/>
      <c r="H245" s="2423"/>
      <c r="I245" s="2423"/>
      <c r="J245" s="2423"/>
      <c r="K245" s="2423"/>
      <c r="L245" s="2423"/>
      <c r="M245" s="2423"/>
      <c r="N245" s="2423"/>
      <c r="O245" s="2423"/>
      <c r="P245" s="2423"/>
      <c r="Q245" s="2423"/>
      <c r="R245" s="2423"/>
      <c r="S245" s="2423"/>
      <c r="T245" s="2423"/>
      <c r="U245" s="2423"/>
      <c r="V245" s="2423"/>
      <c r="W245" s="2423"/>
      <c r="X245" s="2423"/>
      <c r="Y245" s="2423"/>
      <c r="Z245" s="2423"/>
      <c r="AA245" s="2423"/>
      <c r="AB245" s="2423"/>
      <c r="AC245" s="2423"/>
      <c r="AD245" s="2423"/>
      <c r="AE245" s="2423"/>
      <c r="AF245" s="2423"/>
      <c r="AG245" s="2423"/>
      <c r="AH245" s="2423"/>
      <c r="AI245" s="2423"/>
      <c r="AJ245" s="2423"/>
      <c r="AK245" s="2423"/>
      <c r="AL245" s="2424"/>
    </row>
    <row r="246" spans="1:39" s="1093" customFormat="1">
      <c r="A246" s="1882"/>
      <c r="B246" s="1882"/>
      <c r="C246" s="2425"/>
      <c r="D246" s="2426"/>
      <c r="E246" s="2426"/>
      <c r="F246" s="2426"/>
      <c r="G246" s="2426"/>
      <c r="H246" s="2426"/>
      <c r="I246" s="2426"/>
      <c r="J246" s="2426"/>
      <c r="K246" s="2426"/>
      <c r="L246" s="2426"/>
      <c r="M246" s="2426"/>
      <c r="N246" s="2426"/>
      <c r="O246" s="2426"/>
      <c r="P246" s="2426"/>
      <c r="Q246" s="2426"/>
      <c r="R246" s="2426"/>
      <c r="S246" s="2426"/>
      <c r="T246" s="2426"/>
      <c r="U246" s="2426"/>
      <c r="V246" s="2426"/>
      <c r="W246" s="2426"/>
      <c r="X246" s="2426"/>
      <c r="Y246" s="2426"/>
      <c r="Z246" s="2426"/>
      <c r="AA246" s="2426"/>
      <c r="AB246" s="2426"/>
      <c r="AC246" s="2426"/>
      <c r="AD246" s="2426"/>
      <c r="AE246" s="2426"/>
      <c r="AF246" s="2426"/>
      <c r="AG246" s="2426"/>
      <c r="AH246" s="2426"/>
      <c r="AI246" s="2426"/>
      <c r="AJ246" s="2426"/>
      <c r="AK246" s="2426"/>
      <c r="AL246" s="2427"/>
    </row>
    <row r="247" spans="1:39" s="1093" customFormat="1">
      <c r="A247" s="1882"/>
      <c r="B247" s="1882"/>
      <c r="C247" s="2428"/>
      <c r="D247" s="2429"/>
      <c r="E247" s="2429"/>
      <c r="F247" s="2429"/>
      <c r="G247" s="2429"/>
      <c r="H247" s="2429"/>
      <c r="I247" s="2429"/>
      <c r="J247" s="2429"/>
      <c r="K247" s="2429"/>
      <c r="L247" s="2429"/>
      <c r="M247" s="2429"/>
      <c r="N247" s="2429"/>
      <c r="O247" s="2429"/>
      <c r="P247" s="2429"/>
      <c r="Q247" s="2429"/>
      <c r="R247" s="2429"/>
      <c r="S247" s="2429"/>
      <c r="T247" s="2429"/>
      <c r="U247" s="2429"/>
      <c r="V247" s="2429"/>
      <c r="W247" s="2429"/>
      <c r="X247" s="2429"/>
      <c r="Y247" s="2429"/>
      <c r="Z247" s="2429"/>
      <c r="AA247" s="2429"/>
      <c r="AB247" s="2429"/>
      <c r="AC247" s="2429"/>
      <c r="AD247" s="2429"/>
      <c r="AE247" s="2429"/>
      <c r="AF247" s="2429"/>
      <c r="AG247" s="2429"/>
      <c r="AH247" s="2429"/>
      <c r="AI247" s="2429"/>
      <c r="AJ247" s="2429"/>
      <c r="AK247" s="2429"/>
      <c r="AL247" s="2430"/>
    </row>
    <row r="248" spans="1:39" ht="15" customHeight="1">
      <c r="A248" s="273"/>
      <c r="B248" s="273"/>
      <c r="C248" s="280"/>
      <c r="D248" s="1852"/>
      <c r="E248" s="1852"/>
      <c r="F248" s="1852"/>
      <c r="G248" s="1852"/>
      <c r="H248" s="1852"/>
      <c r="I248" s="1852"/>
      <c r="J248" s="1852"/>
      <c r="K248" s="1852"/>
      <c r="L248" s="1852"/>
      <c r="M248" s="1852"/>
      <c r="N248" s="1852"/>
      <c r="O248" s="1852"/>
      <c r="P248" s="1852"/>
      <c r="Q248" s="1852"/>
      <c r="R248" s="1852"/>
      <c r="S248" s="1852"/>
      <c r="T248" s="1852"/>
      <c r="U248" s="1852"/>
      <c r="V248" s="1852"/>
      <c r="W248" s="1852"/>
      <c r="X248" s="1852"/>
      <c r="Y248" s="1852"/>
      <c r="Z248" s="1852"/>
      <c r="AA248" s="1852"/>
      <c r="AB248" s="1852"/>
      <c r="AC248" s="1852"/>
      <c r="AD248" s="1852"/>
      <c r="AE248" s="1852"/>
      <c r="AF248" s="1852"/>
      <c r="AG248" s="1852"/>
      <c r="AH248" s="1852"/>
      <c r="AI248" s="1852"/>
      <c r="AJ248" s="1852"/>
      <c r="AK248" s="1852"/>
      <c r="AL248" s="1852"/>
      <c r="AM248" s="1852"/>
    </row>
    <row r="249" spans="1:39" ht="15.75">
      <c r="A249" s="273"/>
      <c r="B249" s="274" t="s">
        <v>1113</v>
      </c>
      <c r="C249" s="280"/>
      <c r="D249" s="298"/>
      <c r="E249" s="298"/>
      <c r="F249" s="298"/>
      <c r="G249" s="298"/>
      <c r="H249" s="298"/>
      <c r="I249" s="298"/>
      <c r="J249" s="298"/>
      <c r="K249" s="298"/>
      <c r="L249" s="298"/>
      <c r="M249" s="298"/>
      <c r="N249" s="298"/>
      <c r="O249" s="298"/>
      <c r="P249" s="298"/>
      <c r="Q249" s="298"/>
      <c r="R249" s="298"/>
      <c r="S249" s="298"/>
      <c r="T249" s="298"/>
      <c r="U249" s="298"/>
      <c r="V249" s="298"/>
      <c r="W249" s="298"/>
      <c r="X249" s="298"/>
      <c r="Y249" s="298"/>
      <c r="Z249" s="298"/>
      <c r="AA249" s="298"/>
      <c r="AB249" s="298"/>
      <c r="AC249" s="298"/>
      <c r="AD249" s="298"/>
      <c r="AE249" s="298"/>
      <c r="AF249" s="298"/>
      <c r="AG249" s="298"/>
      <c r="AH249" s="298"/>
      <c r="AI249" s="298"/>
      <c r="AJ249" s="298"/>
      <c r="AK249" s="298"/>
      <c r="AL249" s="298"/>
      <c r="AM249" s="298"/>
    </row>
    <row r="250" spans="1:39" ht="70.5" customHeight="1">
      <c r="A250" s="273"/>
      <c r="B250" s="273"/>
      <c r="C250" s="2422" t="s">
        <v>4289</v>
      </c>
      <c r="D250" s="2423"/>
      <c r="E250" s="2423"/>
      <c r="F250" s="2423"/>
      <c r="G250" s="2423"/>
      <c r="H250" s="2423"/>
      <c r="I250" s="2423"/>
      <c r="J250" s="2423"/>
      <c r="K250" s="2423"/>
      <c r="L250" s="2423"/>
      <c r="M250" s="2423"/>
      <c r="N250" s="2423"/>
      <c r="O250" s="2423"/>
      <c r="P250" s="2423"/>
      <c r="Q250" s="2423"/>
      <c r="R250" s="2423"/>
      <c r="S250" s="2423"/>
      <c r="T250" s="2423"/>
      <c r="U250" s="2423"/>
      <c r="V250" s="2423"/>
      <c r="W250" s="2423"/>
      <c r="X250" s="2423"/>
      <c r="Y250" s="2423"/>
      <c r="Z250" s="2423"/>
      <c r="AA250" s="2423"/>
      <c r="AB250" s="2423"/>
      <c r="AC250" s="2423"/>
      <c r="AD250" s="2423"/>
      <c r="AE250" s="2423"/>
      <c r="AF250" s="2423"/>
      <c r="AG250" s="2423"/>
      <c r="AH250" s="2423"/>
      <c r="AI250" s="2423"/>
      <c r="AJ250" s="2423"/>
      <c r="AK250" s="2423"/>
      <c r="AL250" s="2423"/>
      <c r="AM250" s="2424"/>
    </row>
    <row r="251" spans="1:39" ht="13.5" hidden="1" customHeight="1">
      <c r="A251" s="273"/>
      <c r="B251" s="273"/>
      <c r="C251" s="2425"/>
      <c r="D251" s="2426"/>
      <c r="E251" s="2426"/>
      <c r="F251" s="2426"/>
      <c r="G251" s="2426"/>
      <c r="H251" s="2426"/>
      <c r="I251" s="2426"/>
      <c r="J251" s="2426"/>
      <c r="K251" s="2426"/>
      <c r="L251" s="2426"/>
      <c r="M251" s="2426"/>
      <c r="N251" s="2426"/>
      <c r="O251" s="2426"/>
      <c r="P251" s="2426"/>
      <c r="Q251" s="2426"/>
      <c r="R251" s="2426"/>
      <c r="S251" s="2426"/>
      <c r="T251" s="2426"/>
      <c r="U251" s="2426"/>
      <c r="V251" s="2426"/>
      <c r="W251" s="2426"/>
      <c r="X251" s="2426"/>
      <c r="Y251" s="2426"/>
      <c r="Z251" s="2426"/>
      <c r="AA251" s="2426"/>
      <c r="AB251" s="2426"/>
      <c r="AC251" s="2426"/>
      <c r="AD251" s="2426"/>
      <c r="AE251" s="2426"/>
      <c r="AF251" s="2426"/>
      <c r="AG251" s="2426"/>
      <c r="AH251" s="2426"/>
      <c r="AI251" s="2426"/>
      <c r="AJ251" s="2426"/>
      <c r="AK251" s="2426"/>
      <c r="AL251" s="2426"/>
      <c r="AM251" s="2427"/>
    </row>
    <row r="252" spans="1:39" ht="15" hidden="1" customHeight="1">
      <c r="A252" s="273"/>
      <c r="B252" s="273"/>
      <c r="C252" s="2425"/>
      <c r="D252" s="2426"/>
      <c r="E252" s="2426"/>
      <c r="F252" s="2426"/>
      <c r="G252" s="2426"/>
      <c r="H252" s="2426"/>
      <c r="I252" s="2426"/>
      <c r="J252" s="2426"/>
      <c r="K252" s="2426"/>
      <c r="L252" s="2426"/>
      <c r="M252" s="2426"/>
      <c r="N252" s="2426"/>
      <c r="O252" s="2426"/>
      <c r="P252" s="2426"/>
      <c r="Q252" s="2426"/>
      <c r="R252" s="2426"/>
      <c r="S252" s="2426"/>
      <c r="T252" s="2426"/>
      <c r="U252" s="2426"/>
      <c r="V252" s="2426"/>
      <c r="W252" s="2426"/>
      <c r="X252" s="2426"/>
      <c r="Y252" s="2426"/>
      <c r="Z252" s="2426"/>
      <c r="AA252" s="2426"/>
      <c r="AB252" s="2426"/>
      <c r="AC252" s="2426"/>
      <c r="AD252" s="2426"/>
      <c r="AE252" s="2426"/>
      <c r="AF252" s="2426"/>
      <c r="AG252" s="2426"/>
      <c r="AH252" s="2426"/>
      <c r="AI252" s="2426"/>
      <c r="AJ252" s="2426"/>
      <c r="AK252" s="2426"/>
      <c r="AL252" s="2426"/>
      <c r="AM252" s="2427"/>
    </row>
    <row r="253" spans="1:39" ht="19.5" hidden="1" customHeight="1">
      <c r="A253" s="273"/>
      <c r="B253" s="273"/>
      <c r="C253" s="2425"/>
      <c r="D253" s="2426"/>
      <c r="E253" s="2426"/>
      <c r="F253" s="2426"/>
      <c r="G253" s="2426"/>
      <c r="H253" s="2426"/>
      <c r="I253" s="2426"/>
      <c r="J253" s="2426"/>
      <c r="K253" s="2426"/>
      <c r="L253" s="2426"/>
      <c r="M253" s="2426"/>
      <c r="N253" s="2426"/>
      <c r="O253" s="2426"/>
      <c r="P253" s="2426"/>
      <c r="Q253" s="2426"/>
      <c r="R253" s="2426"/>
      <c r="S253" s="2426"/>
      <c r="T253" s="2426"/>
      <c r="U253" s="2426"/>
      <c r="V253" s="2426"/>
      <c r="W253" s="2426"/>
      <c r="X253" s="2426"/>
      <c r="Y253" s="2426"/>
      <c r="Z253" s="2426"/>
      <c r="AA253" s="2426"/>
      <c r="AB253" s="2426"/>
      <c r="AC253" s="2426"/>
      <c r="AD253" s="2426"/>
      <c r="AE253" s="2426"/>
      <c r="AF253" s="2426"/>
      <c r="AG253" s="2426"/>
      <c r="AH253" s="2426"/>
      <c r="AI253" s="2426"/>
      <c r="AJ253" s="2426"/>
      <c r="AK253" s="2426"/>
      <c r="AL253" s="2426"/>
      <c r="AM253" s="2427"/>
    </row>
    <row r="254" spans="1:39" ht="15" hidden="1" customHeight="1">
      <c r="A254" s="273"/>
      <c r="B254" s="273"/>
      <c r="C254" s="2425"/>
      <c r="D254" s="2426"/>
      <c r="E254" s="2426"/>
      <c r="F254" s="2426"/>
      <c r="G254" s="2426"/>
      <c r="H254" s="2426"/>
      <c r="I254" s="2426"/>
      <c r="J254" s="2426"/>
      <c r="K254" s="2426"/>
      <c r="L254" s="2426"/>
      <c r="M254" s="2426"/>
      <c r="N254" s="2426"/>
      <c r="O254" s="2426"/>
      <c r="P254" s="2426"/>
      <c r="Q254" s="2426"/>
      <c r="R254" s="2426"/>
      <c r="S254" s="2426"/>
      <c r="T254" s="2426"/>
      <c r="U254" s="2426"/>
      <c r="V254" s="2426"/>
      <c r="W254" s="2426"/>
      <c r="X254" s="2426"/>
      <c r="Y254" s="2426"/>
      <c r="Z254" s="2426"/>
      <c r="AA254" s="2426"/>
      <c r="AB254" s="2426"/>
      <c r="AC254" s="2426"/>
      <c r="AD254" s="2426"/>
      <c r="AE254" s="2426"/>
      <c r="AF254" s="2426"/>
      <c r="AG254" s="2426"/>
      <c r="AH254" s="2426"/>
      <c r="AI254" s="2426"/>
      <c r="AJ254" s="2426"/>
      <c r="AK254" s="2426"/>
      <c r="AL254" s="2426"/>
      <c r="AM254" s="2427"/>
    </row>
    <row r="255" spans="1:39" ht="12" customHeight="1">
      <c r="A255" s="273"/>
      <c r="B255" s="273"/>
      <c r="C255" s="2428"/>
      <c r="D255" s="2429"/>
      <c r="E255" s="2429"/>
      <c r="F255" s="2429"/>
      <c r="G255" s="2429"/>
      <c r="H255" s="2429"/>
      <c r="I255" s="2429"/>
      <c r="J255" s="2429"/>
      <c r="K255" s="2429"/>
      <c r="L255" s="2429"/>
      <c r="M255" s="2429"/>
      <c r="N255" s="2429"/>
      <c r="O255" s="2429"/>
      <c r="P255" s="2429"/>
      <c r="Q255" s="2429"/>
      <c r="R255" s="2429"/>
      <c r="S255" s="2429"/>
      <c r="T255" s="2429"/>
      <c r="U255" s="2429"/>
      <c r="V255" s="2429"/>
      <c r="W255" s="2429"/>
      <c r="X255" s="2429"/>
      <c r="Y255" s="2429"/>
      <c r="Z255" s="2429"/>
      <c r="AA255" s="2429"/>
      <c r="AB255" s="2429"/>
      <c r="AC255" s="2429"/>
      <c r="AD255" s="2429"/>
      <c r="AE255" s="2429"/>
      <c r="AF255" s="2429"/>
      <c r="AG255" s="2429"/>
      <c r="AH255" s="2429"/>
      <c r="AI255" s="2429"/>
      <c r="AJ255" s="2429"/>
      <c r="AK255" s="2429"/>
      <c r="AL255" s="2429"/>
      <c r="AM255" s="2430"/>
    </row>
    <row r="256" spans="1:39">
      <c r="A256" s="273"/>
      <c r="B256" s="273"/>
      <c r="C256" s="280"/>
      <c r="D256" s="298"/>
      <c r="E256" s="298"/>
      <c r="F256" s="298"/>
      <c r="G256" s="298"/>
      <c r="H256" s="298"/>
      <c r="I256" s="298"/>
      <c r="J256" s="298"/>
      <c r="K256" s="298"/>
      <c r="L256" s="298"/>
      <c r="M256" s="298"/>
      <c r="N256" s="298"/>
      <c r="O256" s="298"/>
      <c r="P256" s="298"/>
      <c r="Q256" s="298"/>
      <c r="R256" s="298"/>
      <c r="S256" s="298"/>
      <c r="T256" s="298"/>
      <c r="U256" s="298"/>
      <c r="V256" s="298"/>
      <c r="W256" s="298"/>
      <c r="X256" s="298"/>
      <c r="Y256" s="298"/>
      <c r="Z256" s="298"/>
      <c r="AA256" s="298"/>
      <c r="AB256" s="298"/>
      <c r="AC256" s="298"/>
      <c r="AD256" s="298"/>
      <c r="AE256" s="298"/>
      <c r="AF256" s="298"/>
      <c r="AG256" s="298"/>
      <c r="AH256" s="298"/>
      <c r="AI256" s="298"/>
      <c r="AJ256" s="298"/>
      <c r="AK256" s="298"/>
      <c r="AL256" s="298"/>
      <c r="AM256" s="298"/>
    </row>
    <row r="257" spans="1:39" ht="15.75">
      <c r="A257" s="273"/>
      <c r="B257" s="1946" t="s">
        <v>1114</v>
      </c>
      <c r="C257" s="1947"/>
      <c r="D257" s="1948"/>
      <c r="E257" s="1948"/>
      <c r="F257" s="1948"/>
      <c r="G257" s="298"/>
      <c r="H257" s="298"/>
      <c r="I257" s="298"/>
      <c r="J257" s="298"/>
      <c r="K257" s="298"/>
      <c r="L257" s="298"/>
      <c r="M257" s="298"/>
      <c r="N257" s="298"/>
      <c r="O257" s="298"/>
      <c r="P257" s="298"/>
      <c r="Q257" s="298"/>
      <c r="R257" s="298"/>
      <c r="S257" s="298"/>
      <c r="T257" s="298"/>
      <c r="U257" s="298"/>
      <c r="V257" s="298"/>
      <c r="W257" s="298"/>
      <c r="X257" s="298"/>
      <c r="Y257" s="298"/>
      <c r="Z257" s="298"/>
      <c r="AA257" s="298"/>
      <c r="AB257" s="298"/>
      <c r="AC257" s="298"/>
      <c r="AD257" s="298"/>
      <c r="AE257" s="298"/>
      <c r="AF257" s="298"/>
      <c r="AG257" s="298"/>
      <c r="AH257" s="298"/>
      <c r="AI257" s="298"/>
      <c r="AJ257" s="298"/>
      <c r="AK257" s="298"/>
      <c r="AL257" s="298"/>
      <c r="AM257" s="298"/>
    </row>
    <row r="258" spans="1:39">
      <c r="A258" s="273"/>
      <c r="B258" s="273"/>
      <c r="C258" s="276" t="s">
        <v>1115</v>
      </c>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c r="AC258" s="272"/>
      <c r="AD258" s="298"/>
      <c r="AE258" s="298"/>
      <c r="AF258" s="298"/>
      <c r="AG258" s="298"/>
      <c r="AH258" s="298"/>
      <c r="AI258" s="298"/>
      <c r="AJ258" s="298"/>
      <c r="AK258" s="298"/>
      <c r="AL258" s="298"/>
      <c r="AM258" s="298"/>
    </row>
    <row r="259" spans="1:39" ht="15.75" thickBot="1">
      <c r="A259" s="273"/>
      <c r="B259" s="273"/>
      <c r="C259" s="273"/>
      <c r="D259" s="273"/>
      <c r="E259" s="273"/>
      <c r="F259" s="273"/>
      <c r="G259" s="273"/>
      <c r="H259" s="273"/>
      <c r="I259" s="273"/>
      <c r="J259" s="273"/>
      <c r="K259" s="273"/>
      <c r="L259" s="273"/>
      <c r="M259" s="273"/>
      <c r="N259" s="273"/>
      <c r="O259" s="273"/>
      <c r="P259" s="273"/>
      <c r="Q259" s="273"/>
      <c r="R259" s="273"/>
      <c r="S259" s="273"/>
      <c r="T259" s="273"/>
      <c r="U259" s="273"/>
      <c r="V259" s="273"/>
      <c r="W259" s="273"/>
      <c r="X259" s="273"/>
      <c r="Y259" s="273"/>
      <c r="Z259" s="273"/>
      <c r="AA259" s="273"/>
      <c r="AB259" s="273"/>
      <c r="AC259" s="273"/>
      <c r="AD259" s="298"/>
      <c r="AE259" s="298"/>
      <c r="AF259" s="298"/>
      <c r="AG259" s="298"/>
      <c r="AH259" s="298"/>
      <c r="AI259" s="298"/>
      <c r="AJ259" s="298"/>
      <c r="AK259" s="298"/>
      <c r="AL259" s="298"/>
      <c r="AM259" s="298"/>
    </row>
    <row r="260" spans="1:39" ht="15.75" thickBot="1">
      <c r="A260" s="273"/>
      <c r="B260" s="273"/>
      <c r="C260" s="273"/>
      <c r="D260" s="273"/>
      <c r="E260" s="273"/>
      <c r="F260" s="273"/>
      <c r="G260" s="273"/>
      <c r="H260" s="273"/>
      <c r="I260" s="273"/>
      <c r="J260" s="273"/>
      <c r="K260" s="273"/>
      <c r="L260" s="273"/>
      <c r="M260" s="2431" t="s">
        <v>4295</v>
      </c>
      <c r="N260" s="2432"/>
      <c r="O260" s="2432"/>
      <c r="P260" s="2432"/>
      <c r="Q260" s="2432"/>
      <c r="R260" s="2432"/>
      <c r="S260" s="2432"/>
      <c r="T260" s="2432"/>
      <c r="U260" s="2432"/>
      <c r="V260" s="2432"/>
      <c r="W260" s="2432"/>
      <c r="X260" s="2432"/>
      <c r="Y260" s="2432"/>
      <c r="Z260" s="2432"/>
      <c r="AA260" s="2432"/>
      <c r="AB260" s="2432"/>
      <c r="AC260" s="2433"/>
      <c r="AD260" s="298"/>
      <c r="AE260" s="298"/>
      <c r="AF260" s="298"/>
      <c r="AG260" s="298"/>
      <c r="AH260" s="298"/>
      <c r="AI260" s="298"/>
      <c r="AJ260" s="298"/>
      <c r="AK260" s="298"/>
      <c r="AL260" s="298"/>
      <c r="AM260" s="298"/>
    </row>
    <row r="261" spans="1:39">
      <c r="A261" s="273"/>
      <c r="B261" s="273"/>
      <c r="C261" s="273"/>
      <c r="D261" s="273"/>
      <c r="E261" s="273"/>
      <c r="F261" s="273"/>
      <c r="G261" s="273"/>
      <c r="H261" s="273"/>
      <c r="I261" s="273"/>
      <c r="J261" s="273"/>
      <c r="K261" s="273"/>
      <c r="L261" s="273"/>
      <c r="M261" s="2449" t="s">
        <v>4266</v>
      </c>
      <c r="N261" s="2450"/>
      <c r="O261" s="2450"/>
      <c r="P261" s="2450"/>
      <c r="Q261" s="2450"/>
      <c r="R261" s="2450"/>
      <c r="S261" s="2450"/>
      <c r="T261" s="2450"/>
      <c r="U261" s="2450"/>
      <c r="V261" s="2450"/>
      <c r="W261" s="2450"/>
      <c r="X261" s="2450"/>
      <c r="Y261" s="2450"/>
      <c r="Z261" s="2450"/>
      <c r="AA261" s="2450"/>
      <c r="AB261" s="2450"/>
      <c r="AC261" s="2451"/>
      <c r="AD261" s="298"/>
      <c r="AE261" s="298"/>
      <c r="AF261" s="298"/>
      <c r="AG261" s="298"/>
      <c r="AH261" s="298"/>
      <c r="AI261" s="298"/>
      <c r="AJ261" s="298"/>
      <c r="AK261" s="298"/>
      <c r="AL261" s="298"/>
      <c r="AM261" s="298"/>
    </row>
    <row r="262" spans="1:39">
      <c r="A262" s="273"/>
      <c r="B262" s="273"/>
      <c r="C262" s="273"/>
      <c r="D262" s="273"/>
      <c r="E262" s="273"/>
      <c r="F262" s="273"/>
      <c r="G262" s="273"/>
      <c r="H262" s="273"/>
      <c r="I262" s="273"/>
      <c r="J262" s="273"/>
      <c r="K262" s="273"/>
      <c r="L262" s="273"/>
      <c r="M262" s="2414"/>
      <c r="N262" s="2409"/>
      <c r="O262" s="2409"/>
      <c r="P262" s="2409"/>
      <c r="Q262" s="2409"/>
      <c r="R262" s="2409"/>
      <c r="S262" s="2409"/>
      <c r="T262" s="2415"/>
      <c r="U262" s="2414"/>
      <c r="V262" s="2409"/>
      <c r="W262" s="2409"/>
      <c r="X262" s="2409"/>
      <c r="Y262" s="2409"/>
      <c r="Z262" s="2409"/>
      <c r="AA262" s="2409"/>
      <c r="AB262" s="2409"/>
      <c r="AC262" s="2415"/>
      <c r="AD262" s="298"/>
      <c r="AE262" s="298"/>
      <c r="AF262" s="298"/>
      <c r="AG262" s="298"/>
      <c r="AH262" s="298"/>
      <c r="AI262" s="298"/>
      <c r="AJ262" s="298"/>
      <c r="AK262" s="298"/>
      <c r="AL262" s="298"/>
      <c r="AM262" s="298"/>
    </row>
    <row r="263" spans="1:39">
      <c r="A263" s="273"/>
      <c r="B263" s="273"/>
      <c r="C263" s="280"/>
      <c r="D263" s="298"/>
      <c r="E263" s="298"/>
      <c r="F263" s="298"/>
      <c r="G263" s="298"/>
      <c r="H263" s="298"/>
      <c r="I263" s="298"/>
      <c r="J263" s="298"/>
      <c r="K263" s="298"/>
      <c r="L263" s="298"/>
      <c r="M263" s="2414" t="s">
        <v>2700</v>
      </c>
      <c r="N263" s="2409"/>
      <c r="O263" s="2409"/>
      <c r="P263" s="2409"/>
      <c r="Q263" s="2409"/>
      <c r="R263" s="2409"/>
      <c r="S263" s="2409"/>
      <c r="T263" s="2409"/>
      <c r="U263" s="2409"/>
      <c r="V263" s="2409"/>
      <c r="W263" s="2409"/>
      <c r="X263" s="2409"/>
      <c r="Y263" s="2409"/>
      <c r="Z263" s="2409"/>
      <c r="AA263" s="2409"/>
      <c r="AB263" s="2409"/>
      <c r="AC263" s="2415"/>
      <c r="AD263" s="298"/>
      <c r="AE263" s="298"/>
      <c r="AF263" s="298"/>
      <c r="AG263" s="298"/>
      <c r="AH263" s="298"/>
      <c r="AI263" s="298"/>
      <c r="AJ263" s="298"/>
      <c r="AK263" s="298"/>
      <c r="AL263" s="298"/>
      <c r="AM263" s="298"/>
    </row>
    <row r="264" spans="1:39" ht="27" customHeight="1" thickBot="1">
      <c r="A264" s="273"/>
      <c r="B264" s="273"/>
      <c r="C264" s="273"/>
      <c r="D264" s="273"/>
      <c r="E264" s="1849"/>
      <c r="F264" s="1849"/>
      <c r="G264" s="1849"/>
      <c r="H264" s="1849"/>
      <c r="I264" s="1849"/>
      <c r="J264" s="1849"/>
      <c r="K264" s="1849"/>
      <c r="L264" s="1849"/>
      <c r="M264" s="2419"/>
      <c r="N264" s="2420"/>
      <c r="O264" s="2420"/>
      <c r="P264" s="2420"/>
      <c r="Q264" s="2420"/>
      <c r="R264" s="2420"/>
      <c r="S264" s="2420"/>
      <c r="T264" s="2420"/>
      <c r="U264" s="2420"/>
      <c r="V264" s="2420"/>
      <c r="W264" s="2420"/>
      <c r="X264" s="2420"/>
      <c r="Y264" s="2420"/>
      <c r="Z264" s="2420"/>
      <c r="AA264" s="2420"/>
      <c r="AB264" s="2420"/>
      <c r="AC264" s="2421"/>
      <c r="AD264" s="1849"/>
      <c r="AE264" s="1849"/>
      <c r="AF264" s="1849"/>
      <c r="AG264" s="1849"/>
      <c r="AH264" s="1849"/>
      <c r="AI264" s="1849"/>
      <c r="AJ264" s="1849"/>
      <c r="AK264" s="1849"/>
      <c r="AL264" s="1849"/>
      <c r="AM264" s="1849"/>
    </row>
    <row r="265" spans="1:39" ht="27" customHeight="1">
      <c r="A265" s="273"/>
      <c r="B265" s="273"/>
      <c r="C265" s="273"/>
      <c r="D265" s="273"/>
      <c r="E265" s="1849"/>
      <c r="F265" s="1849"/>
      <c r="G265" s="1849"/>
      <c r="H265" s="1849"/>
      <c r="I265" s="1849"/>
      <c r="J265" s="1849"/>
      <c r="K265" s="1849"/>
      <c r="L265" s="1849"/>
      <c r="M265" s="2449" t="s">
        <v>4274</v>
      </c>
      <c r="N265" s="2450"/>
      <c r="O265" s="2450"/>
      <c r="P265" s="2450"/>
      <c r="Q265" s="2450"/>
      <c r="R265" s="2450"/>
      <c r="S265" s="2450"/>
      <c r="T265" s="2450"/>
      <c r="U265" s="2450"/>
      <c r="V265" s="2450"/>
      <c r="W265" s="2450"/>
      <c r="X265" s="2450"/>
      <c r="Y265" s="2450"/>
      <c r="Z265" s="2450"/>
      <c r="AA265" s="2450"/>
      <c r="AB265" s="2450"/>
      <c r="AC265" s="2451"/>
      <c r="AD265" s="1849"/>
      <c r="AE265" s="1849"/>
      <c r="AF265" s="1849"/>
      <c r="AG265" s="1849"/>
      <c r="AH265" s="1849"/>
      <c r="AI265" s="1849"/>
      <c r="AJ265" s="1849"/>
      <c r="AK265" s="1849"/>
      <c r="AL265" s="1849"/>
      <c r="AM265" s="1849"/>
    </row>
    <row r="266" spans="1:39" ht="27" customHeight="1">
      <c r="A266" s="273"/>
      <c r="B266" s="273"/>
      <c r="C266" s="273"/>
      <c r="D266" s="273"/>
      <c r="E266" s="1849"/>
      <c r="F266" s="1849"/>
      <c r="G266" s="1849"/>
      <c r="H266" s="1849"/>
      <c r="I266" s="1849"/>
      <c r="J266" s="1849"/>
      <c r="K266" s="1849"/>
      <c r="L266" s="1849"/>
      <c r="M266" s="2414"/>
      <c r="N266" s="2409"/>
      <c r="O266" s="2409"/>
      <c r="P266" s="2409"/>
      <c r="Q266" s="2409"/>
      <c r="R266" s="2409"/>
      <c r="S266" s="2409"/>
      <c r="T266" s="2415"/>
      <c r="U266" s="2414"/>
      <c r="V266" s="2409"/>
      <c r="W266" s="2409"/>
      <c r="X266" s="2409"/>
      <c r="Y266" s="2409"/>
      <c r="Z266" s="2409"/>
      <c r="AA266" s="2409"/>
      <c r="AB266" s="2409"/>
      <c r="AC266" s="2415"/>
      <c r="AD266" s="1849"/>
      <c r="AE266" s="1849"/>
      <c r="AF266" s="1849"/>
      <c r="AG266" s="1849"/>
      <c r="AH266" s="1849"/>
      <c r="AI266" s="1849"/>
      <c r="AJ266" s="1849"/>
      <c r="AK266" s="1849"/>
      <c r="AL266" s="1849"/>
      <c r="AM266" s="1849"/>
    </row>
    <row r="267" spans="1:39" ht="27" customHeight="1">
      <c r="A267" s="273"/>
      <c r="B267" s="273"/>
      <c r="C267" s="273"/>
      <c r="D267" s="273"/>
      <c r="E267" s="1849"/>
      <c r="F267" s="1849"/>
      <c r="G267" s="1849"/>
      <c r="H267" s="1849"/>
      <c r="I267" s="1849"/>
      <c r="J267" s="1849"/>
      <c r="K267" s="1849"/>
      <c r="L267" s="1849"/>
      <c r="M267" s="2414" t="s">
        <v>2700</v>
      </c>
      <c r="N267" s="2409"/>
      <c r="O267" s="2409"/>
      <c r="P267" s="2409"/>
      <c r="Q267" s="2409"/>
      <c r="R267" s="2409"/>
      <c r="S267" s="2409"/>
      <c r="T267" s="2409"/>
      <c r="U267" s="2409"/>
      <c r="V267" s="2409"/>
      <c r="W267" s="2409"/>
      <c r="X267" s="2409"/>
      <c r="Y267" s="2409"/>
      <c r="Z267" s="2409"/>
      <c r="AA267" s="2409"/>
      <c r="AB267" s="2409"/>
      <c r="AC267" s="2415"/>
      <c r="AD267" s="1849"/>
      <c r="AE267" s="1849"/>
      <c r="AF267" s="1849"/>
      <c r="AG267" s="1849"/>
      <c r="AH267" s="1849"/>
      <c r="AI267" s="1849"/>
      <c r="AJ267" s="1849"/>
      <c r="AK267" s="1849"/>
      <c r="AL267" s="1849"/>
      <c r="AM267" s="1849"/>
    </row>
    <row r="268" spans="1:39" ht="27" customHeight="1" thickBot="1">
      <c r="A268" s="273"/>
      <c r="B268" s="273"/>
      <c r="C268" s="273"/>
      <c r="D268" s="273"/>
      <c r="E268" s="1849"/>
      <c r="F268" s="1849"/>
      <c r="G268" s="1849"/>
      <c r="H268" s="1849"/>
      <c r="I268" s="1849"/>
      <c r="J268" s="1849"/>
      <c r="K268" s="1849"/>
      <c r="L268" s="1849"/>
      <c r="M268" s="2419"/>
      <c r="N268" s="2420"/>
      <c r="O268" s="2420"/>
      <c r="P268" s="2420"/>
      <c r="Q268" s="2420"/>
      <c r="R268" s="2420"/>
      <c r="S268" s="2420"/>
      <c r="T268" s="2420"/>
      <c r="U268" s="2420"/>
      <c r="V268" s="2420"/>
      <c r="W268" s="2420"/>
      <c r="X268" s="2420"/>
      <c r="Y268" s="2420"/>
      <c r="Z268" s="2420"/>
      <c r="AA268" s="2420"/>
      <c r="AB268" s="2420"/>
      <c r="AC268" s="2421"/>
      <c r="AD268" s="1849"/>
      <c r="AE268" s="1849"/>
      <c r="AF268" s="1849"/>
      <c r="AG268" s="1849"/>
      <c r="AH268" s="1849"/>
      <c r="AI268" s="1849"/>
      <c r="AJ268" s="1849"/>
      <c r="AK268" s="1849"/>
      <c r="AL268" s="1849"/>
      <c r="AM268" s="1849"/>
    </row>
    <row r="269" spans="1:39" ht="27" customHeight="1">
      <c r="A269" s="273"/>
      <c r="B269" s="273"/>
      <c r="C269" s="273"/>
      <c r="D269" s="273"/>
      <c r="E269" s="1849"/>
      <c r="F269" s="1849"/>
      <c r="G269" s="1849"/>
      <c r="H269" s="1849"/>
      <c r="I269" s="1849"/>
      <c r="J269" s="1849"/>
      <c r="K269" s="1849"/>
      <c r="L269" s="1849"/>
      <c r="M269" s="1526"/>
      <c r="N269" s="1526"/>
      <c r="O269" s="1526"/>
      <c r="P269" s="1526"/>
      <c r="Q269" s="1526"/>
      <c r="R269" s="1526"/>
      <c r="S269" s="1526"/>
      <c r="T269" s="1526"/>
      <c r="U269" s="1526"/>
      <c r="V269" s="1526"/>
      <c r="W269" s="1526"/>
      <c r="X269" s="1526"/>
      <c r="Y269" s="1526"/>
      <c r="Z269" s="1526"/>
      <c r="AA269" s="1526"/>
      <c r="AB269" s="1526"/>
      <c r="AC269" s="1526"/>
      <c r="AD269" s="1849"/>
      <c r="AE269" s="1849"/>
      <c r="AF269" s="1849"/>
      <c r="AG269" s="1849"/>
      <c r="AH269" s="1849"/>
      <c r="AI269" s="1849"/>
      <c r="AJ269" s="1849"/>
      <c r="AK269" s="1849"/>
      <c r="AL269" s="1849"/>
      <c r="AM269" s="1849"/>
    </row>
    <row r="270" spans="1:39" ht="27" customHeight="1">
      <c r="A270" s="273"/>
      <c r="B270" s="273"/>
      <c r="C270" s="273"/>
      <c r="D270" s="273"/>
      <c r="E270" s="1849"/>
      <c r="F270" s="1849"/>
      <c r="G270" s="1849"/>
      <c r="H270" s="1849"/>
      <c r="I270" s="1849"/>
      <c r="J270" s="1849"/>
      <c r="K270" s="1849"/>
      <c r="L270" s="1849"/>
      <c r="M270" s="1526"/>
      <c r="N270" s="1526"/>
      <c r="O270" s="1526"/>
      <c r="P270" s="1526"/>
      <c r="Q270" s="1526"/>
      <c r="R270" s="1526"/>
      <c r="S270" s="1526"/>
      <c r="T270" s="1526"/>
      <c r="U270" s="1526"/>
      <c r="V270" s="1526"/>
      <c r="W270" s="1526"/>
      <c r="X270" s="1526"/>
      <c r="Y270" s="1526"/>
      <c r="Z270" s="1526"/>
      <c r="AA270" s="1526"/>
      <c r="AB270" s="1526"/>
      <c r="AC270" s="1526"/>
      <c r="AD270" s="1849"/>
      <c r="AE270" s="1849"/>
      <c r="AF270" s="1849"/>
      <c r="AG270" s="1849"/>
      <c r="AH270" s="1849"/>
      <c r="AI270" s="1849"/>
      <c r="AJ270" s="1849"/>
      <c r="AK270" s="1849"/>
      <c r="AL270" s="1849"/>
      <c r="AM270" s="1849"/>
    </row>
    <row r="271" spans="1:39" ht="27" customHeight="1">
      <c r="A271" s="273"/>
      <c r="B271" s="273"/>
      <c r="C271" s="273"/>
      <c r="D271" s="273"/>
      <c r="E271" s="1849"/>
      <c r="F271" s="1849"/>
      <c r="G271" s="1849"/>
      <c r="H271" s="1849"/>
      <c r="I271" s="1849"/>
      <c r="J271" s="1849"/>
      <c r="K271" s="1849"/>
      <c r="L271" s="1849"/>
      <c r="M271" s="1526"/>
      <c r="N271" s="1526"/>
      <c r="O271" s="1526"/>
      <c r="P271" s="1526"/>
      <c r="Q271" s="1526"/>
      <c r="R271" s="1526"/>
      <c r="S271" s="1526"/>
      <c r="T271" s="1526"/>
      <c r="U271" s="1526"/>
      <c r="V271" s="1526"/>
      <c r="W271" s="1526"/>
      <c r="X271" s="1526"/>
      <c r="Y271" s="1526"/>
      <c r="Z271" s="1526"/>
      <c r="AA271" s="1526"/>
      <c r="AB271" s="1526"/>
      <c r="AC271" s="1526"/>
      <c r="AD271" s="1849"/>
      <c r="AE271" s="1849"/>
      <c r="AF271" s="1849"/>
      <c r="AG271" s="1849"/>
      <c r="AH271" s="1849"/>
      <c r="AI271" s="1849"/>
      <c r="AJ271" s="1849"/>
      <c r="AK271" s="1849"/>
      <c r="AL271" s="1849"/>
      <c r="AM271" s="1849"/>
    </row>
    <row r="272" spans="1:39" ht="27" customHeight="1">
      <c r="A272" s="273"/>
      <c r="B272" s="273"/>
      <c r="C272" s="273"/>
      <c r="D272" s="273"/>
      <c r="E272" s="1849"/>
      <c r="F272" s="1849"/>
      <c r="G272" s="1849"/>
      <c r="H272" s="1849"/>
      <c r="I272" s="1849"/>
      <c r="J272" s="1849"/>
      <c r="K272" s="1849"/>
      <c r="L272" s="1849"/>
      <c r="M272" s="1526"/>
      <c r="N272" s="1526"/>
      <c r="O272" s="1526"/>
      <c r="P272" s="1526"/>
      <c r="Q272" s="1526"/>
      <c r="R272" s="1526"/>
      <c r="S272" s="1526"/>
      <c r="T272" s="1526"/>
      <c r="U272" s="1526"/>
      <c r="V272" s="1526"/>
      <c r="W272" s="1526"/>
      <c r="X272" s="1526"/>
      <c r="Y272" s="1526"/>
      <c r="Z272" s="1526"/>
      <c r="AA272" s="1526"/>
      <c r="AB272" s="1526"/>
      <c r="AC272" s="1526"/>
      <c r="AD272" s="1849"/>
      <c r="AE272" s="1849"/>
      <c r="AF272" s="1849"/>
      <c r="AG272" s="1849"/>
      <c r="AH272" s="1849"/>
      <c r="AI272" s="1849"/>
      <c r="AJ272" s="1849"/>
      <c r="AK272" s="1849"/>
      <c r="AL272" s="1849"/>
      <c r="AM272" s="1849"/>
    </row>
    <row r="273" spans="1:39" ht="27" customHeight="1">
      <c r="A273" s="273"/>
      <c r="B273" s="273"/>
      <c r="C273" s="273"/>
      <c r="D273" s="273"/>
      <c r="E273" s="1849"/>
      <c r="F273" s="1849"/>
      <c r="G273" s="1849"/>
      <c r="H273" s="1849"/>
      <c r="I273" s="1849"/>
      <c r="J273" s="1849"/>
      <c r="K273" s="1849"/>
      <c r="L273" s="1849"/>
      <c r="M273" s="1526"/>
      <c r="N273" s="1526"/>
      <c r="O273" s="1526"/>
      <c r="P273" s="1526"/>
      <c r="Q273" s="1526"/>
      <c r="R273" s="1526"/>
      <c r="S273" s="1526"/>
      <c r="T273" s="1526"/>
      <c r="U273" s="1526"/>
      <c r="V273" s="1526"/>
      <c r="W273" s="1526"/>
      <c r="X273" s="1526"/>
      <c r="Y273" s="1526"/>
      <c r="Z273" s="1526"/>
      <c r="AA273" s="1526"/>
      <c r="AB273" s="1526"/>
      <c r="AC273" s="1526"/>
      <c r="AD273" s="1849"/>
      <c r="AE273" s="1849"/>
      <c r="AF273" s="1849"/>
      <c r="AG273" s="1849"/>
      <c r="AH273" s="1849"/>
      <c r="AI273" s="1849"/>
      <c r="AJ273" s="1849"/>
      <c r="AK273" s="1849"/>
      <c r="AL273" s="1849"/>
      <c r="AM273" s="1849"/>
    </row>
    <row r="274" spans="1:39">
      <c r="B274" s="273"/>
      <c r="C274" s="273"/>
      <c r="D274" s="273"/>
      <c r="E274" s="273"/>
      <c r="F274" s="273"/>
      <c r="G274" s="273"/>
      <c r="H274" s="273"/>
      <c r="I274" s="273"/>
      <c r="J274" s="273"/>
      <c r="K274" s="273"/>
      <c r="L274" s="273"/>
      <c r="AD274" s="273"/>
      <c r="AE274" s="273"/>
      <c r="AF274" s="273"/>
      <c r="AG274" s="273"/>
      <c r="AH274" s="273"/>
      <c r="AI274" s="273"/>
      <c r="AJ274" s="273"/>
      <c r="AK274" s="273"/>
      <c r="AL274" s="273"/>
      <c r="AM274" s="273"/>
    </row>
    <row r="282" spans="1:39" ht="15.75">
      <c r="B282" s="274" t="s">
        <v>2191</v>
      </c>
    </row>
  </sheetData>
  <mergeCells count="674">
    <mergeCell ref="AN213:AS213"/>
    <mergeCell ref="AN214:AS214"/>
    <mergeCell ref="AN215:AS215"/>
    <mergeCell ref="G84:P84"/>
    <mergeCell ref="M267:AC267"/>
    <mergeCell ref="M268:AC268"/>
    <mergeCell ref="H80:Z80"/>
    <mergeCell ref="D83:F83"/>
    <mergeCell ref="G83:AH83"/>
    <mergeCell ref="AK83:AL83"/>
    <mergeCell ref="H103:Z103"/>
    <mergeCell ref="AL234:AM234"/>
    <mergeCell ref="C235:G236"/>
    <mergeCell ref="H235:L236"/>
    <mergeCell ref="M235:S235"/>
    <mergeCell ref="M265:AC265"/>
    <mergeCell ref="Z237:AB237"/>
    <mergeCell ref="AC237:AG237"/>
    <mergeCell ref="AH237:AI237"/>
    <mergeCell ref="AL237:AM237"/>
    <mergeCell ref="AL236:AM236"/>
    <mergeCell ref="C237:G237"/>
    <mergeCell ref="H237:L237"/>
    <mergeCell ref="M237:Q237"/>
    <mergeCell ref="R237:S237"/>
    <mergeCell ref="T237:Y237"/>
    <mergeCell ref="M261:AC261"/>
    <mergeCell ref="M262:T262"/>
    <mergeCell ref="U262:AC262"/>
    <mergeCell ref="U266:AC266"/>
    <mergeCell ref="C238:G238"/>
    <mergeCell ref="H238:L238"/>
    <mergeCell ref="M238:Q238"/>
    <mergeCell ref="R238:S238"/>
    <mergeCell ref="T238:Y238"/>
    <mergeCell ref="Z238:AB238"/>
    <mergeCell ref="AC238:AG238"/>
    <mergeCell ref="AL242:AM242"/>
    <mergeCell ref="H243:L243"/>
    <mergeCell ref="M243:Q243"/>
    <mergeCell ref="R243:S243"/>
    <mergeCell ref="T243:Y243"/>
    <mergeCell ref="H241:L242"/>
    <mergeCell ref="M241:S241"/>
    <mergeCell ref="T241:AB241"/>
    <mergeCell ref="AC241:AI241"/>
    <mergeCell ref="AJ241:AM241"/>
    <mergeCell ref="M242:Q242"/>
    <mergeCell ref="R242:S242"/>
    <mergeCell ref="AC243:AG243"/>
    <mergeCell ref="AH238:AI238"/>
    <mergeCell ref="AL238:AM238"/>
    <mergeCell ref="M266:T266"/>
    <mergeCell ref="T235:AB235"/>
    <mergeCell ref="AC235:AI235"/>
    <mergeCell ref="AJ235:AM235"/>
    <mergeCell ref="M236:Q236"/>
    <mergeCell ref="R236:S236"/>
    <mergeCell ref="T236:Y236"/>
    <mergeCell ref="Z236:AB236"/>
    <mergeCell ref="AC236:AG236"/>
    <mergeCell ref="AH236:AI236"/>
    <mergeCell ref="Z243:AB243"/>
    <mergeCell ref="AL243:AM243"/>
    <mergeCell ref="AH243:AI243"/>
    <mergeCell ref="M263:AC263"/>
    <mergeCell ref="M264:AC264"/>
    <mergeCell ref="C245:AL247"/>
    <mergeCell ref="C250:AM255"/>
    <mergeCell ref="M260:AC260"/>
    <mergeCell ref="T242:Y242"/>
    <mergeCell ref="Z242:AB242"/>
    <mergeCell ref="AC242:AG242"/>
    <mergeCell ref="AH242:AI242"/>
    <mergeCell ref="AF233:AM233"/>
    <mergeCell ref="AF227:AH227"/>
    <mergeCell ref="AI227:AJ227"/>
    <mergeCell ref="AK227:AM227"/>
    <mergeCell ref="AF228:AM228"/>
    <mergeCell ref="AN228:AN229"/>
    <mergeCell ref="AF230:AM230"/>
    <mergeCell ref="D227:L227"/>
    <mergeCell ref="M227:O227"/>
    <mergeCell ref="P227:R227"/>
    <mergeCell ref="S227:U227"/>
    <mergeCell ref="Y227:AB227"/>
    <mergeCell ref="AC227:AE227"/>
    <mergeCell ref="AF231:AH231"/>
    <mergeCell ref="AI231:AK231"/>
    <mergeCell ref="AL231:AM231"/>
    <mergeCell ref="AF232:AH232"/>
    <mergeCell ref="AI232:AK232"/>
    <mergeCell ref="AL232:AM232"/>
    <mergeCell ref="V226:X226"/>
    <mergeCell ref="Y226:AB226"/>
    <mergeCell ref="AC226:AE226"/>
    <mergeCell ref="AF226:AH226"/>
    <mergeCell ref="AI226:AJ226"/>
    <mergeCell ref="AK226:AM226"/>
    <mergeCell ref="D226:F226"/>
    <mergeCell ref="G226:I226"/>
    <mergeCell ref="J226:L226"/>
    <mergeCell ref="M226:O226"/>
    <mergeCell ref="P226:R226"/>
    <mergeCell ref="S226:U226"/>
    <mergeCell ref="V225:X225"/>
    <mergeCell ref="Y225:AB225"/>
    <mergeCell ref="AC225:AE225"/>
    <mergeCell ref="AF225:AH225"/>
    <mergeCell ref="AI225:AJ225"/>
    <mergeCell ref="AK225:AM225"/>
    <mergeCell ref="D225:F225"/>
    <mergeCell ref="G225:I225"/>
    <mergeCell ref="J225:L225"/>
    <mergeCell ref="M225:O225"/>
    <mergeCell ref="P225:R225"/>
    <mergeCell ref="S225:U225"/>
    <mergeCell ref="D224:F224"/>
    <mergeCell ref="G224:I224"/>
    <mergeCell ref="J224:L224"/>
    <mergeCell ref="M224:O224"/>
    <mergeCell ref="P224:R224"/>
    <mergeCell ref="S224:U224"/>
    <mergeCell ref="D223:F223"/>
    <mergeCell ref="G223:I223"/>
    <mergeCell ref="J223:L223"/>
    <mergeCell ref="M223:O223"/>
    <mergeCell ref="P223:R223"/>
    <mergeCell ref="S223:U223"/>
    <mergeCell ref="V224:X224"/>
    <mergeCell ref="Y224:AB224"/>
    <mergeCell ref="AC224:AE224"/>
    <mergeCell ref="AF224:AH224"/>
    <mergeCell ref="AI224:AJ224"/>
    <mergeCell ref="AK224:AM224"/>
    <mergeCell ref="V223:X223"/>
    <mergeCell ref="Y223:AB223"/>
    <mergeCell ref="AC223:AE223"/>
    <mergeCell ref="AF223:AH223"/>
    <mergeCell ref="AI223:AJ223"/>
    <mergeCell ref="AK223:AM223"/>
    <mergeCell ref="AL215:AM215"/>
    <mergeCell ref="D219:AM219"/>
    <mergeCell ref="D220:F221"/>
    <mergeCell ref="G220:L220"/>
    <mergeCell ref="M220:U220"/>
    <mergeCell ref="V220:AE220"/>
    <mergeCell ref="AF220:AM220"/>
    <mergeCell ref="C215:G215"/>
    <mergeCell ref="H215:L215"/>
    <mergeCell ref="M215:Q215"/>
    <mergeCell ref="R215:S215"/>
    <mergeCell ref="T215:Y215"/>
    <mergeCell ref="Z215:AB215"/>
    <mergeCell ref="AC215:AG215"/>
    <mergeCell ref="AH215:AI215"/>
    <mergeCell ref="AJ215:AK215"/>
    <mergeCell ref="AI221:AJ221"/>
    <mergeCell ref="AK221:AM221"/>
    <mergeCell ref="D222:F222"/>
    <mergeCell ref="G222:I222"/>
    <mergeCell ref="AN220:AN221"/>
    <mergeCell ref="G221:I221"/>
    <mergeCell ref="J221:L221"/>
    <mergeCell ref="M221:O221"/>
    <mergeCell ref="P221:R221"/>
    <mergeCell ref="S221:U221"/>
    <mergeCell ref="V221:X221"/>
    <mergeCell ref="Y221:AB221"/>
    <mergeCell ref="AC221:AE221"/>
    <mergeCell ref="AF221:AH221"/>
    <mergeCell ref="J222:L222"/>
    <mergeCell ref="M222:O222"/>
    <mergeCell ref="P222:R222"/>
    <mergeCell ref="S222:U222"/>
    <mergeCell ref="V222:X222"/>
    <mergeCell ref="Y222:AB222"/>
    <mergeCell ref="AI222:AJ222"/>
    <mergeCell ref="AK222:AM222"/>
    <mergeCell ref="AC222:AE222"/>
    <mergeCell ref="AF222:AH222"/>
    <mergeCell ref="AC211:AI211"/>
    <mergeCell ref="AC213:AG213"/>
    <mergeCell ref="AH213:AI213"/>
    <mergeCell ref="AJ213:AK213"/>
    <mergeCell ref="AL213:AM213"/>
    <mergeCell ref="C214:G214"/>
    <mergeCell ref="H214:L214"/>
    <mergeCell ref="M214:Q214"/>
    <mergeCell ref="R214:S214"/>
    <mergeCell ref="T214:Y214"/>
    <mergeCell ref="Z214:AB214"/>
    <mergeCell ref="C213:G213"/>
    <mergeCell ref="H213:L213"/>
    <mergeCell ref="M213:Q213"/>
    <mergeCell ref="R213:S213"/>
    <mergeCell ref="T213:Y213"/>
    <mergeCell ref="Z213:AB213"/>
    <mergeCell ref="AC214:AG214"/>
    <mergeCell ref="AH214:AI214"/>
    <mergeCell ref="AJ214:AK214"/>
    <mergeCell ref="AL214:AM214"/>
    <mergeCell ref="AL207:AM207"/>
    <mergeCell ref="C208:G208"/>
    <mergeCell ref="H208:L208"/>
    <mergeCell ref="M208:Q208"/>
    <mergeCell ref="R208:S208"/>
    <mergeCell ref="T208:Y208"/>
    <mergeCell ref="Z208:AB208"/>
    <mergeCell ref="AJ211:AM211"/>
    <mergeCell ref="M212:Q212"/>
    <mergeCell ref="R212:S212"/>
    <mergeCell ref="T212:Y212"/>
    <mergeCell ref="Z212:AB212"/>
    <mergeCell ref="AC212:AG212"/>
    <mergeCell ref="AH212:AI212"/>
    <mergeCell ref="AL212:AM212"/>
    <mergeCell ref="AC208:AG208"/>
    <mergeCell ref="AH208:AI208"/>
    <mergeCell ref="AJ208:AK208"/>
    <mergeCell ref="AL208:AM208"/>
    <mergeCell ref="C210:S210"/>
    <mergeCell ref="C211:G212"/>
    <mergeCell ref="H211:L212"/>
    <mergeCell ref="M211:S211"/>
    <mergeCell ref="T211:AB211"/>
    <mergeCell ref="C207:G207"/>
    <mergeCell ref="H207:L207"/>
    <mergeCell ref="M207:Q207"/>
    <mergeCell ref="R207:S207"/>
    <mergeCell ref="T207:Y207"/>
    <mergeCell ref="Z207:AB207"/>
    <mergeCell ref="AC207:AG207"/>
    <mergeCell ref="AH207:AI207"/>
    <mergeCell ref="AJ207:AK207"/>
    <mergeCell ref="AL205:AM205"/>
    <mergeCell ref="C206:G206"/>
    <mergeCell ref="H206:L206"/>
    <mergeCell ref="M206:Q206"/>
    <mergeCell ref="R206:S206"/>
    <mergeCell ref="T206:Y206"/>
    <mergeCell ref="Z206:AB206"/>
    <mergeCell ref="AC206:AG206"/>
    <mergeCell ref="AH206:AI206"/>
    <mergeCell ref="AJ206:AK206"/>
    <mergeCell ref="AL206:AM206"/>
    <mergeCell ref="C205:G205"/>
    <mergeCell ref="H205:L205"/>
    <mergeCell ref="M205:Q205"/>
    <mergeCell ref="R205:S205"/>
    <mergeCell ref="T205:Y205"/>
    <mergeCell ref="Z205:AB205"/>
    <mergeCell ref="AC205:AG205"/>
    <mergeCell ref="AH205:AI205"/>
    <mergeCell ref="AJ205:AK205"/>
    <mergeCell ref="AL203:AM203"/>
    <mergeCell ref="C204:G204"/>
    <mergeCell ref="H204:L204"/>
    <mergeCell ref="M204:Q204"/>
    <mergeCell ref="R204:S204"/>
    <mergeCell ref="T204:Y204"/>
    <mergeCell ref="Z204:AB204"/>
    <mergeCell ref="AC204:AG204"/>
    <mergeCell ref="AH204:AI204"/>
    <mergeCell ref="AJ204:AK204"/>
    <mergeCell ref="AL204:AM204"/>
    <mergeCell ref="C203:G203"/>
    <mergeCell ref="H203:L203"/>
    <mergeCell ref="M203:Q203"/>
    <mergeCell ref="R203:S203"/>
    <mergeCell ref="T203:Y203"/>
    <mergeCell ref="Z203:AB203"/>
    <mergeCell ref="AC203:AG203"/>
    <mergeCell ref="AH203:AI203"/>
    <mergeCell ref="AJ203:AK203"/>
    <mergeCell ref="AL201:AM201"/>
    <mergeCell ref="C202:G202"/>
    <mergeCell ref="H202:L202"/>
    <mergeCell ref="M202:Q202"/>
    <mergeCell ref="R202:S202"/>
    <mergeCell ref="T202:Y202"/>
    <mergeCell ref="Z202:AB202"/>
    <mergeCell ref="AC202:AG202"/>
    <mergeCell ref="AH202:AI202"/>
    <mergeCell ref="AJ202:AK202"/>
    <mergeCell ref="AL202:AM202"/>
    <mergeCell ref="C201:G201"/>
    <mergeCell ref="H201:L201"/>
    <mergeCell ref="M201:Q201"/>
    <mergeCell ref="R201:S201"/>
    <mergeCell ref="T201:Y201"/>
    <mergeCell ref="Z201:AB201"/>
    <mergeCell ref="AC201:AG201"/>
    <mergeCell ref="AH201:AI201"/>
    <mergeCell ref="AJ201:AK201"/>
    <mergeCell ref="AL199:AM199"/>
    <mergeCell ref="C200:G200"/>
    <mergeCell ref="H200:L200"/>
    <mergeCell ref="M200:Q200"/>
    <mergeCell ref="R200:S200"/>
    <mergeCell ref="T200:Y200"/>
    <mergeCell ref="Z200:AB200"/>
    <mergeCell ref="AC200:AG200"/>
    <mergeCell ref="AH200:AI200"/>
    <mergeCell ref="AJ200:AK200"/>
    <mergeCell ref="AL200:AM200"/>
    <mergeCell ref="C199:G199"/>
    <mergeCell ref="H199:L199"/>
    <mergeCell ref="M199:Q199"/>
    <mergeCell ref="R199:S199"/>
    <mergeCell ref="T199:Y199"/>
    <mergeCell ref="Z199:AB199"/>
    <mergeCell ref="AC199:AG199"/>
    <mergeCell ref="AH199:AI199"/>
    <mergeCell ref="AJ199:AK199"/>
    <mergeCell ref="AL197:AM197"/>
    <mergeCell ref="C198:G198"/>
    <mergeCell ref="H198:L198"/>
    <mergeCell ref="M198:Q198"/>
    <mergeCell ref="R198:S198"/>
    <mergeCell ref="T198:Y198"/>
    <mergeCell ref="Z198:AB198"/>
    <mergeCell ref="AC198:AG198"/>
    <mergeCell ref="AH198:AI198"/>
    <mergeCell ref="AJ198:AK198"/>
    <mergeCell ref="AL198:AM198"/>
    <mergeCell ref="C197:G197"/>
    <mergeCell ref="H197:L197"/>
    <mergeCell ref="M197:Q197"/>
    <mergeCell ref="R197:S197"/>
    <mergeCell ref="T197:Y197"/>
    <mergeCell ref="Z197:AB197"/>
    <mergeCell ref="AC197:AG197"/>
    <mergeCell ref="AH197:AI197"/>
    <mergeCell ref="AJ197:AK197"/>
    <mergeCell ref="AL195:AM195"/>
    <mergeCell ref="C196:G196"/>
    <mergeCell ref="H196:L196"/>
    <mergeCell ref="M196:Q196"/>
    <mergeCell ref="R196:S196"/>
    <mergeCell ref="T196:Y196"/>
    <mergeCell ref="Z196:AB196"/>
    <mergeCell ref="AC196:AG196"/>
    <mergeCell ref="AH196:AI196"/>
    <mergeCell ref="AJ196:AK196"/>
    <mergeCell ref="AL196:AM196"/>
    <mergeCell ref="C195:G195"/>
    <mergeCell ref="H195:L195"/>
    <mergeCell ref="M195:Q195"/>
    <mergeCell ref="R195:S195"/>
    <mergeCell ref="T195:Y195"/>
    <mergeCell ref="Z195:AB195"/>
    <mergeCell ref="AC195:AG195"/>
    <mergeCell ref="AH195:AI195"/>
    <mergeCell ref="AJ195:AK195"/>
    <mergeCell ref="AL193:AM193"/>
    <mergeCell ref="C194:G194"/>
    <mergeCell ref="H194:L194"/>
    <mergeCell ref="M194:Q194"/>
    <mergeCell ref="R194:S194"/>
    <mergeCell ref="T194:Y194"/>
    <mergeCell ref="Z194:AB194"/>
    <mergeCell ref="AC194:AG194"/>
    <mergeCell ref="AH194:AI194"/>
    <mergeCell ref="AJ194:AK194"/>
    <mergeCell ref="AL194:AM194"/>
    <mergeCell ref="C193:G193"/>
    <mergeCell ref="H193:L193"/>
    <mergeCell ref="M193:Q193"/>
    <mergeCell ref="R193:S193"/>
    <mergeCell ref="T193:Y193"/>
    <mergeCell ref="Z193:AB193"/>
    <mergeCell ref="AC193:AG193"/>
    <mergeCell ref="AH193:AI193"/>
    <mergeCell ref="AJ193:AK193"/>
    <mergeCell ref="AC191:AG191"/>
    <mergeCell ref="AH191:AI191"/>
    <mergeCell ref="AJ191:AK191"/>
    <mergeCell ref="AL191:AM191"/>
    <mergeCell ref="C192:G192"/>
    <mergeCell ref="H192:L192"/>
    <mergeCell ref="M192:Q192"/>
    <mergeCell ref="R192:S192"/>
    <mergeCell ref="T192:Y192"/>
    <mergeCell ref="Z192:AB192"/>
    <mergeCell ref="C191:G191"/>
    <mergeCell ref="H191:L191"/>
    <mergeCell ref="M191:Q191"/>
    <mergeCell ref="R191:S191"/>
    <mergeCell ref="T191:Y191"/>
    <mergeCell ref="Z191:AB191"/>
    <mergeCell ref="AC192:AG192"/>
    <mergeCell ref="AH192:AI192"/>
    <mergeCell ref="AJ192:AK192"/>
    <mergeCell ref="AL192:AM192"/>
    <mergeCell ref="H189:L190"/>
    <mergeCell ref="M189:S189"/>
    <mergeCell ref="T189:AB189"/>
    <mergeCell ref="AC189:AI189"/>
    <mergeCell ref="AJ189:AM189"/>
    <mergeCell ref="M190:Q190"/>
    <mergeCell ref="AC185:AG185"/>
    <mergeCell ref="AH185:AI185"/>
    <mergeCell ref="AJ185:AK185"/>
    <mergeCell ref="AL185:AM185"/>
    <mergeCell ref="R190:S190"/>
    <mergeCell ref="T190:Y190"/>
    <mergeCell ref="Z190:AB190"/>
    <mergeCell ref="AC190:AG190"/>
    <mergeCell ref="AH190:AI190"/>
    <mergeCell ref="AL190:AM190"/>
    <mergeCell ref="AC186:AG186"/>
    <mergeCell ref="AH186:AI186"/>
    <mergeCell ref="AJ186:AK186"/>
    <mergeCell ref="AL186:AM186"/>
    <mergeCell ref="C186:G186"/>
    <mergeCell ref="H186:L186"/>
    <mergeCell ref="M186:Q186"/>
    <mergeCell ref="R186:S186"/>
    <mergeCell ref="T186:Y186"/>
    <mergeCell ref="Z186:AB186"/>
    <mergeCell ref="AC184:AG184"/>
    <mergeCell ref="AH184:AI184"/>
    <mergeCell ref="AJ184:AK184"/>
    <mergeCell ref="AL184:AM184"/>
    <mergeCell ref="C185:G185"/>
    <mergeCell ref="H185:L185"/>
    <mergeCell ref="M185:Q185"/>
    <mergeCell ref="R185:S185"/>
    <mergeCell ref="T185:Y185"/>
    <mergeCell ref="Z185:AB185"/>
    <mergeCell ref="C184:G184"/>
    <mergeCell ref="H184:L184"/>
    <mergeCell ref="M184:Q184"/>
    <mergeCell ref="R184:S184"/>
    <mergeCell ref="T184:Y184"/>
    <mergeCell ref="Z184:AB184"/>
    <mergeCell ref="H182:L183"/>
    <mergeCell ref="M182:S182"/>
    <mergeCell ref="T182:AB182"/>
    <mergeCell ref="AC182:AI182"/>
    <mergeCell ref="AJ182:AM182"/>
    <mergeCell ref="M183:Q183"/>
    <mergeCell ref="AC178:AG178"/>
    <mergeCell ref="AH178:AI178"/>
    <mergeCell ref="AJ178:AK178"/>
    <mergeCell ref="AL178:AM178"/>
    <mergeCell ref="R183:S183"/>
    <mergeCell ref="T183:Y183"/>
    <mergeCell ref="Z183:AB183"/>
    <mergeCell ref="AC183:AG183"/>
    <mergeCell ref="AH183:AI183"/>
    <mergeCell ref="AL183:AM183"/>
    <mergeCell ref="AC179:AG179"/>
    <mergeCell ref="AH179:AI179"/>
    <mergeCell ref="AJ179:AK179"/>
    <mergeCell ref="AL179:AM179"/>
    <mergeCell ref="C179:G179"/>
    <mergeCell ref="H179:L179"/>
    <mergeCell ref="M179:Q179"/>
    <mergeCell ref="R179:S179"/>
    <mergeCell ref="T179:Y179"/>
    <mergeCell ref="Z179:AB179"/>
    <mergeCell ref="AC177:AG177"/>
    <mergeCell ref="AH177:AI177"/>
    <mergeCell ref="AJ177:AK177"/>
    <mergeCell ref="AL177:AM177"/>
    <mergeCell ref="C178:G178"/>
    <mergeCell ref="H178:L178"/>
    <mergeCell ref="M178:Q178"/>
    <mergeCell ref="R178:S178"/>
    <mergeCell ref="T178:Y178"/>
    <mergeCell ref="Z178:AB178"/>
    <mergeCell ref="C177:G177"/>
    <mergeCell ref="H177:L177"/>
    <mergeCell ref="M177:Q177"/>
    <mergeCell ref="R177:S177"/>
    <mergeCell ref="T177:Y177"/>
    <mergeCell ref="Z177:AB177"/>
    <mergeCell ref="H175:L176"/>
    <mergeCell ref="M175:S175"/>
    <mergeCell ref="T175:AB175"/>
    <mergeCell ref="AC175:AI175"/>
    <mergeCell ref="AJ175:AM175"/>
    <mergeCell ref="M176:Q176"/>
    <mergeCell ref="AC171:AG171"/>
    <mergeCell ref="AH171:AI171"/>
    <mergeCell ref="AJ171:AK171"/>
    <mergeCell ref="AL171:AM171"/>
    <mergeCell ref="R176:S176"/>
    <mergeCell ref="T176:Y176"/>
    <mergeCell ref="Z176:AB176"/>
    <mergeCell ref="AC176:AG176"/>
    <mergeCell ref="AH176:AI176"/>
    <mergeCell ref="AL176:AM176"/>
    <mergeCell ref="AC172:AG172"/>
    <mergeCell ref="AH172:AI172"/>
    <mergeCell ref="AJ172:AK172"/>
    <mergeCell ref="AL172:AM172"/>
    <mergeCell ref="C172:G172"/>
    <mergeCell ref="H172:L172"/>
    <mergeCell ref="M172:Q172"/>
    <mergeCell ref="R172:S172"/>
    <mergeCell ref="T172:Y172"/>
    <mergeCell ref="Z172:AB172"/>
    <mergeCell ref="AC170:AG170"/>
    <mergeCell ref="AH170:AI170"/>
    <mergeCell ref="AJ170:AK170"/>
    <mergeCell ref="AL170:AM170"/>
    <mergeCell ref="C171:G171"/>
    <mergeCell ref="H171:L171"/>
    <mergeCell ref="M171:Q171"/>
    <mergeCell ref="R171:S171"/>
    <mergeCell ref="T171:Y171"/>
    <mergeCell ref="Z171:AB171"/>
    <mergeCell ref="C170:G170"/>
    <mergeCell ref="H170:L170"/>
    <mergeCell ref="M170:Q170"/>
    <mergeCell ref="R170:S170"/>
    <mergeCell ref="T170:Y170"/>
    <mergeCell ref="Z170:AB170"/>
    <mergeCell ref="H168:L169"/>
    <mergeCell ref="M168:S168"/>
    <mergeCell ref="T168:AB168"/>
    <mergeCell ref="AC168:AI168"/>
    <mergeCell ref="AJ168:AM168"/>
    <mergeCell ref="M169:Q169"/>
    <mergeCell ref="AC164:AG164"/>
    <mergeCell ref="AH164:AI164"/>
    <mergeCell ref="AJ164:AK164"/>
    <mergeCell ref="AL164:AM164"/>
    <mergeCell ref="R169:S169"/>
    <mergeCell ref="T169:Y169"/>
    <mergeCell ref="Z169:AB169"/>
    <mergeCell ref="AC169:AG169"/>
    <mergeCell ref="AH169:AI169"/>
    <mergeCell ref="AL169:AM169"/>
    <mergeCell ref="AC165:AG165"/>
    <mergeCell ref="AH165:AI165"/>
    <mergeCell ref="AJ165:AK165"/>
    <mergeCell ref="AL165:AM165"/>
    <mergeCell ref="AJ159:AK159"/>
    <mergeCell ref="AL159:AM159"/>
    <mergeCell ref="C165:G165"/>
    <mergeCell ref="H165:L165"/>
    <mergeCell ref="M165:Q165"/>
    <mergeCell ref="R165:S165"/>
    <mergeCell ref="T165:Y165"/>
    <mergeCell ref="Z165:AB165"/>
    <mergeCell ref="C164:G164"/>
    <mergeCell ref="H164:L164"/>
    <mergeCell ref="M164:Q164"/>
    <mergeCell ref="R164:S164"/>
    <mergeCell ref="T164:Y164"/>
    <mergeCell ref="Z164:AB164"/>
    <mergeCell ref="AJ156:AM156"/>
    <mergeCell ref="M157:Q157"/>
    <mergeCell ref="R157:S157"/>
    <mergeCell ref="T157:Y157"/>
    <mergeCell ref="Z157:AB157"/>
    <mergeCell ref="AC157:AG157"/>
    <mergeCell ref="H162:L163"/>
    <mergeCell ref="M162:S162"/>
    <mergeCell ref="T162:AB162"/>
    <mergeCell ref="AC162:AI162"/>
    <mergeCell ref="AJ162:AM162"/>
    <mergeCell ref="M163:Q163"/>
    <mergeCell ref="AC158:AG158"/>
    <mergeCell ref="AH158:AI158"/>
    <mergeCell ref="AJ158:AK158"/>
    <mergeCell ref="AL158:AM158"/>
    <mergeCell ref="R163:S163"/>
    <mergeCell ref="T163:Y163"/>
    <mergeCell ref="Z163:AB163"/>
    <mergeCell ref="AC163:AG163"/>
    <mergeCell ref="AH163:AI163"/>
    <mergeCell ref="AL163:AM163"/>
    <mergeCell ref="AC159:AG159"/>
    <mergeCell ref="AH159:AI159"/>
    <mergeCell ref="H68:V68"/>
    <mergeCell ref="W68:Y68"/>
    <mergeCell ref="C159:G159"/>
    <mergeCell ref="H159:L159"/>
    <mergeCell ref="M159:Q159"/>
    <mergeCell ref="R159:S159"/>
    <mergeCell ref="T159:Y159"/>
    <mergeCell ref="Z159:AB159"/>
    <mergeCell ref="C158:G158"/>
    <mergeCell ref="H158:L158"/>
    <mergeCell ref="M158:Q158"/>
    <mergeCell ref="R158:S158"/>
    <mergeCell ref="T158:Y158"/>
    <mergeCell ref="Z158:AB158"/>
    <mergeCell ref="AH157:AI157"/>
    <mergeCell ref="AL157:AM157"/>
    <mergeCell ref="H156:L157"/>
    <mergeCell ref="M156:S156"/>
    <mergeCell ref="T156:AB156"/>
    <mergeCell ref="AC156:AI156"/>
    <mergeCell ref="AJ57:AL57"/>
    <mergeCell ref="C58:J58"/>
    <mergeCell ref="K58:S58"/>
    <mergeCell ref="T58:AB58"/>
    <mergeCell ref="AC58:AI58"/>
    <mergeCell ref="AJ58:AL58"/>
    <mergeCell ref="H62:V62"/>
    <mergeCell ref="W62:Y62"/>
    <mergeCell ref="AC62:AH62"/>
    <mergeCell ref="H66:V66"/>
    <mergeCell ref="W66:Y66"/>
    <mergeCell ref="D106:F106"/>
    <mergeCell ref="G106:AH106"/>
    <mergeCell ref="AK106:AL106"/>
    <mergeCell ref="D72:AJ72"/>
    <mergeCell ref="D75:F75"/>
    <mergeCell ref="G75:AH75"/>
    <mergeCell ref="AK75:AL75"/>
    <mergeCell ref="W43:AF43"/>
    <mergeCell ref="W44:AF44"/>
    <mergeCell ref="W45:AF45"/>
    <mergeCell ref="W46:AF46"/>
    <mergeCell ref="W48:AF48"/>
    <mergeCell ref="W49:AF49"/>
    <mergeCell ref="H64:V64"/>
    <mergeCell ref="W64:Y64"/>
    <mergeCell ref="AC64:AH64"/>
    <mergeCell ref="W50:AF50"/>
    <mergeCell ref="W51:AF51"/>
    <mergeCell ref="W52:AF52"/>
    <mergeCell ref="W53:AF53"/>
    <mergeCell ref="C57:J57"/>
    <mergeCell ref="K57:S57"/>
    <mergeCell ref="T57:AB57"/>
    <mergeCell ref="AC57:AI57"/>
    <mergeCell ref="H60:V60"/>
    <mergeCell ref="W60:Y60"/>
    <mergeCell ref="AG39:AN39"/>
    <mergeCell ref="W40:AF40"/>
    <mergeCell ref="AG40:AN40"/>
    <mergeCell ref="W41:AF41"/>
    <mergeCell ref="AG41:AN41"/>
    <mergeCell ref="W42:AF42"/>
    <mergeCell ref="AG42:AN42"/>
    <mergeCell ref="G32:L32"/>
    <mergeCell ref="N32:R32"/>
    <mergeCell ref="N34:R34"/>
    <mergeCell ref="G35:L35"/>
    <mergeCell ref="W38:AF38"/>
    <mergeCell ref="W39:AF39"/>
    <mergeCell ref="G25:L25"/>
    <mergeCell ref="G26:L26"/>
    <mergeCell ref="G27:L27"/>
    <mergeCell ref="G28:L28"/>
    <mergeCell ref="G29:L29"/>
    <mergeCell ref="N28:AM28"/>
    <mergeCell ref="M18:X18"/>
    <mergeCell ref="AE18:AM18"/>
    <mergeCell ref="M20:X20"/>
    <mergeCell ref="M22:AM22"/>
    <mergeCell ref="C12:L12"/>
    <mergeCell ref="N12:AM12"/>
    <mergeCell ref="C8:L8"/>
    <mergeCell ref="N8:AM8"/>
    <mergeCell ref="C9:L9"/>
    <mergeCell ref="N9:AM9"/>
    <mergeCell ref="C10:L10"/>
    <mergeCell ref="N10:AM10"/>
    <mergeCell ref="B1:AN1"/>
    <mergeCell ref="C2:AN2"/>
    <mergeCell ref="B3:AN3"/>
    <mergeCell ref="C6:L6"/>
    <mergeCell ref="N6:AM6"/>
    <mergeCell ref="C7:L7"/>
    <mergeCell ref="N7:AM7"/>
  </mergeCells>
  <phoneticPr fontId="88" type="noConversion"/>
  <printOptions horizontalCentered="1"/>
  <pageMargins left="0.25" right="0.25" top="0.75" bottom="0.75" header="0.3" footer="0.3"/>
  <pageSetup paperSize="9" scale="43" fitToHeight="0" orientation="portrait" r:id="rId1"/>
  <rowBreaks count="4" manualBreakCount="4">
    <brk id="69" max="16383" man="1"/>
    <brk id="152" max="16383" man="1"/>
    <brk id="216" max="16383" man="1"/>
    <brk id="280" min="1" max="3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B050"/>
  </sheetPr>
  <dimension ref="B2:M56"/>
  <sheetViews>
    <sheetView view="pageBreakPreview" topLeftCell="A31" zoomScaleSheetLayoutView="100" workbookViewId="0">
      <selection activeCell="B13" sqref="B13:J16"/>
    </sheetView>
  </sheetViews>
  <sheetFormatPr baseColWidth="10" defaultColWidth="11.42578125" defaultRowHeight="12.75"/>
  <cols>
    <col min="1" max="1" width="4.5703125" style="2" customWidth="1"/>
    <col min="2" max="2" width="11.42578125" style="2"/>
    <col min="3" max="3" width="22" style="2" customWidth="1"/>
    <col min="4" max="4" width="11.42578125" style="2" customWidth="1"/>
    <col min="5" max="8" width="11.42578125" style="2"/>
    <col min="9" max="9" width="4.7109375" style="2" customWidth="1"/>
    <col min="10" max="16384" width="11.42578125" style="2"/>
  </cols>
  <sheetData>
    <row r="2" spans="2:13" ht="15">
      <c r="B2" s="674"/>
      <c r="C2" s="674"/>
      <c r="D2" s="674"/>
      <c r="E2" s="674"/>
      <c r="F2" s="674"/>
      <c r="G2" s="674"/>
      <c r="H2" s="674"/>
      <c r="I2" s="674"/>
      <c r="J2" s="674"/>
      <c r="K2" s="674"/>
      <c r="L2" s="674"/>
      <c r="M2" s="674"/>
    </row>
    <row r="3" spans="2:13" ht="15">
      <c r="B3" s="674"/>
      <c r="C3" s="674"/>
      <c r="D3" s="674"/>
      <c r="E3" s="674"/>
      <c r="F3" s="674"/>
      <c r="G3" s="674"/>
      <c r="H3" s="674"/>
      <c r="I3" s="674"/>
      <c r="J3" s="674"/>
      <c r="K3" s="674"/>
      <c r="L3" s="674"/>
      <c r="M3" s="674"/>
    </row>
    <row r="4" spans="2:13" ht="15" customHeight="1">
      <c r="B4" s="2465" t="s">
        <v>57</v>
      </c>
      <c r="C4" s="2465"/>
      <c r="D4" s="2465"/>
      <c r="E4" s="2465"/>
      <c r="F4" s="2465"/>
      <c r="G4" s="2465"/>
      <c r="H4" s="2465"/>
      <c r="I4" s="2465"/>
      <c r="J4" s="2465"/>
      <c r="K4" s="674"/>
      <c r="L4" s="674"/>
      <c r="M4" s="674"/>
    </row>
    <row r="5" spans="2:13" ht="15" customHeight="1">
      <c r="B5" s="2465"/>
      <c r="C5" s="2465"/>
      <c r="D5" s="2465"/>
      <c r="E5" s="2465"/>
      <c r="F5" s="2465"/>
      <c r="G5" s="2465"/>
      <c r="H5" s="2465"/>
      <c r="I5" s="2465"/>
      <c r="J5" s="2465"/>
      <c r="K5" s="674"/>
      <c r="L5" s="674"/>
      <c r="M5" s="674"/>
    </row>
    <row r="6" spans="2:13" ht="22.5" customHeight="1">
      <c r="B6" s="2466" t="s">
        <v>4270</v>
      </c>
      <c r="C6" s="2466"/>
      <c r="D6" s="2466"/>
      <c r="E6" s="2466"/>
      <c r="F6" s="2466"/>
      <c r="G6" s="2466"/>
      <c r="H6" s="2466"/>
      <c r="I6" s="2466"/>
      <c r="J6" s="2466"/>
      <c r="K6" s="674"/>
      <c r="L6" s="674"/>
      <c r="M6" s="674"/>
    </row>
    <row r="7" spans="2:13" ht="15">
      <c r="B7" s="674"/>
      <c r="C7" s="674"/>
      <c r="D7" s="674"/>
      <c r="E7" s="674"/>
      <c r="F7" s="674"/>
      <c r="G7" s="674"/>
      <c r="H7" s="674"/>
      <c r="I7" s="674"/>
      <c r="J7" s="674"/>
      <c r="K7" s="674"/>
      <c r="L7" s="674"/>
      <c r="M7" s="674"/>
    </row>
    <row r="8" spans="2:13" ht="15">
      <c r="B8" s="2466" t="s">
        <v>1119</v>
      </c>
      <c r="C8" s="2466"/>
      <c r="D8" s="2466"/>
      <c r="E8" s="2466"/>
      <c r="F8" s="2466"/>
      <c r="G8" s="2466"/>
      <c r="H8" s="2466"/>
      <c r="I8" s="2466"/>
      <c r="J8" s="2466"/>
      <c r="K8" s="674"/>
      <c r="L8" s="674"/>
      <c r="M8" s="674"/>
    </row>
    <row r="9" spans="2:13" ht="15">
      <c r="B9" s="674"/>
      <c r="C9" s="674"/>
      <c r="D9" s="674"/>
      <c r="E9" s="674"/>
      <c r="F9" s="674"/>
      <c r="G9" s="674"/>
      <c r="H9" s="674"/>
      <c r="I9" s="674"/>
      <c r="J9" s="674"/>
      <c r="K9" s="674"/>
      <c r="L9" s="674"/>
      <c r="M9" s="674"/>
    </row>
    <row r="10" spans="2:13" ht="18">
      <c r="B10" s="2467" t="s">
        <v>4281</v>
      </c>
      <c r="C10" s="2467"/>
      <c r="D10" s="2467"/>
      <c r="E10" s="2467"/>
      <c r="F10" s="2467"/>
      <c r="G10" s="2467"/>
      <c r="H10" s="2467"/>
      <c r="I10" s="2467"/>
      <c r="J10" s="2467"/>
      <c r="K10" s="674"/>
      <c r="L10" s="674"/>
      <c r="M10" s="674"/>
    </row>
    <row r="11" spans="2:13" ht="15">
      <c r="B11" s="2466" t="s">
        <v>4277</v>
      </c>
      <c r="C11" s="2466"/>
      <c r="D11" s="2466"/>
      <c r="E11" s="2466"/>
      <c r="F11" s="2466"/>
      <c r="G11" s="2466"/>
      <c r="H11" s="2466"/>
      <c r="I11" s="2466"/>
      <c r="J11" s="2466"/>
      <c r="K11" s="674"/>
      <c r="L11" s="674"/>
      <c r="M11" s="674"/>
    </row>
    <row r="12" spans="2:13" ht="15.75" thickBot="1">
      <c r="B12" s="674"/>
      <c r="C12" s="674"/>
      <c r="D12" s="674"/>
      <c r="E12" s="674"/>
      <c r="F12" s="674"/>
      <c r="G12" s="674"/>
      <c r="H12" s="674"/>
      <c r="I12" s="674"/>
      <c r="J12" s="674"/>
      <c r="K12" s="674"/>
      <c r="L12" s="674"/>
      <c r="M12" s="674"/>
    </row>
    <row r="13" spans="2:13" ht="15">
      <c r="B13" s="2473" t="s">
        <v>1179</v>
      </c>
      <c r="C13" s="2474"/>
      <c r="D13" s="2474"/>
      <c r="E13" s="2474"/>
      <c r="F13" s="2474"/>
      <c r="G13" s="2474"/>
      <c r="H13" s="2474"/>
      <c r="I13" s="2474"/>
      <c r="J13" s="2475"/>
      <c r="K13" s="674"/>
      <c r="L13" s="674"/>
      <c r="M13" s="674"/>
    </row>
    <row r="14" spans="2:13" ht="15">
      <c r="B14" s="2476"/>
      <c r="C14" s="2477"/>
      <c r="D14" s="2477"/>
      <c r="E14" s="2477"/>
      <c r="F14" s="2477"/>
      <c r="G14" s="2477"/>
      <c r="H14" s="2477"/>
      <c r="I14" s="2477"/>
      <c r="J14" s="2478"/>
      <c r="K14" s="674"/>
      <c r="L14" s="674"/>
      <c r="M14" s="674"/>
    </row>
    <row r="15" spans="2:13" ht="15">
      <c r="B15" s="2476"/>
      <c r="C15" s="2477"/>
      <c r="D15" s="2477"/>
      <c r="E15" s="2477"/>
      <c r="F15" s="2477"/>
      <c r="G15" s="2477"/>
      <c r="H15" s="2477"/>
      <c r="I15" s="2477"/>
      <c r="J15" s="2478"/>
      <c r="K15" s="674"/>
      <c r="L15" s="674"/>
      <c r="M15" s="674"/>
    </row>
    <row r="16" spans="2:13" ht="15.75" thickBot="1">
      <c r="B16" s="2479"/>
      <c r="C16" s="2480"/>
      <c r="D16" s="2480"/>
      <c r="E16" s="2480"/>
      <c r="F16" s="2480"/>
      <c r="G16" s="2480"/>
      <c r="H16" s="2480"/>
      <c r="I16" s="2480"/>
      <c r="J16" s="2481"/>
      <c r="K16" s="674"/>
      <c r="L16" s="674"/>
      <c r="M16" s="674"/>
    </row>
    <row r="17" spans="2:13" ht="15">
      <c r="B17" s="674"/>
      <c r="C17" s="674"/>
      <c r="D17" s="674"/>
      <c r="E17" s="674"/>
      <c r="F17" s="674"/>
      <c r="G17" s="674"/>
      <c r="H17" s="674"/>
      <c r="I17" s="674"/>
      <c r="J17" s="674"/>
      <c r="K17" s="674"/>
      <c r="L17" s="674"/>
      <c r="M17" s="674"/>
    </row>
    <row r="18" spans="2:13" ht="15">
      <c r="B18" s="674"/>
      <c r="C18" s="674"/>
      <c r="D18" s="674"/>
      <c r="E18" s="674"/>
      <c r="F18" s="674"/>
      <c r="G18" s="674"/>
      <c r="H18" s="674"/>
      <c r="I18" s="674"/>
      <c r="J18" s="674"/>
      <c r="K18" s="674"/>
      <c r="L18" s="674"/>
      <c r="M18" s="674"/>
    </row>
    <row r="19" spans="2:13" ht="15">
      <c r="B19" s="674"/>
      <c r="C19" s="1217" t="s">
        <v>2473</v>
      </c>
      <c r="D19" s="674"/>
      <c r="E19" s="2472">
        <f>Datos!C23</f>
        <v>2493834</v>
      </c>
      <c r="F19" s="2472"/>
      <c r="G19" s="2472"/>
      <c r="H19" s="2472"/>
      <c r="I19" s="674"/>
      <c r="J19" s="674"/>
      <c r="K19" s="674"/>
      <c r="L19" s="674"/>
      <c r="M19" s="674"/>
    </row>
    <row r="20" spans="2:13" ht="15">
      <c r="B20" s="674"/>
      <c r="C20" s="1217" t="s">
        <v>152</v>
      </c>
      <c r="D20" s="674"/>
      <c r="E20" s="2472" t="s">
        <v>2479</v>
      </c>
      <c r="F20" s="2472"/>
      <c r="G20" s="2472"/>
      <c r="H20" s="2472"/>
      <c r="I20" s="674"/>
      <c r="J20" s="674"/>
      <c r="K20" s="674"/>
      <c r="L20" s="674"/>
      <c r="M20" s="674"/>
    </row>
    <row r="21" spans="2:13" ht="15">
      <c r="B21" s="674"/>
      <c r="C21" s="1217" t="s">
        <v>1120</v>
      </c>
      <c r="D21" s="674"/>
      <c r="E21" s="2468" t="s">
        <v>1121</v>
      </c>
      <c r="F21" s="2468"/>
      <c r="G21" s="2472" t="s">
        <v>1178</v>
      </c>
      <c r="H21" s="2472"/>
      <c r="I21" s="674"/>
      <c r="J21" s="674"/>
      <c r="K21" s="674"/>
      <c r="L21" s="674"/>
      <c r="M21" s="674"/>
    </row>
    <row r="22" spans="2:13" ht="15">
      <c r="B22" s="674"/>
      <c r="C22" s="674"/>
      <c r="D22" s="674"/>
      <c r="E22" s="2468" t="s">
        <v>1122</v>
      </c>
      <c r="F22" s="2468"/>
      <c r="G22" s="2472" t="s">
        <v>125</v>
      </c>
      <c r="H22" s="2472"/>
      <c r="I22" s="674"/>
      <c r="J22" s="674"/>
      <c r="K22" s="674"/>
      <c r="L22" s="674"/>
      <c r="M22" s="674"/>
    </row>
    <row r="23" spans="2:13" ht="12.75" customHeight="1">
      <c r="B23" s="674"/>
      <c r="C23" s="674"/>
      <c r="D23" s="674"/>
      <c r="E23" s="2468" t="s">
        <v>1123</v>
      </c>
      <c r="F23" s="2468"/>
      <c r="G23" s="2472" t="s">
        <v>125</v>
      </c>
      <c r="H23" s="2472"/>
      <c r="I23" s="674"/>
      <c r="J23" s="674"/>
      <c r="K23" s="674"/>
      <c r="L23" s="674"/>
      <c r="M23" s="674"/>
    </row>
    <row r="24" spans="2:13" ht="15">
      <c r="B24" s="674"/>
      <c r="C24" s="674"/>
      <c r="D24" s="674"/>
      <c r="E24" s="2468" t="s">
        <v>1124</v>
      </c>
      <c r="F24" s="2468"/>
      <c r="G24" s="2472" t="s">
        <v>124</v>
      </c>
      <c r="H24" s="2472"/>
      <c r="I24" s="674"/>
      <c r="J24" s="674"/>
      <c r="K24" s="674"/>
      <c r="L24" s="674"/>
      <c r="M24" s="674"/>
    </row>
    <row r="25" spans="2:13" ht="15">
      <c r="B25" s="674"/>
      <c r="C25" s="674"/>
      <c r="D25" s="674"/>
      <c r="E25" s="674"/>
      <c r="F25" s="674"/>
      <c r="G25" s="674"/>
      <c r="H25" s="674"/>
      <c r="I25" s="674"/>
      <c r="J25" s="674"/>
      <c r="K25" s="674"/>
      <c r="L25" s="674"/>
      <c r="M25" s="674"/>
    </row>
    <row r="26" spans="2:13" ht="15">
      <c r="B26" s="2464"/>
      <c r="C26" s="2464"/>
      <c r="D26" s="2464"/>
      <c r="E26" s="2464"/>
      <c r="F26" s="2464"/>
      <c r="G26" s="2464"/>
      <c r="H26" s="2464"/>
      <c r="I26" s="2464"/>
      <c r="J26" s="2464"/>
      <c r="K26" s="674"/>
      <c r="L26" s="674"/>
      <c r="M26" s="674"/>
    </row>
    <row r="27" spans="2:13" ht="15">
      <c r="B27" s="2464"/>
      <c r="C27" s="2464"/>
      <c r="D27" s="2464"/>
      <c r="E27" s="2464"/>
      <c r="F27" s="2464"/>
      <c r="G27" s="2464"/>
      <c r="H27" s="2464"/>
      <c r="I27" s="2464"/>
      <c r="J27" s="2464"/>
      <c r="K27" s="674"/>
      <c r="L27" s="674"/>
      <c r="M27" s="674"/>
    </row>
    <row r="28" spans="2:13" ht="12.75" customHeight="1">
      <c r="B28" s="2464"/>
      <c r="C28" s="2464"/>
      <c r="D28" s="2464"/>
      <c r="E28" s="2464"/>
      <c r="F28" s="2464"/>
      <c r="G28" s="2464"/>
      <c r="H28" s="2464"/>
      <c r="I28" s="2464"/>
      <c r="J28" s="2464"/>
      <c r="K28" s="674"/>
      <c r="L28" s="674"/>
      <c r="M28" s="674"/>
    </row>
    <row r="29" spans="2:13" ht="15">
      <c r="B29" s="2464"/>
      <c r="C29" s="2464"/>
      <c r="D29" s="2464"/>
      <c r="E29" s="2464"/>
      <c r="F29" s="2464"/>
      <c r="G29" s="2464"/>
      <c r="H29" s="2464"/>
      <c r="I29" s="2464"/>
      <c r="J29" s="2464"/>
      <c r="K29" s="674"/>
      <c r="L29" s="674"/>
      <c r="M29" s="674"/>
    </row>
    <row r="30" spans="2:13" ht="15">
      <c r="B30" s="2464"/>
      <c r="C30" s="2464"/>
      <c r="D30" s="2464"/>
      <c r="E30" s="2464"/>
      <c r="F30" s="2464"/>
      <c r="G30" s="2464"/>
      <c r="H30" s="2464"/>
      <c r="I30" s="2464"/>
      <c r="J30" s="2464"/>
      <c r="K30" s="674"/>
      <c r="L30" s="674"/>
      <c r="M30" s="674"/>
    </row>
    <row r="31" spans="2:13" ht="15">
      <c r="B31" s="2464"/>
      <c r="C31" s="2464"/>
      <c r="D31" s="2464"/>
      <c r="E31" s="2464"/>
      <c r="F31" s="2464"/>
      <c r="G31" s="2464"/>
      <c r="H31" s="2464"/>
      <c r="I31" s="2464"/>
      <c r="J31" s="2464"/>
      <c r="K31" s="674"/>
      <c r="L31" s="674"/>
      <c r="M31" s="674"/>
    </row>
    <row r="32" spans="2:13" ht="15">
      <c r="B32" s="2464"/>
      <c r="C32" s="2464"/>
      <c r="D32" s="2464"/>
      <c r="E32" s="2464"/>
      <c r="F32" s="2464"/>
      <c r="G32" s="2464"/>
      <c r="H32" s="2464"/>
      <c r="I32" s="2464"/>
      <c r="J32" s="2464"/>
      <c r="K32" s="674"/>
      <c r="L32" s="674"/>
      <c r="M32" s="674"/>
    </row>
    <row r="33" spans="2:13" ht="15">
      <c r="B33" s="2464"/>
      <c r="C33" s="2464"/>
      <c r="D33" s="2464"/>
      <c r="E33" s="2464"/>
      <c r="F33" s="2464"/>
      <c r="G33" s="2464"/>
      <c r="H33" s="2464"/>
      <c r="I33" s="2464"/>
      <c r="J33" s="2464"/>
      <c r="K33" s="674"/>
      <c r="L33" s="674"/>
      <c r="M33" s="674"/>
    </row>
    <row r="34" spans="2:13" ht="15">
      <c r="B34" s="2464"/>
      <c r="C34" s="2464"/>
      <c r="D34" s="2464"/>
      <c r="E34" s="2464"/>
      <c r="F34" s="2464"/>
      <c r="G34" s="2464"/>
      <c r="H34" s="2464"/>
      <c r="I34" s="2464"/>
      <c r="J34" s="2464"/>
      <c r="K34" s="674"/>
      <c r="L34" s="674"/>
      <c r="M34" s="674"/>
    </row>
    <row r="35" spans="2:13" ht="15">
      <c r="B35" s="2464"/>
      <c r="C35" s="2464"/>
      <c r="D35" s="2464"/>
      <c r="E35" s="2464"/>
      <c r="F35" s="2464"/>
      <c r="G35" s="2464"/>
      <c r="H35" s="2464"/>
      <c r="I35" s="2464"/>
      <c r="J35" s="2464"/>
      <c r="K35" s="674"/>
      <c r="L35" s="674"/>
      <c r="M35" s="674"/>
    </row>
    <row r="36" spans="2:13" ht="15">
      <c r="B36" s="2464"/>
      <c r="C36" s="2464"/>
      <c r="D36" s="2464"/>
      <c r="E36" s="2464"/>
      <c r="F36" s="2464"/>
      <c r="G36" s="2464"/>
      <c r="H36" s="2464"/>
      <c r="I36" s="2464"/>
      <c r="J36" s="2464"/>
      <c r="K36" s="674"/>
      <c r="L36" s="674"/>
      <c r="M36" s="674"/>
    </row>
    <row r="37" spans="2:13" ht="15">
      <c r="B37" s="2464"/>
      <c r="C37" s="2464"/>
      <c r="D37" s="2464"/>
      <c r="E37" s="2464"/>
      <c r="F37" s="2464"/>
      <c r="G37" s="2464"/>
      <c r="H37" s="2464"/>
      <c r="I37" s="2464"/>
      <c r="J37" s="2464"/>
      <c r="K37" s="674"/>
      <c r="L37" s="674"/>
      <c r="M37" s="674"/>
    </row>
    <row r="38" spans="2:13" ht="15">
      <c r="B38" s="2464"/>
      <c r="C38" s="2464"/>
      <c r="D38" s="2464"/>
      <c r="E38" s="2464"/>
      <c r="F38" s="2464"/>
      <c r="G38" s="2464"/>
      <c r="H38" s="2464"/>
      <c r="I38" s="2464"/>
      <c r="J38" s="2464"/>
      <c r="K38" s="674"/>
      <c r="L38" s="674"/>
      <c r="M38" s="674"/>
    </row>
    <row r="39" spans="2:13" ht="15">
      <c r="B39" s="2464"/>
      <c r="C39" s="2464"/>
      <c r="D39" s="2464"/>
      <c r="E39" s="2464"/>
      <c r="F39" s="2464"/>
      <c r="G39" s="2464"/>
      <c r="H39" s="2464"/>
      <c r="I39" s="2464"/>
      <c r="J39" s="2464"/>
      <c r="K39" s="674"/>
      <c r="L39" s="674"/>
      <c r="M39" s="674"/>
    </row>
    <row r="40" spans="2:13" ht="15">
      <c r="B40" s="2464"/>
      <c r="C40" s="2464"/>
      <c r="D40" s="2464"/>
      <c r="E40" s="2464"/>
      <c r="F40" s="2464"/>
      <c r="G40" s="2464"/>
      <c r="H40" s="2464"/>
      <c r="I40" s="2464"/>
      <c r="J40" s="2464"/>
      <c r="K40" s="674"/>
      <c r="L40" s="674"/>
      <c r="M40" s="674"/>
    </row>
    <row r="41" spans="2:13" ht="15">
      <c r="B41" s="2464"/>
      <c r="C41" s="2464"/>
      <c r="D41" s="2464"/>
      <c r="E41" s="2464"/>
      <c r="F41" s="2464"/>
      <c r="G41" s="2464"/>
      <c r="H41" s="2464"/>
      <c r="I41" s="2464"/>
      <c r="J41" s="2464"/>
      <c r="K41" s="674"/>
      <c r="L41" s="674"/>
      <c r="M41" s="674"/>
    </row>
    <row r="42" spans="2:13" ht="15">
      <c r="B42" s="2464"/>
      <c r="C42" s="2464"/>
      <c r="D42" s="2464"/>
      <c r="E42" s="2464"/>
      <c r="F42" s="2464"/>
      <c r="G42" s="2464"/>
      <c r="H42" s="2464"/>
      <c r="I42" s="2464"/>
      <c r="J42" s="2464"/>
      <c r="K42" s="674"/>
      <c r="L42" s="674"/>
      <c r="M42" s="674"/>
    </row>
    <row r="43" spans="2:13" ht="15">
      <c r="B43" s="2464"/>
      <c r="C43" s="2464"/>
      <c r="D43" s="2464"/>
      <c r="E43" s="2464"/>
      <c r="F43" s="2464"/>
      <c r="G43" s="2464"/>
      <c r="H43" s="2464"/>
      <c r="I43" s="2464"/>
      <c r="J43" s="2464"/>
      <c r="K43" s="674"/>
      <c r="L43" s="674"/>
      <c r="M43" s="674"/>
    </row>
    <row r="44" spans="2:13" ht="15">
      <c r="B44" s="2464"/>
      <c r="C44" s="2464"/>
      <c r="D44" s="2464"/>
      <c r="E44" s="2464"/>
      <c r="F44" s="2464"/>
      <c r="G44" s="2464"/>
      <c r="H44" s="2464"/>
      <c r="I44" s="2464"/>
      <c r="J44" s="2464"/>
      <c r="K44" s="674"/>
      <c r="L44" s="674"/>
      <c r="M44" s="1160"/>
    </row>
    <row r="45" spans="2:13" ht="15">
      <c r="B45" s="2464"/>
      <c r="C45" s="2464"/>
      <c r="D45" s="2464"/>
      <c r="E45" s="2464"/>
      <c r="F45" s="2464"/>
      <c r="G45" s="2464"/>
      <c r="H45" s="2464"/>
      <c r="I45" s="2464"/>
      <c r="J45" s="2464"/>
      <c r="K45" s="674"/>
      <c r="L45" s="674"/>
      <c r="M45" s="674"/>
    </row>
    <row r="46" spans="2:13" ht="15">
      <c r="B46" s="2464"/>
      <c r="C46" s="2464"/>
      <c r="D46" s="2464"/>
      <c r="E46" s="2464"/>
      <c r="F46" s="2464"/>
      <c r="G46" s="2464"/>
      <c r="H46" s="2464"/>
      <c r="I46" s="2464"/>
      <c r="J46" s="2464"/>
      <c r="K46" s="674"/>
      <c r="L46" s="674"/>
      <c r="M46" s="674"/>
    </row>
    <row r="47" spans="2:13" ht="15">
      <c r="B47" s="2464"/>
      <c r="C47" s="2464"/>
      <c r="D47" s="2464"/>
      <c r="E47" s="2464"/>
      <c r="F47" s="2464"/>
      <c r="G47" s="2464"/>
      <c r="H47" s="2464"/>
      <c r="I47" s="2464"/>
      <c r="J47" s="2464"/>
      <c r="K47" s="674"/>
      <c r="L47" s="674"/>
      <c r="M47" s="674"/>
    </row>
    <row r="48" spans="2:13" ht="15">
      <c r="B48" s="2464"/>
      <c r="C48" s="2464"/>
      <c r="D48" s="2464"/>
      <c r="E48" s="2464"/>
      <c r="F48" s="2464"/>
      <c r="G48" s="2464"/>
      <c r="H48" s="2464"/>
      <c r="I48" s="2464"/>
      <c r="J48" s="2464"/>
      <c r="K48" s="674"/>
      <c r="L48" s="674"/>
      <c r="M48" s="674"/>
    </row>
    <row r="49" spans="2:13" ht="3" customHeight="1">
      <c r="B49" s="2464"/>
      <c r="C49" s="2464"/>
      <c r="D49" s="2464"/>
      <c r="E49" s="2464"/>
      <c r="F49" s="2464"/>
      <c r="G49" s="2464"/>
      <c r="H49" s="2464"/>
      <c r="I49" s="2464"/>
      <c r="J49" s="2464"/>
      <c r="K49" s="674"/>
      <c r="L49" s="674"/>
      <c r="M49" s="674"/>
    </row>
    <row r="50" spans="2:13" ht="15" hidden="1">
      <c r="B50" s="2464"/>
      <c r="C50" s="2464"/>
      <c r="D50" s="2464"/>
      <c r="E50" s="2464"/>
      <c r="F50" s="2464"/>
      <c r="G50" s="2464"/>
      <c r="H50" s="2464"/>
      <c r="I50" s="2464"/>
      <c r="J50" s="2464"/>
      <c r="K50" s="674"/>
      <c r="L50" s="674"/>
      <c r="M50" s="674"/>
    </row>
    <row r="51" spans="2:13" ht="15" hidden="1">
      <c r="B51" s="2464"/>
      <c r="C51" s="2464"/>
      <c r="D51" s="2464"/>
      <c r="E51" s="2464"/>
      <c r="F51" s="2464"/>
      <c r="G51" s="2464"/>
      <c r="H51" s="2464"/>
      <c r="I51" s="2464"/>
      <c r="J51" s="2464"/>
      <c r="K51" s="674"/>
      <c r="L51" s="674"/>
      <c r="M51" s="674"/>
    </row>
    <row r="52" spans="2:13" ht="15">
      <c r="B52" s="674"/>
      <c r="C52" s="674"/>
      <c r="D52" s="674"/>
      <c r="E52" s="674"/>
      <c r="F52" s="674"/>
      <c r="G52" s="674"/>
      <c r="H52" s="674"/>
      <c r="I52" s="674"/>
      <c r="J52" s="674"/>
      <c r="K52" s="674"/>
      <c r="L52" s="674"/>
      <c r="M52" s="674"/>
    </row>
    <row r="53" spans="2:13" ht="15">
      <c r="B53" s="674"/>
      <c r="C53" s="674"/>
      <c r="D53" s="674"/>
      <c r="E53" s="674"/>
      <c r="F53" s="674"/>
      <c r="G53" s="674"/>
      <c r="H53" s="674"/>
      <c r="I53" s="674"/>
      <c r="J53" s="674"/>
      <c r="K53" s="674"/>
      <c r="L53" s="674"/>
      <c r="M53" s="674"/>
    </row>
    <row r="54" spans="2:13" ht="15">
      <c r="B54" s="674"/>
      <c r="C54" s="2468" t="s">
        <v>1125</v>
      </c>
      <c r="D54" s="2468"/>
      <c r="E54" s="2469" t="s">
        <v>4254</v>
      </c>
      <c r="F54" s="2470"/>
      <c r="G54" s="2470"/>
      <c r="H54" s="2470"/>
      <c r="I54" s="2471"/>
      <c r="J54" s="674"/>
      <c r="K54" s="674"/>
      <c r="L54" s="674"/>
      <c r="M54" s="674"/>
    </row>
    <row r="55" spans="2:13" ht="15">
      <c r="B55" s="674"/>
      <c r="C55" s="2468" t="s">
        <v>1126</v>
      </c>
      <c r="D55" s="2468"/>
      <c r="E55" s="2469" t="s">
        <v>2466</v>
      </c>
      <c r="F55" s="2470"/>
      <c r="G55" s="2470"/>
      <c r="H55" s="2470"/>
      <c r="I55" s="2471"/>
      <c r="J55" s="2464"/>
      <c r="K55" s="2464"/>
      <c r="L55" s="2464"/>
      <c r="M55" s="2464"/>
    </row>
    <row r="56" spans="2:13" ht="15">
      <c r="B56" s="674"/>
      <c r="C56" s="2464"/>
      <c r="D56" s="2464"/>
      <c r="E56" s="2464"/>
      <c r="F56" s="674"/>
      <c r="G56" s="674"/>
      <c r="H56" s="674"/>
      <c r="I56" s="674"/>
      <c r="J56" s="674"/>
      <c r="K56" s="674"/>
      <c r="L56" s="674"/>
      <c r="M56" s="674"/>
    </row>
  </sheetData>
  <mergeCells count="23">
    <mergeCell ref="E22:F22"/>
    <mergeCell ref="G22:H22"/>
    <mergeCell ref="B13:J16"/>
    <mergeCell ref="E19:H19"/>
    <mergeCell ref="E20:H20"/>
    <mergeCell ref="E21:F21"/>
    <mergeCell ref="G21:H21"/>
    <mergeCell ref="C56:E56"/>
    <mergeCell ref="B4:J5"/>
    <mergeCell ref="B8:J8"/>
    <mergeCell ref="B11:J11"/>
    <mergeCell ref="B10:J10"/>
    <mergeCell ref="C54:D54"/>
    <mergeCell ref="E54:I54"/>
    <mergeCell ref="C55:D55"/>
    <mergeCell ref="E55:I55"/>
    <mergeCell ref="J55:M55"/>
    <mergeCell ref="E23:F23"/>
    <mergeCell ref="G23:H23"/>
    <mergeCell ref="E24:F24"/>
    <mergeCell ref="G24:H24"/>
    <mergeCell ref="B26:J51"/>
    <mergeCell ref="B6:J6"/>
  </mergeCells>
  <printOptions horizontalCentered="1" verticalCentered="1"/>
  <pageMargins left="0.39370078740157483" right="0.19685039370078741" top="0.39370078740157483" bottom="0.39370078740157483" header="0" footer="0"/>
  <pageSetup paperSize="9" scale="91"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7" tint="-0.499984740745262"/>
  </sheetPr>
  <dimension ref="B1:I40"/>
  <sheetViews>
    <sheetView view="pageBreakPreview" zoomScale="115" zoomScaleSheetLayoutView="115" workbookViewId="0">
      <selection activeCell="H8" sqref="H8"/>
    </sheetView>
  </sheetViews>
  <sheetFormatPr baseColWidth="10" defaultColWidth="11.42578125" defaultRowHeight="12.75"/>
  <cols>
    <col min="1" max="1" width="11.42578125" style="3"/>
    <col min="2" max="2" width="4.140625" style="3" customWidth="1"/>
    <col min="3" max="3" width="5.140625" style="3" customWidth="1"/>
    <col min="4" max="4" width="53.5703125" style="3" customWidth="1"/>
    <col min="5" max="5" width="7.5703125" style="3" customWidth="1"/>
    <col min="6" max="6" width="4" style="3" customWidth="1"/>
    <col min="7" max="7" width="4.7109375" style="3" customWidth="1"/>
    <col min="8" max="16384" width="11.42578125" style="3"/>
  </cols>
  <sheetData>
    <row r="1" spans="2:9" ht="20.100000000000001" customHeight="1">
      <c r="B1" s="2484"/>
      <c r="C1" s="2484"/>
      <c r="D1" s="2484"/>
      <c r="E1" s="2484"/>
      <c r="F1" s="2484"/>
    </row>
    <row r="2" spans="2:9" ht="23.25">
      <c r="B2" s="2485" t="s">
        <v>14</v>
      </c>
      <c r="C2" s="2485"/>
      <c r="D2" s="2485"/>
      <c r="E2" s="2485"/>
      <c r="F2" s="2485"/>
      <c r="G2" s="2485"/>
    </row>
    <row r="3" spans="2:9">
      <c r="B3" s="2486"/>
      <c r="C3" s="2486"/>
      <c r="D3" s="2486"/>
      <c r="E3" s="2486"/>
      <c r="F3" s="2486"/>
    </row>
    <row r="4" spans="2:9" ht="13.5" customHeight="1">
      <c r="B4" s="2486"/>
      <c r="C4" s="2486"/>
      <c r="D4" s="2486"/>
      <c r="E4" s="2486"/>
      <c r="F4" s="2486"/>
    </row>
    <row r="5" spans="2:9" ht="18.75" customHeight="1">
      <c r="B5" s="2487" t="s">
        <v>2321</v>
      </c>
      <c r="C5" s="2487"/>
      <c r="D5" s="2487"/>
      <c r="E5" s="2487"/>
      <c r="F5" s="2487"/>
      <c r="G5" s="2487"/>
    </row>
    <row r="6" spans="2:9" ht="23.25" customHeight="1">
      <c r="B6" s="2488" t="s">
        <v>2325</v>
      </c>
      <c r="C6" s="2488"/>
      <c r="D6" s="2488"/>
      <c r="E6" s="2488"/>
      <c r="F6" s="2488"/>
      <c r="G6" s="2488"/>
    </row>
    <row r="7" spans="2:9" ht="15" customHeight="1">
      <c r="B7" s="2490" t="s">
        <v>1175</v>
      </c>
      <c r="C7" s="2491"/>
      <c r="D7" s="2491"/>
      <c r="E7" s="2491"/>
      <c r="F7" s="2491"/>
      <c r="G7" s="2491"/>
      <c r="H7" s="4"/>
      <c r="I7" s="4"/>
    </row>
    <row r="8" spans="2:9" ht="30" customHeight="1">
      <c r="B8" s="2491"/>
      <c r="C8" s="2491"/>
      <c r="D8" s="2491"/>
      <c r="E8" s="2491"/>
      <c r="F8" s="2491"/>
      <c r="G8" s="2491"/>
    </row>
    <row r="9" spans="2:9">
      <c r="B9" s="1079" t="s">
        <v>1</v>
      </c>
      <c r="C9" s="2489" t="s">
        <v>2</v>
      </c>
      <c r="D9" s="2489"/>
      <c r="E9" s="1079" t="s">
        <v>3</v>
      </c>
      <c r="F9" s="2489" t="s">
        <v>4</v>
      </c>
      <c r="G9" s="2489"/>
    </row>
    <row r="10" spans="2:9">
      <c r="B10" s="6">
        <v>1</v>
      </c>
      <c r="C10" s="2482" t="s">
        <v>1154</v>
      </c>
      <c r="D10" s="2482"/>
      <c r="E10" s="6"/>
      <c r="F10" s="6"/>
      <c r="G10" s="7"/>
    </row>
    <row r="11" spans="2:9" ht="12.75" customHeight="1">
      <c r="B11" s="6">
        <v>2</v>
      </c>
      <c r="C11" s="2482" t="s">
        <v>1155</v>
      </c>
      <c r="D11" s="2482"/>
      <c r="E11" s="6"/>
      <c r="F11" s="6"/>
      <c r="G11" s="7"/>
    </row>
    <row r="12" spans="2:9" ht="12.75" customHeight="1">
      <c r="B12" s="6">
        <v>3</v>
      </c>
      <c r="C12" s="2482" t="s">
        <v>1156</v>
      </c>
      <c r="D12" s="2482"/>
      <c r="E12" s="6" t="s">
        <v>5</v>
      </c>
      <c r="F12" s="6"/>
      <c r="G12" s="7"/>
    </row>
    <row r="13" spans="2:9" ht="14.25" customHeight="1">
      <c r="B13" s="6">
        <v>4</v>
      </c>
      <c r="C13" s="2482" t="s">
        <v>1157</v>
      </c>
      <c r="D13" s="2482"/>
      <c r="E13" s="6"/>
      <c r="F13" s="6"/>
      <c r="G13" s="7"/>
    </row>
    <row r="14" spans="2:9" ht="12.75" customHeight="1">
      <c r="B14" s="6">
        <v>5</v>
      </c>
      <c r="C14" s="2482" t="s">
        <v>1158</v>
      </c>
      <c r="D14" s="2482"/>
      <c r="E14" s="6"/>
      <c r="F14" s="6"/>
      <c r="G14" s="7"/>
    </row>
    <row r="15" spans="2:9" ht="12.75" customHeight="1">
      <c r="B15" s="6">
        <v>6</v>
      </c>
      <c r="C15" s="2482" t="s">
        <v>169</v>
      </c>
      <c r="D15" s="2482"/>
      <c r="E15" s="6" t="s">
        <v>6</v>
      </c>
      <c r="F15" s="6"/>
      <c r="G15" s="7"/>
    </row>
    <row r="16" spans="2:9" ht="12.75" customHeight="1">
      <c r="B16" s="6">
        <v>7</v>
      </c>
      <c r="C16" s="2483" t="s">
        <v>1159</v>
      </c>
      <c r="D16" s="2483"/>
      <c r="E16" s="6"/>
      <c r="F16" s="6"/>
      <c r="G16" s="7"/>
    </row>
    <row r="17" spans="2:7" ht="12.75" customHeight="1">
      <c r="B17" s="6">
        <v>8</v>
      </c>
      <c r="C17" s="2483" t="s">
        <v>1160</v>
      </c>
      <c r="D17" s="2483"/>
      <c r="E17" s="6"/>
      <c r="F17" s="6"/>
      <c r="G17" s="7"/>
    </row>
    <row r="18" spans="2:7" ht="12.75" customHeight="1">
      <c r="B18" s="6">
        <v>9</v>
      </c>
      <c r="C18" s="2483" t="s">
        <v>122</v>
      </c>
      <c r="D18" s="2483"/>
      <c r="E18" s="6" t="s">
        <v>7</v>
      </c>
      <c r="F18" s="6"/>
      <c r="G18" s="7"/>
    </row>
    <row r="19" spans="2:7" ht="12.75" customHeight="1">
      <c r="B19" s="6">
        <v>10</v>
      </c>
      <c r="C19" s="2483" t="s">
        <v>1161</v>
      </c>
      <c r="D19" s="2483"/>
      <c r="E19" s="6"/>
      <c r="F19" s="6"/>
      <c r="G19" s="7"/>
    </row>
    <row r="20" spans="2:7" ht="12.75" customHeight="1">
      <c r="B20" s="6">
        <v>11</v>
      </c>
      <c r="C20" s="2483" t="s">
        <v>1162</v>
      </c>
      <c r="D20" s="2492"/>
      <c r="E20" s="6"/>
      <c r="F20" s="6"/>
      <c r="G20" s="7"/>
    </row>
    <row r="21" spans="2:7" ht="12.75" customHeight="1">
      <c r="B21" s="6">
        <v>12</v>
      </c>
      <c r="C21" s="2483" t="s">
        <v>1163</v>
      </c>
      <c r="D21" s="2492"/>
      <c r="E21" s="6" t="s">
        <v>133</v>
      </c>
      <c r="F21" s="6"/>
      <c r="G21" s="7"/>
    </row>
    <row r="22" spans="2:7" ht="12.75" hidden="1" customHeight="1">
      <c r="B22" s="6">
        <v>13</v>
      </c>
      <c r="C22" s="2483" t="s">
        <v>1164</v>
      </c>
      <c r="D22" s="2492"/>
      <c r="E22" s="6"/>
      <c r="F22" s="6"/>
      <c r="G22" s="7"/>
    </row>
    <row r="23" spans="2:7" ht="12.75" customHeight="1">
      <c r="B23" s="6">
        <v>14</v>
      </c>
      <c r="C23" s="2483" t="s">
        <v>1165</v>
      </c>
      <c r="D23" s="2492"/>
      <c r="E23" s="6"/>
      <c r="F23" s="6"/>
      <c r="G23" s="7"/>
    </row>
    <row r="24" spans="2:7" ht="12.75" hidden="1" customHeight="1">
      <c r="B24" s="6">
        <v>15</v>
      </c>
      <c r="C24" s="2493" t="s">
        <v>1166</v>
      </c>
      <c r="D24" s="2492"/>
      <c r="E24" s="6" t="s">
        <v>133</v>
      </c>
      <c r="F24" s="6"/>
      <c r="G24" s="7"/>
    </row>
    <row r="25" spans="2:7" ht="12.75" customHeight="1">
      <c r="B25" s="6">
        <v>16</v>
      </c>
      <c r="C25" s="2483" t="s">
        <v>168</v>
      </c>
      <c r="D25" s="2483"/>
      <c r="E25" s="6" t="s">
        <v>167</v>
      </c>
      <c r="F25" s="6"/>
      <c r="G25" s="7"/>
    </row>
    <row r="26" spans="2:7" ht="12.75" customHeight="1">
      <c r="B26" s="6">
        <v>17</v>
      </c>
      <c r="C26" s="2483" t="s">
        <v>166</v>
      </c>
      <c r="D26" s="2483"/>
      <c r="E26" s="6" t="s">
        <v>165</v>
      </c>
      <c r="F26" s="6"/>
      <c r="G26" s="7"/>
    </row>
    <row r="27" spans="2:7">
      <c r="B27" s="6">
        <v>18</v>
      </c>
      <c r="C27" s="2483" t="s">
        <v>164</v>
      </c>
      <c r="D27" s="2483"/>
      <c r="E27" s="6" t="s">
        <v>163</v>
      </c>
      <c r="F27" s="6"/>
      <c r="G27" s="7"/>
    </row>
    <row r="28" spans="2:7">
      <c r="B28" s="6">
        <v>19</v>
      </c>
      <c r="C28" s="2483" t="s">
        <v>123</v>
      </c>
      <c r="D28" s="2483"/>
      <c r="E28" s="6" t="s">
        <v>8</v>
      </c>
      <c r="F28" s="6"/>
      <c r="G28" s="7"/>
    </row>
    <row r="29" spans="2:7">
      <c r="B29" s="6">
        <v>20</v>
      </c>
      <c r="C29" s="2483" t="s">
        <v>162</v>
      </c>
      <c r="D29" s="2483"/>
      <c r="E29" s="6" t="s">
        <v>161</v>
      </c>
      <c r="F29" s="6"/>
      <c r="G29" s="7"/>
    </row>
    <row r="30" spans="2:7">
      <c r="B30" s="6">
        <v>21</v>
      </c>
      <c r="C30" s="2483" t="s">
        <v>160</v>
      </c>
      <c r="D30" s="2483"/>
      <c r="E30" s="6" t="s">
        <v>134</v>
      </c>
      <c r="F30" s="6"/>
      <c r="G30" s="7"/>
    </row>
    <row r="31" spans="2:7">
      <c r="B31" s="6">
        <v>22</v>
      </c>
      <c r="C31" s="2483" t="s">
        <v>159</v>
      </c>
      <c r="D31" s="2483"/>
      <c r="E31" s="6" t="s">
        <v>9</v>
      </c>
      <c r="F31" s="6"/>
      <c r="G31" s="7"/>
    </row>
    <row r="32" spans="2:7">
      <c r="B32" s="6">
        <v>23</v>
      </c>
      <c r="C32" s="2483" t="s">
        <v>1167</v>
      </c>
      <c r="D32" s="2483"/>
      <c r="E32" s="6"/>
      <c r="F32" s="6"/>
      <c r="G32" s="7"/>
    </row>
    <row r="33" spans="2:7">
      <c r="B33" s="6">
        <v>24</v>
      </c>
      <c r="C33" s="2483" t="s">
        <v>1168</v>
      </c>
      <c r="D33" s="2483"/>
      <c r="E33" s="6"/>
      <c r="F33" s="6"/>
      <c r="G33" s="7"/>
    </row>
    <row r="34" spans="2:7">
      <c r="B34" s="6">
        <v>25</v>
      </c>
      <c r="C34" s="2483" t="s">
        <v>158</v>
      </c>
      <c r="D34" s="2483"/>
      <c r="E34" s="6" t="s">
        <v>157</v>
      </c>
      <c r="F34" s="6"/>
      <c r="G34" s="7"/>
    </row>
    <row r="35" spans="2:7">
      <c r="B35" s="6">
        <v>26</v>
      </c>
      <c r="C35" s="2483" t="s">
        <v>1169</v>
      </c>
      <c r="D35" s="2483"/>
      <c r="E35" s="6"/>
      <c r="F35" s="6"/>
      <c r="G35" s="7"/>
    </row>
    <row r="36" spans="2:7">
      <c r="B36" s="6">
        <v>27</v>
      </c>
      <c r="C36" s="2483" t="s">
        <v>156</v>
      </c>
      <c r="D36" s="2483"/>
      <c r="E36" s="6" t="s">
        <v>155</v>
      </c>
      <c r="F36" s="6"/>
      <c r="G36" s="1080"/>
    </row>
    <row r="37" spans="2:7">
      <c r="B37" s="6">
        <v>28</v>
      </c>
      <c r="C37" s="2483" t="s">
        <v>154</v>
      </c>
      <c r="D37" s="2483"/>
      <c r="E37" s="6" t="s">
        <v>153</v>
      </c>
      <c r="F37" s="6"/>
      <c r="G37" s="1081"/>
    </row>
    <row r="38" spans="2:7">
      <c r="B38" s="6">
        <v>29</v>
      </c>
      <c r="C38" s="2482" t="s">
        <v>146</v>
      </c>
      <c r="D38" s="2482"/>
      <c r="E38" s="6"/>
      <c r="F38" s="6"/>
      <c r="G38" s="1081"/>
    </row>
    <row r="39" spans="2:7">
      <c r="B39" s="6">
        <v>30</v>
      </c>
      <c r="C39" s="2482" t="s">
        <v>1170</v>
      </c>
      <c r="D39" s="2482"/>
      <c r="E39" s="6"/>
      <c r="F39" s="6"/>
      <c r="G39" s="1081"/>
    </row>
    <row r="40" spans="2:7">
      <c r="B40" s="6">
        <v>31</v>
      </c>
      <c r="C40" s="2482" t="s">
        <v>147</v>
      </c>
      <c r="D40" s="2482"/>
      <c r="E40" s="6"/>
      <c r="F40" s="6"/>
      <c r="G40" s="1081"/>
    </row>
  </sheetData>
  <mergeCells count="40">
    <mergeCell ref="C29:D29"/>
    <mergeCell ref="C16:D16"/>
    <mergeCell ref="C17:D17"/>
    <mergeCell ref="C25:D25"/>
    <mergeCell ref="C18:D18"/>
    <mergeCell ref="C27:D27"/>
    <mergeCell ref="C26:D26"/>
    <mergeCell ref="C28:D28"/>
    <mergeCell ref="C19:D19"/>
    <mergeCell ref="C20:D20"/>
    <mergeCell ref="C21:D21"/>
    <mergeCell ref="C22:D22"/>
    <mergeCell ref="C23:D23"/>
    <mergeCell ref="C24:D24"/>
    <mergeCell ref="B6:G6"/>
    <mergeCell ref="C11:D11"/>
    <mergeCell ref="C12:D12"/>
    <mergeCell ref="C14:D14"/>
    <mergeCell ref="C15:D15"/>
    <mergeCell ref="C9:D9"/>
    <mergeCell ref="C10:D10"/>
    <mergeCell ref="C13:D13"/>
    <mergeCell ref="B7:G8"/>
    <mergeCell ref="F9:G9"/>
    <mergeCell ref="B1:F1"/>
    <mergeCell ref="B2:G2"/>
    <mergeCell ref="B3:F3"/>
    <mergeCell ref="B4:F4"/>
    <mergeCell ref="B5:G5"/>
    <mergeCell ref="C30:D30"/>
    <mergeCell ref="C31:D31"/>
    <mergeCell ref="C32:D32"/>
    <mergeCell ref="C33:D33"/>
    <mergeCell ref="C34:D34"/>
    <mergeCell ref="C40:D40"/>
    <mergeCell ref="C35:D35"/>
    <mergeCell ref="C36:D36"/>
    <mergeCell ref="C37:D37"/>
    <mergeCell ref="C38:D38"/>
    <mergeCell ref="C39:D39"/>
  </mergeCells>
  <printOptions horizontalCentered="1"/>
  <pageMargins left="0.78740157480314965" right="0.59055118110236227" top="0.39370078740157483" bottom="0.39370078740157483" header="0" footer="0"/>
  <pageSetup paperSize="9" scale="110" orientation="portrait" horizontalDpi="4294967293"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72CE9-AF0E-468F-A083-7044333F7D79}">
  <sheetPr>
    <tabColor rgb="FF00CC99"/>
    <pageSetUpPr fitToPage="1"/>
  </sheetPr>
  <dimension ref="A1:AN79"/>
  <sheetViews>
    <sheetView view="pageBreakPreview" topLeftCell="A10" zoomScaleNormal="70" zoomScaleSheetLayoutView="100" zoomScalePageLayoutView="70" workbookViewId="0">
      <selection activeCell="D7" sqref="D7"/>
    </sheetView>
  </sheetViews>
  <sheetFormatPr baseColWidth="10" defaultColWidth="11.42578125" defaultRowHeight="15"/>
  <cols>
    <col min="1" max="1" width="16.28515625" style="230" customWidth="1"/>
    <col min="2" max="2" width="100.42578125" style="230" customWidth="1"/>
    <col min="3" max="3" width="10.28515625" style="1263" bestFit="1" customWidth="1"/>
    <col min="4" max="4" width="16.7109375" style="230" customWidth="1"/>
    <col min="5" max="5" width="12.28515625" style="230" customWidth="1"/>
    <col min="6" max="6" width="18.42578125" style="230" customWidth="1"/>
    <col min="7" max="7" width="12.5703125" style="230" customWidth="1"/>
    <col min="8" max="8" width="18" style="230" customWidth="1"/>
    <col min="9" max="9" width="11" style="230" customWidth="1"/>
    <col min="10" max="10" width="12.85546875" style="230" customWidth="1"/>
    <col min="11" max="11" width="16.85546875" style="230" customWidth="1"/>
    <col min="12" max="12" width="15" style="230" customWidth="1"/>
    <col min="13" max="13" width="12.85546875" style="230" customWidth="1"/>
    <col min="14" max="14" width="17.28515625" style="230" customWidth="1"/>
    <col min="15" max="15" width="12.140625" style="230" customWidth="1"/>
    <col min="16" max="16" width="14.28515625" style="230" customWidth="1"/>
    <col min="17" max="17" width="18.7109375" style="230" customWidth="1"/>
    <col min="18" max="18" width="12.42578125" style="230" customWidth="1"/>
    <col min="19" max="19" width="12.7109375" style="230" customWidth="1"/>
    <col min="20" max="20" width="13.42578125" style="230" customWidth="1"/>
    <col min="21" max="21" width="12.7109375" style="230" bestFit="1" customWidth="1"/>
    <col min="22" max="16384" width="11.42578125" style="230"/>
  </cols>
  <sheetData>
    <row r="1" spans="1:40" ht="52.5" customHeight="1">
      <c r="A1" s="2148" t="s">
        <v>2286</v>
      </c>
      <c r="B1" s="2148"/>
      <c r="C1" s="2148"/>
      <c r="D1" s="2148"/>
      <c r="E1" s="2148"/>
      <c r="F1" s="2148"/>
      <c r="G1" s="2148"/>
      <c r="H1" s="2148"/>
      <c r="I1" s="2148"/>
      <c r="J1" s="2148"/>
      <c r="K1" s="2148"/>
      <c r="L1" s="2148"/>
      <c r="M1" s="2148"/>
      <c r="N1" s="2148"/>
      <c r="O1" s="2148"/>
      <c r="P1" s="2148"/>
      <c r="Q1" s="2148"/>
      <c r="R1" s="2148"/>
      <c r="S1" s="276"/>
      <c r="T1" s="276"/>
      <c r="U1" s="276"/>
      <c r="V1" s="276"/>
      <c r="W1" s="276"/>
      <c r="X1" s="276"/>
      <c r="Y1" s="276"/>
      <c r="Z1" s="276"/>
      <c r="AA1" s="276"/>
      <c r="AB1" s="276"/>
      <c r="AC1" s="276"/>
      <c r="AD1" s="276"/>
      <c r="AE1" s="276"/>
      <c r="AF1" s="276"/>
      <c r="AG1" s="276"/>
      <c r="AH1" s="276"/>
      <c r="AI1" s="276"/>
      <c r="AJ1" s="276"/>
      <c r="AK1" s="276"/>
      <c r="AL1" s="276"/>
      <c r="AM1" s="276"/>
      <c r="AN1" s="276"/>
    </row>
    <row r="2" spans="1:40" ht="17.25" customHeight="1">
      <c r="A2" s="1218"/>
      <c r="B2" s="1218"/>
      <c r="C2" s="1218"/>
      <c r="D2" s="2504" t="s">
        <v>2261</v>
      </c>
      <c r="E2" s="2504"/>
      <c r="F2" s="2504"/>
      <c r="G2" s="2504"/>
      <c r="H2" s="2504"/>
      <c r="I2" s="2504"/>
      <c r="J2" s="2504"/>
      <c r="K2" s="2504"/>
      <c r="L2" s="1218"/>
      <c r="M2" s="1218"/>
      <c r="N2" s="1218"/>
      <c r="O2" s="1218"/>
      <c r="P2" s="1218"/>
      <c r="Q2" s="1218"/>
      <c r="R2" s="1218"/>
      <c r="S2" s="276"/>
      <c r="T2" s="276"/>
      <c r="U2" s="276"/>
      <c r="V2" s="276"/>
      <c r="W2" s="276"/>
      <c r="X2" s="276"/>
      <c r="Y2" s="276"/>
      <c r="Z2" s="276"/>
      <c r="AA2" s="276"/>
      <c r="AB2" s="276"/>
      <c r="AC2" s="276"/>
      <c r="AD2" s="276"/>
      <c r="AE2" s="276"/>
      <c r="AF2" s="276"/>
      <c r="AG2" s="276"/>
      <c r="AH2" s="276"/>
      <c r="AI2" s="276"/>
      <c r="AJ2" s="276"/>
      <c r="AK2" s="276"/>
      <c r="AL2" s="276"/>
      <c r="AM2" s="276"/>
      <c r="AN2" s="276"/>
    </row>
    <row r="3" spans="1:40" s="8" customFormat="1" ht="44.25" customHeight="1">
      <c r="A3" s="2149" t="s">
        <v>4275</v>
      </c>
      <c r="B3" s="2149"/>
      <c r="C3" s="2149"/>
      <c r="D3" s="2149"/>
      <c r="E3" s="2149"/>
      <c r="F3" s="2149"/>
      <c r="G3" s="2149"/>
      <c r="H3" s="2149"/>
      <c r="I3" s="2149"/>
      <c r="J3" s="2149"/>
      <c r="K3" s="2149"/>
      <c r="L3" s="2149"/>
      <c r="M3" s="2149"/>
      <c r="N3" s="2149"/>
      <c r="O3" s="2149"/>
      <c r="P3" s="2149"/>
      <c r="Q3" s="2149"/>
      <c r="R3" s="2149"/>
    </row>
    <row r="4" spans="1:40" s="8" customFormat="1" ht="20.100000000000001" customHeight="1">
      <c r="A4" s="997"/>
      <c r="B4" s="998" t="s">
        <v>57</v>
      </c>
      <c r="C4" s="999"/>
      <c r="D4" s="998"/>
      <c r="E4" s="998"/>
      <c r="F4" s="998"/>
      <c r="G4" s="998"/>
      <c r="H4" s="998"/>
      <c r="I4" s="998"/>
      <c r="J4" s="1391"/>
      <c r="K4" s="998"/>
      <c r="L4" s="998"/>
      <c r="M4" s="1000"/>
      <c r="N4" s="1001"/>
      <c r="O4" s="998"/>
      <c r="P4" s="998"/>
      <c r="Q4" s="998"/>
      <c r="R4" s="998"/>
    </row>
    <row r="5" spans="1:40" s="8" customFormat="1" ht="20.100000000000001" customHeight="1">
      <c r="A5" s="997" t="s">
        <v>136</v>
      </c>
      <c r="B5" s="998" t="str">
        <f>Datos!C25</f>
        <v>“MEJORAMIENTO DE LA GESTIÓN MUNICIPAL Y SERVICIO ADMINISTRATIVO DE LA MUNICIPALIDAD PROVINCIAL DE ABANCAY, DISTRITO DE ABANCAY - PROVINCIA DE ABANCAY - DEPARTAMENTO DE APURIMAC”.</v>
      </c>
      <c r="C5" s="999"/>
      <c r="D5" s="998"/>
      <c r="E5" s="998"/>
      <c r="F5" s="998"/>
      <c r="G5" s="998"/>
      <c r="H5" s="998"/>
      <c r="I5" s="998"/>
      <c r="J5" s="1391"/>
      <c r="K5" s="998"/>
      <c r="L5" s="998"/>
      <c r="M5" s="998"/>
      <c r="N5" s="998"/>
      <c r="O5" s="998"/>
      <c r="P5" s="998"/>
      <c r="Q5" s="998"/>
      <c r="R5" s="998"/>
    </row>
    <row r="6" spans="1:40" s="8" customFormat="1" ht="20.100000000000001" customHeight="1">
      <c r="A6" s="997" t="s">
        <v>137</v>
      </c>
      <c r="B6" s="998" t="s">
        <v>126</v>
      </c>
      <c r="C6" s="1002"/>
      <c r="D6" s="1003"/>
      <c r="E6" s="1003"/>
      <c r="F6" s="1003"/>
      <c r="G6" s="1003"/>
      <c r="H6" s="1003"/>
      <c r="I6" s="1003"/>
      <c r="J6" s="1392"/>
      <c r="K6" s="1003"/>
      <c r="L6" s="1004"/>
      <c r="M6" s="1003"/>
      <c r="N6" s="1003"/>
      <c r="O6" s="1003"/>
      <c r="P6" s="1003"/>
      <c r="Q6" s="1003"/>
      <c r="R6" s="1003"/>
    </row>
    <row r="7" spans="1:40" s="8" customFormat="1" ht="20.100000000000001" customHeight="1">
      <c r="A7" s="997" t="s">
        <v>139</v>
      </c>
      <c r="B7" s="1003">
        <v>38</v>
      </c>
      <c r="C7" s="1002"/>
      <c r="D7" s="1003"/>
      <c r="E7" s="1003"/>
      <c r="F7" s="1003"/>
      <c r="G7" s="1003"/>
      <c r="H7" s="1003"/>
      <c r="I7" s="1003"/>
      <c r="J7" s="2143" t="s">
        <v>1147</v>
      </c>
      <c r="K7" s="2144"/>
      <c r="L7" s="2145" t="s">
        <v>4267</v>
      </c>
      <c r="M7" s="2146"/>
      <c r="N7" s="2146"/>
      <c r="O7" s="2147"/>
      <c r="P7" s="1005"/>
      <c r="Q7" s="1005"/>
      <c r="R7" s="1005"/>
    </row>
    <row r="8" spans="1:40" s="8" customFormat="1" ht="20.100000000000001" customHeight="1">
      <c r="A8" s="997" t="s">
        <v>129</v>
      </c>
      <c r="B8" s="998" t="str">
        <f>Datos!C73</f>
        <v>ING. RICHARD ERWIN MONTALVO ALVARO</v>
      </c>
      <c r="C8" s="1006"/>
      <c r="D8" s="1007"/>
      <c r="E8" s="1007"/>
      <c r="F8" s="1007"/>
      <c r="G8" s="1007"/>
      <c r="H8" s="1007"/>
      <c r="I8" s="1007"/>
      <c r="J8" s="2143" t="s">
        <v>1148</v>
      </c>
      <c r="K8" s="2144"/>
      <c r="L8" s="2502" t="s">
        <v>125</v>
      </c>
      <c r="M8" s="2502"/>
      <c r="N8" s="2502"/>
      <c r="O8" s="2502"/>
      <c r="P8" s="2503"/>
      <c r="Q8" s="2503"/>
      <c r="R8" s="2503"/>
    </row>
    <row r="9" spans="1:40" s="8" customFormat="1" ht="20.100000000000001" customHeight="1">
      <c r="A9" s="997" t="s">
        <v>128</v>
      </c>
      <c r="B9" s="1008" t="str">
        <f>Datos!C80</f>
        <v>ING. IVES BUSTHER GUTIERREZ ARENAS</v>
      </c>
      <c r="C9" s="1009"/>
      <c r="D9" s="1010"/>
      <c r="E9" s="1010"/>
      <c r="F9" s="1010"/>
      <c r="G9" s="1010"/>
      <c r="H9" s="1010"/>
      <c r="I9" s="1010"/>
      <c r="J9" s="2143" t="s">
        <v>1149</v>
      </c>
      <c r="K9" s="2144"/>
      <c r="L9" s="2502" t="s">
        <v>125</v>
      </c>
      <c r="M9" s="2502"/>
      <c r="N9" s="2502"/>
      <c r="O9" s="2502"/>
      <c r="P9" s="2503"/>
      <c r="Q9" s="2503"/>
      <c r="R9" s="2503"/>
    </row>
    <row r="10" spans="1:40" s="314" customFormat="1" ht="20.100000000000001" customHeight="1">
      <c r="A10" s="997" t="s">
        <v>1150</v>
      </c>
      <c r="B10" s="1008" t="s">
        <v>1187</v>
      </c>
      <c r="C10" s="1009"/>
      <c r="D10" s="1010"/>
      <c r="E10" s="1010"/>
      <c r="F10" s="1010"/>
      <c r="G10" s="1010"/>
      <c r="H10" s="1010"/>
      <c r="I10" s="1010"/>
      <c r="J10" s="2143" t="s">
        <v>1151</v>
      </c>
      <c r="K10" s="2144"/>
      <c r="L10" s="2502" t="s">
        <v>124</v>
      </c>
      <c r="M10" s="2502"/>
      <c r="N10" s="2502"/>
      <c r="O10" s="2502"/>
      <c r="P10" s="2503"/>
      <c r="Q10" s="2503"/>
      <c r="R10" s="2503"/>
    </row>
    <row r="11" spans="1:40" s="314" customFormat="1" ht="24.95" customHeight="1">
      <c r="A11" s="998"/>
      <c r="B11" s="1011"/>
      <c r="C11" s="1009"/>
      <c r="D11" s="1010"/>
      <c r="E11" s="1010"/>
      <c r="F11" s="1010"/>
      <c r="G11" s="1010"/>
      <c r="H11" s="1010"/>
      <c r="I11" s="1010"/>
      <c r="J11" s="1393"/>
      <c r="K11" s="1012"/>
      <c r="L11" s="1012"/>
      <c r="M11" s="1012"/>
      <c r="N11" s="1012"/>
      <c r="O11" s="1012"/>
      <c r="P11" s="1012"/>
      <c r="Q11" s="1010"/>
      <c r="R11" s="1010"/>
    </row>
    <row r="12" spans="1:40" s="314" customFormat="1" ht="6.75" customHeight="1">
      <c r="A12" s="315"/>
      <c r="B12" s="315"/>
      <c r="C12" s="1257"/>
      <c r="D12" s="313"/>
      <c r="E12" s="313"/>
      <c r="F12" s="313"/>
    </row>
    <row r="13" spans="1:40" s="314" customFormat="1" ht="20.25" customHeight="1">
      <c r="A13" s="2501" t="s">
        <v>31</v>
      </c>
      <c r="B13" s="2501" t="s">
        <v>114</v>
      </c>
      <c r="C13" s="2501" t="s">
        <v>37</v>
      </c>
      <c r="D13" s="2501" t="s">
        <v>23</v>
      </c>
      <c r="E13" s="2501" t="s">
        <v>706</v>
      </c>
      <c r="F13" s="2501" t="s">
        <v>127</v>
      </c>
      <c r="G13" s="1036"/>
      <c r="H13" s="1037"/>
      <c r="I13" s="1037"/>
      <c r="J13" s="1037"/>
      <c r="K13" s="1038" t="s">
        <v>767</v>
      </c>
      <c r="L13" s="1037"/>
      <c r="M13" s="1037"/>
      <c r="N13" s="1037"/>
      <c r="O13" s="1039"/>
      <c r="P13" s="2497" t="s">
        <v>16</v>
      </c>
      <c r="Q13" s="2497"/>
      <c r="R13" s="2497"/>
    </row>
    <row r="14" spans="1:40" s="314" customFormat="1" ht="20.25" customHeight="1">
      <c r="A14" s="2501"/>
      <c r="B14" s="2501"/>
      <c r="C14" s="2501"/>
      <c r="D14" s="2501"/>
      <c r="E14" s="2501"/>
      <c r="F14" s="2501"/>
      <c r="G14" s="2497" t="s">
        <v>140</v>
      </c>
      <c r="H14" s="2497"/>
      <c r="I14" s="2497"/>
      <c r="J14" s="2497" t="s">
        <v>141</v>
      </c>
      <c r="K14" s="2497"/>
      <c r="L14" s="2497"/>
      <c r="M14" s="2497" t="s">
        <v>142</v>
      </c>
      <c r="N14" s="2497"/>
      <c r="O14" s="2497"/>
      <c r="P14" s="2497"/>
      <c r="Q14" s="2497"/>
      <c r="R14" s="2497"/>
    </row>
    <row r="15" spans="1:40" s="314" customFormat="1" ht="20.25" customHeight="1">
      <c r="A15" s="2501"/>
      <c r="B15" s="2501"/>
      <c r="C15" s="2501"/>
      <c r="D15" s="2501"/>
      <c r="E15" s="2501"/>
      <c r="F15" s="2501"/>
      <c r="G15" s="1040" t="s">
        <v>54</v>
      </c>
      <c r="H15" s="1040" t="s">
        <v>506</v>
      </c>
      <c r="I15" s="1040" t="s">
        <v>30</v>
      </c>
      <c r="J15" s="1048" t="s">
        <v>54</v>
      </c>
      <c r="K15" s="1040" t="s">
        <v>506</v>
      </c>
      <c r="L15" s="1040" t="s">
        <v>30</v>
      </c>
      <c r="M15" s="1040" t="s">
        <v>54</v>
      </c>
      <c r="N15" s="1040" t="s">
        <v>506</v>
      </c>
      <c r="O15" s="1040" t="s">
        <v>30</v>
      </c>
      <c r="P15" s="1040" t="s">
        <v>54</v>
      </c>
      <c r="Q15" s="1040" t="s">
        <v>506</v>
      </c>
      <c r="R15" s="1040" t="s">
        <v>30</v>
      </c>
    </row>
    <row r="16" spans="1:40" s="314" customFormat="1" ht="16.5" customHeight="1">
      <c r="A16" s="1923"/>
      <c r="B16" s="1923"/>
      <c r="C16" s="1923"/>
      <c r="D16" s="2003"/>
      <c r="E16" s="2003"/>
      <c r="F16" s="2004">
        <f>F44</f>
        <v>1252795.3999999999</v>
      </c>
      <c r="G16" s="1042"/>
      <c r="H16" s="1043">
        <f>H44</f>
        <v>880376.1</v>
      </c>
      <c r="I16" s="308"/>
      <c r="J16" s="1048"/>
      <c r="K16" s="1043">
        <f>K44</f>
        <v>243761.50000000003</v>
      </c>
      <c r="L16" s="309"/>
      <c r="M16" s="1044"/>
      <c r="N16" s="1043">
        <f>N44</f>
        <v>1124137.6000000001</v>
      </c>
      <c r="O16" s="308"/>
      <c r="P16" s="1044"/>
      <c r="Q16" s="1043">
        <f>Q44</f>
        <v>128657.80000000003</v>
      </c>
      <c r="R16" s="308"/>
    </row>
    <row r="17" spans="1:24" s="313" customFormat="1" ht="37.5" customHeight="1">
      <c r="A17" s="2005"/>
      <c r="B17" s="2006" t="s">
        <v>2150</v>
      </c>
      <c r="C17" s="2007"/>
      <c r="D17" s="2008"/>
      <c r="E17" s="2008"/>
      <c r="F17" s="2009"/>
      <c r="G17" s="1048"/>
      <c r="H17" s="303"/>
      <c r="I17" s="310"/>
      <c r="J17" s="1048"/>
      <c r="K17" s="311"/>
      <c r="L17" s="311"/>
      <c r="M17" s="1045"/>
      <c r="N17" s="311"/>
      <c r="O17" s="311"/>
      <c r="P17" s="1045"/>
      <c r="Q17" s="311"/>
      <c r="R17" s="311"/>
      <c r="S17" s="314"/>
      <c r="T17" s="314"/>
      <c r="U17" s="314"/>
      <c r="V17" s="314"/>
      <c r="W17" s="314"/>
      <c r="X17" s="314"/>
    </row>
    <row r="18" spans="1:24" s="316" customFormat="1" ht="16.5" customHeight="1">
      <c r="A18" s="1860">
        <v>1</v>
      </c>
      <c r="B18" s="1905" t="s">
        <v>1736</v>
      </c>
      <c r="C18" s="2010"/>
      <c r="D18" s="1877"/>
      <c r="E18" s="1906"/>
      <c r="F18" s="1879"/>
      <c r="G18" s="1049"/>
      <c r="H18" s="306"/>
      <c r="I18" s="307"/>
      <c r="J18" s="1048"/>
      <c r="K18" s="306"/>
      <c r="L18" s="307"/>
      <c r="M18" s="1047"/>
      <c r="N18" s="306"/>
      <c r="O18" s="307"/>
      <c r="P18" s="1047"/>
      <c r="Q18" s="306"/>
      <c r="R18" s="307"/>
      <c r="S18" s="314"/>
      <c r="T18" s="314"/>
      <c r="U18" s="314"/>
      <c r="V18" s="314"/>
      <c r="W18" s="314"/>
      <c r="X18" s="314"/>
    </row>
    <row r="19" spans="1:24" s="316" customFormat="1" ht="16.5" customHeight="1">
      <c r="A19" s="1860">
        <v>1.1000000000000001</v>
      </c>
      <c r="B19" s="1904" t="s">
        <v>2263</v>
      </c>
      <c r="C19" s="1959"/>
      <c r="D19" s="1877"/>
      <c r="E19" s="1903"/>
      <c r="F19" s="1879"/>
      <c r="G19" s="1049"/>
      <c r="H19" s="306"/>
      <c r="I19" s="307"/>
      <c r="J19" s="1048"/>
      <c r="K19" s="306"/>
      <c r="L19" s="307"/>
      <c r="M19" s="1047"/>
      <c r="N19" s="306"/>
      <c r="O19" s="307"/>
      <c r="P19" s="1047"/>
      <c r="Q19" s="306"/>
      <c r="R19" s="307"/>
      <c r="S19" s="314"/>
      <c r="T19" s="314"/>
      <c r="U19" s="314"/>
      <c r="V19" s="314"/>
      <c r="W19" s="314"/>
      <c r="X19" s="314"/>
    </row>
    <row r="20" spans="1:24" s="1972" customFormat="1" ht="33" customHeight="1">
      <c r="A20" s="1860" t="s">
        <v>1189</v>
      </c>
      <c r="B20" s="1860" t="s">
        <v>2264</v>
      </c>
      <c r="C20" s="1861" t="s">
        <v>52</v>
      </c>
      <c r="D20" s="1877">
        <v>16.34</v>
      </c>
      <c r="E20" s="2011">
        <v>320</v>
      </c>
      <c r="F20" s="2012">
        <f>+D20*E20</f>
        <v>5228.8</v>
      </c>
      <c r="G20" s="1966">
        <v>0</v>
      </c>
      <c r="H20" s="1967">
        <v>0</v>
      </c>
      <c r="I20" s="1968">
        <v>0</v>
      </c>
      <c r="J20" s="1969">
        <v>16.34</v>
      </c>
      <c r="K20" s="1967">
        <f t="shared" ref="K20:K22" si="0">J20*E20</f>
        <v>5228.8</v>
      </c>
      <c r="L20" s="1968">
        <f t="shared" ref="L20" si="1">+K20/$F20</f>
        <v>1</v>
      </c>
      <c r="M20" s="1970">
        <f t="shared" ref="M20" si="2">+G20+J20</f>
        <v>16.34</v>
      </c>
      <c r="N20" s="1967">
        <f t="shared" ref="N20" si="3">ROUND(+M20*E20,2)</f>
        <v>5228.8</v>
      </c>
      <c r="O20" s="1968">
        <f t="shared" ref="O20" si="4">+N20/$F20</f>
        <v>1</v>
      </c>
      <c r="P20" s="1970">
        <f>D20-M20</f>
        <v>0</v>
      </c>
      <c r="Q20" s="1967">
        <f t="shared" ref="Q20" si="5">F20-N20</f>
        <v>0</v>
      </c>
      <c r="R20" s="1968">
        <f t="shared" ref="R20" si="6">+Q20/$F20</f>
        <v>0</v>
      </c>
      <c r="S20" s="1971" t="str">
        <f>IF(M20&gt;D20,"mayormetrado","ok")</f>
        <v>ok</v>
      </c>
      <c r="T20" s="1971"/>
      <c r="U20" s="1971"/>
      <c r="V20" s="1971"/>
      <c r="W20" s="1971"/>
      <c r="X20" s="1971"/>
    </row>
    <row r="21" spans="1:24" s="1972" customFormat="1" ht="32.25" customHeight="1">
      <c r="A21" s="1860" t="s">
        <v>1194</v>
      </c>
      <c r="B21" s="1860" t="s">
        <v>2265</v>
      </c>
      <c r="C21" s="1861" t="s">
        <v>2147</v>
      </c>
      <c r="D21" s="1877">
        <v>65.430000000000007</v>
      </c>
      <c r="E21" s="2011">
        <v>300</v>
      </c>
      <c r="F21" s="2012">
        <f t="shared" ref="F21:F28" si="7">+D21*E21</f>
        <v>19629.000000000004</v>
      </c>
      <c r="G21" s="1966">
        <v>0</v>
      </c>
      <c r="H21" s="1967">
        <v>0</v>
      </c>
      <c r="I21" s="1968">
        <v>0</v>
      </c>
      <c r="J21" s="1969">
        <v>65.430000000000007</v>
      </c>
      <c r="K21" s="1967">
        <f t="shared" si="0"/>
        <v>19629.000000000004</v>
      </c>
      <c r="L21" s="1968">
        <f t="shared" ref="L21:L36" si="8">+K21/$F21</f>
        <v>1</v>
      </c>
      <c r="M21" s="1970">
        <f t="shared" ref="M21:M36" si="9">+G21+J21</f>
        <v>65.430000000000007</v>
      </c>
      <c r="N21" s="1967">
        <f t="shared" ref="N21:N36" si="10">ROUND(+M21*E21,2)</f>
        <v>19629</v>
      </c>
      <c r="O21" s="1968">
        <f t="shared" ref="O21:O36" si="11">+N21/$F21</f>
        <v>0.99999999999999978</v>
      </c>
      <c r="P21" s="1970">
        <f t="shared" ref="P21:P36" si="12">D21-M21</f>
        <v>0</v>
      </c>
      <c r="Q21" s="1967">
        <f t="shared" ref="Q21:Q36" si="13">F21-N21</f>
        <v>0</v>
      </c>
      <c r="R21" s="1968">
        <f t="shared" ref="R21:R36" si="14">+Q21/$F21</f>
        <v>0</v>
      </c>
      <c r="S21" s="1971" t="str">
        <f t="shared" ref="S21:S43" si="15">IF(M21&gt;D21,"mayormetrado","ok")</f>
        <v>ok</v>
      </c>
      <c r="T21" s="1971"/>
      <c r="U21" s="1971"/>
      <c r="V21" s="1971"/>
      <c r="W21" s="1971"/>
      <c r="X21" s="1971"/>
    </row>
    <row r="22" spans="1:24" s="1972" customFormat="1" ht="16.5" customHeight="1">
      <c r="A22" s="1860" t="s">
        <v>1197</v>
      </c>
      <c r="B22" s="1860" t="s">
        <v>2266</v>
      </c>
      <c r="C22" s="1861" t="s">
        <v>2147</v>
      </c>
      <c r="D22" s="1877">
        <v>30.72</v>
      </c>
      <c r="E22" s="1878">
        <v>300</v>
      </c>
      <c r="F22" s="1879">
        <f t="shared" si="7"/>
        <v>9216</v>
      </c>
      <c r="G22" s="1966">
        <v>0</v>
      </c>
      <c r="H22" s="1967">
        <v>0</v>
      </c>
      <c r="I22" s="1968">
        <v>0</v>
      </c>
      <c r="J22" s="1969">
        <v>30.72</v>
      </c>
      <c r="K22" s="1967">
        <f t="shared" si="0"/>
        <v>9216</v>
      </c>
      <c r="L22" s="1968">
        <f t="shared" si="8"/>
        <v>1</v>
      </c>
      <c r="M22" s="1970">
        <f t="shared" si="9"/>
        <v>30.72</v>
      </c>
      <c r="N22" s="1967">
        <f t="shared" si="10"/>
        <v>9216</v>
      </c>
      <c r="O22" s="1968">
        <f t="shared" si="11"/>
        <v>1</v>
      </c>
      <c r="P22" s="1970">
        <f t="shared" si="12"/>
        <v>0</v>
      </c>
      <c r="Q22" s="1967">
        <f t="shared" si="13"/>
        <v>0</v>
      </c>
      <c r="R22" s="1968">
        <f t="shared" si="14"/>
        <v>0</v>
      </c>
      <c r="S22" s="1971" t="str">
        <f t="shared" si="15"/>
        <v>ok</v>
      </c>
      <c r="T22" s="1971"/>
      <c r="U22" s="1971"/>
      <c r="V22" s="1971"/>
      <c r="W22" s="1971"/>
      <c r="X22" s="1971"/>
    </row>
    <row r="23" spans="1:24" s="1972" customFormat="1" ht="16.5" customHeight="1">
      <c r="A23" s="1860" t="s">
        <v>1199</v>
      </c>
      <c r="B23" s="1860" t="s">
        <v>2267</v>
      </c>
      <c r="C23" s="1861" t="s">
        <v>2147</v>
      </c>
      <c r="D23" s="1877">
        <v>83.32</v>
      </c>
      <c r="E23" s="1878">
        <v>320</v>
      </c>
      <c r="F23" s="1879">
        <f t="shared" si="7"/>
        <v>26662.399999999998</v>
      </c>
      <c r="G23" s="1966">
        <v>7</v>
      </c>
      <c r="H23" s="1967">
        <v>2240</v>
      </c>
      <c r="I23" s="1968">
        <v>8.4013442150744119E-2</v>
      </c>
      <c r="J23" s="1969">
        <v>76.319999999999993</v>
      </c>
      <c r="K23" s="1967">
        <f t="shared" ref="K23:K28" si="16">J23*E23</f>
        <v>24422.399999999998</v>
      </c>
      <c r="L23" s="1968">
        <f t="shared" si="8"/>
        <v>0.91598655784925587</v>
      </c>
      <c r="M23" s="1970">
        <f t="shared" si="9"/>
        <v>83.32</v>
      </c>
      <c r="N23" s="1967">
        <f t="shared" si="10"/>
        <v>26662.400000000001</v>
      </c>
      <c r="O23" s="1968">
        <f t="shared" si="11"/>
        <v>1.0000000000000002</v>
      </c>
      <c r="P23" s="1970">
        <f t="shared" si="12"/>
        <v>0</v>
      </c>
      <c r="Q23" s="1967">
        <f t="shared" si="13"/>
        <v>0</v>
      </c>
      <c r="R23" s="1968">
        <f t="shared" si="14"/>
        <v>0</v>
      </c>
      <c r="S23" s="1971" t="str">
        <f t="shared" si="15"/>
        <v>ok</v>
      </c>
      <c r="T23" s="1971"/>
      <c r="U23" s="1971"/>
      <c r="V23" s="1971"/>
      <c r="W23" s="1971"/>
      <c r="X23" s="1971"/>
    </row>
    <row r="24" spans="1:24" s="1972" customFormat="1" ht="18.75" customHeight="1">
      <c r="A24" s="1860" t="s">
        <v>1201</v>
      </c>
      <c r="B24" s="1860" t="s">
        <v>2268</v>
      </c>
      <c r="C24" s="1861" t="s">
        <v>2147</v>
      </c>
      <c r="D24" s="1877">
        <v>25.93</v>
      </c>
      <c r="E24" s="1878">
        <v>280</v>
      </c>
      <c r="F24" s="1879">
        <f t="shared" si="7"/>
        <v>7260.4</v>
      </c>
      <c r="G24" s="1966">
        <v>6</v>
      </c>
      <c r="H24" s="1967">
        <v>1680</v>
      </c>
      <c r="I24" s="1968">
        <v>0.23139220979560357</v>
      </c>
      <c r="J24" s="1969">
        <v>19.93</v>
      </c>
      <c r="K24" s="1967">
        <f t="shared" si="16"/>
        <v>5580.4</v>
      </c>
      <c r="L24" s="1968">
        <f t="shared" si="8"/>
        <v>0.7686077902043964</v>
      </c>
      <c r="M24" s="1970">
        <f t="shared" si="9"/>
        <v>25.93</v>
      </c>
      <c r="N24" s="1967">
        <f t="shared" si="10"/>
        <v>7260.4</v>
      </c>
      <c r="O24" s="1968">
        <f t="shared" si="11"/>
        <v>1</v>
      </c>
      <c r="P24" s="1970">
        <f t="shared" si="12"/>
        <v>0</v>
      </c>
      <c r="Q24" s="1967">
        <f t="shared" si="13"/>
        <v>0</v>
      </c>
      <c r="R24" s="1968">
        <f t="shared" si="14"/>
        <v>0</v>
      </c>
      <c r="S24" s="1971" t="str">
        <f t="shared" si="15"/>
        <v>ok</v>
      </c>
      <c r="T24" s="1971"/>
      <c r="U24" s="1971"/>
      <c r="V24" s="1971"/>
      <c r="W24" s="1971"/>
      <c r="X24" s="1971"/>
    </row>
    <row r="25" spans="1:24" s="934" customFormat="1" ht="30.75" customHeight="1">
      <c r="A25" s="1860" t="s">
        <v>2291</v>
      </c>
      <c r="B25" s="1860" t="s">
        <v>2269</v>
      </c>
      <c r="C25" s="1861" t="s">
        <v>2147</v>
      </c>
      <c r="D25" s="1877">
        <v>38.200000000000003</v>
      </c>
      <c r="E25" s="1878">
        <v>350</v>
      </c>
      <c r="F25" s="1879">
        <f t="shared" si="7"/>
        <v>13370.000000000002</v>
      </c>
      <c r="G25" s="1049">
        <v>0</v>
      </c>
      <c r="H25" s="1425">
        <v>0</v>
      </c>
      <c r="I25" s="305">
        <v>0</v>
      </c>
      <c r="J25" s="1048">
        <v>15</v>
      </c>
      <c r="K25" s="1425">
        <f t="shared" si="16"/>
        <v>5250</v>
      </c>
      <c r="L25" s="305">
        <f t="shared" si="8"/>
        <v>0.3926701570680628</v>
      </c>
      <c r="M25" s="1047">
        <f t="shared" si="9"/>
        <v>15</v>
      </c>
      <c r="N25" s="1425">
        <f t="shared" si="10"/>
        <v>5250</v>
      </c>
      <c r="O25" s="305">
        <f t="shared" si="11"/>
        <v>0.3926701570680628</v>
      </c>
      <c r="P25" s="1047">
        <f t="shared" si="12"/>
        <v>23.200000000000003</v>
      </c>
      <c r="Q25" s="1425">
        <f t="shared" si="13"/>
        <v>8120.0000000000018</v>
      </c>
      <c r="R25" s="305">
        <f t="shared" si="14"/>
        <v>0.60732984293193726</v>
      </c>
      <c r="S25" s="1426" t="str">
        <f t="shared" si="15"/>
        <v>ok</v>
      </c>
      <c r="T25" s="1426"/>
      <c r="U25" s="1426"/>
      <c r="V25" s="1426"/>
      <c r="W25" s="1426"/>
      <c r="X25" s="1426"/>
    </row>
    <row r="26" spans="1:24" s="934" customFormat="1" ht="16.5" customHeight="1">
      <c r="A26" s="1860" t="s">
        <v>2292</v>
      </c>
      <c r="B26" s="1860" t="s">
        <v>2270</v>
      </c>
      <c r="C26" s="1861" t="s">
        <v>2147</v>
      </c>
      <c r="D26" s="1877">
        <v>61.7</v>
      </c>
      <c r="E26" s="1878">
        <v>450</v>
      </c>
      <c r="F26" s="1879">
        <f t="shared" si="7"/>
        <v>27765</v>
      </c>
      <c r="G26" s="1049">
        <v>0</v>
      </c>
      <c r="H26" s="1425">
        <v>0</v>
      </c>
      <c r="I26" s="305">
        <v>0</v>
      </c>
      <c r="J26" s="1048">
        <v>20</v>
      </c>
      <c r="K26" s="1425">
        <f t="shared" si="16"/>
        <v>9000</v>
      </c>
      <c r="L26" s="305">
        <f t="shared" si="8"/>
        <v>0.32414910858995138</v>
      </c>
      <c r="M26" s="1047">
        <f t="shared" si="9"/>
        <v>20</v>
      </c>
      <c r="N26" s="1425">
        <f t="shared" si="10"/>
        <v>9000</v>
      </c>
      <c r="O26" s="305">
        <f t="shared" si="11"/>
        <v>0.32414910858995138</v>
      </c>
      <c r="P26" s="1047">
        <f t="shared" si="12"/>
        <v>41.7</v>
      </c>
      <c r="Q26" s="1425">
        <f t="shared" si="13"/>
        <v>18765</v>
      </c>
      <c r="R26" s="305">
        <f t="shared" si="14"/>
        <v>0.67585089141004862</v>
      </c>
      <c r="S26" s="1426" t="str">
        <f t="shared" si="15"/>
        <v>ok</v>
      </c>
      <c r="T26" s="1426"/>
      <c r="U26" s="1426"/>
      <c r="V26" s="1426"/>
      <c r="W26" s="1426"/>
      <c r="X26" s="1426"/>
    </row>
    <row r="27" spans="1:24" s="1972" customFormat="1" ht="16.5" customHeight="1">
      <c r="A27" s="1860" t="s">
        <v>2293</v>
      </c>
      <c r="B27" s="1860" t="s">
        <v>2271</v>
      </c>
      <c r="C27" s="1861" t="s">
        <v>2147</v>
      </c>
      <c r="D27" s="1877">
        <v>306.69</v>
      </c>
      <c r="E27" s="1878">
        <v>450</v>
      </c>
      <c r="F27" s="1879">
        <f t="shared" si="7"/>
        <v>138010.5</v>
      </c>
      <c r="G27" s="1966">
        <v>199.36</v>
      </c>
      <c r="H27" s="1967">
        <v>89712</v>
      </c>
      <c r="I27" s="1968">
        <v>0.65003749714695624</v>
      </c>
      <c r="J27" s="1969">
        <v>107.33</v>
      </c>
      <c r="K27" s="1967">
        <f t="shared" si="16"/>
        <v>48298.5</v>
      </c>
      <c r="L27" s="1968">
        <f t="shared" si="8"/>
        <v>0.34996250285304381</v>
      </c>
      <c r="M27" s="1970">
        <f t="shared" si="9"/>
        <v>306.69</v>
      </c>
      <c r="N27" s="1967">
        <f t="shared" si="10"/>
        <v>138010.5</v>
      </c>
      <c r="O27" s="1968">
        <f t="shared" si="11"/>
        <v>1</v>
      </c>
      <c r="P27" s="1970">
        <f t="shared" si="12"/>
        <v>0</v>
      </c>
      <c r="Q27" s="1967">
        <f t="shared" si="13"/>
        <v>0</v>
      </c>
      <c r="R27" s="1968">
        <f t="shared" si="14"/>
        <v>0</v>
      </c>
      <c r="S27" s="1971" t="str">
        <f t="shared" si="15"/>
        <v>ok</v>
      </c>
      <c r="T27" s="1971"/>
      <c r="U27" s="1971"/>
      <c r="V27" s="1971"/>
      <c r="W27" s="1971"/>
      <c r="X27" s="1971"/>
    </row>
    <row r="28" spans="1:24" s="1972" customFormat="1" ht="16.5" customHeight="1">
      <c r="A28" s="1860" t="s">
        <v>2294</v>
      </c>
      <c r="B28" s="1860" t="s">
        <v>2272</v>
      </c>
      <c r="C28" s="1861" t="s">
        <v>2147</v>
      </c>
      <c r="D28" s="1877">
        <v>145.27000000000001</v>
      </c>
      <c r="E28" s="1878">
        <v>450</v>
      </c>
      <c r="F28" s="1879">
        <f t="shared" si="7"/>
        <v>65371.500000000007</v>
      </c>
      <c r="G28" s="1966">
        <v>95.57</v>
      </c>
      <c r="H28" s="1967">
        <v>43006.5</v>
      </c>
      <c r="I28" s="1968">
        <v>0.6578784332622013</v>
      </c>
      <c r="J28" s="2002">
        <v>20</v>
      </c>
      <c r="K28" s="1967">
        <f t="shared" si="16"/>
        <v>9000</v>
      </c>
      <c r="L28" s="1968">
        <f t="shared" si="8"/>
        <v>0.13767467474358092</v>
      </c>
      <c r="M28" s="1970">
        <f>+G28+J28</f>
        <v>115.57</v>
      </c>
      <c r="N28" s="1967">
        <f t="shared" si="10"/>
        <v>52006.5</v>
      </c>
      <c r="O28" s="1968">
        <f t="shared" si="11"/>
        <v>0.79555310800578227</v>
      </c>
      <c r="P28" s="1970">
        <f t="shared" si="12"/>
        <v>29.700000000000017</v>
      </c>
      <c r="Q28" s="1967">
        <f t="shared" si="13"/>
        <v>13365.000000000007</v>
      </c>
      <c r="R28" s="1968">
        <f t="shared" si="14"/>
        <v>0.20444689199421776</v>
      </c>
      <c r="S28" s="1971" t="str">
        <f t="shared" si="15"/>
        <v>ok</v>
      </c>
      <c r="T28" s="1971"/>
      <c r="U28" s="1971"/>
      <c r="V28" s="1971"/>
      <c r="W28" s="1971"/>
      <c r="X28" s="1971"/>
    </row>
    <row r="29" spans="1:24" s="934" customFormat="1" ht="16.5" customHeight="1">
      <c r="A29" s="1860">
        <v>1.2</v>
      </c>
      <c r="B29" s="1904" t="s">
        <v>2273</v>
      </c>
      <c r="C29" s="1959"/>
      <c r="D29" s="1877"/>
      <c r="E29" s="1903"/>
      <c r="F29" s="1879"/>
      <c r="G29" s="1049"/>
      <c r="H29" s="1425"/>
      <c r="I29" s="305"/>
      <c r="J29" s="1048"/>
      <c r="K29" s="1425"/>
      <c r="L29" s="305"/>
      <c r="M29" s="1047"/>
      <c r="N29" s="1425"/>
      <c r="O29" s="305"/>
      <c r="P29" s="1047"/>
      <c r="Q29" s="1425"/>
      <c r="R29" s="305"/>
      <c r="S29" s="1426" t="str">
        <f t="shared" si="15"/>
        <v>ok</v>
      </c>
      <c r="T29" s="1426"/>
      <c r="U29" s="1426"/>
      <c r="V29" s="1426"/>
      <c r="W29" s="1426"/>
      <c r="X29" s="1426"/>
    </row>
    <row r="30" spans="1:24" s="934" customFormat="1" ht="16.5" customHeight="1">
      <c r="A30" s="1860" t="s">
        <v>1204</v>
      </c>
      <c r="B30" s="1860" t="s">
        <v>2274</v>
      </c>
      <c r="C30" s="1861" t="s">
        <v>2147</v>
      </c>
      <c r="D30" s="1877">
        <v>9.8699999999999992</v>
      </c>
      <c r="E30" s="1878">
        <v>300</v>
      </c>
      <c r="F30" s="1879">
        <f t="shared" ref="F30:F43" si="17">+D30*E30</f>
        <v>2960.9999999999995</v>
      </c>
      <c r="G30" s="1049">
        <v>0</v>
      </c>
      <c r="H30" s="1425">
        <v>0</v>
      </c>
      <c r="I30" s="305">
        <v>0</v>
      </c>
      <c r="J30" s="1048"/>
      <c r="K30" s="1425"/>
      <c r="L30" s="305">
        <f t="shared" si="8"/>
        <v>0</v>
      </c>
      <c r="M30" s="1047">
        <f t="shared" si="9"/>
        <v>0</v>
      </c>
      <c r="N30" s="1425">
        <f t="shared" si="10"/>
        <v>0</v>
      </c>
      <c r="O30" s="305">
        <f t="shared" si="11"/>
        <v>0</v>
      </c>
      <c r="P30" s="1047">
        <f t="shared" si="12"/>
        <v>9.8699999999999992</v>
      </c>
      <c r="Q30" s="1425">
        <f t="shared" si="13"/>
        <v>2960.9999999999995</v>
      </c>
      <c r="R30" s="305">
        <f t="shared" si="14"/>
        <v>1</v>
      </c>
      <c r="S30" s="1426" t="str">
        <f t="shared" si="15"/>
        <v>ok</v>
      </c>
      <c r="T30" s="1426"/>
      <c r="U30" s="1426"/>
      <c r="V30" s="1426"/>
      <c r="W30" s="1426"/>
      <c r="X30" s="1426"/>
    </row>
    <row r="31" spans="1:24" s="934" customFormat="1" ht="16.5" customHeight="1">
      <c r="A31" s="1860" t="s">
        <v>1205</v>
      </c>
      <c r="B31" s="1860" t="s">
        <v>2275</v>
      </c>
      <c r="C31" s="1861" t="s">
        <v>51</v>
      </c>
      <c r="D31" s="1877">
        <v>18.54</v>
      </c>
      <c r="E31" s="1878">
        <v>310</v>
      </c>
      <c r="F31" s="1879">
        <f t="shared" si="17"/>
        <v>5747.4</v>
      </c>
      <c r="G31" s="1049">
        <v>0</v>
      </c>
      <c r="H31" s="1425">
        <v>0</v>
      </c>
      <c r="I31" s="305">
        <v>0</v>
      </c>
      <c r="J31" s="1048"/>
      <c r="K31" s="1425"/>
      <c r="L31" s="305">
        <f t="shared" si="8"/>
        <v>0</v>
      </c>
      <c r="M31" s="1047">
        <f t="shared" si="9"/>
        <v>0</v>
      </c>
      <c r="N31" s="1425">
        <f t="shared" si="10"/>
        <v>0</v>
      </c>
      <c r="O31" s="305">
        <f t="shared" si="11"/>
        <v>0</v>
      </c>
      <c r="P31" s="1047">
        <f t="shared" si="12"/>
        <v>18.54</v>
      </c>
      <c r="Q31" s="1425">
        <f t="shared" si="13"/>
        <v>5747.4</v>
      </c>
      <c r="R31" s="305">
        <f t="shared" si="14"/>
        <v>1</v>
      </c>
      <c r="S31" s="1426" t="str">
        <f t="shared" si="15"/>
        <v>ok</v>
      </c>
      <c r="T31" s="1426"/>
      <c r="U31" s="1426"/>
      <c r="V31" s="1426"/>
      <c r="W31" s="1426"/>
      <c r="X31" s="1426"/>
    </row>
    <row r="32" spans="1:24" s="934" customFormat="1" ht="16.5" customHeight="1">
      <c r="A32" s="1860">
        <v>1.3</v>
      </c>
      <c r="B32" s="1904" t="s">
        <v>2276</v>
      </c>
      <c r="C32" s="1959"/>
      <c r="D32" s="1877"/>
      <c r="E32" s="1903"/>
      <c r="F32" s="1879"/>
      <c r="G32" s="1049"/>
      <c r="H32" s="1425"/>
      <c r="I32" s="305"/>
      <c r="J32" s="1048"/>
      <c r="K32" s="1425"/>
      <c r="L32" s="305"/>
      <c r="M32" s="1047"/>
      <c r="N32" s="1425"/>
      <c r="O32" s="305"/>
      <c r="P32" s="1047"/>
      <c r="Q32" s="1425"/>
      <c r="R32" s="305"/>
      <c r="S32" s="1426" t="str">
        <f t="shared" si="15"/>
        <v>ok</v>
      </c>
      <c r="T32" s="1426"/>
      <c r="U32" s="1426"/>
      <c r="V32" s="1426"/>
      <c r="W32" s="1426"/>
      <c r="X32" s="1426"/>
    </row>
    <row r="33" spans="1:24" s="1972" customFormat="1" ht="16.5" customHeight="1">
      <c r="A33" s="1860" t="s">
        <v>2209</v>
      </c>
      <c r="B33" s="1860" t="s">
        <v>2277</v>
      </c>
      <c r="C33" s="1861" t="s">
        <v>2147</v>
      </c>
      <c r="D33" s="1877">
        <v>24.46</v>
      </c>
      <c r="E33" s="1878">
        <v>350</v>
      </c>
      <c r="F33" s="1879">
        <f t="shared" si="17"/>
        <v>8561</v>
      </c>
      <c r="G33" s="1966">
        <v>0</v>
      </c>
      <c r="H33" s="1967">
        <v>0</v>
      </c>
      <c r="I33" s="1968">
        <v>0</v>
      </c>
      <c r="J33" s="1969">
        <v>24.46</v>
      </c>
      <c r="K33" s="1967">
        <f t="shared" ref="K33:K34" si="18">J33*E33</f>
        <v>8561</v>
      </c>
      <c r="L33" s="1968">
        <f t="shared" si="8"/>
        <v>1</v>
      </c>
      <c r="M33" s="1970">
        <f>+G33+J33</f>
        <v>24.46</v>
      </c>
      <c r="N33" s="1967">
        <f t="shared" si="10"/>
        <v>8561</v>
      </c>
      <c r="O33" s="1968">
        <f t="shared" si="11"/>
        <v>1</v>
      </c>
      <c r="P33" s="1970">
        <f t="shared" si="12"/>
        <v>0</v>
      </c>
      <c r="Q33" s="1967">
        <f t="shared" si="13"/>
        <v>0</v>
      </c>
      <c r="R33" s="1968">
        <f t="shared" si="14"/>
        <v>0</v>
      </c>
      <c r="S33" s="1971" t="str">
        <f t="shared" si="15"/>
        <v>ok</v>
      </c>
      <c r="T33" s="1971"/>
      <c r="U33" s="1971"/>
      <c r="V33" s="1971"/>
      <c r="W33" s="1971"/>
      <c r="X33" s="1971"/>
    </row>
    <row r="34" spans="1:24" s="934" customFormat="1" ht="16.5" customHeight="1">
      <c r="A34" s="1860" t="s">
        <v>2210</v>
      </c>
      <c r="B34" s="1860" t="s">
        <v>2278</v>
      </c>
      <c r="C34" s="1861" t="s">
        <v>2147</v>
      </c>
      <c r="D34" s="1877">
        <v>18.79</v>
      </c>
      <c r="E34" s="1878">
        <v>380</v>
      </c>
      <c r="F34" s="1879">
        <f t="shared" si="17"/>
        <v>7140.2</v>
      </c>
      <c r="G34" s="1049">
        <v>0</v>
      </c>
      <c r="H34" s="1425">
        <v>0</v>
      </c>
      <c r="I34" s="305">
        <v>0</v>
      </c>
      <c r="J34" s="1048">
        <v>18.79</v>
      </c>
      <c r="K34" s="1967">
        <f t="shared" si="18"/>
        <v>7140.2</v>
      </c>
      <c r="L34" s="305">
        <f t="shared" si="8"/>
        <v>1</v>
      </c>
      <c r="M34" s="1047">
        <f t="shared" si="9"/>
        <v>18.79</v>
      </c>
      <c r="N34" s="1425">
        <f t="shared" si="10"/>
        <v>7140.2</v>
      </c>
      <c r="O34" s="305">
        <f t="shared" si="11"/>
        <v>1</v>
      </c>
      <c r="P34" s="1047">
        <f t="shared" si="12"/>
        <v>0</v>
      </c>
      <c r="Q34" s="1425">
        <f t="shared" si="13"/>
        <v>0</v>
      </c>
      <c r="R34" s="305">
        <f t="shared" si="14"/>
        <v>0</v>
      </c>
      <c r="S34" s="1426" t="str">
        <f t="shared" si="15"/>
        <v>ok</v>
      </c>
      <c r="T34" s="1426"/>
      <c r="U34" s="1426"/>
      <c r="V34" s="1426"/>
      <c r="W34" s="1426"/>
      <c r="X34" s="1426"/>
    </row>
    <row r="35" spans="1:24" s="934" customFormat="1" ht="16.5" customHeight="1">
      <c r="A35" s="1860">
        <v>1.4</v>
      </c>
      <c r="B35" s="1904" t="s">
        <v>2279</v>
      </c>
      <c r="C35" s="1959"/>
      <c r="D35" s="1877"/>
      <c r="E35" s="1903"/>
      <c r="F35" s="1879"/>
      <c r="G35" s="1049"/>
      <c r="H35" s="1425"/>
      <c r="I35" s="305"/>
      <c r="J35" s="1048"/>
      <c r="K35" s="1425"/>
      <c r="L35" s="305"/>
      <c r="M35" s="1047"/>
      <c r="N35" s="1425"/>
      <c r="O35" s="305"/>
      <c r="P35" s="1047"/>
      <c r="Q35" s="1425"/>
      <c r="R35" s="305"/>
      <c r="S35" s="1426" t="str">
        <f t="shared" si="15"/>
        <v>ok</v>
      </c>
      <c r="T35" s="1426"/>
      <c r="U35" s="1426"/>
      <c r="V35" s="1426"/>
      <c r="W35" s="1426"/>
      <c r="X35" s="1426"/>
    </row>
    <row r="36" spans="1:24" s="934" customFormat="1" ht="16.5" customHeight="1">
      <c r="A36" s="1860" t="s">
        <v>2295</v>
      </c>
      <c r="B36" s="1860" t="s">
        <v>2280</v>
      </c>
      <c r="C36" s="1861" t="s">
        <v>2147</v>
      </c>
      <c r="D36" s="1877">
        <v>40.39</v>
      </c>
      <c r="E36" s="1878">
        <v>300</v>
      </c>
      <c r="F36" s="1879">
        <f t="shared" si="17"/>
        <v>12117</v>
      </c>
      <c r="G36" s="1049">
        <v>0</v>
      </c>
      <c r="H36" s="1425">
        <v>0</v>
      </c>
      <c r="I36" s="305">
        <v>0</v>
      </c>
      <c r="J36" s="1048"/>
      <c r="K36" s="1425"/>
      <c r="L36" s="305">
        <f t="shared" si="8"/>
        <v>0</v>
      </c>
      <c r="M36" s="1047">
        <f t="shared" si="9"/>
        <v>0</v>
      </c>
      <c r="N36" s="1425">
        <f t="shared" si="10"/>
        <v>0</v>
      </c>
      <c r="O36" s="305">
        <f t="shared" si="11"/>
        <v>0</v>
      </c>
      <c r="P36" s="1047">
        <f t="shared" si="12"/>
        <v>40.39</v>
      </c>
      <c r="Q36" s="1425">
        <f t="shared" si="13"/>
        <v>12117</v>
      </c>
      <c r="R36" s="305">
        <f t="shared" si="14"/>
        <v>1</v>
      </c>
      <c r="S36" s="1426" t="str">
        <f t="shared" si="15"/>
        <v>ok</v>
      </c>
      <c r="T36" s="1426"/>
      <c r="U36" s="1426"/>
      <c r="V36" s="1426"/>
      <c r="W36" s="1426"/>
      <c r="X36" s="1426"/>
    </row>
    <row r="37" spans="1:24" s="934" customFormat="1" ht="16.5" customHeight="1">
      <c r="A37" s="1860">
        <v>1.5</v>
      </c>
      <c r="B37" s="1904" t="s">
        <v>2281</v>
      </c>
      <c r="C37" s="1959"/>
      <c r="D37" s="1877"/>
      <c r="E37" s="1903"/>
      <c r="F37" s="1879"/>
      <c r="G37" s="1049"/>
      <c r="H37" s="1425"/>
      <c r="I37" s="305"/>
      <c r="J37" s="1049"/>
      <c r="K37" s="1425"/>
      <c r="L37" s="305"/>
      <c r="M37" s="1047"/>
      <c r="N37" s="1425"/>
      <c r="O37" s="305"/>
      <c r="P37" s="1047"/>
      <c r="Q37" s="1425"/>
      <c r="R37" s="305"/>
      <c r="S37" s="1426" t="str">
        <f t="shared" si="15"/>
        <v>ok</v>
      </c>
      <c r="T37" s="1426"/>
      <c r="U37" s="1426"/>
      <c r="V37" s="1426"/>
      <c r="W37" s="1426"/>
      <c r="X37" s="1426"/>
    </row>
    <row r="38" spans="1:24" s="1972" customFormat="1" ht="16.5" customHeight="1">
      <c r="A38" s="1860" t="s">
        <v>2296</v>
      </c>
      <c r="B38" s="1860" t="s">
        <v>2282</v>
      </c>
      <c r="C38" s="1861" t="s">
        <v>51</v>
      </c>
      <c r="D38" s="1877">
        <v>627.13</v>
      </c>
      <c r="E38" s="1878">
        <v>500</v>
      </c>
      <c r="F38" s="1879">
        <f t="shared" si="17"/>
        <v>313565</v>
      </c>
      <c r="G38" s="1966">
        <v>496.9</v>
      </c>
      <c r="H38" s="1967">
        <v>248450</v>
      </c>
      <c r="I38" s="1968">
        <v>0.79233970628099437</v>
      </c>
      <c r="J38" s="1966">
        <v>91.48</v>
      </c>
      <c r="K38" s="1967">
        <f>J38*E38</f>
        <v>45740</v>
      </c>
      <c r="L38" s="1968">
        <f t="shared" ref="L38:L39" si="19">+K38/$F38</f>
        <v>0.14587087206799229</v>
      </c>
      <c r="M38" s="1966">
        <f>+G38+J38</f>
        <v>588.38</v>
      </c>
      <c r="N38" s="1967">
        <f>ROUND(+M38*E38,2)</f>
        <v>294190</v>
      </c>
      <c r="O38" s="1968">
        <f t="shared" ref="O38:O39" si="20">+N38/$F38</f>
        <v>0.93821057834898669</v>
      </c>
      <c r="P38" s="1966">
        <f>D38-M38</f>
        <v>38.75</v>
      </c>
      <c r="Q38" s="1967">
        <f>F38-N38</f>
        <v>19375</v>
      </c>
      <c r="R38" s="1968">
        <f t="shared" ref="R38:R39" si="21">+Q38/$F38</f>
        <v>6.1789421651013345E-2</v>
      </c>
      <c r="S38" s="1971" t="str">
        <f t="shared" si="15"/>
        <v>ok</v>
      </c>
      <c r="T38" s="1971"/>
      <c r="U38" s="1971"/>
      <c r="V38" s="1971"/>
      <c r="W38" s="1971"/>
      <c r="X38" s="1971"/>
    </row>
    <row r="39" spans="1:24" s="1972" customFormat="1" ht="16.5" customHeight="1">
      <c r="A39" s="1860" t="s">
        <v>2297</v>
      </c>
      <c r="B39" s="1860" t="s">
        <v>2283</v>
      </c>
      <c r="C39" s="1861" t="s">
        <v>2147</v>
      </c>
      <c r="D39" s="1877">
        <v>102.27</v>
      </c>
      <c r="E39" s="1878">
        <v>580</v>
      </c>
      <c r="F39" s="1879">
        <f t="shared" si="17"/>
        <v>59316.6</v>
      </c>
      <c r="G39" s="1966">
        <v>65.010000000000005</v>
      </c>
      <c r="H39" s="1967">
        <v>37705.800000000003</v>
      </c>
      <c r="I39" s="1968">
        <v>0.63567028454092112</v>
      </c>
      <c r="J39" s="1969">
        <v>29.8</v>
      </c>
      <c r="K39" s="1967">
        <f t="shared" ref="K39:K41" si="22">J39*E39</f>
        <v>17284</v>
      </c>
      <c r="L39" s="1968">
        <f t="shared" si="19"/>
        <v>0.29138554805905936</v>
      </c>
      <c r="M39" s="1970">
        <f>+G39+J39</f>
        <v>94.81</v>
      </c>
      <c r="N39" s="1967">
        <f t="shared" ref="N39" si="23">ROUND(+M39*E39,2)</f>
        <v>54989.8</v>
      </c>
      <c r="O39" s="1968">
        <f t="shared" si="20"/>
        <v>0.92705583259998048</v>
      </c>
      <c r="P39" s="1970">
        <f t="shared" ref="P39" si="24">D39-M39</f>
        <v>7.4599999999999937</v>
      </c>
      <c r="Q39" s="1967">
        <f t="shared" ref="Q39" si="25">F39-N39</f>
        <v>4326.7999999999956</v>
      </c>
      <c r="R39" s="1968">
        <f t="shared" si="21"/>
        <v>7.294416740001948E-2</v>
      </c>
      <c r="S39" s="1971" t="str">
        <f t="shared" si="15"/>
        <v>ok</v>
      </c>
      <c r="T39" s="1971"/>
      <c r="U39" s="1971"/>
      <c r="V39" s="1971"/>
      <c r="W39" s="1971"/>
      <c r="X39" s="1971"/>
    </row>
    <row r="40" spans="1:24" s="1972" customFormat="1" ht="16.5" customHeight="1">
      <c r="A40" s="1860" t="s">
        <v>2298</v>
      </c>
      <c r="B40" s="1860" t="s">
        <v>2284</v>
      </c>
      <c r="C40" s="1861" t="s">
        <v>2147</v>
      </c>
      <c r="D40" s="1877">
        <v>159.01</v>
      </c>
      <c r="E40" s="1878">
        <v>560</v>
      </c>
      <c r="F40" s="1879">
        <f t="shared" si="17"/>
        <v>89045.599999999991</v>
      </c>
      <c r="G40" s="1966">
        <v>86.92</v>
      </c>
      <c r="H40" s="1967">
        <v>48675.199999999997</v>
      </c>
      <c r="I40" s="1968">
        <v>0.54663228727752977</v>
      </c>
      <c r="J40" s="1969">
        <v>45.02</v>
      </c>
      <c r="K40" s="1967">
        <f t="shared" si="22"/>
        <v>25211.200000000001</v>
      </c>
      <c r="L40" s="1968">
        <f t="shared" ref="L40:L43" si="26">+K40/$F40</f>
        <v>0.28312684736809007</v>
      </c>
      <c r="M40" s="1970">
        <f t="shared" ref="M40:M43" si="27">+G40+J40</f>
        <v>131.94</v>
      </c>
      <c r="N40" s="1967">
        <f t="shared" ref="N40:N43" si="28">ROUND(+M40*E40,2)</f>
        <v>73886.399999999994</v>
      </c>
      <c r="O40" s="1968">
        <f t="shared" ref="O40:O43" si="29">+N40/$F40</f>
        <v>0.82975913464561979</v>
      </c>
      <c r="P40" s="1970">
        <f t="shared" ref="P40:P43" si="30">D40-M40</f>
        <v>27.069999999999993</v>
      </c>
      <c r="Q40" s="1967">
        <f t="shared" ref="Q40:Q41" si="31">F40-N40</f>
        <v>15159.199999999997</v>
      </c>
      <c r="R40" s="1968">
        <f t="shared" ref="R40:R43" si="32">+Q40/$F40</f>
        <v>0.17024086535438021</v>
      </c>
      <c r="S40" s="1971" t="str">
        <f t="shared" si="15"/>
        <v>ok</v>
      </c>
      <c r="T40" s="1971"/>
      <c r="U40" s="1971"/>
      <c r="V40" s="1971"/>
      <c r="W40" s="1971"/>
      <c r="X40" s="1971"/>
    </row>
    <row r="41" spans="1:24" s="316" customFormat="1" ht="33.75" customHeight="1">
      <c r="A41" s="1860" t="s">
        <v>2299</v>
      </c>
      <c r="B41" s="1860" t="s">
        <v>2285</v>
      </c>
      <c r="C41" s="1861" t="s">
        <v>2147</v>
      </c>
      <c r="D41" s="1877">
        <v>19</v>
      </c>
      <c r="E41" s="2011">
        <v>600</v>
      </c>
      <c r="F41" s="2012">
        <f t="shared" si="17"/>
        <v>11400</v>
      </c>
      <c r="G41" s="1049">
        <v>0</v>
      </c>
      <c r="H41" s="306">
        <v>0</v>
      </c>
      <c r="I41" s="307">
        <v>0</v>
      </c>
      <c r="J41" s="1048">
        <v>7</v>
      </c>
      <c r="K41" s="1967">
        <f t="shared" si="22"/>
        <v>4200</v>
      </c>
      <c r="L41" s="307">
        <f t="shared" si="26"/>
        <v>0.36842105263157893</v>
      </c>
      <c r="M41" s="1047">
        <f t="shared" si="27"/>
        <v>7</v>
      </c>
      <c r="N41" s="306">
        <f t="shared" si="28"/>
        <v>4200</v>
      </c>
      <c r="O41" s="307">
        <f t="shared" si="29"/>
        <v>0.36842105263157893</v>
      </c>
      <c r="P41" s="1047">
        <f t="shared" si="30"/>
        <v>12</v>
      </c>
      <c r="Q41" s="306">
        <f t="shared" si="31"/>
        <v>7200</v>
      </c>
      <c r="R41" s="307">
        <f t="shared" si="32"/>
        <v>0.63157894736842102</v>
      </c>
      <c r="S41" s="314" t="str">
        <f t="shared" si="15"/>
        <v>ok</v>
      </c>
      <c r="T41" s="314"/>
      <c r="U41" s="314"/>
      <c r="V41" s="314"/>
      <c r="W41" s="314"/>
      <c r="X41" s="314"/>
    </row>
    <row r="42" spans="1:24" s="316" customFormat="1" ht="16.5" customHeight="1">
      <c r="A42" s="1860">
        <v>2</v>
      </c>
      <c r="B42" s="1905" t="s">
        <v>2300</v>
      </c>
      <c r="C42" s="1861"/>
      <c r="D42" s="1860"/>
      <c r="E42" s="2013"/>
      <c r="F42" s="2012"/>
      <c r="G42" s="1049"/>
      <c r="H42" s="306"/>
      <c r="I42" s="307"/>
      <c r="J42" s="1048"/>
      <c r="K42" s="306"/>
      <c r="L42" s="307"/>
      <c r="M42" s="1047"/>
      <c r="N42" s="306"/>
      <c r="O42" s="307"/>
      <c r="P42" s="1047"/>
      <c r="Q42" s="306"/>
      <c r="R42" s="307"/>
      <c r="S42" s="314" t="str">
        <f t="shared" si="15"/>
        <v>ok</v>
      </c>
      <c r="T42" s="314"/>
      <c r="U42" s="314"/>
      <c r="V42" s="314"/>
      <c r="W42" s="314"/>
      <c r="X42" s="314"/>
    </row>
    <row r="43" spans="1:24" s="316" customFormat="1" ht="32.25" customHeight="1" thickBot="1">
      <c r="A43" s="1860">
        <v>2.1</v>
      </c>
      <c r="B43" s="2014" t="s">
        <v>2301</v>
      </c>
      <c r="C43" s="2015" t="s">
        <v>291</v>
      </c>
      <c r="D43" s="2016">
        <v>2</v>
      </c>
      <c r="E43" s="2016">
        <v>215214</v>
      </c>
      <c r="F43" s="2012">
        <f t="shared" si="17"/>
        <v>430428</v>
      </c>
      <c r="G43" s="1222">
        <v>1.9</v>
      </c>
      <c r="H43" s="306">
        <v>408906.6</v>
      </c>
      <c r="I43" s="307">
        <v>0.95</v>
      </c>
      <c r="J43" s="1048"/>
      <c r="K43" s="306"/>
      <c r="L43" s="307">
        <f t="shared" si="26"/>
        <v>0</v>
      </c>
      <c r="M43" s="1047">
        <f t="shared" si="27"/>
        <v>1.9</v>
      </c>
      <c r="N43" s="306">
        <f t="shared" si="28"/>
        <v>408906.6</v>
      </c>
      <c r="O43" s="307">
        <f t="shared" si="29"/>
        <v>0.95</v>
      </c>
      <c r="P43" s="1047">
        <f t="shared" si="30"/>
        <v>0.10000000000000009</v>
      </c>
      <c r="Q43" s="306">
        <f>F43-N43</f>
        <v>21521.400000000023</v>
      </c>
      <c r="R43" s="307">
        <f t="shared" si="32"/>
        <v>5.0000000000000051E-2</v>
      </c>
      <c r="S43" s="314" t="str">
        <f t="shared" si="15"/>
        <v>ok</v>
      </c>
      <c r="T43" s="314"/>
      <c r="U43" s="314"/>
      <c r="V43" s="314"/>
      <c r="W43" s="314"/>
      <c r="X43" s="314"/>
    </row>
    <row r="44" spans="1:24" s="304" customFormat="1" ht="15" customHeight="1" thickBot="1">
      <c r="A44" s="933"/>
      <c r="B44" s="2498" t="s">
        <v>18</v>
      </c>
      <c r="C44" s="2499"/>
      <c r="D44" s="2499"/>
      <c r="E44" s="2500"/>
      <c r="F44" s="1050">
        <f>SUM(F18:F43)</f>
        <v>1252795.3999999999</v>
      </c>
      <c r="G44" s="1051"/>
      <c r="H44" s="1050">
        <f>SUM(H18:H43)</f>
        <v>880376.1</v>
      </c>
      <c r="I44" s="1052">
        <f>+H44/$F44</f>
        <v>0.70272935229487599</v>
      </c>
      <c r="J44" s="1048"/>
      <c r="K44" s="1050">
        <f>SUM(K18:K43)</f>
        <v>243761.50000000003</v>
      </c>
      <c r="L44" s="1052">
        <f>+K44/$F44</f>
        <v>0.1945740701155193</v>
      </c>
      <c r="M44" s="1054"/>
      <c r="N44" s="1050">
        <f>SUM(N18:N43)</f>
        <v>1124137.6000000001</v>
      </c>
      <c r="O44" s="1052">
        <f>+N44/$F44</f>
        <v>0.89730342241039529</v>
      </c>
      <c r="P44" s="1054"/>
      <c r="Q44" s="1050">
        <f>SUM(Q18:Q43)</f>
        <v>128657.80000000003</v>
      </c>
      <c r="R44" s="1055">
        <f>+Q44/$F44</f>
        <v>0.10269657758960485</v>
      </c>
      <c r="S44" s="1133">
        <f>F44-N44</f>
        <v>128657.79999999981</v>
      </c>
      <c r="T44" s="1885">
        <f>SUM(Q20:Q43)</f>
        <v>128657.80000000003</v>
      </c>
      <c r="U44" s="314"/>
      <c r="V44" s="314"/>
      <c r="W44" s="314"/>
      <c r="X44" s="314"/>
    </row>
    <row r="45" spans="1:24" ht="15.75">
      <c r="B45" s="1056" t="s">
        <v>708</v>
      </c>
      <c r="C45" s="1261"/>
      <c r="D45" s="1058">
        <f>100*F45/$F$44</f>
        <v>6.6499996727318766</v>
      </c>
      <c r="E45" s="1124" t="s">
        <v>30</v>
      </c>
      <c r="F45" s="1060">
        <v>83310.89</v>
      </c>
      <c r="G45" s="1059"/>
      <c r="H45" s="1061">
        <v>0</v>
      </c>
      <c r="I45" s="1170">
        <f t="shared" ref="I45:I47" si="33">+H45/$F45</f>
        <v>0</v>
      </c>
      <c r="J45" s="1048"/>
      <c r="K45" s="1062"/>
      <c r="L45" s="1170">
        <f>+K45/$F45</f>
        <v>0</v>
      </c>
      <c r="M45" s="1059"/>
      <c r="N45" s="1061">
        <f>H45+K45</f>
        <v>0</v>
      </c>
      <c r="O45" s="1082">
        <f>N45/F45</f>
        <v>0</v>
      </c>
      <c r="P45" s="1059"/>
      <c r="Q45" s="1061">
        <f>F45-N45</f>
        <v>83310.89</v>
      </c>
      <c r="R45" s="1083">
        <f>Q45/F45</f>
        <v>1</v>
      </c>
      <c r="S45" s="316"/>
    </row>
    <row r="46" spans="1:24" ht="15.75">
      <c r="B46" s="1063" t="s">
        <v>119</v>
      </c>
      <c r="C46" s="1262"/>
      <c r="D46" s="1058">
        <f>100*F46/$F$44</f>
        <v>2.8800001979573042</v>
      </c>
      <c r="E46" s="1125" t="s">
        <v>30</v>
      </c>
      <c r="F46" s="1067">
        <v>36080.51</v>
      </c>
      <c r="G46" s="1068"/>
      <c r="H46" s="1061">
        <v>0</v>
      </c>
      <c r="I46" s="1073">
        <f t="shared" si="33"/>
        <v>0</v>
      </c>
      <c r="J46" s="1048"/>
      <c r="K46" s="1070"/>
      <c r="L46" s="1073">
        <f>+K46/$F46</f>
        <v>0</v>
      </c>
      <c r="M46" s="1072"/>
      <c r="N46" s="1061">
        <f t="shared" ref="N46:N47" si="34">H46+K46</f>
        <v>0</v>
      </c>
      <c r="O46" s="1082">
        <f t="shared" ref="O46:O47" si="35">N46/F46</f>
        <v>0</v>
      </c>
      <c r="P46" s="1072"/>
      <c r="Q46" s="1061">
        <f t="shared" ref="Q46:Q47" si="36">F46-N46</f>
        <v>36080.51</v>
      </c>
      <c r="R46" s="1083">
        <f t="shared" ref="R46:R47" si="37">Q46/F46</f>
        <v>1</v>
      </c>
      <c r="S46" s="230">
        <f>0.005*F44</f>
        <v>6263.9769999999999</v>
      </c>
    </row>
    <row r="47" spans="1:24" ht="16.5" thickBot="1">
      <c r="B47" s="1063" t="s">
        <v>1131</v>
      </c>
      <c r="C47" s="1262"/>
      <c r="D47" s="1058">
        <f>100*F47/$F$44</f>
        <v>0.53000034961814202</v>
      </c>
      <c r="E47" s="1125" t="s">
        <v>30</v>
      </c>
      <c r="F47" s="1067">
        <v>6639.82</v>
      </c>
      <c r="G47" s="1068"/>
      <c r="H47" s="1061">
        <v>0</v>
      </c>
      <c r="I47" s="1073">
        <f t="shared" si="33"/>
        <v>0</v>
      </c>
      <c r="J47" s="1048"/>
      <c r="K47" s="1070"/>
      <c r="L47" s="1073">
        <f t="shared" ref="L47" si="38">+K47/$F47</f>
        <v>0</v>
      </c>
      <c r="M47" s="1072"/>
      <c r="N47" s="1061">
        <f t="shared" si="34"/>
        <v>0</v>
      </c>
      <c r="O47" s="1082">
        <f t="shared" si="35"/>
        <v>0</v>
      </c>
      <c r="P47" s="1072"/>
      <c r="Q47" s="1061">
        <f t="shared" si="36"/>
        <v>6639.82</v>
      </c>
      <c r="R47" s="1083">
        <f t="shared" si="37"/>
        <v>1</v>
      </c>
    </row>
    <row r="48" spans="1:24" ht="16.5" thickBot="1">
      <c r="B48" s="2494" t="s">
        <v>707</v>
      </c>
      <c r="C48" s="2495"/>
      <c r="D48" s="2495"/>
      <c r="E48" s="2496"/>
      <c r="F48" s="1077">
        <f>SUM(F44:F47)</f>
        <v>1378826.6199999999</v>
      </c>
      <c r="G48" s="1051"/>
      <c r="H48" s="1077">
        <f>SUM(H44:H47)</f>
        <v>880376.1</v>
      </c>
      <c r="I48" s="1052">
        <f>+H48/$F48</f>
        <v>0.63849659357461497</v>
      </c>
      <c r="J48" s="1048"/>
      <c r="K48" s="1077">
        <f>SUM(K44:K47)</f>
        <v>243761.50000000003</v>
      </c>
      <c r="L48" s="1052">
        <f>+K48/F48</f>
        <v>0.17678908752138833</v>
      </c>
      <c r="M48" s="1054"/>
      <c r="N48" s="1077">
        <f>SUM(N44:N47)</f>
        <v>1124137.6000000001</v>
      </c>
      <c r="O48" s="1052">
        <f>+N48/F48</f>
        <v>0.8152856810960033</v>
      </c>
      <c r="P48" s="1054"/>
      <c r="Q48" s="1077">
        <f>F48-N48</f>
        <v>254689.01999999979</v>
      </c>
      <c r="R48" s="1055">
        <f>+Q48/F48</f>
        <v>0.18471431890399664</v>
      </c>
      <c r="S48" s="1191">
        <f>SUM(Q44:Q47)</f>
        <v>254689.02000000005</v>
      </c>
    </row>
    <row r="50" spans="1:21" ht="32.25">
      <c r="A50" s="2148" t="s">
        <v>2262</v>
      </c>
      <c r="B50" s="2148"/>
      <c r="C50" s="2148"/>
      <c r="D50" s="2148"/>
      <c r="E50" s="2148"/>
      <c r="F50" s="2148"/>
      <c r="G50" s="2148"/>
      <c r="H50" s="2148"/>
      <c r="I50" s="2148"/>
      <c r="J50" s="2148"/>
      <c r="K50" s="2148"/>
      <c r="L50" s="2148"/>
      <c r="M50" s="2148"/>
      <c r="N50" s="2148"/>
      <c r="O50" s="2148"/>
      <c r="P50" s="2148"/>
      <c r="Q50" s="2148"/>
      <c r="R50" s="2148"/>
    </row>
    <row r="51" spans="1:21" ht="32.25">
      <c r="A51" s="1218"/>
      <c r="B51" s="1218"/>
      <c r="C51" s="1218"/>
      <c r="D51" s="2504" t="s">
        <v>2261</v>
      </c>
      <c r="E51" s="2504"/>
      <c r="F51" s="2504"/>
      <c r="G51" s="2504"/>
      <c r="H51" s="2504"/>
      <c r="I51" s="2504"/>
      <c r="J51" s="2504"/>
      <c r="K51" s="2504"/>
      <c r="L51" s="1218"/>
      <c r="M51" s="1218"/>
      <c r="N51" s="1218"/>
      <c r="O51" s="1218"/>
      <c r="P51" s="1218"/>
      <c r="Q51" s="1218"/>
      <c r="R51" s="1218"/>
    </row>
    <row r="52" spans="1:21" ht="22.5">
      <c r="A52" s="2149" t="s">
        <v>4275</v>
      </c>
      <c r="B52" s="2149"/>
      <c r="C52" s="2149"/>
      <c r="D52" s="2149"/>
      <c r="E52" s="2149"/>
      <c r="F52" s="2149"/>
      <c r="G52" s="2149"/>
      <c r="H52" s="2149"/>
      <c r="I52" s="2149"/>
      <c r="J52" s="2149"/>
      <c r="K52" s="2149"/>
      <c r="L52" s="2149"/>
      <c r="M52" s="2149"/>
      <c r="N52" s="2149"/>
      <c r="O52" s="2149"/>
      <c r="P52" s="2149"/>
      <c r="Q52" s="2149"/>
      <c r="R52" s="2149"/>
    </row>
    <row r="53" spans="1:21">
      <c r="A53" s="997"/>
      <c r="B53" s="998" t="s">
        <v>57</v>
      </c>
      <c r="C53" s="999"/>
      <c r="D53" s="998"/>
      <c r="E53" s="998"/>
      <c r="F53" s="998"/>
      <c r="G53" s="998"/>
      <c r="H53" s="998"/>
      <c r="I53" s="998"/>
      <c r="J53" s="1391"/>
      <c r="K53" s="998"/>
      <c r="L53" s="998"/>
      <c r="M53" s="1000"/>
      <c r="N53" s="1001"/>
      <c r="O53" s="998"/>
      <c r="P53" s="998"/>
      <c r="Q53" s="998"/>
      <c r="R53" s="998"/>
    </row>
    <row r="54" spans="1:21">
      <c r="A54" s="997" t="s">
        <v>136</v>
      </c>
      <c r="B54" s="998" t="str">
        <f>B5</f>
        <v>“MEJORAMIENTO DE LA GESTIÓN MUNICIPAL Y SERVICIO ADMINISTRATIVO DE LA MUNICIPALIDAD PROVINCIAL DE ABANCAY, DISTRITO DE ABANCAY - PROVINCIA DE ABANCAY - DEPARTAMENTO DE APURIMAC”.</v>
      </c>
      <c r="C54" s="998"/>
      <c r="D54" s="998"/>
      <c r="E54" s="998"/>
      <c r="F54" s="998"/>
      <c r="G54" s="998"/>
      <c r="H54" s="998"/>
      <c r="I54" s="998"/>
      <c r="J54" s="1391"/>
      <c r="K54" s="998"/>
      <c r="L54" s="998"/>
      <c r="M54" s="998"/>
      <c r="N54" s="998"/>
      <c r="O54" s="998"/>
      <c r="P54" s="998"/>
      <c r="Q54" s="998"/>
      <c r="R54" s="998"/>
    </row>
    <row r="55" spans="1:21">
      <c r="A55" s="997" t="s">
        <v>137</v>
      </c>
      <c r="B55" s="998" t="s">
        <v>126</v>
      </c>
      <c r="C55" s="1002"/>
      <c r="D55" s="1003"/>
      <c r="E55" s="1003"/>
      <c r="F55" s="1003"/>
      <c r="G55" s="1003"/>
      <c r="H55" s="1003"/>
      <c r="I55" s="1003"/>
      <c r="J55" s="1392"/>
      <c r="K55" s="1003"/>
      <c r="L55" s="1004"/>
      <c r="M55" s="1003"/>
      <c r="N55" s="1003"/>
      <c r="O55" s="1003"/>
      <c r="P55" s="1003"/>
      <c r="Q55" s="1003"/>
      <c r="R55" s="1003"/>
    </row>
    <row r="56" spans="1:21">
      <c r="A56" s="997" t="s">
        <v>139</v>
      </c>
      <c r="B56" s="1003">
        <v>38</v>
      </c>
      <c r="C56" s="1002"/>
      <c r="D56" s="1003"/>
      <c r="E56" s="1003"/>
      <c r="F56" s="1003"/>
      <c r="G56" s="1003"/>
      <c r="H56" s="1003"/>
      <c r="I56" s="1003"/>
      <c r="J56" s="2143" t="s">
        <v>1147</v>
      </c>
      <c r="K56" s="2144"/>
      <c r="L56" s="2145" t="s">
        <v>4268</v>
      </c>
      <c r="M56" s="2146"/>
      <c r="N56" s="2146"/>
      <c r="O56" s="2147"/>
      <c r="P56" s="1005"/>
      <c r="Q56" s="1005"/>
      <c r="R56" s="1005"/>
    </row>
    <row r="57" spans="1:21" ht="20.25">
      <c r="A57" s="997" t="s">
        <v>129</v>
      </c>
      <c r="B57" s="998" t="str">
        <f>B8</f>
        <v>ING. RICHARD ERWIN MONTALVO ALVARO</v>
      </c>
      <c r="C57" s="1006"/>
      <c r="D57" s="1007"/>
      <c r="E57" s="1007"/>
      <c r="F57" s="1007"/>
      <c r="G57" s="1007"/>
      <c r="H57" s="1007"/>
      <c r="I57" s="1007"/>
      <c r="J57" s="2143" t="s">
        <v>1148</v>
      </c>
      <c r="K57" s="2144"/>
      <c r="L57" s="2502" t="s">
        <v>125</v>
      </c>
      <c r="M57" s="2502"/>
      <c r="N57" s="2502"/>
      <c r="O57" s="2502"/>
      <c r="P57" s="2503"/>
      <c r="Q57" s="2503"/>
      <c r="R57" s="2503"/>
      <c r="U57" s="1191"/>
    </row>
    <row r="58" spans="1:21">
      <c r="A58" s="997" t="s">
        <v>128</v>
      </c>
      <c r="B58" s="1008" t="str">
        <f>B9</f>
        <v>ING. IVES BUSTHER GUTIERREZ ARENAS</v>
      </c>
      <c r="C58" s="1009"/>
      <c r="D58" s="1010"/>
      <c r="E58" s="1010"/>
      <c r="F58" s="1010"/>
      <c r="G58" s="1010"/>
      <c r="H58" s="1010"/>
      <c r="I58" s="1010"/>
      <c r="J58" s="2143" t="s">
        <v>1149</v>
      </c>
      <c r="K58" s="2144"/>
      <c r="L58" s="2502" t="s">
        <v>125</v>
      </c>
      <c r="M58" s="2502"/>
      <c r="N58" s="2502"/>
      <c r="O58" s="2502"/>
      <c r="P58" s="2503"/>
      <c r="Q58" s="2503"/>
      <c r="R58" s="2503"/>
    </row>
    <row r="59" spans="1:21">
      <c r="A59" s="997" t="s">
        <v>1150</v>
      </c>
      <c r="B59" s="1008" t="s">
        <v>1187</v>
      </c>
      <c r="C59" s="1009"/>
      <c r="D59" s="1010"/>
      <c r="E59" s="1010"/>
      <c r="F59" s="1010"/>
      <c r="G59" s="1010"/>
      <c r="H59" s="1010"/>
      <c r="I59" s="1010"/>
      <c r="J59" s="2143" t="s">
        <v>1151</v>
      </c>
      <c r="K59" s="2144"/>
      <c r="L59" s="2502" t="s">
        <v>124</v>
      </c>
      <c r="M59" s="2502"/>
      <c r="N59" s="2502"/>
      <c r="O59" s="2502"/>
      <c r="P59" s="2503"/>
      <c r="Q59" s="2503"/>
      <c r="R59" s="2503"/>
    </row>
    <row r="60" spans="1:21" ht="15.75">
      <c r="A60" s="998"/>
      <c r="B60" s="1011"/>
      <c r="C60" s="1009"/>
      <c r="D60" s="1010"/>
      <c r="E60" s="1010"/>
      <c r="F60" s="1010"/>
      <c r="G60" s="1010"/>
      <c r="H60" s="1010"/>
      <c r="I60" s="1010"/>
      <c r="J60" s="1393"/>
      <c r="K60" s="1012"/>
      <c r="L60" s="1012"/>
      <c r="M60" s="1012"/>
      <c r="N60" s="1012"/>
      <c r="O60" s="1012"/>
      <c r="P60" s="1012"/>
      <c r="Q60" s="1010"/>
      <c r="R60" s="1010"/>
    </row>
    <row r="61" spans="1:21">
      <c r="A61" s="315"/>
      <c r="B61" s="315"/>
      <c r="C61" s="313"/>
      <c r="D61" s="313"/>
      <c r="E61" s="313"/>
      <c r="F61" s="313"/>
      <c r="G61" s="314"/>
      <c r="H61" s="314"/>
      <c r="I61" s="314"/>
      <c r="J61" s="314"/>
      <c r="K61" s="314"/>
      <c r="L61" s="314"/>
      <c r="M61" s="314"/>
      <c r="N61" s="314"/>
      <c r="O61" s="314"/>
      <c r="P61" s="314"/>
      <c r="Q61" s="314"/>
      <c r="R61" s="314"/>
    </row>
    <row r="62" spans="1:21" ht="15.75">
      <c r="A62" s="2501" t="s">
        <v>31</v>
      </c>
      <c r="B62" s="2501" t="s">
        <v>114</v>
      </c>
      <c r="C62" s="2501" t="s">
        <v>37</v>
      </c>
      <c r="D62" s="2501" t="s">
        <v>23</v>
      </c>
      <c r="E62" s="2501" t="s">
        <v>706</v>
      </c>
      <c r="F62" s="2501" t="s">
        <v>127</v>
      </c>
      <c r="G62" s="1036"/>
      <c r="H62" s="1037"/>
      <c r="I62" s="1037"/>
      <c r="J62" s="1394"/>
      <c r="K62" s="1038" t="s">
        <v>767</v>
      </c>
      <c r="L62" s="1037"/>
      <c r="M62" s="1037"/>
      <c r="N62" s="1037"/>
      <c r="O62" s="1039"/>
      <c r="P62" s="2497" t="s">
        <v>16</v>
      </c>
      <c r="Q62" s="2497"/>
      <c r="R62" s="2497"/>
    </row>
    <row r="63" spans="1:21" ht="15.75">
      <c r="A63" s="2501"/>
      <c r="B63" s="2501"/>
      <c r="C63" s="2501"/>
      <c r="D63" s="2501"/>
      <c r="E63" s="2501"/>
      <c r="F63" s="2501"/>
      <c r="G63" s="2497" t="s">
        <v>140</v>
      </c>
      <c r="H63" s="2497"/>
      <c r="I63" s="2497"/>
      <c r="J63" s="2505" t="s">
        <v>141</v>
      </c>
      <c r="K63" s="2506"/>
      <c r="L63" s="2507"/>
      <c r="M63" s="2497" t="s">
        <v>142</v>
      </c>
      <c r="N63" s="2497"/>
      <c r="O63" s="2497"/>
      <c r="P63" s="2497"/>
      <c r="Q63" s="2497"/>
      <c r="R63" s="2497"/>
    </row>
    <row r="64" spans="1:21" ht="15.75">
      <c r="A64" s="2501"/>
      <c r="B64" s="2501"/>
      <c r="C64" s="2501"/>
      <c r="D64" s="2501"/>
      <c r="E64" s="2501"/>
      <c r="F64" s="2501"/>
      <c r="G64" s="1040" t="s">
        <v>54</v>
      </c>
      <c r="H64" s="1040" t="s">
        <v>506</v>
      </c>
      <c r="I64" s="1040" t="s">
        <v>30</v>
      </c>
      <c r="J64" s="1395" t="s">
        <v>54</v>
      </c>
      <c r="K64" s="1040" t="s">
        <v>506</v>
      </c>
      <c r="L64" s="1040" t="s">
        <v>30</v>
      </c>
      <c r="M64" s="1040" t="s">
        <v>54</v>
      </c>
      <c r="N64" s="1040" t="s">
        <v>506</v>
      </c>
      <c r="O64" s="1040" t="s">
        <v>30</v>
      </c>
      <c r="P64" s="1040" t="s">
        <v>54</v>
      </c>
      <c r="Q64" s="1040" t="s">
        <v>506</v>
      </c>
      <c r="R64" s="1040" t="s">
        <v>30</v>
      </c>
    </row>
    <row r="65" spans="1:18" ht="15.75">
      <c r="A65" s="300"/>
      <c r="B65" s="300"/>
      <c r="C65" s="300"/>
      <c r="D65" s="301"/>
      <c r="E65" s="301"/>
      <c r="F65" s="1041">
        <f>F74</f>
        <v>660953.69779999997</v>
      </c>
      <c r="G65" s="1042"/>
      <c r="H65" s="1043">
        <f>H74</f>
        <v>0</v>
      </c>
      <c r="I65" s="308"/>
      <c r="J65" s="308"/>
      <c r="K65" s="1043">
        <f>K74</f>
        <v>0</v>
      </c>
      <c r="L65" s="309"/>
      <c r="M65" s="1044"/>
      <c r="N65" s="1043">
        <f>N74</f>
        <v>0</v>
      </c>
      <c r="O65" s="308"/>
      <c r="P65" s="1044"/>
      <c r="Q65" s="1043">
        <f>Q74</f>
        <v>660953.69779999997</v>
      </c>
      <c r="R65" s="308"/>
    </row>
    <row r="66" spans="1:18" ht="31.5">
      <c r="A66" s="996"/>
      <c r="B66" s="1097" t="s">
        <v>2150</v>
      </c>
      <c r="C66" s="840"/>
      <c r="D66" s="302"/>
      <c r="E66" s="302"/>
      <c r="F66" s="303"/>
      <c r="G66" s="1048"/>
      <c r="H66" s="303"/>
      <c r="I66" s="310"/>
      <c r="J66" s="1396"/>
      <c r="K66" s="311"/>
      <c r="L66" s="311"/>
      <c r="M66" s="1045"/>
      <c r="N66" s="311"/>
      <c r="O66" s="311"/>
      <c r="P66" s="1045"/>
      <c r="Q66" s="311"/>
      <c r="R66" s="311"/>
    </row>
    <row r="67" spans="1:18" ht="15.75">
      <c r="A67" s="1101">
        <v>3</v>
      </c>
      <c r="B67" s="1110" t="s">
        <v>1736</v>
      </c>
      <c r="C67" s="1111"/>
      <c r="D67" s="1105"/>
      <c r="E67" s="1111"/>
      <c r="F67" s="841"/>
      <c r="G67" s="1049">
        <v>0</v>
      </c>
      <c r="H67" s="306">
        <f t="shared" ref="H67:H73" si="39">ROUND($E67*G67,2)</f>
        <v>0</v>
      </c>
      <c r="I67" s="307"/>
      <c r="J67" s="1397"/>
      <c r="K67" s="306"/>
      <c r="L67" s="307"/>
      <c r="M67" s="1047"/>
      <c r="N67" s="306">
        <f t="shared" ref="N67:N73" si="40">ROUND(+M67*E67,2)</f>
        <v>0</v>
      </c>
      <c r="O67" s="307"/>
      <c r="P67" s="1047"/>
      <c r="Q67" s="306">
        <f t="shared" ref="Q67:Q73" si="41">F67-N67</f>
        <v>0</v>
      </c>
      <c r="R67" s="307"/>
    </row>
    <row r="68" spans="1:18" ht="15.75">
      <c r="A68" s="1101">
        <v>3.2</v>
      </c>
      <c r="B68" s="1102" t="s">
        <v>1740</v>
      </c>
      <c r="C68" s="1108"/>
      <c r="D68" s="1105"/>
      <c r="E68" s="1109"/>
      <c r="F68" s="841"/>
      <c r="G68" s="1049"/>
      <c r="H68" s="306">
        <f t="shared" si="39"/>
        <v>0</v>
      </c>
      <c r="I68" s="307"/>
      <c r="J68" s="1397"/>
      <c r="K68" s="306"/>
      <c r="L68" s="307"/>
      <c r="M68" s="1047"/>
      <c r="N68" s="306">
        <f t="shared" si="40"/>
        <v>0</v>
      </c>
      <c r="O68" s="307"/>
      <c r="P68" s="1047"/>
      <c r="Q68" s="306">
        <f t="shared" si="41"/>
        <v>0</v>
      </c>
      <c r="R68" s="307"/>
    </row>
    <row r="69" spans="1:18">
      <c r="A69" s="1101" t="s">
        <v>1251</v>
      </c>
      <c r="B69" s="1101" t="s">
        <v>1741</v>
      </c>
      <c r="C69" s="1104" t="s">
        <v>52</v>
      </c>
      <c r="D69" s="1105">
        <v>92.29</v>
      </c>
      <c r="E69" s="1106">
        <v>1250</v>
      </c>
      <c r="F69" s="841">
        <f t="shared" ref="F69:F73" si="42">+D69*E69</f>
        <v>115362.50000000001</v>
      </c>
      <c r="G69" s="1049">
        <v>0</v>
      </c>
      <c r="H69" s="306">
        <f t="shared" si="39"/>
        <v>0</v>
      </c>
      <c r="I69" s="307">
        <f t="shared" ref="I69:I73" si="43">+H69/$F69</f>
        <v>0</v>
      </c>
      <c r="J69" s="1397"/>
      <c r="K69" s="306"/>
      <c r="L69" s="307">
        <f t="shared" ref="L69:L73" si="44">+K69/$F69</f>
        <v>0</v>
      </c>
      <c r="M69" s="1047">
        <f t="shared" ref="M69:M73" si="45">+G69+J69</f>
        <v>0</v>
      </c>
      <c r="N69" s="306">
        <f t="shared" si="40"/>
        <v>0</v>
      </c>
      <c r="O69" s="307">
        <f t="shared" ref="O69:O73" si="46">+N69/$F69</f>
        <v>0</v>
      </c>
      <c r="P69" s="1047">
        <f t="shared" ref="P69:P73" si="47">D69-M69</f>
        <v>92.29</v>
      </c>
      <c r="Q69" s="306">
        <f t="shared" si="41"/>
        <v>115362.50000000001</v>
      </c>
      <c r="R69" s="307">
        <f t="shared" ref="R69:R73" si="48">+Q69/$F69</f>
        <v>1</v>
      </c>
    </row>
    <row r="70" spans="1:18">
      <c r="A70" s="1101" t="s">
        <v>1252</v>
      </c>
      <c r="B70" s="1101" t="s">
        <v>1742</v>
      </c>
      <c r="C70" s="1104" t="s">
        <v>2147</v>
      </c>
      <c r="D70" s="1105">
        <v>81.52</v>
      </c>
      <c r="E70" s="1106">
        <v>311.52</v>
      </c>
      <c r="F70" s="841">
        <f t="shared" si="42"/>
        <v>25395.110399999998</v>
      </c>
      <c r="G70" s="1049">
        <v>0</v>
      </c>
      <c r="H70" s="306">
        <f t="shared" si="39"/>
        <v>0</v>
      </c>
      <c r="I70" s="307">
        <f t="shared" si="43"/>
        <v>0</v>
      </c>
      <c r="J70" s="1397"/>
      <c r="K70" s="306"/>
      <c r="L70" s="307">
        <f t="shared" si="44"/>
        <v>0</v>
      </c>
      <c r="M70" s="1047">
        <f t="shared" si="45"/>
        <v>0</v>
      </c>
      <c r="N70" s="306">
        <f t="shared" si="40"/>
        <v>0</v>
      </c>
      <c r="O70" s="307">
        <f t="shared" si="46"/>
        <v>0</v>
      </c>
      <c r="P70" s="1047">
        <f t="shared" si="47"/>
        <v>81.52</v>
      </c>
      <c r="Q70" s="306">
        <f t="shared" si="41"/>
        <v>25395.110399999998</v>
      </c>
      <c r="R70" s="307">
        <f t="shared" si="48"/>
        <v>1</v>
      </c>
    </row>
    <row r="71" spans="1:18">
      <c r="A71" s="1101" t="s">
        <v>1253</v>
      </c>
      <c r="B71" s="1101" t="s">
        <v>1743</v>
      </c>
      <c r="C71" s="1104" t="s">
        <v>2147</v>
      </c>
      <c r="D71" s="1105">
        <v>590.95000000000005</v>
      </c>
      <c r="E71" s="1106">
        <v>864.63</v>
      </c>
      <c r="F71" s="841">
        <f t="shared" si="42"/>
        <v>510953.09850000002</v>
      </c>
      <c r="G71" s="1049">
        <v>0</v>
      </c>
      <c r="H71" s="306">
        <f t="shared" si="39"/>
        <v>0</v>
      </c>
      <c r="I71" s="307">
        <f t="shared" si="43"/>
        <v>0</v>
      </c>
      <c r="J71" s="1397"/>
      <c r="K71" s="306"/>
      <c r="L71" s="307">
        <f t="shared" si="44"/>
        <v>0</v>
      </c>
      <c r="M71" s="1047">
        <f t="shared" si="45"/>
        <v>0</v>
      </c>
      <c r="N71" s="306">
        <f t="shared" si="40"/>
        <v>0</v>
      </c>
      <c r="O71" s="307">
        <f t="shared" si="46"/>
        <v>0</v>
      </c>
      <c r="P71" s="1047">
        <f t="shared" si="47"/>
        <v>590.95000000000005</v>
      </c>
      <c r="Q71" s="306">
        <f t="shared" si="41"/>
        <v>510953.09850000002</v>
      </c>
      <c r="R71" s="307">
        <f t="shared" si="48"/>
        <v>1</v>
      </c>
    </row>
    <row r="72" spans="1:18" ht="15.75">
      <c r="A72" s="1101">
        <v>3.7</v>
      </c>
      <c r="B72" s="1102" t="s">
        <v>1771</v>
      </c>
      <c r="C72" s="1108"/>
      <c r="D72" s="1105"/>
      <c r="E72" s="1109"/>
      <c r="F72" s="841"/>
      <c r="G72" s="1049"/>
      <c r="H72" s="306">
        <f t="shared" si="39"/>
        <v>0</v>
      </c>
      <c r="I72" s="307"/>
      <c r="J72" s="1397"/>
      <c r="K72" s="306"/>
      <c r="L72" s="307"/>
      <c r="M72" s="1047"/>
      <c r="N72" s="306">
        <f t="shared" si="40"/>
        <v>0</v>
      </c>
      <c r="O72" s="307"/>
      <c r="P72" s="1047"/>
      <c r="Q72" s="306">
        <f t="shared" si="41"/>
        <v>0</v>
      </c>
      <c r="R72" s="307"/>
    </row>
    <row r="73" spans="1:18" ht="15.75" thickBot="1">
      <c r="A73" s="1101" t="s">
        <v>1278</v>
      </c>
      <c r="B73" s="1101" t="s">
        <v>1772</v>
      </c>
      <c r="C73" s="1104" t="s">
        <v>2147</v>
      </c>
      <c r="D73" s="1105">
        <v>25.89</v>
      </c>
      <c r="E73" s="1106">
        <v>357.01</v>
      </c>
      <c r="F73" s="841">
        <f t="shared" si="42"/>
        <v>9242.9889000000003</v>
      </c>
      <c r="G73" s="1049">
        <v>0</v>
      </c>
      <c r="H73" s="306">
        <f t="shared" si="39"/>
        <v>0</v>
      </c>
      <c r="I73" s="307">
        <f t="shared" si="43"/>
        <v>0</v>
      </c>
      <c r="J73" s="1397"/>
      <c r="K73" s="306">
        <f>J73*E73</f>
        <v>0</v>
      </c>
      <c r="L73" s="307">
        <f t="shared" si="44"/>
        <v>0</v>
      </c>
      <c r="M73" s="1047">
        <f t="shared" si="45"/>
        <v>0</v>
      </c>
      <c r="N73" s="306">
        <f t="shared" si="40"/>
        <v>0</v>
      </c>
      <c r="O73" s="307">
        <f t="shared" si="46"/>
        <v>0</v>
      </c>
      <c r="P73" s="1047">
        <f t="shared" si="47"/>
        <v>25.89</v>
      </c>
      <c r="Q73" s="306">
        <f t="shared" si="41"/>
        <v>9242.9889000000003</v>
      </c>
      <c r="R73" s="307">
        <f t="shared" si="48"/>
        <v>1</v>
      </c>
    </row>
    <row r="74" spans="1:18" ht="16.5" thickBot="1">
      <c r="A74" s="933"/>
      <c r="B74" s="2498" t="s">
        <v>18</v>
      </c>
      <c r="C74" s="2499"/>
      <c r="D74" s="2499"/>
      <c r="E74" s="2500"/>
      <c r="F74" s="1050">
        <f>SUM(F67:F73)</f>
        <v>660953.69779999997</v>
      </c>
      <c r="G74" s="1051"/>
      <c r="H74" s="1050">
        <f>SUM(H67:H73)</f>
        <v>0</v>
      </c>
      <c r="I74" s="1052">
        <f>+H74/$F74</f>
        <v>0</v>
      </c>
      <c r="J74" s="1398"/>
      <c r="K74" s="1050">
        <f>SUM(K67:K73)</f>
        <v>0</v>
      </c>
      <c r="L74" s="1052">
        <f>+K74/$F74</f>
        <v>0</v>
      </c>
      <c r="M74" s="1054"/>
      <c r="N74" s="1050">
        <f>SUM(N67:N73)</f>
        <v>0</v>
      </c>
      <c r="O74" s="1052">
        <f>+N74/$F74</f>
        <v>0</v>
      </c>
      <c r="P74" s="1054"/>
      <c r="Q74" s="1050">
        <f>SUM(Q67:Q73)</f>
        <v>660953.69779999997</v>
      </c>
      <c r="R74" s="1055">
        <f>+Q74/$F74</f>
        <v>1</v>
      </c>
    </row>
    <row r="75" spans="1:18" ht="15.75">
      <c r="A75" s="933"/>
      <c r="B75" s="1056" t="s">
        <v>708</v>
      </c>
      <c r="C75" s="1057"/>
      <c r="D75" s="1058">
        <f>100*F75/$F$44</f>
        <v>3.5084276331155113</v>
      </c>
      <c r="E75" s="1124" t="s">
        <v>30</v>
      </c>
      <c r="F75" s="1060">
        <v>43953.42</v>
      </c>
      <c r="G75" s="1059"/>
      <c r="H75" s="1061">
        <v>0</v>
      </c>
      <c r="I75" s="1170">
        <f t="shared" ref="I75:I77" si="49">+H75/$F75</f>
        <v>0</v>
      </c>
      <c r="J75" s="1399"/>
      <c r="K75" s="1062"/>
      <c r="L75" s="1170">
        <f>+K75/$F75</f>
        <v>0</v>
      </c>
      <c r="M75" s="1059"/>
      <c r="N75" s="1061">
        <f>H75+K75</f>
        <v>0</v>
      </c>
      <c r="O75" s="1082">
        <f>N75/F75</f>
        <v>0</v>
      </c>
      <c r="P75" s="1059"/>
      <c r="Q75" s="1061">
        <f>F75-N75</f>
        <v>43953.42</v>
      </c>
      <c r="R75" s="1083">
        <f>Q75/F75</f>
        <v>1</v>
      </c>
    </row>
    <row r="76" spans="1:18" ht="15.75">
      <c r="A76" s="933"/>
      <c r="B76" s="1063" t="s">
        <v>119</v>
      </c>
      <c r="C76" s="1064"/>
      <c r="D76" s="1058">
        <f>100*F76/$F$44</f>
        <v>1.5194396467292266</v>
      </c>
      <c r="E76" s="1125" t="s">
        <v>30</v>
      </c>
      <c r="F76" s="1067">
        <v>19035.47</v>
      </c>
      <c r="G76" s="1068"/>
      <c r="H76" s="1061">
        <v>0</v>
      </c>
      <c r="I76" s="1073">
        <f t="shared" si="49"/>
        <v>0</v>
      </c>
      <c r="J76" s="1400"/>
      <c r="K76" s="1070"/>
      <c r="L76" s="1073">
        <f>+K76/$F76</f>
        <v>0</v>
      </c>
      <c r="M76" s="1072"/>
      <c r="N76" s="1061">
        <f t="shared" ref="N76:N77" si="50">H76+K76</f>
        <v>0</v>
      </c>
      <c r="O76" s="1082">
        <f t="shared" ref="O76:O77" si="51">N76/F76</f>
        <v>0</v>
      </c>
      <c r="P76" s="1072"/>
      <c r="Q76" s="1061">
        <f t="shared" ref="Q76:Q77" si="52">F76-N76</f>
        <v>19035.47</v>
      </c>
      <c r="R76" s="1083">
        <f t="shared" ref="R76:R77" si="53">Q76/F76</f>
        <v>1</v>
      </c>
    </row>
    <row r="77" spans="1:18" ht="16.5" thickBot="1">
      <c r="A77" s="933"/>
      <c r="B77" s="1063" t="s">
        <v>1131</v>
      </c>
      <c r="C77" s="1064"/>
      <c r="D77" s="1058">
        <f>100*F77/$F$44</f>
        <v>0.27961868314650584</v>
      </c>
      <c r="E77" s="1125" t="s">
        <v>30</v>
      </c>
      <c r="F77" s="1067">
        <v>3503.05</v>
      </c>
      <c r="G77" s="1068"/>
      <c r="H77" s="1061">
        <v>0</v>
      </c>
      <c r="I77" s="1073">
        <f t="shared" si="49"/>
        <v>0</v>
      </c>
      <c r="J77" s="1400"/>
      <c r="K77" s="1070"/>
      <c r="L77" s="1073">
        <f t="shared" ref="L77" si="54">+K77/$F77</f>
        <v>0</v>
      </c>
      <c r="M77" s="1072"/>
      <c r="N77" s="1061">
        <f t="shared" si="50"/>
        <v>0</v>
      </c>
      <c r="O77" s="1082">
        <f t="shared" si="51"/>
        <v>0</v>
      </c>
      <c r="P77" s="1072"/>
      <c r="Q77" s="1061">
        <f t="shared" si="52"/>
        <v>3503.05</v>
      </c>
      <c r="R77" s="1083">
        <f t="shared" si="53"/>
        <v>1</v>
      </c>
    </row>
    <row r="78" spans="1:18" ht="16.5" thickBot="1">
      <c r="B78" s="2494" t="s">
        <v>707</v>
      </c>
      <c r="C78" s="2495"/>
      <c r="D78" s="2495"/>
      <c r="E78" s="2496"/>
      <c r="F78" s="1077">
        <f>SUM(F74:F77)</f>
        <v>727445.63780000003</v>
      </c>
      <c r="G78" s="1051"/>
      <c r="H78" s="1077">
        <f>SUM(H74:H77)</f>
        <v>0</v>
      </c>
      <c r="I78" s="1052">
        <f>+H78/$F78</f>
        <v>0</v>
      </c>
      <c r="J78" s="1398"/>
      <c r="K78" s="1077">
        <f>SUM(K71:K77)</f>
        <v>0</v>
      </c>
      <c r="L78" s="1052">
        <f>+K78/F78</f>
        <v>0</v>
      </c>
      <c r="M78" s="1054"/>
      <c r="N78" s="1077">
        <f>SUM(N74:N77)</f>
        <v>0</v>
      </c>
      <c r="O78" s="1052">
        <f>+N78/F78</f>
        <v>0</v>
      </c>
      <c r="P78" s="1054"/>
      <c r="Q78" s="1077">
        <f>F78-N78</f>
        <v>727445.63780000003</v>
      </c>
      <c r="R78" s="1055">
        <f>+Q78/F78</f>
        <v>1</v>
      </c>
    </row>
    <row r="79" spans="1:18">
      <c r="C79" s="230"/>
    </row>
  </sheetData>
  <mergeCells count="52">
    <mergeCell ref="B74:E74"/>
    <mergeCell ref="B78:E78"/>
    <mergeCell ref="J59:K59"/>
    <mergeCell ref="L59:O59"/>
    <mergeCell ref="P59:R59"/>
    <mergeCell ref="F62:F64"/>
    <mergeCell ref="P62:R63"/>
    <mergeCell ref="G63:I63"/>
    <mergeCell ref="J63:L63"/>
    <mergeCell ref="M63:O63"/>
    <mergeCell ref="A62:A64"/>
    <mergeCell ref="B62:B64"/>
    <mergeCell ref="C62:C64"/>
    <mergeCell ref="D62:D64"/>
    <mergeCell ref="E62:E64"/>
    <mergeCell ref="J57:K57"/>
    <mergeCell ref="L57:O57"/>
    <mergeCell ref="P57:R57"/>
    <mergeCell ref="J58:K58"/>
    <mergeCell ref="L58:O58"/>
    <mergeCell ref="P58:R58"/>
    <mergeCell ref="A50:R50"/>
    <mergeCell ref="D51:K51"/>
    <mergeCell ref="A52:R52"/>
    <mergeCell ref="J56:K56"/>
    <mergeCell ref="L56:O56"/>
    <mergeCell ref="A1:R1"/>
    <mergeCell ref="A3:R3"/>
    <mergeCell ref="J7:K7"/>
    <mergeCell ref="L7:O7"/>
    <mergeCell ref="J8:K8"/>
    <mergeCell ref="L8:O8"/>
    <mergeCell ref="P8:R8"/>
    <mergeCell ref="D2:K2"/>
    <mergeCell ref="J9:K9"/>
    <mergeCell ref="L9:O9"/>
    <mergeCell ref="P9:R9"/>
    <mergeCell ref="J10:K10"/>
    <mergeCell ref="L10:O10"/>
    <mergeCell ref="P10:R10"/>
    <mergeCell ref="A13:A15"/>
    <mergeCell ref="B13:B15"/>
    <mergeCell ref="C13:C15"/>
    <mergeCell ref="D13:D15"/>
    <mergeCell ref="E13:E15"/>
    <mergeCell ref="B48:E48"/>
    <mergeCell ref="P13:R14"/>
    <mergeCell ref="G14:I14"/>
    <mergeCell ref="J14:L14"/>
    <mergeCell ref="M14:O14"/>
    <mergeCell ref="B44:E44"/>
    <mergeCell ref="F13:F15"/>
  </mergeCells>
  <phoneticPr fontId="88" type="noConversion"/>
  <printOptions horizontalCentered="1"/>
  <pageMargins left="0.23622047244094491" right="0.23622047244094491" top="0.74803149606299213" bottom="0.74803149606299213" header="0.31496062992125984" footer="0.31496062992125984"/>
  <pageSetup paperSize="9" scale="41" fitToHeight="0" orientation="landscape" r:id="rId1"/>
  <headerFooter>
    <oddFooter>&amp;CPágina &amp;P de &amp;N</oddFooter>
  </headerFooter>
  <rowBreaks count="1" manualBreakCount="1">
    <brk id="48" max="17"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8" tint="-0.249977111117893"/>
    <pageSetUpPr fitToPage="1"/>
  </sheetPr>
  <dimension ref="A1:AN572"/>
  <sheetViews>
    <sheetView view="pageBreakPreview" topLeftCell="A397" zoomScaleNormal="70" zoomScaleSheetLayoutView="100" zoomScalePageLayoutView="70" workbookViewId="0">
      <selection activeCell="B16" sqref="B16"/>
    </sheetView>
  </sheetViews>
  <sheetFormatPr baseColWidth="10" defaultColWidth="11.42578125" defaultRowHeight="15"/>
  <cols>
    <col min="1" max="1" width="16.28515625" style="230" customWidth="1"/>
    <col min="2" max="2" width="92.140625" style="230" customWidth="1"/>
    <col min="3" max="3" width="10.28515625" style="230" customWidth="1"/>
    <col min="4" max="4" width="16.7109375" style="230" customWidth="1"/>
    <col min="5" max="5" width="12.28515625" style="230" customWidth="1"/>
    <col min="6" max="6" width="20.7109375" style="230" customWidth="1"/>
    <col min="7" max="7" width="15.140625" style="230" customWidth="1"/>
    <col min="8" max="8" width="22" style="230" customWidth="1"/>
    <col min="9" max="9" width="16.28515625" style="230" customWidth="1"/>
    <col min="10" max="10" width="17.85546875" style="230" customWidth="1"/>
    <col min="11" max="11" width="17.7109375" style="230" customWidth="1"/>
    <col min="12" max="12" width="12.5703125" style="230" customWidth="1"/>
    <col min="13" max="13" width="15.5703125" style="230" customWidth="1"/>
    <col min="14" max="14" width="18" style="230" customWidth="1"/>
    <col min="15" max="15" width="14.28515625" style="230" customWidth="1"/>
    <col min="16" max="16" width="17.7109375" style="230" bestFit="1" customWidth="1"/>
    <col min="17" max="17" width="18.7109375" style="230" customWidth="1"/>
    <col min="18" max="18" width="12.42578125" style="230" customWidth="1"/>
    <col min="19" max="19" width="20.28515625" style="1388" bestFit="1" customWidth="1"/>
    <col min="20" max="20" width="17.42578125" style="230" bestFit="1" customWidth="1"/>
    <col min="21" max="21" width="11.42578125" style="230"/>
    <col min="22" max="22" width="15.7109375" style="230" bestFit="1" customWidth="1"/>
    <col min="23" max="23" width="16.28515625" style="230" bestFit="1" customWidth="1"/>
    <col min="24" max="24" width="19.28515625" style="230" bestFit="1" customWidth="1"/>
    <col min="25" max="16384" width="11.42578125" style="230"/>
  </cols>
  <sheetData>
    <row r="1" spans="1:40" ht="52.5" customHeight="1">
      <c r="A1" s="2508" t="s">
        <v>4269</v>
      </c>
      <c r="B1" s="2508"/>
      <c r="C1" s="2508"/>
      <c r="D1" s="2508"/>
      <c r="E1" s="2508"/>
      <c r="F1" s="2508"/>
      <c r="G1" s="2508"/>
      <c r="H1" s="2508"/>
      <c r="I1" s="2508"/>
      <c r="J1" s="2508"/>
      <c r="K1" s="2508"/>
      <c r="L1" s="2508"/>
      <c r="M1" s="2508"/>
      <c r="N1" s="2508"/>
      <c r="O1" s="2508"/>
      <c r="P1" s="2508"/>
      <c r="Q1" s="2508"/>
      <c r="R1" s="2508"/>
      <c r="S1" s="1385"/>
      <c r="T1" s="276"/>
      <c r="U1" s="276"/>
      <c r="V1" s="276"/>
      <c r="W1" s="276"/>
      <c r="X1" s="276"/>
      <c r="Y1" s="276"/>
      <c r="Z1" s="276"/>
      <c r="AA1" s="276"/>
      <c r="AB1" s="276"/>
      <c r="AC1" s="276"/>
      <c r="AD1" s="276"/>
      <c r="AE1" s="276"/>
      <c r="AF1" s="276"/>
      <c r="AG1" s="276"/>
      <c r="AH1" s="276"/>
      <c r="AI1" s="276"/>
      <c r="AJ1" s="276"/>
      <c r="AK1" s="276"/>
      <c r="AL1" s="276"/>
      <c r="AM1" s="276"/>
      <c r="AN1" s="276"/>
    </row>
    <row r="2" spans="1:40" s="8" customFormat="1" ht="42" customHeight="1">
      <c r="A2" s="2149" t="s">
        <v>4275</v>
      </c>
      <c r="B2" s="2149"/>
      <c r="C2" s="2149"/>
      <c r="D2" s="2149"/>
      <c r="E2" s="2149"/>
      <c r="F2" s="2149"/>
      <c r="G2" s="2149"/>
      <c r="H2" s="2149"/>
      <c r="I2" s="2149"/>
      <c r="J2" s="2149"/>
      <c r="K2" s="2149"/>
      <c r="L2" s="2149"/>
      <c r="M2" s="2149"/>
      <c r="N2" s="2149"/>
      <c r="O2" s="2149"/>
      <c r="P2" s="2149"/>
      <c r="Q2" s="2149"/>
      <c r="R2" s="2149"/>
      <c r="S2" s="1386"/>
    </row>
    <row r="3" spans="1:40" s="8" customFormat="1" ht="20.100000000000001" customHeight="1">
      <c r="A3" s="997" t="s">
        <v>2208</v>
      </c>
      <c r="B3" s="998" t="s">
        <v>57</v>
      </c>
      <c r="C3" s="999"/>
      <c r="D3" s="998"/>
      <c r="E3" s="998"/>
      <c r="F3" s="998"/>
      <c r="G3" s="998"/>
      <c r="H3" s="998"/>
      <c r="I3" s="998"/>
      <c r="J3" s="998"/>
      <c r="K3" s="998"/>
      <c r="L3" s="998"/>
      <c r="M3" s="1000"/>
      <c r="N3" s="1001"/>
      <c r="O3" s="998"/>
      <c r="P3" s="998"/>
      <c r="Q3" s="998"/>
      <c r="R3" s="998"/>
      <c r="S3" s="1386"/>
    </row>
    <row r="4" spans="1:40" s="8" customFormat="1" ht="20.100000000000001" customHeight="1">
      <c r="A4" s="997" t="s">
        <v>136</v>
      </c>
      <c r="B4" s="998" t="str">
        <f>Datos!C25</f>
        <v>“MEJORAMIENTO DE LA GESTIÓN MUNICIPAL Y SERVICIO ADMINISTRATIVO DE LA MUNICIPALIDAD PROVINCIAL DE ABANCAY, DISTRITO DE ABANCAY - PROVINCIA DE ABANCAY - DEPARTAMENTO DE APURIMAC”.</v>
      </c>
      <c r="C4" s="998"/>
      <c r="D4" s="998"/>
      <c r="E4" s="998"/>
      <c r="F4" s="998"/>
      <c r="G4" s="998"/>
      <c r="H4" s="998"/>
      <c r="I4" s="998"/>
      <c r="J4" s="998"/>
      <c r="K4" s="998"/>
      <c r="L4" s="998"/>
      <c r="M4" s="998"/>
      <c r="N4" s="998"/>
      <c r="O4" s="998"/>
      <c r="P4" s="998"/>
      <c r="Q4" s="998"/>
      <c r="R4" s="998"/>
      <c r="S4" s="1386"/>
    </row>
    <row r="5" spans="1:40" s="8" customFormat="1" ht="20.100000000000001" customHeight="1">
      <c r="A5" s="997" t="s">
        <v>137</v>
      </c>
      <c r="B5" s="998" t="s">
        <v>126</v>
      </c>
      <c r="C5" s="1002"/>
      <c r="D5" s="1003"/>
      <c r="E5" s="1003"/>
      <c r="F5" s="1003"/>
      <c r="G5" s="1003"/>
      <c r="H5" s="1003"/>
      <c r="I5" s="1003"/>
      <c r="J5" s="1003"/>
      <c r="K5" s="1003"/>
      <c r="L5" s="1004"/>
      <c r="M5" s="1003"/>
      <c r="N5" s="1003"/>
      <c r="O5" s="1003"/>
      <c r="P5" s="1003"/>
      <c r="Q5" s="1003"/>
      <c r="R5" s="1003"/>
      <c r="S5" s="1386"/>
    </row>
    <row r="6" spans="1:40" s="8" customFormat="1" ht="20.100000000000001" customHeight="1">
      <c r="A6" s="997" t="s">
        <v>139</v>
      </c>
      <c r="B6" s="1003">
        <v>38</v>
      </c>
      <c r="C6" s="1002"/>
      <c r="D6" s="1003"/>
      <c r="E6" s="1003"/>
      <c r="F6" s="1003"/>
      <c r="G6" s="1003"/>
      <c r="H6" s="1003"/>
      <c r="I6" s="1003"/>
      <c r="J6" s="2143" t="s">
        <v>1147</v>
      </c>
      <c r="K6" s="2144"/>
      <c r="L6" s="2145" t="s">
        <v>4267</v>
      </c>
      <c r="M6" s="2146"/>
      <c r="N6" s="2146"/>
      <c r="O6" s="2147"/>
      <c r="P6" s="1005"/>
      <c r="Q6" s="1005"/>
      <c r="R6" s="1005"/>
      <c r="S6" s="1386"/>
    </row>
    <row r="7" spans="1:40" s="8" customFormat="1" ht="20.100000000000001" customHeight="1">
      <c r="A7" s="997" t="s">
        <v>129</v>
      </c>
      <c r="B7" s="998" t="str">
        <f>Datos!C73</f>
        <v>ING. RICHARD ERWIN MONTALVO ALVARO</v>
      </c>
      <c r="C7" s="1006"/>
      <c r="D7" s="1007"/>
      <c r="E7" s="1007"/>
      <c r="F7" s="1007"/>
      <c r="G7" s="1007"/>
      <c r="H7" s="1007"/>
      <c r="I7" s="1007"/>
      <c r="J7" s="2143" t="s">
        <v>1148</v>
      </c>
      <c r="K7" s="2144"/>
      <c r="L7" s="2502" t="s">
        <v>125</v>
      </c>
      <c r="M7" s="2502"/>
      <c r="N7" s="2502"/>
      <c r="O7" s="2502"/>
      <c r="P7" s="2503"/>
      <c r="Q7" s="2503"/>
      <c r="R7" s="2503"/>
      <c r="S7" s="1386"/>
    </row>
    <row r="8" spans="1:40" s="8" customFormat="1" ht="20.100000000000001" customHeight="1">
      <c r="A8" s="997" t="s">
        <v>128</v>
      </c>
      <c r="B8" s="1008" t="str">
        <f>Datos!C80</f>
        <v>ING. IVES BUSTHER GUTIERREZ ARENAS</v>
      </c>
      <c r="C8" s="1009"/>
      <c r="D8" s="1010"/>
      <c r="E8" s="1010"/>
      <c r="F8" s="1010"/>
      <c r="G8" s="1010"/>
      <c r="H8" s="1010"/>
      <c r="I8" s="1010"/>
      <c r="J8" s="2143" t="s">
        <v>1149</v>
      </c>
      <c r="K8" s="2144"/>
      <c r="L8" s="2502" t="s">
        <v>125</v>
      </c>
      <c r="M8" s="2502"/>
      <c r="N8" s="2502"/>
      <c r="O8" s="2502"/>
      <c r="P8" s="2503"/>
      <c r="Q8" s="2503"/>
      <c r="R8" s="2503"/>
      <c r="S8" s="1386"/>
    </row>
    <row r="9" spans="1:40" s="314" customFormat="1" ht="20.100000000000001" customHeight="1">
      <c r="A9" s="997" t="s">
        <v>1150</v>
      </c>
      <c r="B9" s="1008" t="s">
        <v>1187</v>
      </c>
      <c r="C9" s="1009"/>
      <c r="D9" s="1010"/>
      <c r="E9" s="1010"/>
      <c r="F9" s="1010"/>
      <c r="G9" s="1010"/>
      <c r="H9" s="1010"/>
      <c r="I9" s="1010"/>
      <c r="J9" s="2143" t="s">
        <v>1151</v>
      </c>
      <c r="K9" s="2144"/>
      <c r="L9" s="2502" t="s">
        <v>124</v>
      </c>
      <c r="M9" s="2502"/>
      <c r="N9" s="2502"/>
      <c r="O9" s="2502"/>
      <c r="P9" s="2503"/>
      <c r="Q9" s="2503"/>
      <c r="R9" s="2503"/>
      <c r="S9" s="1386"/>
    </row>
    <row r="10" spans="1:40" s="314" customFormat="1" ht="24.95" customHeight="1">
      <c r="A10" s="998"/>
      <c r="B10" s="1011"/>
      <c r="C10" s="1009"/>
      <c r="D10" s="1010"/>
      <c r="E10" s="1010"/>
      <c r="F10" s="1010"/>
      <c r="G10" s="1010"/>
      <c r="H10" s="1010"/>
      <c r="I10" s="1010"/>
      <c r="J10" s="1010"/>
      <c r="K10" s="1012"/>
      <c r="L10" s="1012"/>
      <c r="M10" s="1012"/>
      <c r="N10" s="1012"/>
      <c r="O10" s="1012"/>
      <c r="P10" s="1012"/>
      <c r="Q10" s="1010"/>
      <c r="R10" s="1010"/>
      <c r="S10" s="1386"/>
    </row>
    <row r="11" spans="1:40" s="314" customFormat="1" ht="6.75" customHeight="1">
      <c r="A11" s="315"/>
      <c r="B11" s="315"/>
      <c r="C11" s="313"/>
      <c r="D11" s="313"/>
      <c r="E11" s="313"/>
      <c r="F11" s="313"/>
      <c r="S11" s="1386"/>
    </row>
    <row r="12" spans="1:40" s="314" customFormat="1" ht="20.25" customHeight="1">
      <c r="A12" s="2501" t="s">
        <v>31</v>
      </c>
      <c r="B12" s="2501" t="s">
        <v>114</v>
      </c>
      <c r="C12" s="2501" t="s">
        <v>37</v>
      </c>
      <c r="D12" s="2501" t="s">
        <v>23</v>
      </c>
      <c r="E12" s="2501" t="s">
        <v>706</v>
      </c>
      <c r="F12" s="2501" t="s">
        <v>127</v>
      </c>
      <c r="G12" s="1036"/>
      <c r="H12" s="1037"/>
      <c r="I12" s="1037"/>
      <c r="J12" s="1037"/>
      <c r="K12" s="1038" t="s">
        <v>767</v>
      </c>
      <c r="L12" s="1037"/>
      <c r="M12" s="1037"/>
      <c r="N12" s="1037"/>
      <c r="O12" s="1039"/>
      <c r="P12" s="2497" t="s">
        <v>16</v>
      </c>
      <c r="Q12" s="2497"/>
      <c r="R12" s="2497"/>
      <c r="S12" s="1386"/>
    </row>
    <row r="13" spans="1:40" s="314" customFormat="1" ht="20.25" customHeight="1">
      <c r="A13" s="2501"/>
      <c r="B13" s="2501"/>
      <c r="C13" s="2501"/>
      <c r="D13" s="2501"/>
      <c r="E13" s="2501"/>
      <c r="F13" s="2501"/>
      <c r="G13" s="2505" t="s">
        <v>140</v>
      </c>
      <c r="H13" s="2506"/>
      <c r="I13" s="2507"/>
      <c r="J13" s="2497" t="s">
        <v>141</v>
      </c>
      <c r="K13" s="2497"/>
      <c r="L13" s="2497"/>
      <c r="M13" s="2497" t="s">
        <v>142</v>
      </c>
      <c r="N13" s="2497"/>
      <c r="O13" s="2497"/>
      <c r="P13" s="2497"/>
      <c r="Q13" s="2497"/>
      <c r="R13" s="2497"/>
      <c r="S13" s="1386"/>
    </row>
    <row r="14" spans="1:40" s="314" customFormat="1" ht="20.25" customHeight="1">
      <c r="A14" s="2501"/>
      <c r="B14" s="2501"/>
      <c r="C14" s="2501"/>
      <c r="D14" s="2501"/>
      <c r="E14" s="2501"/>
      <c r="F14" s="2501"/>
      <c r="G14" s="1040" t="s">
        <v>54</v>
      </c>
      <c r="H14" s="1040" t="s">
        <v>506</v>
      </c>
      <c r="I14" s="1040" t="s">
        <v>30</v>
      </c>
      <c r="J14" s="1040" t="s">
        <v>54</v>
      </c>
      <c r="K14" s="1040" t="s">
        <v>506</v>
      </c>
      <c r="L14" s="1040" t="s">
        <v>30</v>
      </c>
      <c r="M14" s="1040" t="s">
        <v>54</v>
      </c>
      <c r="N14" s="1040" t="s">
        <v>506</v>
      </c>
      <c r="O14" s="1040" t="s">
        <v>30</v>
      </c>
      <c r="P14" s="1040" t="s">
        <v>54</v>
      </c>
      <c r="Q14" s="1040" t="s">
        <v>506</v>
      </c>
      <c r="R14" s="1040" t="s">
        <v>30</v>
      </c>
      <c r="S14" s="1386"/>
    </row>
    <row r="15" spans="1:40" s="314" customFormat="1" ht="16.5" customHeight="1">
      <c r="A15" s="300"/>
      <c r="B15" s="300"/>
      <c r="C15" s="300"/>
      <c r="D15" s="301"/>
      <c r="E15" s="301"/>
      <c r="F15" s="1041">
        <f>F544</f>
        <v>13550641.68</v>
      </c>
      <c r="G15" s="1042"/>
      <c r="H15" s="1043">
        <f>H544</f>
        <v>6667211.2373413714</v>
      </c>
      <c r="I15" s="308"/>
      <c r="J15" s="1044"/>
      <c r="K15" s="1043">
        <f>K544</f>
        <v>1092.9000000000001</v>
      </c>
      <c r="L15" s="309"/>
      <c r="M15" s="1044"/>
      <c r="N15" s="1043">
        <f>N544</f>
        <v>6668304.1373413717</v>
      </c>
      <c r="O15" s="308"/>
      <c r="P15" s="1044"/>
      <c r="Q15" s="1043">
        <f>Q544</f>
        <v>6882337.542658628</v>
      </c>
      <c r="R15" s="308"/>
      <c r="S15" s="1386"/>
    </row>
    <row r="16" spans="1:40" s="313" customFormat="1" ht="51" customHeight="1">
      <c r="A16" s="996"/>
      <c r="B16" s="1097" t="s">
        <v>2150</v>
      </c>
      <c r="C16" s="840"/>
      <c r="D16" s="302"/>
      <c r="E16" s="302"/>
      <c r="F16" s="303"/>
      <c r="G16" s="1048"/>
      <c r="H16" s="303"/>
      <c r="I16" s="310"/>
      <c r="J16" s="1045"/>
      <c r="K16" s="311"/>
      <c r="L16" s="311"/>
      <c r="M16" s="1045"/>
      <c r="N16" s="311"/>
      <c r="O16" s="311"/>
      <c r="P16" s="1045"/>
      <c r="Q16" s="311"/>
      <c r="R16" s="311"/>
      <c r="S16" s="1386"/>
      <c r="T16" s="314"/>
      <c r="U16" s="314"/>
      <c r="V16" s="314"/>
      <c r="W16" s="314"/>
      <c r="X16" s="314"/>
    </row>
    <row r="17" spans="1:24" s="316" customFormat="1" ht="35.25" customHeight="1">
      <c r="A17" s="1099">
        <v>1</v>
      </c>
      <c r="B17" s="1100" t="s">
        <v>1671</v>
      </c>
      <c r="C17" s="1078"/>
      <c r="D17" s="1078"/>
      <c r="E17" s="1078"/>
      <c r="F17" s="302"/>
      <c r="G17" s="1049"/>
      <c r="H17" s="303"/>
      <c r="I17" s="305"/>
      <c r="J17" s="1046"/>
      <c r="K17" s="312"/>
      <c r="L17" s="312"/>
      <c r="M17" s="1046"/>
      <c r="N17" s="312"/>
      <c r="O17" s="312"/>
      <c r="P17" s="1046"/>
      <c r="Q17" s="312"/>
      <c r="R17" s="312"/>
      <c r="S17" s="1386"/>
      <c r="T17" s="314"/>
      <c r="U17" s="314"/>
      <c r="V17" s="314"/>
      <c r="W17" s="314"/>
      <c r="X17" s="314"/>
    </row>
    <row r="18" spans="1:24" s="316" customFormat="1" ht="16.5" customHeight="1">
      <c r="A18" s="1101">
        <v>1.1000000000000001</v>
      </c>
      <c r="B18" s="1102" t="s">
        <v>1672</v>
      </c>
      <c r="C18" s="1078"/>
      <c r="D18" s="1078"/>
      <c r="E18" s="1078"/>
      <c r="F18" s="841"/>
      <c r="G18" s="1049"/>
      <c r="H18" s="306"/>
      <c r="I18" s="307"/>
      <c r="J18" s="1046"/>
      <c r="K18" s="306"/>
      <c r="L18" s="307"/>
      <c r="M18" s="1047"/>
      <c r="N18" s="306"/>
      <c r="O18" s="307"/>
      <c r="P18" s="1047"/>
      <c r="Q18" s="306"/>
      <c r="R18" s="307"/>
      <c r="S18" s="314"/>
      <c r="T18" s="314"/>
      <c r="U18" s="314"/>
      <c r="V18" s="314"/>
      <c r="W18" s="314"/>
      <c r="X18" s="314"/>
    </row>
    <row r="19" spans="1:24" s="316" customFormat="1" ht="16.5" customHeight="1">
      <c r="A19" s="1101" t="s">
        <v>1189</v>
      </c>
      <c r="B19" s="1103" t="s">
        <v>1673</v>
      </c>
      <c r="C19" s="1078"/>
      <c r="D19" s="1078"/>
      <c r="E19" s="1078"/>
      <c r="F19" s="841"/>
      <c r="G19" s="1049"/>
      <c r="H19" s="306"/>
      <c r="I19" s="307"/>
      <c r="J19" s="1046"/>
      <c r="K19" s="306"/>
      <c r="L19" s="307"/>
      <c r="M19" s="1047"/>
      <c r="N19" s="306"/>
      <c r="O19" s="307"/>
      <c r="P19" s="1047"/>
      <c r="Q19" s="306"/>
      <c r="R19" s="307"/>
      <c r="S19" s="314"/>
      <c r="T19" s="314"/>
      <c r="U19" s="314"/>
      <c r="V19" s="314"/>
      <c r="W19" s="314"/>
      <c r="X19" s="314"/>
    </row>
    <row r="20" spans="1:24" s="316" customFormat="1" ht="16.5" customHeight="1">
      <c r="A20" s="1101" t="s">
        <v>1190</v>
      </c>
      <c r="B20" s="1101" t="s">
        <v>1674</v>
      </c>
      <c r="C20" s="1104" t="s">
        <v>268</v>
      </c>
      <c r="D20" s="1105">
        <v>1</v>
      </c>
      <c r="E20" s="1106">
        <v>2500</v>
      </c>
      <c r="F20" s="841">
        <f>+D20*E20</f>
        <v>2500</v>
      </c>
      <c r="G20" s="1049">
        <v>1</v>
      </c>
      <c r="H20" s="306">
        <v>2500</v>
      </c>
      <c r="I20" s="307">
        <v>1</v>
      </c>
      <c r="J20" s="1046"/>
      <c r="K20" s="306">
        <f>J20*E20</f>
        <v>0</v>
      </c>
      <c r="L20" s="307">
        <f>K20/F20</f>
        <v>0</v>
      </c>
      <c r="M20" s="1047">
        <f>G20+J20</f>
        <v>1</v>
      </c>
      <c r="N20" s="306">
        <f t="shared" ref="N20" si="0">ROUND(+M20*E20,2)</f>
        <v>2500</v>
      </c>
      <c r="O20" s="307">
        <f>N20/F20</f>
        <v>1</v>
      </c>
      <c r="P20" s="1047">
        <f>D20-M20</f>
        <v>0</v>
      </c>
      <c r="Q20" s="306">
        <f>F20-N20</f>
        <v>0</v>
      </c>
      <c r="R20" s="307">
        <f>Q20/F20</f>
        <v>0</v>
      </c>
      <c r="S20" s="314" t="str">
        <f>IF(M20&gt;D20,"mayormetrado","ok")</f>
        <v>ok</v>
      </c>
      <c r="T20" s="306"/>
      <c r="U20" s="314"/>
      <c r="V20" s="314"/>
      <c r="W20" s="314"/>
      <c r="X20" s="306"/>
    </row>
    <row r="21" spans="1:24" s="316" customFormat="1" ht="16.5" customHeight="1">
      <c r="A21" s="1101" t="s">
        <v>1191</v>
      </c>
      <c r="B21" s="1101" t="s">
        <v>1675</v>
      </c>
      <c r="C21" s="1104" t="s">
        <v>2145</v>
      </c>
      <c r="D21" s="1105">
        <v>1</v>
      </c>
      <c r="E21" s="1106">
        <v>930.35</v>
      </c>
      <c r="F21" s="841">
        <f t="shared" ref="F21:F23" si="1">+D21*E21</f>
        <v>930.35</v>
      </c>
      <c r="G21" s="1049">
        <v>1</v>
      </c>
      <c r="H21" s="306">
        <v>930.35</v>
      </c>
      <c r="I21" s="307">
        <v>1</v>
      </c>
      <c r="J21" s="1046"/>
      <c r="K21" s="306">
        <f t="shared" ref="K21" si="2">J21*E21</f>
        <v>0</v>
      </c>
      <c r="L21" s="307">
        <f t="shared" ref="L21" si="3">K21/F21</f>
        <v>0</v>
      </c>
      <c r="M21" s="1047">
        <f t="shared" ref="M21" si="4">G21+J21</f>
        <v>1</v>
      </c>
      <c r="N21" s="306">
        <f t="shared" ref="N21" si="5">M21*E21</f>
        <v>930.35</v>
      </c>
      <c r="O21" s="307">
        <f t="shared" ref="O21" si="6">N21/F21</f>
        <v>1</v>
      </c>
      <c r="P21" s="1047">
        <f t="shared" ref="P21" si="7">D21-M21</f>
        <v>0</v>
      </c>
      <c r="Q21" s="306">
        <f t="shared" ref="Q21:Q84" si="8">F21-N21</f>
        <v>0</v>
      </c>
      <c r="R21" s="307">
        <f t="shared" ref="R21" si="9">Q21/F21</f>
        <v>0</v>
      </c>
      <c r="S21" s="314" t="str">
        <f t="shared" ref="S21:S84" si="10">IF(M21&gt;D21,"mayormetrado","ok")</f>
        <v>ok</v>
      </c>
      <c r="T21" s="306"/>
      <c r="U21" s="314"/>
      <c r="V21" s="314"/>
      <c r="W21" s="314"/>
      <c r="X21" s="306"/>
    </row>
    <row r="22" spans="1:24" s="316" customFormat="1" ht="16.5" customHeight="1">
      <c r="A22" s="1101" t="s">
        <v>1192</v>
      </c>
      <c r="B22" s="1101" t="s">
        <v>1676</v>
      </c>
      <c r="C22" s="1104" t="s">
        <v>268</v>
      </c>
      <c r="D22" s="1105">
        <v>1</v>
      </c>
      <c r="E22" s="1106">
        <v>2000</v>
      </c>
      <c r="F22" s="841">
        <f t="shared" si="1"/>
        <v>2000</v>
      </c>
      <c r="G22" s="1049">
        <v>1</v>
      </c>
      <c r="H22" s="306">
        <v>2000</v>
      </c>
      <c r="I22" s="307">
        <v>1</v>
      </c>
      <c r="J22" s="1046"/>
      <c r="K22" s="306">
        <f>J22*E22</f>
        <v>0</v>
      </c>
      <c r="L22" s="307">
        <f>K22/F22</f>
        <v>0</v>
      </c>
      <c r="M22" s="1047">
        <f>G22+J22</f>
        <v>1</v>
      </c>
      <c r="N22" s="306">
        <f>M22*E22</f>
        <v>2000</v>
      </c>
      <c r="O22" s="307">
        <f>N22/F22</f>
        <v>1</v>
      </c>
      <c r="P22" s="1047">
        <f>D22-M22</f>
        <v>0</v>
      </c>
      <c r="Q22" s="306">
        <f t="shared" si="8"/>
        <v>0</v>
      </c>
      <c r="R22" s="307">
        <f>Q22/F22</f>
        <v>0</v>
      </c>
      <c r="S22" s="314" t="str">
        <f t="shared" si="10"/>
        <v>ok</v>
      </c>
      <c r="T22" s="306"/>
      <c r="U22" s="314"/>
      <c r="V22" s="314"/>
      <c r="W22" s="314"/>
      <c r="X22" s="306"/>
    </row>
    <row r="23" spans="1:24" s="1972" customFormat="1" ht="16.5" customHeight="1">
      <c r="A23" s="1963" t="s">
        <v>1193</v>
      </c>
      <c r="B23" s="1963" t="s">
        <v>1677</v>
      </c>
      <c r="C23" s="1964" t="s">
        <v>51</v>
      </c>
      <c r="D23" s="1965">
        <v>203.2</v>
      </c>
      <c r="E23" s="1973">
        <v>36.43</v>
      </c>
      <c r="F23" s="1974">
        <f t="shared" si="1"/>
        <v>7402.5759999999991</v>
      </c>
      <c r="G23" s="1966">
        <v>108</v>
      </c>
      <c r="H23" s="1967">
        <v>3934.44</v>
      </c>
      <c r="I23" s="1968">
        <v>0.53149606299212604</v>
      </c>
      <c r="J23" s="1975">
        <v>30</v>
      </c>
      <c r="K23" s="1967">
        <f t="shared" ref="K23" si="11">J23*E23</f>
        <v>1092.9000000000001</v>
      </c>
      <c r="L23" s="1968">
        <f t="shared" ref="L23" si="12">K23/F23</f>
        <v>0.14763779527559059</v>
      </c>
      <c r="M23" s="1970">
        <f t="shared" ref="M23" si="13">G23+J23</f>
        <v>138</v>
      </c>
      <c r="N23" s="1967">
        <f t="shared" ref="N23" si="14">M23*E23</f>
        <v>5027.34</v>
      </c>
      <c r="O23" s="1968">
        <f t="shared" ref="O23" si="15">N23/F23</f>
        <v>0.67913385826771666</v>
      </c>
      <c r="P23" s="1970">
        <f t="shared" ref="P23" si="16">D23-M23</f>
        <v>65.199999999999989</v>
      </c>
      <c r="Q23" s="1967">
        <f t="shared" si="8"/>
        <v>2375.235999999999</v>
      </c>
      <c r="R23" s="1968">
        <f t="shared" ref="R23" si="17">Q23/F23</f>
        <v>0.32086614173228334</v>
      </c>
      <c r="S23" s="1971" t="str">
        <f t="shared" si="10"/>
        <v>ok</v>
      </c>
      <c r="T23" s="1967"/>
      <c r="U23" s="1971"/>
      <c r="V23" s="1971"/>
      <c r="W23" s="1971"/>
      <c r="X23" s="1967"/>
    </row>
    <row r="24" spans="1:24" s="316" customFormat="1" ht="16.5" customHeight="1">
      <c r="A24" s="1101" t="s">
        <v>1194</v>
      </c>
      <c r="B24" s="1103" t="s">
        <v>1678</v>
      </c>
      <c r="C24" s="1103"/>
      <c r="D24" s="1105"/>
      <c r="E24" s="1107"/>
      <c r="F24" s="841"/>
      <c r="G24" s="1049"/>
      <c r="H24" s="306"/>
      <c r="I24" s="307"/>
      <c r="J24" s="1046"/>
      <c r="K24" s="306"/>
      <c r="L24" s="307"/>
      <c r="M24" s="1047"/>
      <c r="N24" s="306"/>
      <c r="O24" s="307"/>
      <c r="P24" s="1047"/>
      <c r="Q24" s="306">
        <f t="shared" si="8"/>
        <v>0</v>
      </c>
      <c r="R24" s="307"/>
      <c r="S24" s="314" t="str">
        <f t="shared" si="10"/>
        <v>ok</v>
      </c>
      <c r="T24" s="306"/>
      <c r="U24" s="314"/>
      <c r="V24" s="314"/>
      <c r="W24" s="314"/>
      <c r="X24" s="306"/>
    </row>
    <row r="25" spans="1:24" s="316" customFormat="1" ht="16.5" customHeight="1">
      <c r="A25" s="1101" t="s">
        <v>1195</v>
      </c>
      <c r="B25" s="1101" t="s">
        <v>1679</v>
      </c>
      <c r="C25" s="1104" t="s">
        <v>268</v>
      </c>
      <c r="D25" s="1105">
        <v>1</v>
      </c>
      <c r="E25" s="1106">
        <v>1500</v>
      </c>
      <c r="F25" s="841">
        <f t="shared" ref="F25:F82" si="18">+D25*E25</f>
        <v>1500</v>
      </c>
      <c r="G25" s="1049">
        <v>1</v>
      </c>
      <c r="H25" s="306">
        <v>1500</v>
      </c>
      <c r="I25" s="307">
        <v>1</v>
      </c>
      <c r="J25" s="1046"/>
      <c r="K25" s="306">
        <f>J25*E25</f>
        <v>0</v>
      </c>
      <c r="L25" s="307">
        <f>K25/F25</f>
        <v>0</v>
      </c>
      <c r="M25" s="1047">
        <f>G25+J25</f>
        <v>1</v>
      </c>
      <c r="N25" s="306">
        <f>M25*E25</f>
        <v>1500</v>
      </c>
      <c r="O25" s="307">
        <f>N25/F25</f>
        <v>1</v>
      </c>
      <c r="P25" s="1047">
        <f>D25-M25</f>
        <v>0</v>
      </c>
      <c r="Q25" s="306">
        <f t="shared" si="8"/>
        <v>0</v>
      </c>
      <c r="R25" s="307">
        <f>Q25/F25</f>
        <v>0</v>
      </c>
      <c r="S25" s="314" t="str">
        <f t="shared" si="10"/>
        <v>ok</v>
      </c>
      <c r="T25" s="306"/>
      <c r="U25" s="314"/>
      <c r="V25" s="314"/>
      <c r="W25" s="314"/>
      <c r="X25" s="306"/>
    </row>
    <row r="26" spans="1:24" s="316" customFormat="1" ht="16.5" customHeight="1">
      <c r="A26" s="1101" t="s">
        <v>1196</v>
      </c>
      <c r="B26" s="1101" t="s">
        <v>1680</v>
      </c>
      <c r="C26" s="1104" t="s">
        <v>268</v>
      </c>
      <c r="D26" s="1105">
        <v>1</v>
      </c>
      <c r="E26" s="1106">
        <v>1500</v>
      </c>
      <c r="F26" s="841">
        <f t="shared" si="18"/>
        <v>1500</v>
      </c>
      <c r="G26" s="1049">
        <v>1</v>
      </c>
      <c r="H26" s="306">
        <v>1500</v>
      </c>
      <c r="I26" s="307">
        <v>1</v>
      </c>
      <c r="J26" s="1046"/>
      <c r="K26" s="306">
        <f>J26*E26</f>
        <v>0</v>
      </c>
      <c r="L26" s="307">
        <f>K26/F26</f>
        <v>0</v>
      </c>
      <c r="M26" s="1047">
        <f>G26+J26</f>
        <v>1</v>
      </c>
      <c r="N26" s="306">
        <f>M26*E26</f>
        <v>1500</v>
      </c>
      <c r="O26" s="307">
        <f>N26/F26</f>
        <v>1</v>
      </c>
      <c r="P26" s="1047">
        <f>D26-M26</f>
        <v>0</v>
      </c>
      <c r="Q26" s="306">
        <f t="shared" si="8"/>
        <v>0</v>
      </c>
      <c r="R26" s="307">
        <f>Q26/F26</f>
        <v>0</v>
      </c>
      <c r="S26" s="314" t="str">
        <f t="shared" si="10"/>
        <v>ok</v>
      </c>
      <c r="T26" s="306"/>
      <c r="U26" s="314"/>
      <c r="V26" s="314"/>
      <c r="W26" s="314"/>
      <c r="X26" s="306"/>
    </row>
    <row r="27" spans="1:24" s="316" customFormat="1" ht="16.5" customHeight="1">
      <c r="A27" s="1101" t="s">
        <v>1197</v>
      </c>
      <c r="B27" s="1103" t="s">
        <v>1681</v>
      </c>
      <c r="C27" s="1103"/>
      <c r="D27" s="1105"/>
      <c r="E27" s="1107"/>
      <c r="F27" s="841"/>
      <c r="G27" s="1049"/>
      <c r="H27" s="306"/>
      <c r="I27" s="307"/>
      <c r="J27" s="1046"/>
      <c r="K27" s="306"/>
      <c r="L27" s="307"/>
      <c r="M27" s="1047"/>
      <c r="N27" s="306"/>
      <c r="O27" s="307"/>
      <c r="P27" s="1047"/>
      <c r="Q27" s="306">
        <f t="shared" si="8"/>
        <v>0</v>
      </c>
      <c r="R27" s="307"/>
      <c r="S27" s="314" t="str">
        <f t="shared" si="10"/>
        <v>ok</v>
      </c>
      <c r="T27" s="306"/>
      <c r="U27" s="314"/>
      <c r="V27" s="314"/>
      <c r="W27" s="314"/>
      <c r="X27" s="306"/>
    </row>
    <row r="28" spans="1:24" s="316" customFormat="1" ht="16.5" customHeight="1">
      <c r="A28" s="1101" t="s">
        <v>1198</v>
      </c>
      <c r="B28" s="1101" t="s">
        <v>1682</v>
      </c>
      <c r="C28" s="1104" t="s">
        <v>2146</v>
      </c>
      <c r="D28" s="1105">
        <v>1</v>
      </c>
      <c r="E28" s="1106">
        <v>50000</v>
      </c>
      <c r="F28" s="841">
        <f t="shared" si="18"/>
        <v>50000</v>
      </c>
      <c r="G28" s="1049">
        <v>1</v>
      </c>
      <c r="H28" s="306">
        <v>50000</v>
      </c>
      <c r="I28" s="307">
        <v>1</v>
      </c>
      <c r="J28" s="1046"/>
      <c r="K28" s="306">
        <f>J28*E28</f>
        <v>0</v>
      </c>
      <c r="L28" s="307">
        <f>K28/F28</f>
        <v>0</v>
      </c>
      <c r="M28" s="1047">
        <f>G28+J28</f>
        <v>1</v>
      </c>
      <c r="N28" s="306">
        <f>M28*E28</f>
        <v>50000</v>
      </c>
      <c r="O28" s="307">
        <f>N28/F28</f>
        <v>1</v>
      </c>
      <c r="P28" s="1047">
        <f>D28-M28</f>
        <v>0</v>
      </c>
      <c r="Q28" s="306">
        <f t="shared" si="8"/>
        <v>0</v>
      </c>
      <c r="R28" s="307">
        <f>Q28/F28</f>
        <v>0</v>
      </c>
      <c r="S28" s="314" t="str">
        <f t="shared" si="10"/>
        <v>ok</v>
      </c>
      <c r="T28" s="306"/>
      <c r="U28" s="314"/>
      <c r="V28" s="314"/>
      <c r="W28" s="314"/>
      <c r="X28" s="306"/>
    </row>
    <row r="29" spans="1:24" s="316" customFormat="1" ht="16.5" customHeight="1">
      <c r="A29" s="1101" t="s">
        <v>1199</v>
      </c>
      <c r="B29" s="1103" t="s">
        <v>1683</v>
      </c>
      <c r="C29" s="1103"/>
      <c r="D29" s="1105"/>
      <c r="E29" s="1107"/>
      <c r="F29" s="841"/>
      <c r="G29" s="1049"/>
      <c r="H29" s="306"/>
      <c r="I29" s="307"/>
      <c r="J29" s="1046"/>
      <c r="K29" s="306"/>
      <c r="L29" s="307"/>
      <c r="M29" s="1047"/>
      <c r="N29" s="306"/>
      <c r="O29" s="307"/>
      <c r="P29" s="1047"/>
      <c r="Q29" s="306">
        <f t="shared" si="8"/>
        <v>0</v>
      </c>
      <c r="R29" s="307"/>
      <c r="S29" s="314" t="str">
        <f t="shared" si="10"/>
        <v>ok</v>
      </c>
      <c r="T29" s="306"/>
      <c r="U29" s="314"/>
      <c r="V29" s="314"/>
      <c r="W29" s="314"/>
      <c r="X29" s="306"/>
    </row>
    <row r="30" spans="1:24" s="316" customFormat="1" ht="16.5" customHeight="1">
      <c r="A30" s="1101" t="s">
        <v>1200</v>
      </c>
      <c r="B30" s="1101" t="s">
        <v>1684</v>
      </c>
      <c r="C30" s="1104" t="s">
        <v>268</v>
      </c>
      <c r="D30" s="1105">
        <v>1</v>
      </c>
      <c r="E30" s="1106">
        <v>2250</v>
      </c>
      <c r="F30" s="841">
        <f t="shared" si="18"/>
        <v>2250</v>
      </c>
      <c r="G30" s="1049">
        <v>1</v>
      </c>
      <c r="H30" s="306">
        <v>2250</v>
      </c>
      <c r="I30" s="307">
        <v>1</v>
      </c>
      <c r="J30" s="1046"/>
      <c r="K30" s="306">
        <f>J30*E30</f>
        <v>0</v>
      </c>
      <c r="L30" s="307">
        <f>K30/F30</f>
        <v>0</v>
      </c>
      <c r="M30" s="1047">
        <f>G30+J30</f>
        <v>1</v>
      </c>
      <c r="N30" s="306">
        <f>M30*E30</f>
        <v>2250</v>
      </c>
      <c r="O30" s="307">
        <f>N30/F30</f>
        <v>1</v>
      </c>
      <c r="P30" s="1047">
        <f>D30-M30</f>
        <v>0</v>
      </c>
      <c r="Q30" s="306">
        <f t="shared" si="8"/>
        <v>0</v>
      </c>
      <c r="R30" s="307">
        <f>Q30/F30</f>
        <v>0</v>
      </c>
      <c r="S30" s="314" t="str">
        <f t="shared" si="10"/>
        <v>ok</v>
      </c>
      <c r="T30" s="306"/>
      <c r="U30" s="314"/>
      <c r="V30" s="314"/>
      <c r="W30" s="314"/>
      <c r="X30" s="306"/>
    </row>
    <row r="31" spans="1:24" s="316" customFormat="1" ht="16.5" customHeight="1">
      <c r="A31" s="1101" t="s">
        <v>1201</v>
      </c>
      <c r="B31" s="1103" t="s">
        <v>1685</v>
      </c>
      <c r="C31" s="1103"/>
      <c r="D31" s="1105"/>
      <c r="E31" s="1107"/>
      <c r="F31" s="841"/>
      <c r="G31" s="1049"/>
      <c r="H31" s="306"/>
      <c r="I31" s="307"/>
      <c r="J31" s="1046"/>
      <c r="K31" s="306"/>
      <c r="L31" s="307"/>
      <c r="M31" s="1047"/>
      <c r="N31" s="306"/>
      <c r="O31" s="307"/>
      <c r="P31" s="1047"/>
      <c r="Q31" s="306">
        <f t="shared" si="8"/>
        <v>0</v>
      </c>
      <c r="R31" s="307"/>
      <c r="S31" s="314" t="str">
        <f t="shared" si="10"/>
        <v>ok</v>
      </c>
      <c r="T31" s="306"/>
      <c r="U31" s="314"/>
      <c r="V31" s="314"/>
      <c r="W31" s="314"/>
      <c r="X31" s="306"/>
    </row>
    <row r="32" spans="1:24" s="316" customFormat="1" ht="16.5" customHeight="1">
      <c r="A32" s="1101" t="s">
        <v>1202</v>
      </c>
      <c r="B32" s="1101" t="s">
        <v>1686</v>
      </c>
      <c r="C32" s="1104" t="s">
        <v>2147</v>
      </c>
      <c r="D32" s="1105">
        <v>815.15</v>
      </c>
      <c r="E32" s="1106">
        <v>1.9</v>
      </c>
      <c r="F32" s="841">
        <f>+D32*E32</f>
        <v>1548.7849999999999</v>
      </c>
      <c r="G32" s="1049">
        <v>815.15</v>
      </c>
      <c r="H32" s="306">
        <v>1548.7849999999999</v>
      </c>
      <c r="I32" s="307">
        <v>1</v>
      </c>
      <c r="J32" s="1046"/>
      <c r="K32" s="306">
        <f>J32*E32</f>
        <v>0</v>
      </c>
      <c r="L32" s="307">
        <f>K32/F32</f>
        <v>0</v>
      </c>
      <c r="M32" s="1047">
        <f>G32+J32</f>
        <v>815.15</v>
      </c>
      <c r="N32" s="306">
        <f>M32*E32</f>
        <v>1548.7849999999999</v>
      </c>
      <c r="O32" s="307">
        <f>N32/F32</f>
        <v>1</v>
      </c>
      <c r="P32" s="1047">
        <f>D32-M32</f>
        <v>0</v>
      </c>
      <c r="Q32" s="306">
        <f t="shared" si="8"/>
        <v>0</v>
      </c>
      <c r="R32" s="307">
        <f>Q32/F32</f>
        <v>0</v>
      </c>
      <c r="S32" s="314" t="str">
        <f t="shared" si="10"/>
        <v>ok</v>
      </c>
      <c r="T32" s="306"/>
      <c r="U32" s="314"/>
      <c r="V32" s="314"/>
      <c r="W32" s="314"/>
      <c r="X32" s="306"/>
    </row>
    <row r="33" spans="1:24" s="316" customFormat="1" ht="16.5" customHeight="1">
      <c r="A33" s="1101" t="s">
        <v>1203</v>
      </c>
      <c r="B33" s="1101" t="s">
        <v>1687</v>
      </c>
      <c r="C33" s="1104" t="s">
        <v>2147</v>
      </c>
      <c r="D33" s="1105">
        <v>815.15</v>
      </c>
      <c r="E33" s="1106">
        <v>1.9</v>
      </c>
      <c r="F33" s="841">
        <f t="shared" si="18"/>
        <v>1548.7849999999999</v>
      </c>
      <c r="G33" s="1049">
        <v>815.15</v>
      </c>
      <c r="H33" s="306">
        <v>1548.7849999999999</v>
      </c>
      <c r="I33" s="307">
        <v>1</v>
      </c>
      <c r="J33" s="1046"/>
      <c r="K33" s="306">
        <f>J33*E33</f>
        <v>0</v>
      </c>
      <c r="L33" s="307">
        <f>K33/F33</f>
        <v>0</v>
      </c>
      <c r="M33" s="1047">
        <f>G33+J33</f>
        <v>815.15</v>
      </c>
      <c r="N33" s="306">
        <f>M33*E33</f>
        <v>1548.7849999999999</v>
      </c>
      <c r="O33" s="307">
        <f>N33/F33</f>
        <v>1</v>
      </c>
      <c r="P33" s="1047">
        <f>D33-M33</f>
        <v>0</v>
      </c>
      <c r="Q33" s="306">
        <f t="shared" si="8"/>
        <v>0</v>
      </c>
      <c r="R33" s="307">
        <f>Q33/F33</f>
        <v>0</v>
      </c>
      <c r="S33" s="314" t="str">
        <f t="shared" si="10"/>
        <v>ok</v>
      </c>
      <c r="T33" s="306"/>
      <c r="U33" s="314"/>
      <c r="V33" s="314"/>
      <c r="W33" s="314"/>
      <c r="X33" s="306"/>
    </row>
    <row r="34" spans="1:24" s="316" customFormat="1" ht="16.5" customHeight="1">
      <c r="A34" s="1101">
        <v>1.2</v>
      </c>
      <c r="B34" s="1102" t="s">
        <v>1688</v>
      </c>
      <c r="C34" s="1108"/>
      <c r="D34" s="1105"/>
      <c r="E34" s="1109"/>
      <c r="F34" s="841"/>
      <c r="G34" s="1049"/>
      <c r="H34" s="306"/>
      <c r="I34" s="307"/>
      <c r="J34" s="1046"/>
      <c r="K34" s="306"/>
      <c r="L34" s="307"/>
      <c r="M34" s="1047"/>
      <c r="N34" s="306"/>
      <c r="O34" s="307"/>
      <c r="P34" s="1047"/>
      <c r="Q34" s="306">
        <f t="shared" si="8"/>
        <v>0</v>
      </c>
      <c r="R34" s="307"/>
      <c r="S34" s="314" t="str">
        <f t="shared" si="10"/>
        <v>ok</v>
      </c>
      <c r="T34" s="306"/>
      <c r="U34" s="314"/>
      <c r="V34" s="314"/>
      <c r="W34" s="314"/>
      <c r="X34" s="306"/>
    </row>
    <row r="35" spans="1:24" s="316" customFormat="1" ht="16.5" customHeight="1">
      <c r="A35" s="1101" t="s">
        <v>1204</v>
      </c>
      <c r="B35" s="1101" t="s">
        <v>1689</v>
      </c>
      <c r="C35" s="1104" t="s">
        <v>268</v>
      </c>
      <c r="D35" s="1105">
        <v>1</v>
      </c>
      <c r="E35" s="1106">
        <v>4750</v>
      </c>
      <c r="F35" s="841">
        <f>+D35*E35</f>
        <v>4750</v>
      </c>
      <c r="G35" s="1049">
        <v>1</v>
      </c>
      <c r="H35" s="306">
        <v>4750</v>
      </c>
      <c r="I35" s="307">
        <v>1</v>
      </c>
      <c r="J35" s="1046"/>
      <c r="K35" s="306">
        <f>J35*E35</f>
        <v>0</v>
      </c>
      <c r="L35" s="307">
        <f>K35/F35</f>
        <v>0</v>
      </c>
      <c r="M35" s="1047">
        <f>G35+J35</f>
        <v>1</v>
      </c>
      <c r="N35" s="306">
        <f>M35*E35</f>
        <v>4750</v>
      </c>
      <c r="O35" s="307">
        <f>N35/F35</f>
        <v>1</v>
      </c>
      <c r="P35" s="1047">
        <f>D35-M35</f>
        <v>0</v>
      </c>
      <c r="Q35" s="306">
        <f t="shared" si="8"/>
        <v>0</v>
      </c>
      <c r="R35" s="307">
        <f>Q35/F35</f>
        <v>0</v>
      </c>
      <c r="S35" s="314" t="str">
        <f t="shared" si="10"/>
        <v>ok</v>
      </c>
      <c r="T35" s="306"/>
      <c r="U35" s="314"/>
      <c r="V35" s="314"/>
      <c r="W35" s="314"/>
      <c r="X35" s="306"/>
    </row>
    <row r="36" spans="1:24" s="316" customFormat="1" ht="16.5" customHeight="1">
      <c r="A36" s="1101" t="s">
        <v>1205</v>
      </c>
      <c r="B36" s="1101" t="s">
        <v>1690</v>
      </c>
      <c r="C36" s="1104" t="s">
        <v>52</v>
      </c>
      <c r="D36" s="1105">
        <v>125</v>
      </c>
      <c r="E36" s="1106">
        <v>226</v>
      </c>
      <c r="F36" s="841">
        <f t="shared" ref="F36:F40" si="19">+D36*E36</f>
        <v>28250</v>
      </c>
      <c r="G36" s="1049">
        <v>125</v>
      </c>
      <c r="H36" s="306">
        <v>28250</v>
      </c>
      <c r="I36" s="307">
        <v>1</v>
      </c>
      <c r="J36" s="1046"/>
      <c r="K36" s="306">
        <f t="shared" ref="K36:K40" si="20">J36*E36</f>
        <v>0</v>
      </c>
      <c r="L36" s="307">
        <f t="shared" ref="L36:L40" si="21">K36/F36</f>
        <v>0</v>
      </c>
      <c r="M36" s="1047">
        <f t="shared" ref="M36:M40" si="22">G36+J36</f>
        <v>125</v>
      </c>
      <c r="N36" s="306">
        <f t="shared" ref="N36:N40" si="23">M36*E36</f>
        <v>28250</v>
      </c>
      <c r="O36" s="307">
        <f t="shared" ref="O36:O40" si="24">N36/F36</f>
        <v>1</v>
      </c>
      <c r="P36" s="1047">
        <f t="shared" ref="P36:P40" si="25">D36-M36</f>
        <v>0</v>
      </c>
      <c r="Q36" s="306">
        <f t="shared" si="8"/>
        <v>0</v>
      </c>
      <c r="R36" s="307">
        <f t="shared" ref="R36:R40" si="26">Q36/F36</f>
        <v>0</v>
      </c>
      <c r="S36" s="314" t="str">
        <f t="shared" si="10"/>
        <v>ok</v>
      </c>
      <c r="T36" s="306"/>
      <c r="U36" s="314"/>
      <c r="V36" s="314"/>
      <c r="W36" s="314"/>
      <c r="X36" s="306"/>
    </row>
    <row r="37" spans="1:24" s="316" customFormat="1" ht="16.5" customHeight="1">
      <c r="A37" s="1101" t="s">
        <v>1206</v>
      </c>
      <c r="B37" s="1101" t="s">
        <v>1691</v>
      </c>
      <c r="C37" s="1104" t="s">
        <v>268</v>
      </c>
      <c r="D37" s="1105">
        <v>12</v>
      </c>
      <c r="E37" s="1106">
        <v>4500</v>
      </c>
      <c r="F37" s="841">
        <f t="shared" si="19"/>
        <v>54000</v>
      </c>
      <c r="G37" s="1049">
        <v>12</v>
      </c>
      <c r="H37" s="306">
        <v>54000</v>
      </c>
      <c r="I37" s="307">
        <v>1</v>
      </c>
      <c r="J37" s="1046"/>
      <c r="K37" s="306">
        <f t="shared" si="20"/>
        <v>0</v>
      </c>
      <c r="L37" s="307">
        <f t="shared" si="21"/>
        <v>0</v>
      </c>
      <c r="M37" s="1047">
        <f t="shared" si="22"/>
        <v>12</v>
      </c>
      <c r="N37" s="306">
        <f t="shared" si="23"/>
        <v>54000</v>
      </c>
      <c r="O37" s="307">
        <f t="shared" si="24"/>
        <v>1</v>
      </c>
      <c r="P37" s="1047">
        <f t="shared" si="25"/>
        <v>0</v>
      </c>
      <c r="Q37" s="306">
        <f t="shared" si="8"/>
        <v>0</v>
      </c>
      <c r="R37" s="307">
        <f t="shared" si="26"/>
        <v>0</v>
      </c>
      <c r="S37" s="314" t="str">
        <f t="shared" si="10"/>
        <v>ok</v>
      </c>
      <c r="T37" s="306"/>
      <c r="U37" s="314"/>
      <c r="V37" s="314"/>
      <c r="W37" s="314"/>
      <c r="X37" s="306"/>
    </row>
    <row r="38" spans="1:24" s="316" customFormat="1" ht="16.5" customHeight="1">
      <c r="A38" s="1101" t="s">
        <v>1207</v>
      </c>
      <c r="B38" s="1101" t="s">
        <v>1692</v>
      </c>
      <c r="C38" s="1104" t="s">
        <v>268</v>
      </c>
      <c r="D38" s="1105">
        <v>1</v>
      </c>
      <c r="E38" s="1106">
        <v>3100</v>
      </c>
      <c r="F38" s="841">
        <f t="shared" si="19"/>
        <v>3100</v>
      </c>
      <c r="G38" s="1049">
        <v>1</v>
      </c>
      <c r="H38" s="306">
        <v>3100</v>
      </c>
      <c r="I38" s="307">
        <v>1</v>
      </c>
      <c r="J38" s="1046"/>
      <c r="K38" s="306">
        <f t="shared" si="20"/>
        <v>0</v>
      </c>
      <c r="L38" s="307">
        <f t="shared" si="21"/>
        <v>0</v>
      </c>
      <c r="M38" s="1047">
        <f t="shared" si="22"/>
        <v>1</v>
      </c>
      <c r="N38" s="306">
        <f t="shared" si="23"/>
        <v>3100</v>
      </c>
      <c r="O38" s="307">
        <f t="shared" si="24"/>
        <v>1</v>
      </c>
      <c r="P38" s="1047">
        <f t="shared" si="25"/>
        <v>0</v>
      </c>
      <c r="Q38" s="306">
        <f t="shared" si="8"/>
        <v>0</v>
      </c>
      <c r="R38" s="307">
        <f t="shared" si="26"/>
        <v>0</v>
      </c>
      <c r="S38" s="314" t="str">
        <f t="shared" si="10"/>
        <v>ok</v>
      </c>
      <c r="T38" s="306"/>
      <c r="U38" s="314"/>
      <c r="V38" s="314"/>
      <c r="W38" s="314"/>
      <c r="X38" s="306"/>
    </row>
    <row r="39" spans="1:24" s="316" customFormat="1" ht="16.5" customHeight="1">
      <c r="A39" s="1101" t="s">
        <v>1208</v>
      </c>
      <c r="B39" s="1101" t="s">
        <v>1693</v>
      </c>
      <c r="C39" s="1104" t="s">
        <v>268</v>
      </c>
      <c r="D39" s="1105">
        <v>1</v>
      </c>
      <c r="E39" s="1106">
        <v>4950</v>
      </c>
      <c r="F39" s="841">
        <f t="shared" si="19"/>
        <v>4950</v>
      </c>
      <c r="G39" s="1049">
        <v>1</v>
      </c>
      <c r="H39" s="306">
        <v>4950</v>
      </c>
      <c r="I39" s="307">
        <v>1</v>
      </c>
      <c r="J39" s="1046"/>
      <c r="K39" s="306">
        <f t="shared" si="20"/>
        <v>0</v>
      </c>
      <c r="L39" s="307">
        <f t="shared" si="21"/>
        <v>0</v>
      </c>
      <c r="M39" s="1047">
        <f t="shared" si="22"/>
        <v>1</v>
      </c>
      <c r="N39" s="306">
        <f t="shared" si="23"/>
        <v>4950</v>
      </c>
      <c r="O39" s="307">
        <f t="shared" si="24"/>
        <v>1</v>
      </c>
      <c r="P39" s="1047">
        <f t="shared" si="25"/>
        <v>0</v>
      </c>
      <c r="Q39" s="306">
        <f t="shared" si="8"/>
        <v>0</v>
      </c>
      <c r="R39" s="307">
        <f t="shared" si="26"/>
        <v>0</v>
      </c>
      <c r="S39" s="314" t="str">
        <f t="shared" si="10"/>
        <v>ok</v>
      </c>
      <c r="T39" s="306"/>
      <c r="U39" s="314"/>
      <c r="V39" s="314"/>
      <c r="W39" s="314"/>
      <c r="X39" s="306"/>
    </row>
    <row r="40" spans="1:24" s="316" customFormat="1" ht="16.5" customHeight="1">
      <c r="A40" s="1101" t="s">
        <v>1209</v>
      </c>
      <c r="B40" s="1101" t="s">
        <v>1694</v>
      </c>
      <c r="C40" s="1104" t="s">
        <v>268</v>
      </c>
      <c r="D40" s="1105">
        <v>1</v>
      </c>
      <c r="E40" s="1106">
        <v>1282.8</v>
      </c>
      <c r="F40" s="841">
        <f t="shared" si="19"/>
        <v>1282.8</v>
      </c>
      <c r="G40" s="1049">
        <v>1</v>
      </c>
      <c r="H40" s="306">
        <v>1282.8</v>
      </c>
      <c r="I40" s="307">
        <v>1</v>
      </c>
      <c r="J40" s="1046"/>
      <c r="K40" s="306">
        <f t="shared" si="20"/>
        <v>0</v>
      </c>
      <c r="L40" s="307">
        <f t="shared" si="21"/>
        <v>0</v>
      </c>
      <c r="M40" s="1047">
        <f t="shared" si="22"/>
        <v>1</v>
      </c>
      <c r="N40" s="306">
        <f t="shared" si="23"/>
        <v>1282.8</v>
      </c>
      <c r="O40" s="307">
        <f t="shared" si="24"/>
        <v>1</v>
      </c>
      <c r="P40" s="1047">
        <f t="shared" si="25"/>
        <v>0</v>
      </c>
      <c r="Q40" s="306">
        <f t="shared" si="8"/>
        <v>0</v>
      </c>
      <c r="R40" s="307">
        <f t="shared" si="26"/>
        <v>0</v>
      </c>
      <c r="S40" s="314" t="str">
        <f t="shared" si="10"/>
        <v>ok</v>
      </c>
      <c r="T40" s="306"/>
      <c r="U40" s="314"/>
      <c r="V40" s="314"/>
      <c r="W40" s="314"/>
      <c r="X40" s="306"/>
    </row>
    <row r="41" spans="1:24" s="316" customFormat="1" ht="16.5" customHeight="1">
      <c r="A41" s="1101">
        <v>2</v>
      </c>
      <c r="B41" s="1110" t="s">
        <v>1695</v>
      </c>
      <c r="C41" s="1111"/>
      <c r="D41" s="1105"/>
      <c r="E41" s="1111"/>
      <c r="F41" s="841"/>
      <c r="G41" s="1049"/>
      <c r="H41" s="306"/>
      <c r="I41" s="307"/>
      <c r="J41" s="1046"/>
      <c r="K41" s="306"/>
      <c r="L41" s="307"/>
      <c r="M41" s="1047"/>
      <c r="N41" s="306"/>
      <c r="O41" s="307"/>
      <c r="P41" s="1047"/>
      <c r="Q41" s="306">
        <f t="shared" si="8"/>
        <v>0</v>
      </c>
      <c r="R41" s="307"/>
      <c r="S41" s="314" t="str">
        <f t="shared" si="10"/>
        <v>ok</v>
      </c>
      <c r="T41" s="306"/>
      <c r="U41" s="314"/>
      <c r="V41" s="314"/>
      <c r="W41" s="314"/>
      <c r="X41" s="306"/>
    </row>
    <row r="42" spans="1:24" s="316" customFormat="1" ht="16.5" customHeight="1">
      <c r="A42" s="1101">
        <v>2.1</v>
      </c>
      <c r="B42" s="1102" t="s">
        <v>1696</v>
      </c>
      <c r="C42" s="1108"/>
      <c r="D42" s="1105"/>
      <c r="E42" s="1109"/>
      <c r="F42" s="841"/>
      <c r="G42" s="1049"/>
      <c r="H42" s="306"/>
      <c r="I42" s="307"/>
      <c r="J42" s="1046"/>
      <c r="K42" s="306"/>
      <c r="L42" s="307"/>
      <c r="M42" s="1047"/>
      <c r="N42" s="306"/>
      <c r="O42" s="307"/>
      <c r="P42" s="1047"/>
      <c r="Q42" s="306">
        <f t="shared" si="8"/>
        <v>0</v>
      </c>
      <c r="R42" s="307"/>
      <c r="S42" s="314" t="str">
        <f t="shared" si="10"/>
        <v>ok</v>
      </c>
      <c r="T42" s="306"/>
      <c r="U42" s="314"/>
      <c r="V42" s="314"/>
      <c r="W42" s="314"/>
      <c r="X42" s="306"/>
    </row>
    <row r="43" spans="1:24" s="316" customFormat="1" ht="16.5" customHeight="1">
      <c r="A43" s="1101" t="s">
        <v>1210</v>
      </c>
      <c r="B43" s="1103" t="s">
        <v>1697</v>
      </c>
      <c r="C43" s="1103"/>
      <c r="D43" s="1105"/>
      <c r="E43" s="1107"/>
      <c r="F43" s="841"/>
      <c r="G43" s="1049"/>
      <c r="H43" s="306"/>
      <c r="I43" s="307"/>
      <c r="J43" s="1046"/>
      <c r="K43" s="306"/>
      <c r="L43" s="307"/>
      <c r="M43" s="1047"/>
      <c r="N43" s="306"/>
      <c r="O43" s="307"/>
      <c r="P43" s="1047"/>
      <c r="Q43" s="306">
        <f t="shared" si="8"/>
        <v>0</v>
      </c>
      <c r="R43" s="307"/>
      <c r="S43" s="314" t="str">
        <f t="shared" si="10"/>
        <v>ok</v>
      </c>
      <c r="T43" s="306"/>
      <c r="U43" s="314"/>
      <c r="V43" s="314"/>
      <c r="W43" s="314"/>
      <c r="X43" s="306"/>
    </row>
    <row r="44" spans="1:24" s="316" customFormat="1" ht="16.5" customHeight="1">
      <c r="A44" s="1101" t="s">
        <v>1211</v>
      </c>
      <c r="B44" s="1101" t="s">
        <v>1698</v>
      </c>
      <c r="C44" s="1104" t="s">
        <v>2148</v>
      </c>
      <c r="D44" s="1105">
        <v>7675.53</v>
      </c>
      <c r="E44" s="1106">
        <v>8.9</v>
      </c>
      <c r="F44" s="841">
        <f>+D44*E44</f>
        <v>68312.217000000004</v>
      </c>
      <c r="G44" s="1049">
        <v>6016</v>
      </c>
      <c r="H44" s="306">
        <v>53542.400000000001</v>
      </c>
      <c r="I44" s="307">
        <v>0.7837895233293336</v>
      </c>
      <c r="J44" s="1046"/>
      <c r="K44" s="306">
        <f>J44*E44</f>
        <v>0</v>
      </c>
      <c r="L44" s="307">
        <f>K44/F44</f>
        <v>0</v>
      </c>
      <c r="M44" s="1047">
        <f>G44+J44</f>
        <v>6016</v>
      </c>
      <c r="N44" s="306">
        <f>M44*E44</f>
        <v>53542.400000000001</v>
      </c>
      <c r="O44" s="307">
        <f>N44/F44</f>
        <v>0.7837895233293336</v>
      </c>
      <c r="P44" s="1047">
        <f>D44-M44</f>
        <v>1659.5299999999997</v>
      </c>
      <c r="Q44" s="306">
        <f t="shared" si="8"/>
        <v>14769.817000000003</v>
      </c>
      <c r="R44" s="307">
        <f>Q44/F44</f>
        <v>0.21621047667066642</v>
      </c>
      <c r="S44" s="314" t="str">
        <f t="shared" si="10"/>
        <v>ok</v>
      </c>
      <c r="T44" s="306"/>
      <c r="U44" s="314"/>
      <c r="V44" s="314"/>
      <c r="W44" s="314"/>
      <c r="X44" s="306"/>
    </row>
    <row r="45" spans="1:24" s="316" customFormat="1" ht="16.5" customHeight="1">
      <c r="A45" s="1101" t="s">
        <v>1212</v>
      </c>
      <c r="B45" s="1103" t="s">
        <v>1699</v>
      </c>
      <c r="C45" s="1103"/>
      <c r="D45" s="1105"/>
      <c r="E45" s="1107"/>
      <c r="F45" s="841"/>
      <c r="G45" s="1049"/>
      <c r="H45" s="306"/>
      <c r="I45" s="307"/>
      <c r="J45" s="1046"/>
      <c r="K45" s="306"/>
      <c r="L45" s="307"/>
      <c r="M45" s="1049"/>
      <c r="N45" s="306"/>
      <c r="O45" s="307"/>
      <c r="P45" s="1047"/>
      <c r="Q45" s="306">
        <f t="shared" si="8"/>
        <v>0</v>
      </c>
      <c r="R45" s="307"/>
      <c r="S45" s="314" t="str">
        <f t="shared" si="10"/>
        <v>ok</v>
      </c>
      <c r="T45" s="306"/>
      <c r="U45" s="314"/>
      <c r="V45" s="314"/>
      <c r="W45" s="314"/>
      <c r="X45" s="306"/>
    </row>
    <row r="46" spans="1:24" s="934" customFormat="1" ht="16.5" customHeight="1">
      <c r="A46" s="1860" t="s">
        <v>1213</v>
      </c>
      <c r="B46" s="1901" t="s">
        <v>1700</v>
      </c>
      <c r="C46" s="1861" t="s">
        <v>2148</v>
      </c>
      <c r="D46" s="1877">
        <v>9954.7900000000009</v>
      </c>
      <c r="E46" s="1878">
        <v>21.57</v>
      </c>
      <c r="F46" s="1879">
        <f t="shared" si="18"/>
        <v>214724.82030000002</v>
      </c>
      <c r="G46" s="1049">
        <v>8859</v>
      </c>
      <c r="H46" s="1425">
        <v>191088.63</v>
      </c>
      <c r="I46" s="305">
        <v>0.88992334343567259</v>
      </c>
      <c r="J46" s="1049"/>
      <c r="K46" s="1425">
        <f t="shared" ref="K46" si="27">J46*E46</f>
        <v>0</v>
      </c>
      <c r="L46" s="305">
        <f t="shared" ref="L46" si="28">K46/F46</f>
        <v>0</v>
      </c>
      <c r="M46" s="1049">
        <f t="shared" ref="M46" si="29">G46+J46</f>
        <v>8859</v>
      </c>
      <c r="N46" s="1425">
        <f t="shared" ref="N46" si="30">M46*E46</f>
        <v>191088.63</v>
      </c>
      <c r="O46" s="305">
        <f t="shared" ref="O46" si="31">N46/F46</f>
        <v>0.88992334343567259</v>
      </c>
      <c r="P46" s="1049">
        <f t="shared" ref="P46" si="32">D46-M46</f>
        <v>1095.7900000000009</v>
      </c>
      <c r="Q46" s="1425">
        <f t="shared" si="8"/>
        <v>23636.190300000017</v>
      </c>
      <c r="R46" s="305">
        <f t="shared" ref="R46" si="33">Q46/F46</f>
        <v>0.11007665656432739</v>
      </c>
      <c r="S46" s="314" t="str">
        <f t="shared" si="10"/>
        <v>ok</v>
      </c>
      <c r="T46" s="1425"/>
      <c r="U46" s="1426"/>
      <c r="V46" s="1426"/>
      <c r="W46" s="1426"/>
      <c r="X46" s="1425"/>
    </row>
    <row r="47" spans="1:24" s="316" customFormat="1" ht="16.5" customHeight="1">
      <c r="A47" s="1101">
        <v>2.2000000000000002</v>
      </c>
      <c r="B47" s="1102" t="s">
        <v>1701</v>
      </c>
      <c r="C47" s="1108"/>
      <c r="D47" s="1105"/>
      <c r="E47" s="1109"/>
      <c r="F47" s="841"/>
      <c r="G47" s="1049"/>
      <c r="H47" s="306"/>
      <c r="I47" s="307"/>
      <c r="J47" s="1046"/>
      <c r="K47" s="306"/>
      <c r="L47" s="307"/>
      <c r="M47" s="1047"/>
      <c r="N47" s="306"/>
      <c r="O47" s="307"/>
      <c r="P47" s="1047"/>
      <c r="Q47" s="306">
        <f t="shared" si="8"/>
        <v>0</v>
      </c>
      <c r="R47" s="307"/>
      <c r="S47" s="314" t="str">
        <f t="shared" si="10"/>
        <v>ok</v>
      </c>
      <c r="T47" s="306"/>
      <c r="U47" s="314"/>
      <c r="V47" s="314"/>
      <c r="W47" s="314"/>
      <c r="X47" s="306"/>
    </row>
    <row r="48" spans="1:24" s="316" customFormat="1" ht="16.5" customHeight="1">
      <c r="A48" s="1101" t="s">
        <v>1214</v>
      </c>
      <c r="B48" s="1103" t="s">
        <v>1702</v>
      </c>
      <c r="C48" s="1103"/>
      <c r="D48" s="1105"/>
      <c r="E48" s="1107"/>
      <c r="F48" s="841"/>
      <c r="G48" s="1049"/>
      <c r="H48" s="306"/>
      <c r="I48" s="307"/>
      <c r="J48" s="1046"/>
      <c r="K48" s="306"/>
      <c r="L48" s="307"/>
      <c r="M48" s="1047"/>
      <c r="N48" s="306"/>
      <c r="O48" s="307"/>
      <c r="P48" s="1047"/>
      <c r="Q48" s="306">
        <f t="shared" si="8"/>
        <v>0</v>
      </c>
      <c r="R48" s="307"/>
      <c r="S48" s="314" t="str">
        <f t="shared" si="10"/>
        <v>ok</v>
      </c>
      <c r="T48" s="306"/>
      <c r="U48" s="314"/>
      <c r="V48" s="314"/>
      <c r="W48" s="314"/>
      <c r="X48" s="306"/>
    </row>
    <row r="49" spans="1:24" s="316" customFormat="1" ht="16.5" customHeight="1">
      <c r="A49" s="1101" t="s">
        <v>1215</v>
      </c>
      <c r="B49" s="1101" t="s">
        <v>1703</v>
      </c>
      <c r="C49" s="1104" t="s">
        <v>2148</v>
      </c>
      <c r="D49" s="1105">
        <v>444.82</v>
      </c>
      <c r="E49" s="1106">
        <v>381.27</v>
      </c>
      <c r="F49" s="841">
        <f>+D49*E49</f>
        <v>169596.5214</v>
      </c>
      <c r="G49" s="1049">
        <v>410.91999999999996</v>
      </c>
      <c r="H49" s="306">
        <v>156671.46839999998</v>
      </c>
      <c r="I49" s="307">
        <v>0.92378939795872483</v>
      </c>
      <c r="J49" s="1046"/>
      <c r="K49" s="306">
        <f>J49*E49</f>
        <v>0</v>
      </c>
      <c r="L49" s="307">
        <f>K49/F49</f>
        <v>0</v>
      </c>
      <c r="M49" s="1047">
        <f>G49+J49</f>
        <v>410.91999999999996</v>
      </c>
      <c r="N49" s="306">
        <f>M49*E49</f>
        <v>156671.46839999998</v>
      </c>
      <c r="O49" s="307">
        <f>N49/F49</f>
        <v>0.92378939795872483</v>
      </c>
      <c r="P49" s="1047">
        <f>D49-M49</f>
        <v>33.900000000000034</v>
      </c>
      <c r="Q49" s="306">
        <f t="shared" si="8"/>
        <v>12925.053000000014</v>
      </c>
      <c r="R49" s="307">
        <f>Q49/F49</f>
        <v>7.6210602041275208E-2</v>
      </c>
      <c r="S49" s="314" t="str">
        <f t="shared" si="10"/>
        <v>ok</v>
      </c>
      <c r="T49" s="306"/>
      <c r="U49" s="314"/>
      <c r="V49" s="314"/>
      <c r="W49" s="314"/>
      <c r="X49" s="306"/>
    </row>
    <row r="50" spans="1:24" s="316" customFormat="1" ht="16.5" customHeight="1">
      <c r="A50" s="1101" t="s">
        <v>1216</v>
      </c>
      <c r="B50" s="1101" t="s">
        <v>1704</v>
      </c>
      <c r="C50" s="1104" t="s">
        <v>2147</v>
      </c>
      <c r="D50" s="1105">
        <v>191.36</v>
      </c>
      <c r="E50" s="1106">
        <v>68.680000000000007</v>
      </c>
      <c r="F50" s="841">
        <f t="shared" ref="F50:F51" si="34">+D50*E50</f>
        <v>13142.604800000003</v>
      </c>
      <c r="G50" s="1049">
        <v>0</v>
      </c>
      <c r="H50" s="306">
        <v>0</v>
      </c>
      <c r="I50" s="307">
        <v>0</v>
      </c>
      <c r="J50" s="1046"/>
      <c r="K50" s="306">
        <f t="shared" ref="K50:K51" si="35">J50*E50</f>
        <v>0</v>
      </c>
      <c r="L50" s="307">
        <f t="shared" ref="L50:L51" si="36">K50/F50</f>
        <v>0</v>
      </c>
      <c r="M50" s="1047">
        <f t="shared" ref="M50:M51" si="37">G50+J50</f>
        <v>0</v>
      </c>
      <c r="N50" s="306">
        <f t="shared" ref="N50:N51" si="38">M50*E50</f>
        <v>0</v>
      </c>
      <c r="O50" s="307">
        <f t="shared" ref="O50:O51" si="39">N50/F50</f>
        <v>0</v>
      </c>
      <c r="P50" s="1047">
        <f t="shared" ref="P50:P51" si="40">D50-M50</f>
        <v>191.36</v>
      </c>
      <c r="Q50" s="306">
        <f t="shared" si="8"/>
        <v>13142.604800000003</v>
      </c>
      <c r="R50" s="307">
        <f t="shared" ref="R50:R51" si="41">Q50/F50</f>
        <v>1</v>
      </c>
      <c r="S50" s="314" t="str">
        <f t="shared" si="10"/>
        <v>ok</v>
      </c>
      <c r="T50" s="306"/>
      <c r="U50" s="314"/>
      <c r="V50" s="314"/>
      <c r="W50" s="314"/>
      <c r="X50" s="306"/>
    </row>
    <row r="51" spans="1:24" s="316" customFormat="1" ht="16.5" customHeight="1">
      <c r="A51" s="1101" t="s">
        <v>1217</v>
      </c>
      <c r="B51" s="1101" t="s">
        <v>1705</v>
      </c>
      <c r="C51" s="1104" t="s">
        <v>420</v>
      </c>
      <c r="D51" s="1105">
        <v>52904.86</v>
      </c>
      <c r="E51" s="1106">
        <v>4.97</v>
      </c>
      <c r="F51" s="841">
        <f t="shared" si="34"/>
        <v>262937.15419999999</v>
      </c>
      <c r="G51" s="1049">
        <v>42304.789192280004</v>
      </c>
      <c r="H51" s="306">
        <v>210254.80228563162</v>
      </c>
      <c r="I51" s="307">
        <v>0.79963899710310182</v>
      </c>
      <c r="J51" s="1046"/>
      <c r="K51" s="306">
        <f t="shared" si="35"/>
        <v>0</v>
      </c>
      <c r="L51" s="307">
        <f t="shared" si="36"/>
        <v>0</v>
      </c>
      <c r="M51" s="1047">
        <f t="shared" si="37"/>
        <v>42304.789192280004</v>
      </c>
      <c r="N51" s="306">
        <f t="shared" si="38"/>
        <v>210254.80228563162</v>
      </c>
      <c r="O51" s="307">
        <f t="shared" si="39"/>
        <v>0.79963899710310182</v>
      </c>
      <c r="P51" s="1047">
        <f t="shared" si="40"/>
        <v>10600.070807719996</v>
      </c>
      <c r="Q51" s="306">
        <f t="shared" si="8"/>
        <v>52682.351914368366</v>
      </c>
      <c r="R51" s="307">
        <f t="shared" si="41"/>
        <v>0.2003610028968982</v>
      </c>
      <c r="S51" s="314" t="str">
        <f t="shared" si="10"/>
        <v>ok</v>
      </c>
      <c r="T51" s="306"/>
      <c r="U51" s="314"/>
      <c r="V51" s="314"/>
      <c r="W51" s="314"/>
      <c r="X51" s="306"/>
    </row>
    <row r="52" spans="1:24" s="316" customFormat="1" ht="16.5" customHeight="1">
      <c r="A52" s="1101" t="s">
        <v>1218</v>
      </c>
      <c r="B52" s="1103" t="s">
        <v>1706</v>
      </c>
      <c r="C52" s="1103"/>
      <c r="D52" s="1105"/>
      <c r="E52" s="1107"/>
      <c r="F52" s="841"/>
      <c r="G52" s="1049"/>
      <c r="H52" s="306"/>
      <c r="I52" s="307"/>
      <c r="J52" s="1046"/>
      <c r="K52" s="306"/>
      <c r="L52" s="307"/>
      <c r="M52" s="1047"/>
      <c r="N52" s="306"/>
      <c r="O52" s="307"/>
      <c r="P52" s="1047"/>
      <c r="Q52" s="306">
        <f t="shared" si="8"/>
        <v>0</v>
      </c>
      <c r="R52" s="307"/>
      <c r="S52" s="314" t="str">
        <f t="shared" si="10"/>
        <v>ok</v>
      </c>
      <c r="T52" s="306"/>
      <c r="U52" s="314"/>
      <c r="V52" s="314"/>
      <c r="W52" s="314"/>
      <c r="X52" s="306"/>
    </row>
    <row r="53" spans="1:24" s="316" customFormat="1" ht="16.5" customHeight="1">
      <c r="A53" s="1101" t="s">
        <v>1219</v>
      </c>
      <c r="B53" s="1101" t="s">
        <v>1707</v>
      </c>
      <c r="C53" s="1104" t="s">
        <v>2148</v>
      </c>
      <c r="D53" s="1105">
        <v>265.75</v>
      </c>
      <c r="E53" s="1106">
        <v>461.08</v>
      </c>
      <c r="F53" s="841">
        <f>+D53*E53</f>
        <v>122532.01</v>
      </c>
      <c r="G53" s="1049">
        <v>220.65531239751999</v>
      </c>
      <c r="H53" s="306">
        <v>101739.75144024851</v>
      </c>
      <c r="I53" s="307">
        <v>0.83031161767646278</v>
      </c>
      <c r="J53" s="1046"/>
      <c r="K53" s="306">
        <f>J53*E53</f>
        <v>0</v>
      </c>
      <c r="L53" s="307">
        <f>K53/F53</f>
        <v>0</v>
      </c>
      <c r="M53" s="1047">
        <f>G53+J53</f>
        <v>220.65531239751999</v>
      </c>
      <c r="N53" s="306">
        <f>M53*E53</f>
        <v>101739.75144024851</v>
      </c>
      <c r="O53" s="307">
        <f>N53/F53</f>
        <v>0.83031161767646278</v>
      </c>
      <c r="P53" s="1047">
        <f>D53-M53</f>
        <v>45.094687602480008</v>
      </c>
      <c r="Q53" s="306">
        <f t="shared" si="8"/>
        <v>20792.258559751484</v>
      </c>
      <c r="R53" s="307">
        <f>Q53/F53</f>
        <v>0.16968838232353722</v>
      </c>
      <c r="S53" s="314" t="str">
        <f t="shared" si="10"/>
        <v>ok</v>
      </c>
      <c r="T53" s="306"/>
      <c r="U53" s="314"/>
      <c r="V53" s="314"/>
      <c r="W53" s="314"/>
      <c r="X53" s="306"/>
    </row>
    <row r="54" spans="1:24" s="316" customFormat="1" ht="16.5" customHeight="1">
      <c r="A54" s="1101" t="s">
        <v>1220</v>
      </c>
      <c r="B54" s="1101" t="s">
        <v>1708</v>
      </c>
      <c r="C54" s="1104" t="s">
        <v>2147</v>
      </c>
      <c r="D54" s="1105">
        <v>241.59</v>
      </c>
      <c r="E54" s="1106">
        <v>68.680000000000007</v>
      </c>
      <c r="F54" s="841">
        <f t="shared" ref="F54:F55" si="42">+D54*E54</f>
        <v>16592.4012</v>
      </c>
      <c r="G54" s="1049">
        <v>241.59</v>
      </c>
      <c r="H54" s="306">
        <v>16592.4012</v>
      </c>
      <c r="I54" s="307">
        <v>1</v>
      </c>
      <c r="J54" s="1046"/>
      <c r="K54" s="306">
        <f t="shared" ref="K54:K117" si="43">J54*E54</f>
        <v>0</v>
      </c>
      <c r="L54" s="307">
        <f t="shared" ref="L54:L117" si="44">K54/F54</f>
        <v>0</v>
      </c>
      <c r="M54" s="1047">
        <f t="shared" ref="M54:M117" si="45">G54+J54</f>
        <v>241.59</v>
      </c>
      <c r="N54" s="306">
        <f t="shared" ref="N54:N117" si="46">M54*E54</f>
        <v>16592.4012</v>
      </c>
      <c r="O54" s="307">
        <f t="shared" ref="O54:O117" si="47">N54/F54</f>
        <v>1</v>
      </c>
      <c r="P54" s="1047">
        <f t="shared" ref="P54:P117" si="48">D54-M54</f>
        <v>0</v>
      </c>
      <c r="Q54" s="306">
        <f t="shared" si="8"/>
        <v>0</v>
      </c>
      <c r="R54" s="307">
        <f t="shared" ref="R54:R117" si="49">Q54/F54</f>
        <v>0</v>
      </c>
      <c r="S54" s="314" t="str">
        <f t="shared" si="10"/>
        <v>ok</v>
      </c>
      <c r="T54" s="306"/>
      <c r="U54" s="314"/>
      <c r="V54" s="314"/>
      <c r="W54" s="314"/>
      <c r="X54" s="306"/>
    </row>
    <row r="55" spans="1:24" s="316" customFormat="1" ht="16.5" customHeight="1">
      <c r="A55" s="1101" t="s">
        <v>1221</v>
      </c>
      <c r="B55" s="1101" t="s">
        <v>1709</v>
      </c>
      <c r="C55" s="1104" t="s">
        <v>420</v>
      </c>
      <c r="D55" s="1105">
        <v>34919.160000000003</v>
      </c>
      <c r="E55" s="1106">
        <v>4.97</v>
      </c>
      <c r="F55" s="841">
        <f t="shared" si="42"/>
        <v>173548.22520000002</v>
      </c>
      <c r="G55" s="1049">
        <v>21377.65</v>
      </c>
      <c r="H55" s="306">
        <v>106246.92050000001</v>
      </c>
      <c r="I55" s="307">
        <v>0.61220401636236377</v>
      </c>
      <c r="J55" s="1046"/>
      <c r="K55" s="306">
        <f t="shared" si="43"/>
        <v>0</v>
      </c>
      <c r="L55" s="307">
        <f t="shared" si="44"/>
        <v>0</v>
      </c>
      <c r="M55" s="1047">
        <f t="shared" si="45"/>
        <v>21377.65</v>
      </c>
      <c r="N55" s="306">
        <f t="shared" si="46"/>
        <v>106246.92050000001</v>
      </c>
      <c r="O55" s="307">
        <f t="shared" si="47"/>
        <v>0.61220401636236377</v>
      </c>
      <c r="P55" s="1047">
        <f t="shared" si="48"/>
        <v>13541.510000000002</v>
      </c>
      <c r="Q55" s="306">
        <f t="shared" si="8"/>
        <v>67301.304700000008</v>
      </c>
      <c r="R55" s="307">
        <f t="shared" si="49"/>
        <v>0.38779598363763618</v>
      </c>
      <c r="S55" s="314" t="str">
        <f t="shared" si="10"/>
        <v>ok</v>
      </c>
      <c r="T55" s="306"/>
      <c r="U55" s="314"/>
      <c r="V55" s="314"/>
      <c r="W55" s="314"/>
      <c r="X55" s="306"/>
    </row>
    <row r="56" spans="1:24" s="316" customFormat="1" ht="16.5" customHeight="1">
      <c r="A56" s="1101" t="s">
        <v>1222</v>
      </c>
      <c r="B56" s="1103" t="s">
        <v>1710</v>
      </c>
      <c r="C56" s="1103"/>
      <c r="D56" s="1105"/>
      <c r="E56" s="1107"/>
      <c r="F56" s="841"/>
      <c r="G56" s="1049"/>
      <c r="H56" s="306"/>
      <c r="I56" s="307"/>
      <c r="J56" s="1046"/>
      <c r="K56" s="306"/>
      <c r="L56" s="307"/>
      <c r="M56" s="1047"/>
      <c r="N56" s="306"/>
      <c r="O56" s="307"/>
      <c r="P56" s="1047"/>
      <c r="Q56" s="306">
        <f t="shared" si="8"/>
        <v>0</v>
      </c>
      <c r="R56" s="307"/>
      <c r="S56" s="314" t="str">
        <f t="shared" si="10"/>
        <v>ok</v>
      </c>
      <c r="T56" s="306"/>
      <c r="U56" s="314"/>
      <c r="V56" s="314"/>
      <c r="W56" s="314"/>
      <c r="X56" s="306"/>
    </row>
    <row r="57" spans="1:24" s="316" customFormat="1" ht="16.5" customHeight="1">
      <c r="A57" s="1101" t="s">
        <v>1223</v>
      </c>
      <c r="B57" s="1101" t="s">
        <v>1711</v>
      </c>
      <c r="C57" s="1104" t="s">
        <v>2148</v>
      </c>
      <c r="D57" s="1105">
        <v>334.8</v>
      </c>
      <c r="E57" s="1106">
        <v>609.01</v>
      </c>
      <c r="F57" s="841">
        <f>+D57*E57</f>
        <v>203896.54800000001</v>
      </c>
      <c r="G57" s="1049">
        <v>334.80000200000006</v>
      </c>
      <c r="H57" s="306">
        <v>203896.54921802002</v>
      </c>
      <c r="I57" s="307">
        <v>1.0000000059737157</v>
      </c>
      <c r="J57" s="1046"/>
      <c r="K57" s="306">
        <f t="shared" si="43"/>
        <v>0</v>
      </c>
      <c r="L57" s="307">
        <f t="shared" si="44"/>
        <v>0</v>
      </c>
      <c r="M57" s="1047">
        <f t="shared" si="45"/>
        <v>334.80000200000006</v>
      </c>
      <c r="N57" s="306">
        <f t="shared" si="46"/>
        <v>203896.54921802002</v>
      </c>
      <c r="O57" s="307">
        <f t="shared" si="47"/>
        <v>1.0000000059737157</v>
      </c>
      <c r="P57" s="1047">
        <f t="shared" si="48"/>
        <v>-2.0000000517939043E-6</v>
      </c>
      <c r="Q57" s="306">
        <f>-F57+N57</f>
        <v>1.2180200137663633E-3</v>
      </c>
      <c r="R57" s="307">
        <f t="shared" si="49"/>
        <v>5.9737157186514171E-9</v>
      </c>
      <c r="S57" s="314" t="str">
        <f t="shared" si="10"/>
        <v>mayormetrado</v>
      </c>
      <c r="T57" s="306"/>
      <c r="U57" s="314"/>
      <c r="V57" s="314"/>
      <c r="W57" s="314"/>
      <c r="X57" s="1876"/>
    </row>
    <row r="58" spans="1:24" s="316" customFormat="1" ht="16.5" customHeight="1">
      <c r="A58" s="1101" t="s">
        <v>1224</v>
      </c>
      <c r="B58" s="1101" t="s">
        <v>1712</v>
      </c>
      <c r="C58" s="1104" t="s">
        <v>2147</v>
      </c>
      <c r="D58" s="1105">
        <v>2236.17</v>
      </c>
      <c r="E58" s="1106">
        <v>66.5</v>
      </c>
      <c r="F58" s="841">
        <f t="shared" ref="F58:F59" si="50">+D58*E58</f>
        <v>148705.30499999999</v>
      </c>
      <c r="G58" s="1049">
        <v>2236.1700000000005</v>
      </c>
      <c r="H58" s="306">
        <v>148705.30500000002</v>
      </c>
      <c r="I58" s="307">
        <v>1.0000000000000002</v>
      </c>
      <c r="J58" s="1046"/>
      <c r="K58" s="306">
        <f t="shared" si="43"/>
        <v>0</v>
      </c>
      <c r="L58" s="307">
        <f t="shared" si="44"/>
        <v>0</v>
      </c>
      <c r="M58" s="1047">
        <f t="shared" si="45"/>
        <v>2236.1700000000005</v>
      </c>
      <c r="N58" s="306">
        <f t="shared" si="46"/>
        <v>148705.30500000002</v>
      </c>
      <c r="O58" s="307">
        <f t="shared" si="47"/>
        <v>1.0000000000000002</v>
      </c>
      <c r="P58" s="1047">
        <f t="shared" si="48"/>
        <v>0</v>
      </c>
      <c r="Q58" s="306">
        <f t="shared" si="8"/>
        <v>0</v>
      </c>
      <c r="R58" s="307">
        <f t="shared" si="49"/>
        <v>0</v>
      </c>
      <c r="S58" s="314" t="str">
        <f t="shared" si="10"/>
        <v>ok</v>
      </c>
      <c r="T58" s="306"/>
      <c r="U58" s="314"/>
      <c r="V58" s="314"/>
      <c r="W58" s="314"/>
      <c r="X58" s="306"/>
    </row>
    <row r="59" spans="1:24" s="316" customFormat="1" ht="16.5" customHeight="1">
      <c r="A59" s="1101" t="s">
        <v>1225</v>
      </c>
      <c r="B59" s="1101" t="s">
        <v>1713</v>
      </c>
      <c r="C59" s="1104" t="s">
        <v>420</v>
      </c>
      <c r="D59" s="1105">
        <v>48895.73</v>
      </c>
      <c r="E59" s="1106">
        <v>4.97</v>
      </c>
      <c r="F59" s="841">
        <f t="shared" si="50"/>
        <v>243011.7781</v>
      </c>
      <c r="G59" s="1049">
        <v>34756.941200000001</v>
      </c>
      <c r="H59" s="306">
        <v>172741.997764</v>
      </c>
      <c r="I59" s="307">
        <v>0.71083796478751826</v>
      </c>
      <c r="J59" s="1046"/>
      <c r="K59" s="306">
        <f t="shared" si="43"/>
        <v>0</v>
      </c>
      <c r="L59" s="307">
        <f t="shared" si="44"/>
        <v>0</v>
      </c>
      <c r="M59" s="1047">
        <f t="shared" si="45"/>
        <v>34756.941200000001</v>
      </c>
      <c r="N59" s="306">
        <f t="shared" si="46"/>
        <v>172741.997764</v>
      </c>
      <c r="O59" s="307">
        <f t="shared" si="47"/>
        <v>0.71083796478751826</v>
      </c>
      <c r="P59" s="1047">
        <f t="shared" si="48"/>
        <v>14138.788800000002</v>
      </c>
      <c r="Q59" s="306">
        <f t="shared" si="8"/>
        <v>70269.780335999996</v>
      </c>
      <c r="R59" s="307">
        <f t="shared" si="49"/>
        <v>0.28916203521248174</v>
      </c>
      <c r="S59" s="314" t="str">
        <f t="shared" si="10"/>
        <v>ok</v>
      </c>
      <c r="T59" s="306"/>
      <c r="U59" s="314"/>
      <c r="V59" s="314"/>
      <c r="W59" s="314"/>
      <c r="X59" s="306"/>
    </row>
    <row r="60" spans="1:24" s="316" customFormat="1" ht="16.5" customHeight="1">
      <c r="A60" s="1101" t="s">
        <v>1226</v>
      </c>
      <c r="B60" s="1103" t="s">
        <v>1714</v>
      </c>
      <c r="C60" s="1103"/>
      <c r="D60" s="1105"/>
      <c r="E60" s="1107"/>
      <c r="F60" s="841"/>
      <c r="G60" s="1049"/>
      <c r="H60" s="306"/>
      <c r="I60" s="307"/>
      <c r="J60" s="1046"/>
      <c r="K60" s="306"/>
      <c r="L60" s="307"/>
      <c r="M60" s="1047"/>
      <c r="N60" s="306"/>
      <c r="O60" s="307"/>
      <c r="P60" s="1047"/>
      <c r="Q60" s="306">
        <f t="shared" si="8"/>
        <v>0</v>
      </c>
      <c r="R60" s="307"/>
      <c r="S60" s="314" t="str">
        <f t="shared" si="10"/>
        <v>ok</v>
      </c>
      <c r="T60" s="306"/>
      <c r="U60" s="314"/>
      <c r="V60" s="314"/>
      <c r="W60" s="314"/>
      <c r="X60" s="306"/>
    </row>
    <row r="61" spans="1:24" s="316" customFormat="1" ht="16.5" customHeight="1">
      <c r="A61" s="1101" t="s">
        <v>1227</v>
      </c>
      <c r="B61" s="1101" t="s">
        <v>1715</v>
      </c>
      <c r="C61" s="1104" t="s">
        <v>2148</v>
      </c>
      <c r="D61" s="1105">
        <v>2185.91</v>
      </c>
      <c r="E61" s="1106">
        <v>609.01</v>
      </c>
      <c r="F61" s="841">
        <f t="shared" si="18"/>
        <v>1331241.0490999999</v>
      </c>
      <c r="G61" s="1049">
        <v>654.95675100000005</v>
      </c>
      <c r="H61" s="306">
        <v>398875.21092651004</v>
      </c>
      <c r="I61" s="307">
        <v>0.29962658618149884</v>
      </c>
      <c r="J61" s="1046"/>
      <c r="K61" s="306">
        <f t="shared" si="43"/>
        <v>0</v>
      </c>
      <c r="L61" s="307">
        <f t="shared" si="44"/>
        <v>0</v>
      </c>
      <c r="M61" s="1047">
        <f t="shared" si="45"/>
        <v>654.95675100000005</v>
      </c>
      <c r="N61" s="306">
        <f t="shared" si="46"/>
        <v>398875.21092651004</v>
      </c>
      <c r="O61" s="307">
        <f t="shared" si="47"/>
        <v>0.29962658618149884</v>
      </c>
      <c r="P61" s="1047">
        <f t="shared" si="48"/>
        <v>1530.9532489999997</v>
      </c>
      <c r="Q61" s="306">
        <f t="shared" si="8"/>
        <v>932365.8381734899</v>
      </c>
      <c r="R61" s="307">
        <f t="shared" si="49"/>
        <v>0.70037341381850116</v>
      </c>
      <c r="S61" s="314" t="str">
        <f t="shared" si="10"/>
        <v>ok</v>
      </c>
      <c r="T61" s="306"/>
      <c r="U61" s="314"/>
      <c r="V61" s="314"/>
      <c r="W61" s="314"/>
      <c r="X61" s="306"/>
    </row>
    <row r="62" spans="1:24" s="316" customFormat="1" ht="16.5" customHeight="1">
      <c r="A62" s="1101" t="s">
        <v>1228</v>
      </c>
      <c r="B62" s="1101" t="s">
        <v>1716</v>
      </c>
      <c r="C62" s="1104" t="s">
        <v>2147</v>
      </c>
      <c r="D62" s="1105">
        <v>3812.38</v>
      </c>
      <c r="E62" s="1106">
        <v>71.180000000000007</v>
      </c>
      <c r="F62" s="841">
        <f t="shared" si="18"/>
        <v>271365.20840000006</v>
      </c>
      <c r="G62" s="1049">
        <v>3654.9408000000003</v>
      </c>
      <c r="H62" s="306">
        <v>260158.68614400004</v>
      </c>
      <c r="I62" s="307">
        <v>0.95870317229657054</v>
      </c>
      <c r="J62" s="1046"/>
      <c r="K62" s="306">
        <f t="shared" si="43"/>
        <v>0</v>
      </c>
      <c r="L62" s="307">
        <f t="shared" si="44"/>
        <v>0</v>
      </c>
      <c r="M62" s="1047">
        <f t="shared" si="45"/>
        <v>3654.9408000000003</v>
      </c>
      <c r="N62" s="306">
        <f t="shared" si="46"/>
        <v>260158.68614400004</v>
      </c>
      <c r="O62" s="307">
        <f t="shared" si="47"/>
        <v>0.95870317229657054</v>
      </c>
      <c r="P62" s="1047">
        <f t="shared" si="48"/>
        <v>157.4391999999998</v>
      </c>
      <c r="Q62" s="306">
        <f t="shared" si="8"/>
        <v>11206.522256000026</v>
      </c>
      <c r="R62" s="307">
        <f t="shared" si="49"/>
        <v>4.1296827703429441E-2</v>
      </c>
      <c r="S62" s="314" t="str">
        <f t="shared" si="10"/>
        <v>ok</v>
      </c>
      <c r="T62" s="306"/>
      <c r="U62" s="314"/>
      <c r="V62" s="314"/>
      <c r="W62" s="314"/>
      <c r="X62" s="306"/>
    </row>
    <row r="63" spans="1:24" s="316" customFormat="1" ht="16.5" customHeight="1">
      <c r="A63" s="1101" t="s">
        <v>1229</v>
      </c>
      <c r="B63" s="1101" t="s">
        <v>1717</v>
      </c>
      <c r="C63" s="1104" t="s">
        <v>420</v>
      </c>
      <c r="D63" s="1105">
        <v>109501.49</v>
      </c>
      <c r="E63" s="1106">
        <v>4.97</v>
      </c>
      <c r="F63" s="841">
        <f t="shared" si="18"/>
        <v>544222.40529999998</v>
      </c>
      <c r="G63" s="1049">
        <v>109501.49</v>
      </c>
      <c r="H63" s="306">
        <v>544222.40529999998</v>
      </c>
      <c r="I63" s="307">
        <v>1</v>
      </c>
      <c r="J63" s="1046"/>
      <c r="K63" s="306">
        <f t="shared" si="43"/>
        <v>0</v>
      </c>
      <c r="L63" s="307">
        <f t="shared" si="44"/>
        <v>0</v>
      </c>
      <c r="M63" s="1047">
        <f t="shared" si="45"/>
        <v>109501.49</v>
      </c>
      <c r="N63" s="306">
        <f t="shared" si="46"/>
        <v>544222.40529999998</v>
      </c>
      <c r="O63" s="307">
        <f t="shared" si="47"/>
        <v>1</v>
      </c>
      <c r="P63" s="1047">
        <f t="shared" si="48"/>
        <v>0</v>
      </c>
      <c r="Q63" s="306">
        <f t="shared" si="8"/>
        <v>0</v>
      </c>
      <c r="R63" s="307">
        <f t="shared" si="49"/>
        <v>0</v>
      </c>
      <c r="S63" s="314" t="str">
        <f t="shared" si="10"/>
        <v>ok</v>
      </c>
      <c r="T63" s="306"/>
      <c r="U63" s="314"/>
      <c r="V63" s="314"/>
      <c r="W63" s="314"/>
      <c r="X63" s="306"/>
    </row>
    <row r="64" spans="1:24" s="316" customFormat="1" ht="16.5" customHeight="1">
      <c r="A64" s="1101" t="s">
        <v>1230</v>
      </c>
      <c r="B64" s="1103" t="s">
        <v>1718</v>
      </c>
      <c r="C64" s="1103"/>
      <c r="D64" s="1105"/>
      <c r="E64" s="1107"/>
      <c r="F64" s="841"/>
      <c r="G64" s="1049"/>
      <c r="H64" s="306"/>
      <c r="I64" s="307"/>
      <c r="J64" s="1046"/>
      <c r="K64" s="306"/>
      <c r="L64" s="307"/>
      <c r="M64" s="1047"/>
      <c r="N64" s="306"/>
      <c r="O64" s="307"/>
      <c r="P64" s="1047"/>
      <c r="Q64" s="306">
        <f t="shared" si="8"/>
        <v>0</v>
      </c>
      <c r="R64" s="307"/>
      <c r="S64" s="314" t="str">
        <f t="shared" si="10"/>
        <v>ok</v>
      </c>
      <c r="T64" s="306"/>
      <c r="U64" s="314"/>
      <c r="V64" s="314"/>
      <c r="W64" s="314"/>
      <c r="X64" s="306"/>
    </row>
    <row r="65" spans="1:24" s="316" customFormat="1" ht="16.5" customHeight="1">
      <c r="A65" s="1101" t="s">
        <v>1231</v>
      </c>
      <c r="B65" s="1101" t="s">
        <v>1719</v>
      </c>
      <c r="C65" s="1104" t="s">
        <v>2148</v>
      </c>
      <c r="D65" s="1105">
        <v>1282.53</v>
      </c>
      <c r="E65" s="1106">
        <v>474.59</v>
      </c>
      <c r="F65" s="841">
        <f t="shared" si="18"/>
        <v>608675.91269999999</v>
      </c>
      <c r="G65" s="1049">
        <v>872.76991698999996</v>
      </c>
      <c r="H65" s="306">
        <v>414207.87490428408</v>
      </c>
      <c r="I65" s="307">
        <v>0.68050643414968848</v>
      </c>
      <c r="J65" s="1046"/>
      <c r="K65" s="306">
        <f t="shared" si="43"/>
        <v>0</v>
      </c>
      <c r="L65" s="307">
        <f t="shared" si="44"/>
        <v>0</v>
      </c>
      <c r="M65" s="1047">
        <f t="shared" si="45"/>
        <v>872.76991698999996</v>
      </c>
      <c r="N65" s="306">
        <f t="shared" si="46"/>
        <v>414207.87490428408</v>
      </c>
      <c r="O65" s="307">
        <f t="shared" si="47"/>
        <v>0.68050643414968848</v>
      </c>
      <c r="P65" s="1047">
        <f t="shared" si="48"/>
        <v>409.76008301000002</v>
      </c>
      <c r="Q65" s="306">
        <f t="shared" si="8"/>
        <v>194468.03779571591</v>
      </c>
      <c r="R65" s="307">
        <f t="shared" si="49"/>
        <v>0.31949356585031152</v>
      </c>
      <c r="S65" s="314" t="str">
        <f t="shared" si="10"/>
        <v>ok</v>
      </c>
      <c r="T65" s="306"/>
      <c r="U65" s="314"/>
      <c r="V65" s="314"/>
      <c r="W65" s="314"/>
      <c r="X65" s="306"/>
    </row>
    <row r="66" spans="1:24" s="316" customFormat="1" ht="16.5" customHeight="1">
      <c r="A66" s="1101" t="s">
        <v>1232</v>
      </c>
      <c r="B66" s="1101" t="s">
        <v>1720</v>
      </c>
      <c r="C66" s="1104" t="s">
        <v>2147</v>
      </c>
      <c r="D66" s="1105">
        <v>4639.67</v>
      </c>
      <c r="E66" s="1106">
        <v>79.45</v>
      </c>
      <c r="F66" s="841">
        <f t="shared" si="18"/>
        <v>368621.78150000004</v>
      </c>
      <c r="G66" s="1049">
        <v>3326.45</v>
      </c>
      <c r="H66" s="306">
        <v>264286.45250000001</v>
      </c>
      <c r="I66" s="307">
        <v>0.71695831815624811</v>
      </c>
      <c r="J66" s="1046"/>
      <c r="K66" s="306">
        <f t="shared" si="43"/>
        <v>0</v>
      </c>
      <c r="L66" s="307">
        <f t="shared" si="44"/>
        <v>0</v>
      </c>
      <c r="M66" s="1047">
        <f t="shared" si="45"/>
        <v>3326.45</v>
      </c>
      <c r="N66" s="306">
        <f t="shared" si="46"/>
        <v>264286.45250000001</v>
      </c>
      <c r="O66" s="307">
        <f t="shared" si="47"/>
        <v>0.71695831815624811</v>
      </c>
      <c r="P66" s="1047">
        <f t="shared" si="48"/>
        <v>1313.2200000000003</v>
      </c>
      <c r="Q66" s="306">
        <f t="shared" si="8"/>
        <v>104335.32900000003</v>
      </c>
      <c r="R66" s="307">
        <f t="shared" si="49"/>
        <v>0.28304168184375184</v>
      </c>
      <c r="S66" s="314" t="str">
        <f t="shared" si="10"/>
        <v>ok</v>
      </c>
      <c r="T66" s="306"/>
      <c r="U66" s="314"/>
      <c r="V66" s="314"/>
      <c r="W66" s="314"/>
      <c r="X66" s="306"/>
    </row>
    <row r="67" spans="1:24" s="316" customFormat="1" ht="16.5" customHeight="1">
      <c r="A67" s="1101" t="s">
        <v>1233</v>
      </c>
      <c r="B67" s="1101" t="s">
        <v>1721</v>
      </c>
      <c r="C67" s="1104" t="s">
        <v>420</v>
      </c>
      <c r="D67" s="1105">
        <v>103759.85</v>
      </c>
      <c r="E67" s="1106">
        <v>4.97</v>
      </c>
      <c r="F67" s="841">
        <f t="shared" si="18"/>
        <v>515686.45449999999</v>
      </c>
      <c r="G67" s="1049">
        <v>96947.549999999988</v>
      </c>
      <c r="H67" s="306">
        <v>481829.32349999994</v>
      </c>
      <c r="I67" s="307">
        <v>0.93434551032986257</v>
      </c>
      <c r="J67" s="1046"/>
      <c r="K67" s="306">
        <f t="shared" si="43"/>
        <v>0</v>
      </c>
      <c r="L67" s="307">
        <f t="shared" si="44"/>
        <v>0</v>
      </c>
      <c r="M67" s="1047">
        <f t="shared" si="45"/>
        <v>96947.549999999988</v>
      </c>
      <c r="N67" s="306">
        <f t="shared" si="46"/>
        <v>481829.32349999994</v>
      </c>
      <c r="O67" s="307">
        <f t="shared" si="47"/>
        <v>0.93434551032986257</v>
      </c>
      <c r="P67" s="1047">
        <f t="shared" si="48"/>
        <v>6812.3000000000175</v>
      </c>
      <c r="Q67" s="306">
        <f t="shared" si="8"/>
        <v>33857.131000000052</v>
      </c>
      <c r="R67" s="307">
        <f t="shared" si="49"/>
        <v>6.5654489670137442E-2</v>
      </c>
      <c r="S67" s="314" t="str">
        <f t="shared" si="10"/>
        <v>ok</v>
      </c>
      <c r="T67" s="306"/>
      <c r="U67" s="314"/>
      <c r="V67" s="314"/>
      <c r="W67" s="314"/>
      <c r="X67" s="306"/>
    </row>
    <row r="68" spans="1:24" s="316" customFormat="1" ht="16.5" customHeight="1">
      <c r="A68" s="1101" t="s">
        <v>1234</v>
      </c>
      <c r="B68" s="1103" t="s">
        <v>1722</v>
      </c>
      <c r="C68" s="1103"/>
      <c r="D68" s="1105"/>
      <c r="E68" s="1107"/>
      <c r="F68" s="841"/>
      <c r="G68" s="1049"/>
      <c r="H68" s="306"/>
      <c r="I68" s="307"/>
      <c r="J68" s="1046"/>
      <c r="K68" s="306"/>
      <c r="L68" s="307"/>
      <c r="M68" s="1047"/>
      <c r="N68" s="306"/>
      <c r="O68" s="307"/>
      <c r="P68" s="1047"/>
      <c r="Q68" s="306">
        <f t="shared" si="8"/>
        <v>0</v>
      </c>
      <c r="R68" s="307"/>
      <c r="S68" s="314" t="str">
        <f t="shared" si="10"/>
        <v>ok</v>
      </c>
      <c r="T68" s="306"/>
      <c r="U68" s="314"/>
      <c r="V68" s="314"/>
      <c r="W68" s="314"/>
      <c r="X68" s="306"/>
    </row>
    <row r="69" spans="1:24" s="316" customFormat="1" ht="16.5" customHeight="1">
      <c r="A69" s="1101" t="s">
        <v>1235</v>
      </c>
      <c r="B69" s="1184" t="s">
        <v>1723</v>
      </c>
      <c r="C69" s="1104" t="s">
        <v>2148</v>
      </c>
      <c r="D69" s="1185">
        <v>3.04</v>
      </c>
      <c r="E69" s="1106">
        <v>481.34</v>
      </c>
      <c r="F69" s="841">
        <f t="shared" si="18"/>
        <v>1463.2736</v>
      </c>
      <c r="G69" s="1049">
        <v>3.04</v>
      </c>
      <c r="H69" s="306">
        <v>1463.2736</v>
      </c>
      <c r="I69" s="307">
        <v>1</v>
      </c>
      <c r="J69" s="1046"/>
      <c r="K69" s="306">
        <f t="shared" si="43"/>
        <v>0</v>
      </c>
      <c r="L69" s="307">
        <f t="shared" si="44"/>
        <v>0</v>
      </c>
      <c r="M69" s="1047">
        <f t="shared" si="45"/>
        <v>3.04</v>
      </c>
      <c r="N69" s="306">
        <f t="shared" si="46"/>
        <v>1463.2736</v>
      </c>
      <c r="O69" s="307">
        <f t="shared" si="47"/>
        <v>1</v>
      </c>
      <c r="P69" s="1047">
        <f t="shared" si="48"/>
        <v>0</v>
      </c>
      <c r="Q69" s="306">
        <f t="shared" si="8"/>
        <v>0</v>
      </c>
      <c r="R69" s="307">
        <f t="shared" si="49"/>
        <v>0</v>
      </c>
      <c r="S69" s="314" t="str">
        <f t="shared" si="10"/>
        <v>ok</v>
      </c>
      <c r="T69" s="306"/>
      <c r="U69" s="314"/>
      <c r="V69" s="314"/>
      <c r="W69" s="314"/>
      <c r="X69" s="306"/>
    </row>
    <row r="70" spans="1:24" s="316" customFormat="1" ht="16.5" customHeight="1">
      <c r="A70" s="1101" t="s">
        <v>1236</v>
      </c>
      <c r="B70" s="1184" t="s">
        <v>1724</v>
      </c>
      <c r="C70" s="1104" t="s">
        <v>2147</v>
      </c>
      <c r="D70" s="1105">
        <v>20.25</v>
      </c>
      <c r="E70" s="1106">
        <v>64.680000000000007</v>
      </c>
      <c r="F70" s="841">
        <f t="shared" si="18"/>
        <v>1309.7700000000002</v>
      </c>
      <c r="G70" s="1049">
        <v>20.250000000000004</v>
      </c>
      <c r="H70" s="306">
        <v>1309.7700000000004</v>
      </c>
      <c r="I70" s="307">
        <v>1.0000000000000002</v>
      </c>
      <c r="J70" s="1046"/>
      <c r="K70" s="306">
        <f t="shared" si="43"/>
        <v>0</v>
      </c>
      <c r="L70" s="307">
        <f t="shared" si="44"/>
        <v>0</v>
      </c>
      <c r="M70" s="1047">
        <f t="shared" si="45"/>
        <v>20.250000000000004</v>
      </c>
      <c r="N70" s="306">
        <f t="shared" si="46"/>
        <v>1309.7700000000004</v>
      </c>
      <c r="O70" s="307">
        <f t="shared" si="47"/>
        <v>1.0000000000000002</v>
      </c>
      <c r="P70" s="1047">
        <f t="shared" si="48"/>
        <v>0</v>
      </c>
      <c r="Q70" s="306">
        <f t="shared" si="8"/>
        <v>0</v>
      </c>
      <c r="R70" s="307">
        <f t="shared" si="49"/>
        <v>0</v>
      </c>
      <c r="S70" s="314" t="str">
        <f t="shared" si="10"/>
        <v>ok</v>
      </c>
      <c r="T70" s="306"/>
      <c r="U70" s="314"/>
      <c r="V70" s="314"/>
      <c r="W70" s="314"/>
      <c r="X70" s="306"/>
    </row>
    <row r="71" spans="1:24" s="316" customFormat="1" ht="16.5" customHeight="1">
      <c r="A71" s="1101" t="s">
        <v>1237</v>
      </c>
      <c r="B71" s="1184" t="s">
        <v>1725</v>
      </c>
      <c r="C71" s="1104" t="s">
        <v>420</v>
      </c>
      <c r="D71" s="1105">
        <v>503.81</v>
      </c>
      <c r="E71" s="1106">
        <v>4.97</v>
      </c>
      <c r="F71" s="841">
        <f t="shared" si="18"/>
        <v>2503.9357</v>
      </c>
      <c r="G71" s="1049">
        <v>503.81000000000006</v>
      </c>
      <c r="H71" s="306">
        <v>2503.9357</v>
      </c>
      <c r="I71" s="307">
        <v>1</v>
      </c>
      <c r="J71" s="1046"/>
      <c r="K71" s="306">
        <f t="shared" si="43"/>
        <v>0</v>
      </c>
      <c r="L71" s="307">
        <f t="shared" si="44"/>
        <v>0</v>
      </c>
      <c r="M71" s="1047">
        <f t="shared" si="45"/>
        <v>503.81000000000006</v>
      </c>
      <c r="N71" s="306">
        <f t="shared" si="46"/>
        <v>2503.9357</v>
      </c>
      <c r="O71" s="307">
        <f t="shared" si="47"/>
        <v>1</v>
      </c>
      <c r="P71" s="1047">
        <f t="shared" si="48"/>
        <v>0</v>
      </c>
      <c r="Q71" s="306">
        <f t="shared" si="8"/>
        <v>0</v>
      </c>
      <c r="R71" s="307">
        <f t="shared" si="49"/>
        <v>0</v>
      </c>
      <c r="S71" s="314" t="str">
        <f t="shared" si="10"/>
        <v>ok</v>
      </c>
      <c r="T71" s="306"/>
      <c r="U71" s="314"/>
      <c r="V71" s="314"/>
      <c r="W71" s="314"/>
      <c r="X71" s="306"/>
    </row>
    <row r="72" spans="1:24" s="316" customFormat="1" ht="16.5" customHeight="1">
      <c r="A72" s="1101" t="s">
        <v>1238</v>
      </c>
      <c r="B72" s="1103" t="s">
        <v>1726</v>
      </c>
      <c r="C72" s="1103"/>
      <c r="D72" s="1105"/>
      <c r="E72" s="1107"/>
      <c r="F72" s="841"/>
      <c r="G72" s="1049"/>
      <c r="H72" s="306"/>
      <c r="I72" s="307"/>
      <c r="J72" s="1046"/>
      <c r="K72" s="306"/>
      <c r="L72" s="307"/>
      <c r="M72" s="1047"/>
      <c r="N72" s="306"/>
      <c r="O72" s="307"/>
      <c r="P72" s="1047"/>
      <c r="Q72" s="306">
        <f t="shared" si="8"/>
        <v>0</v>
      </c>
      <c r="R72" s="307"/>
      <c r="S72" s="314" t="str">
        <f t="shared" si="10"/>
        <v>ok</v>
      </c>
      <c r="T72" s="306"/>
      <c r="U72" s="314"/>
      <c r="V72" s="314"/>
      <c r="W72" s="314"/>
      <c r="X72" s="306"/>
    </row>
    <row r="73" spans="1:24" s="316" customFormat="1" ht="16.5" customHeight="1">
      <c r="A73" s="1101" t="s">
        <v>1239</v>
      </c>
      <c r="B73" s="1101" t="s">
        <v>1727</v>
      </c>
      <c r="C73" s="1104" t="s">
        <v>2148</v>
      </c>
      <c r="D73" s="1105">
        <v>414.37</v>
      </c>
      <c r="E73" s="1106">
        <v>468.03</v>
      </c>
      <c r="F73" s="841">
        <f t="shared" si="18"/>
        <v>193937.59109999999</v>
      </c>
      <c r="G73" s="1049">
        <v>414.37</v>
      </c>
      <c r="H73" s="306">
        <v>193937.59109999999</v>
      </c>
      <c r="I73" s="307">
        <v>1</v>
      </c>
      <c r="J73" s="1046"/>
      <c r="K73" s="306">
        <f t="shared" si="43"/>
        <v>0</v>
      </c>
      <c r="L73" s="307">
        <f t="shared" si="44"/>
        <v>0</v>
      </c>
      <c r="M73" s="1047">
        <f t="shared" si="45"/>
        <v>414.37</v>
      </c>
      <c r="N73" s="306">
        <f t="shared" si="46"/>
        <v>193937.59109999999</v>
      </c>
      <c r="O73" s="307">
        <f t="shared" si="47"/>
        <v>1</v>
      </c>
      <c r="P73" s="1047">
        <f t="shared" si="48"/>
        <v>0</v>
      </c>
      <c r="Q73" s="306">
        <f t="shared" si="8"/>
        <v>0</v>
      </c>
      <c r="R73" s="307">
        <f t="shared" si="49"/>
        <v>0</v>
      </c>
      <c r="S73" s="314" t="str">
        <f t="shared" si="10"/>
        <v>ok</v>
      </c>
      <c r="T73" s="306"/>
      <c r="U73" s="314"/>
      <c r="V73" s="314"/>
      <c r="W73" s="314"/>
      <c r="X73" s="306"/>
    </row>
    <row r="74" spans="1:24" s="316" customFormat="1" ht="16.5" customHeight="1">
      <c r="A74" s="1101" t="s">
        <v>1240</v>
      </c>
      <c r="B74" s="1101" t="s">
        <v>1728</v>
      </c>
      <c r="C74" s="1104" t="s">
        <v>2147</v>
      </c>
      <c r="D74" s="1105">
        <v>4287.87</v>
      </c>
      <c r="E74" s="1106">
        <v>46.22</v>
      </c>
      <c r="F74" s="841">
        <f t="shared" si="18"/>
        <v>198185.35139999999</v>
      </c>
      <c r="G74" s="1049">
        <v>3844.6544999999996</v>
      </c>
      <c r="H74" s="306">
        <v>177699.93098999999</v>
      </c>
      <c r="I74" s="307">
        <v>0.89663504257358551</v>
      </c>
      <c r="J74" s="1046"/>
      <c r="K74" s="306">
        <f t="shared" si="43"/>
        <v>0</v>
      </c>
      <c r="L74" s="307">
        <f t="shared" si="44"/>
        <v>0</v>
      </c>
      <c r="M74" s="1047">
        <f t="shared" si="45"/>
        <v>3844.6544999999996</v>
      </c>
      <c r="N74" s="306">
        <f t="shared" si="46"/>
        <v>177699.93098999999</v>
      </c>
      <c r="O74" s="307">
        <f t="shared" si="47"/>
        <v>0.89663504257358551</v>
      </c>
      <c r="P74" s="1047">
        <f t="shared" si="48"/>
        <v>443.21550000000025</v>
      </c>
      <c r="Q74" s="306">
        <f t="shared" si="8"/>
        <v>20485.420409999992</v>
      </c>
      <c r="R74" s="307">
        <f t="shared" si="49"/>
        <v>0.10336495742641448</v>
      </c>
      <c r="S74" s="314" t="str">
        <f t="shared" si="10"/>
        <v>ok</v>
      </c>
      <c r="T74" s="306"/>
      <c r="U74" s="314"/>
      <c r="V74" s="314"/>
      <c r="W74" s="314"/>
      <c r="X74" s="306"/>
    </row>
    <row r="75" spans="1:24" s="316" customFormat="1" ht="16.5" customHeight="1">
      <c r="A75" s="1101" t="s">
        <v>1241</v>
      </c>
      <c r="B75" s="1101" t="s">
        <v>1729</v>
      </c>
      <c r="C75" s="1104" t="s">
        <v>420</v>
      </c>
      <c r="D75" s="1105">
        <v>40414.93</v>
      </c>
      <c r="E75" s="1106">
        <v>4.97</v>
      </c>
      <c r="F75" s="841">
        <f t="shared" si="18"/>
        <v>200862.20209999999</v>
      </c>
      <c r="G75" s="1049">
        <v>31247.290000000005</v>
      </c>
      <c r="H75" s="306">
        <v>155299.0313</v>
      </c>
      <c r="I75" s="307">
        <v>0.77316204679805212</v>
      </c>
      <c r="J75" s="1046"/>
      <c r="K75" s="306">
        <f t="shared" si="43"/>
        <v>0</v>
      </c>
      <c r="L75" s="307">
        <f t="shared" si="44"/>
        <v>0</v>
      </c>
      <c r="M75" s="1047">
        <f t="shared" si="45"/>
        <v>31247.290000000005</v>
      </c>
      <c r="N75" s="306">
        <f t="shared" si="46"/>
        <v>155299.0313</v>
      </c>
      <c r="O75" s="307">
        <f t="shared" si="47"/>
        <v>0.77316204679805212</v>
      </c>
      <c r="P75" s="1047">
        <f t="shared" si="48"/>
        <v>9167.6399999999958</v>
      </c>
      <c r="Q75" s="306">
        <f t="shared" si="8"/>
        <v>45563.170799999993</v>
      </c>
      <c r="R75" s="307">
        <f t="shared" si="49"/>
        <v>0.22683795320194786</v>
      </c>
      <c r="S75" s="314" t="str">
        <f t="shared" si="10"/>
        <v>ok</v>
      </c>
      <c r="T75" s="306"/>
      <c r="U75" s="314"/>
      <c r="V75" s="314"/>
      <c r="W75" s="314"/>
      <c r="X75" s="306"/>
    </row>
    <row r="76" spans="1:24" s="316" customFormat="1" ht="16.5" customHeight="1">
      <c r="A76" s="1101" t="s">
        <v>1242</v>
      </c>
      <c r="B76" s="1101" t="s">
        <v>2229</v>
      </c>
      <c r="C76" s="1104" t="s">
        <v>52</v>
      </c>
      <c r="D76" s="1105">
        <v>4265.76</v>
      </c>
      <c r="E76" s="1106">
        <v>2.7</v>
      </c>
      <c r="F76" s="841">
        <f t="shared" si="18"/>
        <v>11517.552000000001</v>
      </c>
      <c r="G76" s="1049">
        <v>4265.76</v>
      </c>
      <c r="H76" s="306">
        <v>11517.552000000001</v>
      </c>
      <c r="I76" s="307">
        <v>1</v>
      </c>
      <c r="J76" s="1046"/>
      <c r="K76" s="306">
        <f t="shared" si="43"/>
        <v>0</v>
      </c>
      <c r="L76" s="307">
        <f t="shared" si="44"/>
        <v>0</v>
      </c>
      <c r="M76" s="1047">
        <f t="shared" si="45"/>
        <v>4265.76</v>
      </c>
      <c r="N76" s="306">
        <f t="shared" si="46"/>
        <v>11517.552000000001</v>
      </c>
      <c r="O76" s="307">
        <f t="shared" si="47"/>
        <v>1</v>
      </c>
      <c r="P76" s="1047">
        <f t="shared" si="48"/>
        <v>0</v>
      </c>
      <c r="Q76" s="306">
        <f t="shared" si="8"/>
        <v>0</v>
      </c>
      <c r="R76" s="307">
        <f t="shared" si="49"/>
        <v>0</v>
      </c>
      <c r="S76" s="314" t="str">
        <f t="shared" si="10"/>
        <v>ok</v>
      </c>
      <c r="T76" s="306"/>
      <c r="U76" s="314"/>
      <c r="V76" s="314"/>
      <c r="W76" s="314"/>
      <c r="X76" s="306"/>
    </row>
    <row r="77" spans="1:24" s="316" customFormat="1" ht="16.5" customHeight="1">
      <c r="A77" s="1101" t="s">
        <v>1243</v>
      </c>
      <c r="B77" s="1103" t="s">
        <v>1730</v>
      </c>
      <c r="C77" s="1103"/>
      <c r="D77" s="1105"/>
      <c r="E77" s="1107"/>
      <c r="F77" s="841"/>
      <c r="G77" s="1049"/>
      <c r="H77" s="306"/>
      <c r="I77" s="307"/>
      <c r="J77" s="1046"/>
      <c r="K77" s="306"/>
      <c r="L77" s="307"/>
      <c r="M77" s="1047"/>
      <c r="N77" s="306"/>
      <c r="O77" s="307"/>
      <c r="P77" s="1047"/>
      <c r="Q77" s="306">
        <f t="shared" si="8"/>
        <v>0</v>
      </c>
      <c r="R77" s="307"/>
      <c r="S77" s="314" t="str">
        <f t="shared" si="10"/>
        <v>ok</v>
      </c>
      <c r="T77" s="306"/>
      <c r="U77" s="314"/>
      <c r="V77" s="314"/>
      <c r="W77" s="314"/>
      <c r="X77" s="306"/>
    </row>
    <row r="78" spans="1:24" s="316" customFormat="1" ht="16.5" customHeight="1">
      <c r="A78" s="1101" t="s">
        <v>1244</v>
      </c>
      <c r="B78" s="1101" t="s">
        <v>2255</v>
      </c>
      <c r="C78" s="1104" t="s">
        <v>2148</v>
      </c>
      <c r="D78" s="1105">
        <v>119.8</v>
      </c>
      <c r="E78" s="1106">
        <v>486.83</v>
      </c>
      <c r="F78" s="841">
        <f t="shared" si="18"/>
        <v>58322.233999999997</v>
      </c>
      <c r="G78" s="1049">
        <v>101.69740944000002</v>
      </c>
      <c r="H78" s="306">
        <v>49509.349837675203</v>
      </c>
      <c r="I78" s="307">
        <v>0.84889323405676143</v>
      </c>
      <c r="J78" s="1046"/>
      <c r="K78" s="306">
        <f t="shared" si="43"/>
        <v>0</v>
      </c>
      <c r="L78" s="307">
        <f t="shared" si="44"/>
        <v>0</v>
      </c>
      <c r="M78" s="1047">
        <f t="shared" si="45"/>
        <v>101.69740944000002</v>
      </c>
      <c r="N78" s="306">
        <f t="shared" si="46"/>
        <v>49509.349837675203</v>
      </c>
      <c r="O78" s="307">
        <f t="shared" si="47"/>
        <v>0.84889323405676143</v>
      </c>
      <c r="P78" s="1047">
        <f t="shared" si="48"/>
        <v>18.102590559999982</v>
      </c>
      <c r="Q78" s="306">
        <f t="shared" si="8"/>
        <v>8812.8841623247936</v>
      </c>
      <c r="R78" s="307">
        <f t="shared" si="49"/>
        <v>0.15110676594323863</v>
      </c>
      <c r="S78" s="314" t="str">
        <f t="shared" si="10"/>
        <v>ok</v>
      </c>
      <c r="T78" s="306"/>
      <c r="U78" s="314"/>
      <c r="V78" s="314"/>
      <c r="W78" s="314"/>
      <c r="X78" s="306"/>
    </row>
    <row r="79" spans="1:24" s="316" customFormat="1" ht="16.5" customHeight="1">
      <c r="A79" s="1101" t="s">
        <v>1245</v>
      </c>
      <c r="B79" s="1184" t="s">
        <v>1731</v>
      </c>
      <c r="C79" s="1104" t="s">
        <v>2147</v>
      </c>
      <c r="D79" s="1105">
        <v>199.6</v>
      </c>
      <c r="E79" s="1106">
        <v>156.72</v>
      </c>
      <c r="F79" s="841">
        <f t="shared" si="18"/>
        <v>31281.311999999998</v>
      </c>
      <c r="G79" s="1049">
        <v>199.60000000000002</v>
      </c>
      <c r="H79" s="306">
        <v>31281.312000000002</v>
      </c>
      <c r="I79" s="307">
        <v>1.0000000000000002</v>
      </c>
      <c r="J79" s="1046"/>
      <c r="K79" s="306">
        <f t="shared" si="43"/>
        <v>0</v>
      </c>
      <c r="L79" s="307">
        <f t="shared" si="44"/>
        <v>0</v>
      </c>
      <c r="M79" s="1047">
        <f t="shared" si="45"/>
        <v>199.60000000000002</v>
      </c>
      <c r="N79" s="306">
        <f t="shared" si="46"/>
        <v>31281.312000000002</v>
      </c>
      <c r="O79" s="307">
        <f t="shared" si="47"/>
        <v>1.0000000000000002</v>
      </c>
      <c r="P79" s="1047">
        <f t="shared" si="48"/>
        <v>0</v>
      </c>
      <c r="Q79" s="306">
        <f t="shared" si="8"/>
        <v>0</v>
      </c>
      <c r="R79" s="307">
        <f t="shared" si="49"/>
        <v>0</v>
      </c>
      <c r="S79" s="314" t="str">
        <f t="shared" si="10"/>
        <v>ok</v>
      </c>
      <c r="T79" s="306"/>
      <c r="U79" s="314"/>
      <c r="V79" s="314"/>
      <c r="W79" s="314"/>
      <c r="X79" s="306"/>
    </row>
    <row r="80" spans="1:24" s="316" customFormat="1" ht="16.5" customHeight="1">
      <c r="A80" s="1101" t="s">
        <v>1246</v>
      </c>
      <c r="B80" s="1101" t="s">
        <v>1732</v>
      </c>
      <c r="C80" s="1104" t="s">
        <v>420</v>
      </c>
      <c r="D80" s="1105">
        <v>4749.59</v>
      </c>
      <c r="E80" s="1106">
        <v>4.97</v>
      </c>
      <c r="F80" s="841">
        <f t="shared" si="18"/>
        <v>23605.462299999999</v>
      </c>
      <c r="G80" s="1049">
        <v>4749.59</v>
      </c>
      <c r="H80" s="306">
        <v>23605.462299999999</v>
      </c>
      <c r="I80" s="307">
        <v>1</v>
      </c>
      <c r="J80" s="1046"/>
      <c r="K80" s="306">
        <f t="shared" si="43"/>
        <v>0</v>
      </c>
      <c r="L80" s="307">
        <f t="shared" si="44"/>
        <v>0</v>
      </c>
      <c r="M80" s="1047">
        <f t="shared" si="45"/>
        <v>4749.59</v>
      </c>
      <c r="N80" s="306">
        <f t="shared" si="46"/>
        <v>23605.462299999999</v>
      </c>
      <c r="O80" s="307">
        <f t="shared" si="47"/>
        <v>1</v>
      </c>
      <c r="P80" s="1047">
        <f t="shared" si="48"/>
        <v>0</v>
      </c>
      <c r="Q80" s="306">
        <f t="shared" si="8"/>
        <v>0</v>
      </c>
      <c r="R80" s="307">
        <f t="shared" si="49"/>
        <v>0</v>
      </c>
      <c r="S80" s="314" t="str">
        <f t="shared" si="10"/>
        <v>ok</v>
      </c>
      <c r="T80" s="306"/>
      <c r="U80" s="314"/>
      <c r="V80" s="314"/>
      <c r="W80" s="314"/>
      <c r="X80" s="306"/>
    </row>
    <row r="81" spans="1:24" s="316" customFormat="1" ht="16.5" customHeight="1">
      <c r="A81" s="1101">
        <v>2.2999999999999998</v>
      </c>
      <c r="B81" s="1102" t="s">
        <v>1733</v>
      </c>
      <c r="C81" s="1108"/>
      <c r="D81" s="1105"/>
      <c r="E81" s="1109"/>
      <c r="F81" s="841"/>
      <c r="G81" s="1049"/>
      <c r="H81" s="306"/>
      <c r="I81" s="307"/>
      <c r="J81" s="1046"/>
      <c r="K81" s="306"/>
      <c r="L81" s="307"/>
      <c r="M81" s="1047"/>
      <c r="N81" s="306"/>
      <c r="O81" s="307"/>
      <c r="P81" s="1047"/>
      <c r="Q81" s="306">
        <f t="shared" si="8"/>
        <v>0</v>
      </c>
      <c r="R81" s="307"/>
      <c r="S81" s="314" t="str">
        <f t="shared" si="10"/>
        <v>ok</v>
      </c>
      <c r="T81" s="306"/>
      <c r="U81" s="314"/>
      <c r="V81" s="314"/>
      <c r="W81" s="314"/>
      <c r="X81" s="306"/>
    </row>
    <row r="82" spans="1:24" s="316" customFormat="1" ht="16.5" customHeight="1">
      <c r="A82" s="1101" t="s">
        <v>1247</v>
      </c>
      <c r="B82" s="1101" t="s">
        <v>1734</v>
      </c>
      <c r="C82" s="1104" t="s">
        <v>2149</v>
      </c>
      <c r="D82" s="1105">
        <v>14.22</v>
      </c>
      <c r="E82" s="1106">
        <v>17023.96</v>
      </c>
      <c r="F82" s="841">
        <f t="shared" si="18"/>
        <v>242080.71119999999</v>
      </c>
      <c r="G82" s="1049">
        <v>0</v>
      </c>
      <c r="H82" s="306">
        <v>0</v>
      </c>
      <c r="I82" s="307">
        <v>0</v>
      </c>
      <c r="J82" s="1046"/>
      <c r="K82" s="306">
        <f t="shared" si="43"/>
        <v>0</v>
      </c>
      <c r="L82" s="307">
        <f t="shared" si="44"/>
        <v>0</v>
      </c>
      <c r="M82" s="1047">
        <f t="shared" si="45"/>
        <v>0</v>
      </c>
      <c r="N82" s="306">
        <f t="shared" si="46"/>
        <v>0</v>
      </c>
      <c r="O82" s="307">
        <f t="shared" si="47"/>
        <v>0</v>
      </c>
      <c r="P82" s="1047">
        <f t="shared" si="48"/>
        <v>14.22</v>
      </c>
      <c r="Q82" s="306">
        <f t="shared" si="8"/>
        <v>242080.71119999999</v>
      </c>
      <c r="R82" s="307">
        <f t="shared" si="49"/>
        <v>1</v>
      </c>
      <c r="S82" s="314" t="str">
        <f t="shared" si="10"/>
        <v>ok</v>
      </c>
      <c r="T82" s="306"/>
      <c r="U82" s="314"/>
      <c r="V82" s="314"/>
      <c r="W82" s="314"/>
      <c r="X82" s="306"/>
    </row>
    <row r="83" spans="1:24" s="316" customFormat="1" ht="16.5" customHeight="1">
      <c r="A83" s="1101" t="s">
        <v>1248</v>
      </c>
      <c r="B83" s="1101" t="s">
        <v>1735</v>
      </c>
      <c r="C83" s="1104" t="s">
        <v>2149</v>
      </c>
      <c r="D83" s="1105">
        <v>14.22</v>
      </c>
      <c r="E83" s="1106">
        <v>10367.040000000001</v>
      </c>
      <c r="F83" s="841">
        <f t="shared" ref="F83:F145" si="51">+D83*E83</f>
        <v>147419.30880000003</v>
      </c>
      <c r="G83" s="1049">
        <v>0</v>
      </c>
      <c r="H83" s="306">
        <v>0</v>
      </c>
      <c r="I83" s="307">
        <v>0</v>
      </c>
      <c r="J83" s="1046"/>
      <c r="K83" s="306">
        <f t="shared" si="43"/>
        <v>0</v>
      </c>
      <c r="L83" s="307">
        <f t="shared" si="44"/>
        <v>0</v>
      </c>
      <c r="M83" s="1047">
        <f t="shared" si="45"/>
        <v>0</v>
      </c>
      <c r="N83" s="306">
        <f t="shared" si="46"/>
        <v>0</v>
      </c>
      <c r="O83" s="307">
        <f t="shared" si="47"/>
        <v>0</v>
      </c>
      <c r="P83" s="1047">
        <f t="shared" si="48"/>
        <v>14.22</v>
      </c>
      <c r="Q83" s="306">
        <f t="shared" si="8"/>
        <v>147419.30880000003</v>
      </c>
      <c r="R83" s="307">
        <f t="shared" si="49"/>
        <v>1</v>
      </c>
      <c r="S83" s="314" t="str">
        <f t="shared" si="10"/>
        <v>ok</v>
      </c>
      <c r="T83" s="306"/>
      <c r="U83" s="314"/>
      <c r="V83" s="314"/>
      <c r="W83" s="314"/>
      <c r="X83" s="306"/>
    </row>
    <row r="84" spans="1:24" s="316" customFormat="1" ht="16.5" customHeight="1">
      <c r="A84" s="1101">
        <v>3</v>
      </c>
      <c r="B84" s="1110" t="s">
        <v>1736</v>
      </c>
      <c r="C84" s="1111"/>
      <c r="D84" s="1105"/>
      <c r="E84" s="1111"/>
      <c r="F84" s="841"/>
      <c r="G84" s="1049"/>
      <c r="H84" s="306"/>
      <c r="I84" s="307"/>
      <c r="J84" s="1046"/>
      <c r="K84" s="306"/>
      <c r="L84" s="307"/>
      <c r="M84" s="1047"/>
      <c r="N84" s="306"/>
      <c r="O84" s="307"/>
      <c r="P84" s="1047"/>
      <c r="Q84" s="306">
        <f t="shared" si="8"/>
        <v>0</v>
      </c>
      <c r="R84" s="307"/>
      <c r="S84" s="314" t="str">
        <f t="shared" si="10"/>
        <v>ok</v>
      </c>
      <c r="T84" s="306"/>
      <c r="U84" s="314"/>
      <c r="V84" s="314"/>
      <c r="W84" s="314"/>
      <c r="X84" s="306"/>
    </row>
    <row r="85" spans="1:24" s="316" customFormat="1" ht="16.5" customHeight="1">
      <c r="A85" s="1101">
        <v>3.1</v>
      </c>
      <c r="B85" s="1102" t="s">
        <v>1737</v>
      </c>
      <c r="C85" s="1108"/>
      <c r="D85" s="1105"/>
      <c r="E85" s="1109"/>
      <c r="F85" s="841"/>
      <c r="G85" s="1049"/>
      <c r="H85" s="306"/>
      <c r="I85" s="307"/>
      <c r="J85" s="1046"/>
      <c r="K85" s="306"/>
      <c r="L85" s="307"/>
      <c r="M85" s="1047"/>
      <c r="N85" s="306"/>
      <c r="O85" s="307"/>
      <c r="P85" s="1047"/>
      <c r="Q85" s="306">
        <f t="shared" ref="Q85:Q148" si="52">F85-N85</f>
        <v>0</v>
      </c>
      <c r="R85" s="307"/>
      <c r="S85" s="314" t="str">
        <f t="shared" ref="S85:S148" si="53">IF(M85&gt;D85,"mayormetrado","ok")</f>
        <v>ok</v>
      </c>
      <c r="T85" s="306"/>
      <c r="U85" s="314"/>
      <c r="V85" s="314"/>
      <c r="W85" s="314"/>
      <c r="X85" s="306"/>
    </row>
    <row r="86" spans="1:24" s="316" customFormat="1" ht="16.5" customHeight="1">
      <c r="A86" s="1101" t="s">
        <v>1249</v>
      </c>
      <c r="B86" s="1101" t="s">
        <v>1738</v>
      </c>
      <c r="C86" s="1104" t="s">
        <v>2147</v>
      </c>
      <c r="D86" s="1105">
        <v>2986.49</v>
      </c>
      <c r="E86" s="1106">
        <v>81.239999999999995</v>
      </c>
      <c r="F86" s="841">
        <f t="shared" si="51"/>
        <v>242622.44759999996</v>
      </c>
      <c r="G86" s="1049">
        <v>2475.9112</v>
      </c>
      <c r="H86" s="306">
        <v>201143.02588799997</v>
      </c>
      <c r="I86" s="307">
        <v>0.82903716402867589</v>
      </c>
      <c r="J86" s="1046"/>
      <c r="K86" s="306">
        <f t="shared" si="43"/>
        <v>0</v>
      </c>
      <c r="L86" s="307">
        <f t="shared" si="44"/>
        <v>0</v>
      </c>
      <c r="M86" s="1047">
        <f t="shared" si="45"/>
        <v>2475.9112</v>
      </c>
      <c r="N86" s="306">
        <f t="shared" si="46"/>
        <v>201143.02588799997</v>
      </c>
      <c r="O86" s="307">
        <f t="shared" si="47"/>
        <v>0.82903716402867589</v>
      </c>
      <c r="P86" s="1047">
        <f t="shared" si="48"/>
        <v>510.57879999999977</v>
      </c>
      <c r="Q86" s="306">
        <f t="shared" si="52"/>
        <v>41479.421711999981</v>
      </c>
      <c r="R86" s="307">
        <f t="shared" si="49"/>
        <v>0.17096283597132414</v>
      </c>
      <c r="S86" s="314" t="str">
        <f t="shared" si="53"/>
        <v>ok</v>
      </c>
      <c r="T86" s="306"/>
      <c r="U86" s="314"/>
      <c r="V86" s="314"/>
      <c r="W86" s="314"/>
      <c r="X86" s="306"/>
    </row>
    <row r="87" spans="1:24" s="316" customFormat="1" ht="16.5" customHeight="1">
      <c r="A87" s="1401" t="s">
        <v>1250</v>
      </c>
      <c r="B87" s="1401" t="s">
        <v>1739</v>
      </c>
      <c r="C87" s="1444" t="s">
        <v>2147</v>
      </c>
      <c r="D87" s="1105">
        <v>1481.16</v>
      </c>
      <c r="E87" s="1445">
        <v>134.66</v>
      </c>
      <c r="F87" s="1404">
        <f t="shared" si="51"/>
        <v>199453.0056</v>
      </c>
      <c r="G87" s="1049">
        <v>807.98850000000004</v>
      </c>
      <c r="H87" s="306">
        <v>108803.73141000001</v>
      </c>
      <c r="I87" s="307">
        <v>0.54551061330308681</v>
      </c>
      <c r="J87" s="1046"/>
      <c r="K87" s="306">
        <f t="shared" si="43"/>
        <v>0</v>
      </c>
      <c r="L87" s="307">
        <f t="shared" si="44"/>
        <v>0</v>
      </c>
      <c r="M87" s="1047">
        <f t="shared" si="45"/>
        <v>807.98850000000004</v>
      </c>
      <c r="N87" s="306">
        <f t="shared" si="46"/>
        <v>108803.73141000001</v>
      </c>
      <c r="O87" s="307">
        <f t="shared" si="47"/>
        <v>0.54551061330308681</v>
      </c>
      <c r="P87" s="1047">
        <f t="shared" si="48"/>
        <v>673.17150000000004</v>
      </c>
      <c r="Q87" s="306">
        <f t="shared" si="52"/>
        <v>90649.274189999996</v>
      </c>
      <c r="R87" s="307">
        <f t="shared" si="49"/>
        <v>0.45448938669691319</v>
      </c>
      <c r="S87" s="314" t="str">
        <f t="shared" si="53"/>
        <v>ok</v>
      </c>
      <c r="T87" s="306"/>
      <c r="U87" s="314"/>
      <c r="V87" s="314"/>
      <c r="W87" s="314"/>
      <c r="X87" s="306"/>
    </row>
    <row r="88" spans="1:24" s="316" customFormat="1" ht="16.5" customHeight="1">
      <c r="A88" s="1101">
        <v>3.2</v>
      </c>
      <c r="B88" s="1102" t="s">
        <v>1740</v>
      </c>
      <c r="C88" s="1108"/>
      <c r="D88" s="1105"/>
      <c r="E88" s="1109"/>
      <c r="F88" s="841"/>
      <c r="G88" s="1049"/>
      <c r="H88" s="306"/>
      <c r="I88" s="307"/>
      <c r="J88" s="1046"/>
      <c r="K88" s="306"/>
      <c r="L88" s="307"/>
      <c r="M88" s="1047"/>
      <c r="N88" s="306"/>
      <c r="O88" s="307"/>
      <c r="P88" s="1047"/>
      <c r="Q88" s="306">
        <f t="shared" si="52"/>
        <v>0</v>
      </c>
      <c r="R88" s="307"/>
      <c r="S88" s="314" t="str">
        <f t="shared" si="53"/>
        <v>ok</v>
      </c>
      <c r="T88" s="306"/>
      <c r="U88" s="314"/>
      <c r="V88" s="314"/>
      <c r="W88" s="314"/>
      <c r="X88" s="306"/>
    </row>
    <row r="89" spans="1:24" s="316" customFormat="1" ht="16.5" customHeight="1">
      <c r="A89" s="1101" t="s">
        <v>1251</v>
      </c>
      <c r="B89" s="1101" t="s">
        <v>1741</v>
      </c>
      <c r="C89" s="1104" t="s">
        <v>52</v>
      </c>
      <c r="D89" s="1105">
        <v>92.29</v>
      </c>
      <c r="E89" s="1106">
        <v>1250</v>
      </c>
      <c r="F89" s="841">
        <f t="shared" si="51"/>
        <v>115362.50000000001</v>
      </c>
      <c r="G89" s="1049">
        <v>0</v>
      </c>
      <c r="H89" s="306">
        <v>0</v>
      </c>
      <c r="I89" s="307">
        <v>0</v>
      </c>
      <c r="J89" s="1046"/>
      <c r="K89" s="306">
        <f t="shared" si="43"/>
        <v>0</v>
      </c>
      <c r="L89" s="307">
        <f t="shared" si="44"/>
        <v>0</v>
      </c>
      <c r="M89" s="1047">
        <f t="shared" si="45"/>
        <v>0</v>
      </c>
      <c r="N89" s="306">
        <f t="shared" si="46"/>
        <v>0</v>
      </c>
      <c r="O89" s="307">
        <f t="shared" si="47"/>
        <v>0</v>
      </c>
      <c r="P89" s="1047">
        <f t="shared" si="48"/>
        <v>92.29</v>
      </c>
      <c r="Q89" s="306">
        <f t="shared" si="52"/>
        <v>115362.50000000001</v>
      </c>
      <c r="R89" s="307">
        <f t="shared" si="49"/>
        <v>1</v>
      </c>
      <c r="S89" s="314" t="str">
        <f t="shared" si="53"/>
        <v>ok</v>
      </c>
      <c r="T89" s="306"/>
      <c r="U89" s="314"/>
      <c r="V89" s="314"/>
      <c r="W89" s="314"/>
      <c r="X89" s="306"/>
    </row>
    <row r="90" spans="1:24" s="316" customFormat="1" ht="16.5" customHeight="1">
      <c r="A90" s="1101" t="s">
        <v>1252</v>
      </c>
      <c r="B90" s="1101" t="s">
        <v>1742</v>
      </c>
      <c r="C90" s="1104" t="s">
        <v>2147</v>
      </c>
      <c r="D90" s="1105">
        <v>81.52</v>
      </c>
      <c r="E90" s="1106">
        <v>311.52</v>
      </c>
      <c r="F90" s="841">
        <f t="shared" si="51"/>
        <v>25395.110399999998</v>
      </c>
      <c r="G90" s="1049">
        <v>0</v>
      </c>
      <c r="H90" s="306">
        <v>0</v>
      </c>
      <c r="I90" s="307">
        <v>0</v>
      </c>
      <c r="J90" s="1046"/>
      <c r="K90" s="306">
        <f t="shared" si="43"/>
        <v>0</v>
      </c>
      <c r="L90" s="307">
        <f t="shared" si="44"/>
        <v>0</v>
      </c>
      <c r="M90" s="1047">
        <f t="shared" si="45"/>
        <v>0</v>
      </c>
      <c r="N90" s="306">
        <f t="shared" si="46"/>
        <v>0</v>
      </c>
      <c r="O90" s="307">
        <f t="shared" si="47"/>
        <v>0</v>
      </c>
      <c r="P90" s="1047">
        <f t="shared" si="48"/>
        <v>81.52</v>
      </c>
      <c r="Q90" s="306">
        <f t="shared" si="52"/>
        <v>25395.110399999998</v>
      </c>
      <c r="R90" s="307">
        <f t="shared" si="49"/>
        <v>1</v>
      </c>
      <c r="S90" s="314" t="str">
        <f t="shared" si="53"/>
        <v>ok</v>
      </c>
      <c r="T90" s="306"/>
      <c r="U90" s="314"/>
      <c r="V90" s="314"/>
      <c r="W90" s="314"/>
      <c r="X90" s="306"/>
    </row>
    <row r="91" spans="1:24" s="316" customFormat="1" ht="16.5" customHeight="1">
      <c r="A91" s="1101" t="s">
        <v>1253</v>
      </c>
      <c r="B91" s="1101" t="s">
        <v>1743</v>
      </c>
      <c r="C91" s="1104" t="s">
        <v>2147</v>
      </c>
      <c r="D91" s="1105">
        <v>590.95000000000005</v>
      </c>
      <c r="E91" s="1106">
        <v>864.63</v>
      </c>
      <c r="F91" s="841">
        <f t="shared" si="51"/>
        <v>510953.09850000002</v>
      </c>
      <c r="G91" s="1049">
        <v>0</v>
      </c>
      <c r="H91" s="306">
        <v>0</v>
      </c>
      <c r="I91" s="307">
        <v>0</v>
      </c>
      <c r="J91" s="1046"/>
      <c r="K91" s="306">
        <f t="shared" si="43"/>
        <v>0</v>
      </c>
      <c r="L91" s="307">
        <f t="shared" si="44"/>
        <v>0</v>
      </c>
      <c r="M91" s="1047">
        <f t="shared" si="45"/>
        <v>0</v>
      </c>
      <c r="N91" s="306">
        <f t="shared" si="46"/>
        <v>0</v>
      </c>
      <c r="O91" s="307">
        <f t="shared" si="47"/>
        <v>0</v>
      </c>
      <c r="P91" s="1047">
        <f t="shared" si="48"/>
        <v>590.95000000000005</v>
      </c>
      <c r="Q91" s="306">
        <f t="shared" si="52"/>
        <v>510953.09850000002</v>
      </c>
      <c r="R91" s="307">
        <f t="shared" si="49"/>
        <v>1</v>
      </c>
      <c r="S91" s="314" t="str">
        <f t="shared" si="53"/>
        <v>ok</v>
      </c>
      <c r="T91" s="306"/>
      <c r="U91" s="314"/>
      <c r="V91" s="314"/>
      <c r="W91" s="314"/>
      <c r="X91" s="306"/>
    </row>
    <row r="92" spans="1:24" s="316" customFormat="1" ht="16.5" customHeight="1">
      <c r="A92" s="1101">
        <v>3.3</v>
      </c>
      <c r="B92" s="1102" t="s">
        <v>1744</v>
      </c>
      <c r="C92" s="1108"/>
      <c r="D92" s="1105"/>
      <c r="E92" s="1109"/>
      <c r="F92" s="841"/>
      <c r="G92" s="1049"/>
      <c r="H92" s="306"/>
      <c r="I92" s="307"/>
      <c r="J92" s="1046"/>
      <c r="K92" s="306"/>
      <c r="L92" s="307"/>
      <c r="M92" s="1047"/>
      <c r="N92" s="306"/>
      <c r="O92" s="307"/>
      <c r="P92" s="1047"/>
      <c r="Q92" s="306">
        <f t="shared" si="52"/>
        <v>0</v>
      </c>
      <c r="R92" s="307"/>
      <c r="S92" s="314" t="str">
        <f t="shared" si="53"/>
        <v>ok</v>
      </c>
      <c r="T92" s="306"/>
      <c r="U92" s="314"/>
      <c r="V92" s="314"/>
      <c r="W92" s="314"/>
      <c r="X92" s="306"/>
    </row>
    <row r="93" spans="1:24" s="316" customFormat="1" ht="16.5" customHeight="1">
      <c r="A93" s="1101" t="s">
        <v>1254</v>
      </c>
      <c r="B93" s="1101" t="s">
        <v>1745</v>
      </c>
      <c r="C93" s="1104" t="s">
        <v>2147</v>
      </c>
      <c r="D93" s="1105">
        <v>1674.12</v>
      </c>
      <c r="E93" s="1106">
        <v>25.22</v>
      </c>
      <c r="F93" s="841">
        <f t="shared" si="51"/>
        <v>42221.306399999994</v>
      </c>
      <c r="G93" s="1049">
        <v>1157.9104</v>
      </c>
      <c r="H93" s="306">
        <v>29202.500287999999</v>
      </c>
      <c r="I93" s="307">
        <v>0.69165316703701052</v>
      </c>
      <c r="J93" s="1046"/>
      <c r="K93" s="306">
        <f t="shared" si="43"/>
        <v>0</v>
      </c>
      <c r="L93" s="307">
        <f t="shared" si="44"/>
        <v>0</v>
      </c>
      <c r="M93" s="1047">
        <f t="shared" si="45"/>
        <v>1157.9104</v>
      </c>
      <c r="N93" s="306">
        <f t="shared" si="46"/>
        <v>29202.500287999999</v>
      </c>
      <c r="O93" s="307">
        <f t="shared" si="47"/>
        <v>0.69165316703701052</v>
      </c>
      <c r="P93" s="1047">
        <f t="shared" si="48"/>
        <v>516.20959999999991</v>
      </c>
      <c r="Q93" s="306">
        <f t="shared" si="52"/>
        <v>13018.806111999995</v>
      </c>
      <c r="R93" s="307">
        <f t="shared" si="49"/>
        <v>0.30834683296298943</v>
      </c>
      <c r="S93" s="314" t="str">
        <f t="shared" si="53"/>
        <v>ok</v>
      </c>
      <c r="T93" s="306"/>
      <c r="U93" s="314"/>
      <c r="V93" s="314"/>
      <c r="W93" s="314"/>
      <c r="X93" s="306"/>
    </row>
    <row r="94" spans="1:24" s="316" customFormat="1" ht="16.5" customHeight="1">
      <c r="A94" s="1101" t="s">
        <v>1255</v>
      </c>
      <c r="B94" s="1101" t="s">
        <v>1746</v>
      </c>
      <c r="C94" s="1104" t="s">
        <v>2147</v>
      </c>
      <c r="D94" s="1105">
        <v>7636.68</v>
      </c>
      <c r="E94" s="1106">
        <v>26.65</v>
      </c>
      <c r="F94" s="841">
        <f t="shared" si="51"/>
        <v>203517.522</v>
      </c>
      <c r="G94" s="1049">
        <v>5897.9060999999992</v>
      </c>
      <c r="H94" s="306">
        <v>157179.19756499998</v>
      </c>
      <c r="I94" s="307">
        <v>0.77231285061047461</v>
      </c>
      <c r="J94" s="1046"/>
      <c r="K94" s="306">
        <f t="shared" si="43"/>
        <v>0</v>
      </c>
      <c r="L94" s="307">
        <f t="shared" si="44"/>
        <v>0</v>
      </c>
      <c r="M94" s="1047">
        <f t="shared" si="45"/>
        <v>5897.9060999999992</v>
      </c>
      <c r="N94" s="306">
        <f t="shared" si="46"/>
        <v>157179.19756499998</v>
      </c>
      <c r="O94" s="307">
        <f t="shared" si="47"/>
        <v>0.77231285061047461</v>
      </c>
      <c r="P94" s="1047">
        <f t="shared" si="48"/>
        <v>1738.773900000001</v>
      </c>
      <c r="Q94" s="306">
        <f t="shared" si="52"/>
        <v>46338.324435000017</v>
      </c>
      <c r="R94" s="307">
        <f t="shared" si="49"/>
        <v>0.22768714938952539</v>
      </c>
      <c r="S94" s="314" t="str">
        <f t="shared" si="53"/>
        <v>ok</v>
      </c>
      <c r="T94" s="306"/>
      <c r="U94" s="314"/>
      <c r="V94" s="314"/>
      <c r="W94" s="314"/>
      <c r="X94" s="306"/>
    </row>
    <row r="95" spans="1:24" s="316" customFormat="1" ht="16.5" customHeight="1">
      <c r="A95" s="1101" t="s">
        <v>1256</v>
      </c>
      <c r="B95" s="1101" t="s">
        <v>1747</v>
      </c>
      <c r="C95" s="1104" t="s">
        <v>2147</v>
      </c>
      <c r="D95" s="1105">
        <v>2268.88</v>
      </c>
      <c r="E95" s="1106">
        <v>31.33</v>
      </c>
      <c r="F95" s="841">
        <f t="shared" si="51"/>
        <v>71084.010399999999</v>
      </c>
      <c r="G95" s="1049">
        <v>1539.2674999999999</v>
      </c>
      <c r="H95" s="306">
        <v>48225.250774999993</v>
      </c>
      <c r="I95" s="307">
        <v>0.67842613976940158</v>
      </c>
      <c r="J95" s="1046"/>
      <c r="K95" s="306">
        <f t="shared" si="43"/>
        <v>0</v>
      </c>
      <c r="L95" s="307">
        <f t="shared" si="44"/>
        <v>0</v>
      </c>
      <c r="M95" s="1047">
        <f t="shared" si="45"/>
        <v>1539.2674999999999</v>
      </c>
      <c r="N95" s="306">
        <f t="shared" si="46"/>
        <v>48225.250774999993</v>
      </c>
      <c r="O95" s="307">
        <f t="shared" si="47"/>
        <v>0.67842613976940158</v>
      </c>
      <c r="P95" s="1047">
        <f t="shared" si="48"/>
        <v>729.61250000000018</v>
      </c>
      <c r="Q95" s="306">
        <f t="shared" si="52"/>
        <v>22858.759625000006</v>
      </c>
      <c r="R95" s="307">
        <f t="shared" si="49"/>
        <v>0.32157386023059842</v>
      </c>
      <c r="S95" s="314" t="str">
        <f t="shared" si="53"/>
        <v>ok</v>
      </c>
      <c r="T95" s="306"/>
      <c r="U95" s="314"/>
      <c r="V95" s="314"/>
      <c r="W95" s="314"/>
      <c r="X95" s="306"/>
    </row>
    <row r="96" spans="1:24" s="316" customFormat="1" ht="16.5" customHeight="1">
      <c r="A96" s="1101" t="s">
        <v>1257</v>
      </c>
      <c r="B96" s="1101" t="s">
        <v>1748</v>
      </c>
      <c r="C96" s="1104" t="s">
        <v>2147</v>
      </c>
      <c r="D96" s="1105">
        <v>15.34</v>
      </c>
      <c r="E96" s="1106">
        <v>41.54</v>
      </c>
      <c r="F96" s="841">
        <f t="shared" si="51"/>
        <v>637.22360000000003</v>
      </c>
      <c r="G96" s="1049">
        <v>15.34</v>
      </c>
      <c r="H96" s="306">
        <v>637.22360000000003</v>
      </c>
      <c r="I96" s="307">
        <v>1</v>
      </c>
      <c r="J96" s="1046"/>
      <c r="K96" s="306">
        <f t="shared" si="43"/>
        <v>0</v>
      </c>
      <c r="L96" s="307">
        <f t="shared" si="44"/>
        <v>0</v>
      </c>
      <c r="M96" s="1047">
        <f t="shared" si="45"/>
        <v>15.34</v>
      </c>
      <c r="N96" s="306">
        <f t="shared" si="46"/>
        <v>637.22360000000003</v>
      </c>
      <c r="O96" s="307">
        <f t="shared" si="47"/>
        <v>1</v>
      </c>
      <c r="P96" s="1047">
        <f t="shared" si="48"/>
        <v>0</v>
      </c>
      <c r="Q96" s="306">
        <f t="shared" si="52"/>
        <v>0</v>
      </c>
      <c r="R96" s="307">
        <f t="shared" si="49"/>
        <v>0</v>
      </c>
      <c r="S96" s="314" t="str">
        <f t="shared" si="53"/>
        <v>ok</v>
      </c>
      <c r="T96" s="306"/>
      <c r="U96" s="314"/>
      <c r="V96" s="314"/>
      <c r="W96" s="314"/>
      <c r="X96" s="306"/>
    </row>
    <row r="97" spans="1:24" s="316" customFormat="1" ht="16.5" customHeight="1">
      <c r="A97" s="1101" t="s">
        <v>1258</v>
      </c>
      <c r="B97" s="1101" t="s">
        <v>1749</v>
      </c>
      <c r="C97" s="1104" t="s">
        <v>2147</v>
      </c>
      <c r="D97" s="1105">
        <v>1818.39</v>
      </c>
      <c r="E97" s="1106">
        <v>56.03</v>
      </c>
      <c r="F97" s="841">
        <f t="shared" si="51"/>
        <v>101884.39170000001</v>
      </c>
      <c r="G97" s="1049">
        <v>1513.6074999999998</v>
      </c>
      <c r="H97" s="306">
        <v>84807.428224999996</v>
      </c>
      <c r="I97" s="307">
        <v>0.83238881648051288</v>
      </c>
      <c r="J97" s="1046"/>
      <c r="K97" s="306">
        <f t="shared" si="43"/>
        <v>0</v>
      </c>
      <c r="L97" s="307">
        <f t="shared" si="44"/>
        <v>0</v>
      </c>
      <c r="M97" s="1047">
        <f t="shared" si="45"/>
        <v>1513.6074999999998</v>
      </c>
      <c r="N97" s="306">
        <f t="shared" si="46"/>
        <v>84807.428224999996</v>
      </c>
      <c r="O97" s="307">
        <f t="shared" si="47"/>
        <v>0.83238881648051288</v>
      </c>
      <c r="P97" s="1047">
        <f t="shared" si="48"/>
        <v>304.78250000000025</v>
      </c>
      <c r="Q97" s="306">
        <f t="shared" si="52"/>
        <v>17076.963475000011</v>
      </c>
      <c r="R97" s="307">
        <f t="shared" si="49"/>
        <v>0.16761118351948712</v>
      </c>
      <c r="S97" s="314" t="str">
        <f t="shared" si="53"/>
        <v>ok</v>
      </c>
      <c r="T97" s="306"/>
      <c r="U97" s="314"/>
      <c r="V97" s="314"/>
      <c r="W97" s="314"/>
      <c r="X97" s="306"/>
    </row>
    <row r="98" spans="1:24" s="316" customFormat="1" ht="16.5" customHeight="1">
      <c r="A98" s="1401" t="s">
        <v>1259</v>
      </c>
      <c r="B98" s="1401" t="s">
        <v>1750</v>
      </c>
      <c r="C98" s="1444" t="s">
        <v>51</v>
      </c>
      <c r="D98" s="1105">
        <v>842.7</v>
      </c>
      <c r="E98" s="1445">
        <v>16.21</v>
      </c>
      <c r="F98" s="1404">
        <f t="shared" si="51"/>
        <v>13660.167000000001</v>
      </c>
      <c r="G98" s="1049">
        <v>842.7</v>
      </c>
      <c r="H98" s="306">
        <v>13660.167000000001</v>
      </c>
      <c r="I98" s="307">
        <v>1</v>
      </c>
      <c r="J98" s="1046"/>
      <c r="K98" s="306">
        <f t="shared" si="43"/>
        <v>0</v>
      </c>
      <c r="L98" s="307">
        <f t="shared" si="44"/>
        <v>0</v>
      </c>
      <c r="M98" s="1047">
        <f t="shared" si="45"/>
        <v>842.7</v>
      </c>
      <c r="N98" s="306">
        <f t="shared" si="46"/>
        <v>13660.167000000001</v>
      </c>
      <c r="O98" s="307">
        <f t="shared" si="47"/>
        <v>1</v>
      </c>
      <c r="P98" s="1047">
        <f t="shared" si="48"/>
        <v>0</v>
      </c>
      <c r="Q98" s="306">
        <f t="shared" si="52"/>
        <v>0</v>
      </c>
      <c r="R98" s="307">
        <f t="shared" si="49"/>
        <v>0</v>
      </c>
      <c r="S98" s="314" t="str">
        <f t="shared" si="53"/>
        <v>ok</v>
      </c>
      <c r="T98" s="306"/>
      <c r="U98" s="314"/>
      <c r="V98" s="314"/>
      <c r="W98" s="314"/>
      <c r="X98" s="306"/>
    </row>
    <row r="99" spans="1:24" s="316" customFormat="1" ht="16.5" customHeight="1">
      <c r="A99" s="1401" t="s">
        <v>1260</v>
      </c>
      <c r="B99" s="1401" t="s">
        <v>1751</v>
      </c>
      <c r="C99" s="1444" t="s">
        <v>51</v>
      </c>
      <c r="D99" s="1105">
        <v>294.08</v>
      </c>
      <c r="E99" s="1445">
        <v>38.49</v>
      </c>
      <c r="F99" s="1404">
        <f t="shared" si="51"/>
        <v>11319.1392</v>
      </c>
      <c r="G99" s="1049">
        <v>0</v>
      </c>
      <c r="H99" s="306">
        <v>0</v>
      </c>
      <c r="I99" s="307">
        <v>0</v>
      </c>
      <c r="J99" s="1046"/>
      <c r="K99" s="306">
        <f t="shared" si="43"/>
        <v>0</v>
      </c>
      <c r="L99" s="307">
        <f t="shared" si="44"/>
        <v>0</v>
      </c>
      <c r="M99" s="1047">
        <f t="shared" si="45"/>
        <v>0</v>
      </c>
      <c r="N99" s="306">
        <f t="shared" si="46"/>
        <v>0</v>
      </c>
      <c r="O99" s="307">
        <f t="shared" si="47"/>
        <v>0</v>
      </c>
      <c r="P99" s="1047">
        <f t="shared" si="48"/>
        <v>294.08</v>
      </c>
      <c r="Q99" s="306">
        <f t="shared" si="52"/>
        <v>11319.1392</v>
      </c>
      <c r="R99" s="307">
        <f t="shared" si="49"/>
        <v>1</v>
      </c>
      <c r="S99" s="314" t="str">
        <f t="shared" si="53"/>
        <v>ok</v>
      </c>
      <c r="T99" s="306"/>
      <c r="U99" s="314"/>
      <c r="V99" s="314"/>
      <c r="W99" s="314"/>
      <c r="X99" s="306"/>
    </row>
    <row r="100" spans="1:24" s="316" customFormat="1" ht="16.5" customHeight="1">
      <c r="A100" s="1401" t="s">
        <v>1261</v>
      </c>
      <c r="B100" s="1401" t="s">
        <v>1752</v>
      </c>
      <c r="C100" s="1444" t="s">
        <v>2147</v>
      </c>
      <c r="D100" s="1105">
        <v>314.29000000000002</v>
      </c>
      <c r="E100" s="1445">
        <v>43.07</v>
      </c>
      <c r="F100" s="1404">
        <f t="shared" si="51"/>
        <v>13536.470300000001</v>
      </c>
      <c r="G100" s="1049">
        <v>300.45999999999998</v>
      </c>
      <c r="H100" s="306">
        <v>12940.812199999998</v>
      </c>
      <c r="I100" s="307">
        <v>0.9559960545992553</v>
      </c>
      <c r="J100" s="1046"/>
      <c r="K100" s="306">
        <f t="shared" si="43"/>
        <v>0</v>
      </c>
      <c r="L100" s="307">
        <f t="shared" si="44"/>
        <v>0</v>
      </c>
      <c r="M100" s="1047">
        <f t="shared" si="45"/>
        <v>300.45999999999998</v>
      </c>
      <c r="N100" s="306">
        <f t="shared" si="46"/>
        <v>12940.812199999998</v>
      </c>
      <c r="O100" s="307">
        <f t="shared" si="47"/>
        <v>0.9559960545992553</v>
      </c>
      <c r="P100" s="1047">
        <f t="shared" si="48"/>
        <v>13.830000000000041</v>
      </c>
      <c r="Q100" s="306">
        <f t="shared" si="52"/>
        <v>595.65810000000238</v>
      </c>
      <c r="R100" s="307">
        <f t="shared" si="49"/>
        <v>4.4003945400744711E-2</v>
      </c>
      <c r="S100" s="314" t="str">
        <f t="shared" si="53"/>
        <v>ok</v>
      </c>
      <c r="T100" s="306"/>
      <c r="U100" s="314"/>
      <c r="V100" s="314"/>
      <c r="W100" s="314"/>
      <c r="X100" s="306"/>
    </row>
    <row r="101" spans="1:24" s="316" customFormat="1" ht="16.5" customHeight="1">
      <c r="A101" s="1401" t="s">
        <v>1262</v>
      </c>
      <c r="B101" s="1401" t="s">
        <v>1753</v>
      </c>
      <c r="C101" s="1444" t="s">
        <v>51</v>
      </c>
      <c r="D101" s="1105">
        <v>606.9</v>
      </c>
      <c r="E101" s="1445">
        <v>40.61</v>
      </c>
      <c r="F101" s="1404">
        <f t="shared" si="51"/>
        <v>24646.208999999999</v>
      </c>
      <c r="G101" s="1049">
        <v>606.9</v>
      </c>
      <c r="H101" s="306">
        <v>24646.208999999999</v>
      </c>
      <c r="I101" s="307">
        <v>1</v>
      </c>
      <c r="J101" s="1046"/>
      <c r="K101" s="306">
        <f t="shared" si="43"/>
        <v>0</v>
      </c>
      <c r="L101" s="307">
        <f t="shared" si="44"/>
        <v>0</v>
      </c>
      <c r="M101" s="1047">
        <f t="shared" si="45"/>
        <v>606.9</v>
      </c>
      <c r="N101" s="306">
        <f t="shared" si="46"/>
        <v>24646.208999999999</v>
      </c>
      <c r="O101" s="307">
        <f t="shared" si="47"/>
        <v>1</v>
      </c>
      <c r="P101" s="1047">
        <f t="shared" si="48"/>
        <v>0</v>
      </c>
      <c r="Q101" s="306">
        <f t="shared" si="52"/>
        <v>0</v>
      </c>
      <c r="R101" s="307">
        <f t="shared" si="49"/>
        <v>0</v>
      </c>
      <c r="S101" s="314" t="str">
        <f t="shared" si="53"/>
        <v>ok</v>
      </c>
      <c r="T101" s="306"/>
      <c r="U101" s="314"/>
      <c r="V101" s="314"/>
      <c r="W101" s="314"/>
      <c r="X101" s="306"/>
    </row>
    <row r="102" spans="1:24" s="316" customFormat="1" ht="16.5" customHeight="1">
      <c r="A102" s="1101" t="s">
        <v>1263</v>
      </c>
      <c r="B102" s="1101" t="s">
        <v>1754</v>
      </c>
      <c r="C102" s="1104" t="s">
        <v>2147</v>
      </c>
      <c r="D102" s="1105">
        <v>498.08</v>
      </c>
      <c r="E102" s="1106">
        <v>286.83999999999997</v>
      </c>
      <c r="F102" s="841">
        <f t="shared" si="51"/>
        <v>142869.26719999997</v>
      </c>
      <c r="G102" s="1049">
        <v>55.580000000000005</v>
      </c>
      <c r="H102" s="306">
        <v>15942.5672</v>
      </c>
      <c r="I102" s="307">
        <v>0.11158849983938325</v>
      </c>
      <c r="J102" s="1046"/>
      <c r="K102" s="306">
        <f t="shared" si="43"/>
        <v>0</v>
      </c>
      <c r="L102" s="307">
        <f t="shared" si="44"/>
        <v>0</v>
      </c>
      <c r="M102" s="1047">
        <f t="shared" si="45"/>
        <v>55.580000000000005</v>
      </c>
      <c r="N102" s="306">
        <f t="shared" si="46"/>
        <v>15942.5672</v>
      </c>
      <c r="O102" s="307">
        <f t="shared" si="47"/>
        <v>0.11158849983938325</v>
      </c>
      <c r="P102" s="1047">
        <f t="shared" si="48"/>
        <v>442.5</v>
      </c>
      <c r="Q102" s="306">
        <f t="shared" si="52"/>
        <v>126926.69999999997</v>
      </c>
      <c r="R102" s="307">
        <f t="shared" si="49"/>
        <v>0.88841150016061676</v>
      </c>
      <c r="S102" s="314" t="str">
        <f t="shared" si="53"/>
        <v>ok</v>
      </c>
      <c r="T102" s="306"/>
      <c r="U102" s="314"/>
      <c r="V102" s="314"/>
      <c r="W102" s="314"/>
      <c r="X102" s="306"/>
    </row>
    <row r="103" spans="1:24" s="316" customFormat="1" ht="16.5" customHeight="1">
      <c r="A103" s="1101" t="s">
        <v>1264</v>
      </c>
      <c r="B103" s="1101" t="s">
        <v>1755</v>
      </c>
      <c r="C103" s="1104" t="s">
        <v>2147</v>
      </c>
      <c r="D103" s="1105">
        <v>164.05</v>
      </c>
      <c r="E103" s="1106">
        <v>29.68</v>
      </c>
      <c r="F103" s="841">
        <f t="shared" si="51"/>
        <v>4869.0039999999999</v>
      </c>
      <c r="G103" s="1049">
        <v>117.75</v>
      </c>
      <c r="H103" s="306">
        <v>3494.82</v>
      </c>
      <c r="I103" s="307">
        <v>0.71776897287412378</v>
      </c>
      <c r="J103" s="1046"/>
      <c r="K103" s="306">
        <f t="shared" si="43"/>
        <v>0</v>
      </c>
      <c r="L103" s="307">
        <f t="shared" si="44"/>
        <v>0</v>
      </c>
      <c r="M103" s="1047">
        <f t="shared" si="45"/>
        <v>117.75</v>
      </c>
      <c r="N103" s="306">
        <f t="shared" si="46"/>
        <v>3494.82</v>
      </c>
      <c r="O103" s="307">
        <f t="shared" si="47"/>
        <v>0.71776897287412378</v>
      </c>
      <c r="P103" s="1047">
        <f t="shared" si="48"/>
        <v>46.300000000000011</v>
      </c>
      <c r="Q103" s="306">
        <f t="shared" si="52"/>
        <v>1374.1839999999997</v>
      </c>
      <c r="R103" s="307">
        <f t="shared" si="49"/>
        <v>0.28223102712587622</v>
      </c>
      <c r="S103" s="314" t="str">
        <f t="shared" si="53"/>
        <v>ok</v>
      </c>
      <c r="T103" s="306"/>
      <c r="U103" s="314"/>
      <c r="V103" s="314"/>
      <c r="W103" s="314"/>
      <c r="X103" s="306"/>
    </row>
    <row r="104" spans="1:24" s="316" customFormat="1" ht="16.5" customHeight="1">
      <c r="A104" s="1401">
        <v>3.4</v>
      </c>
      <c r="B104" s="1446" t="s">
        <v>1756</v>
      </c>
      <c r="C104" s="1447"/>
      <c r="D104" s="1105"/>
      <c r="E104" s="1448"/>
      <c r="F104" s="1404"/>
      <c r="G104" s="1049"/>
      <c r="H104" s="306"/>
      <c r="I104" s="307"/>
      <c r="J104" s="1046"/>
      <c r="K104" s="306"/>
      <c r="L104" s="307"/>
      <c r="M104" s="1047"/>
      <c r="N104" s="306"/>
      <c r="O104" s="307"/>
      <c r="P104" s="1047"/>
      <c r="Q104" s="306">
        <f t="shared" si="52"/>
        <v>0</v>
      </c>
      <c r="R104" s="307"/>
      <c r="S104" s="314" t="str">
        <f t="shared" si="53"/>
        <v>ok</v>
      </c>
      <c r="T104" s="306"/>
      <c r="U104" s="314"/>
      <c r="V104" s="314"/>
      <c r="W104" s="314"/>
      <c r="X104" s="306"/>
    </row>
    <row r="105" spans="1:24" s="316" customFormat="1" ht="16.5" customHeight="1">
      <c r="A105" s="1401" t="s">
        <v>1265</v>
      </c>
      <c r="B105" s="1401" t="s">
        <v>1757</v>
      </c>
      <c r="C105" s="1444" t="s">
        <v>2147</v>
      </c>
      <c r="D105" s="1105">
        <v>4779.21</v>
      </c>
      <c r="E105" s="1445">
        <v>29.06</v>
      </c>
      <c r="F105" s="1404">
        <f t="shared" si="51"/>
        <v>138883.8426</v>
      </c>
      <c r="G105" s="1049">
        <v>0</v>
      </c>
      <c r="H105" s="306">
        <v>0</v>
      </c>
      <c r="I105" s="307">
        <v>0</v>
      </c>
      <c r="J105" s="1046"/>
      <c r="K105" s="306">
        <f t="shared" si="43"/>
        <v>0</v>
      </c>
      <c r="L105" s="307">
        <f t="shared" si="44"/>
        <v>0</v>
      </c>
      <c r="M105" s="1047">
        <f t="shared" si="45"/>
        <v>0</v>
      </c>
      <c r="N105" s="306">
        <f t="shared" si="46"/>
        <v>0</v>
      </c>
      <c r="O105" s="307">
        <f t="shared" si="47"/>
        <v>0</v>
      </c>
      <c r="P105" s="1047">
        <f t="shared" si="48"/>
        <v>4779.21</v>
      </c>
      <c r="Q105" s="306">
        <f t="shared" si="52"/>
        <v>138883.8426</v>
      </c>
      <c r="R105" s="307">
        <f t="shared" si="49"/>
        <v>1</v>
      </c>
      <c r="S105" s="314" t="str">
        <f t="shared" si="53"/>
        <v>ok</v>
      </c>
      <c r="T105" s="306"/>
      <c r="U105" s="314"/>
      <c r="V105" s="314"/>
      <c r="W105" s="314"/>
      <c r="X105" s="306"/>
    </row>
    <row r="106" spans="1:24" s="316" customFormat="1" ht="16.5" customHeight="1">
      <c r="A106" s="1401">
        <v>3.5</v>
      </c>
      <c r="B106" s="1446" t="s">
        <v>1758</v>
      </c>
      <c r="C106" s="1447"/>
      <c r="D106" s="1105"/>
      <c r="E106" s="1448"/>
      <c r="F106" s="1404"/>
      <c r="G106" s="1049"/>
      <c r="H106" s="306"/>
      <c r="I106" s="307"/>
      <c r="J106" s="1046"/>
      <c r="K106" s="306"/>
      <c r="L106" s="307"/>
      <c r="M106" s="1047"/>
      <c r="N106" s="306"/>
      <c r="O106" s="307"/>
      <c r="P106" s="1047"/>
      <c r="Q106" s="306">
        <f t="shared" si="52"/>
        <v>0</v>
      </c>
      <c r="R106" s="307"/>
      <c r="S106" s="314" t="str">
        <f t="shared" si="53"/>
        <v>ok</v>
      </c>
      <c r="T106" s="306"/>
      <c r="U106" s="314"/>
      <c r="V106" s="314"/>
      <c r="W106" s="314"/>
      <c r="X106" s="306"/>
    </row>
    <row r="107" spans="1:24" s="316" customFormat="1" ht="16.5" customHeight="1">
      <c r="A107" s="1401" t="s">
        <v>1266</v>
      </c>
      <c r="B107" s="1401" t="s">
        <v>1759</v>
      </c>
      <c r="C107" s="1444" t="s">
        <v>51</v>
      </c>
      <c r="D107" s="1105">
        <v>122.25</v>
      </c>
      <c r="E107" s="1445">
        <v>266.79000000000002</v>
      </c>
      <c r="F107" s="1404">
        <f t="shared" si="51"/>
        <v>32615.077500000003</v>
      </c>
      <c r="G107" s="1049">
        <v>0</v>
      </c>
      <c r="H107" s="306">
        <v>0</v>
      </c>
      <c r="I107" s="307">
        <v>0</v>
      </c>
      <c r="J107" s="1046"/>
      <c r="K107" s="306">
        <f t="shared" si="43"/>
        <v>0</v>
      </c>
      <c r="L107" s="307">
        <f t="shared" si="44"/>
        <v>0</v>
      </c>
      <c r="M107" s="1047">
        <f t="shared" si="45"/>
        <v>0</v>
      </c>
      <c r="N107" s="306">
        <f t="shared" si="46"/>
        <v>0</v>
      </c>
      <c r="O107" s="307">
        <f t="shared" si="47"/>
        <v>0</v>
      </c>
      <c r="P107" s="1047">
        <f t="shared" si="48"/>
        <v>122.25</v>
      </c>
      <c r="Q107" s="306">
        <f t="shared" si="52"/>
        <v>32615.077500000003</v>
      </c>
      <c r="R107" s="307">
        <f t="shared" si="49"/>
        <v>1</v>
      </c>
      <c r="S107" s="314" t="str">
        <f t="shared" si="53"/>
        <v>ok</v>
      </c>
      <c r="T107" s="306"/>
      <c r="U107" s="314"/>
      <c r="V107" s="314"/>
      <c r="W107" s="314"/>
      <c r="X107" s="306"/>
    </row>
    <row r="108" spans="1:24" s="316" customFormat="1" ht="16.5" customHeight="1">
      <c r="A108" s="1401" t="s">
        <v>1267</v>
      </c>
      <c r="B108" s="1401" t="s">
        <v>1760</v>
      </c>
      <c r="C108" s="1444" t="s">
        <v>51</v>
      </c>
      <c r="D108" s="1105">
        <v>91.22</v>
      </c>
      <c r="E108" s="1445">
        <v>113.84</v>
      </c>
      <c r="F108" s="1404">
        <f t="shared" si="51"/>
        <v>10384.4848</v>
      </c>
      <c r="G108" s="1049">
        <v>0</v>
      </c>
      <c r="H108" s="306">
        <v>0</v>
      </c>
      <c r="I108" s="307">
        <v>0</v>
      </c>
      <c r="J108" s="1046"/>
      <c r="K108" s="306">
        <f t="shared" si="43"/>
        <v>0</v>
      </c>
      <c r="L108" s="307">
        <f t="shared" si="44"/>
        <v>0</v>
      </c>
      <c r="M108" s="1047">
        <f t="shared" si="45"/>
        <v>0</v>
      </c>
      <c r="N108" s="306">
        <f t="shared" si="46"/>
        <v>0</v>
      </c>
      <c r="O108" s="307">
        <f t="shared" si="47"/>
        <v>0</v>
      </c>
      <c r="P108" s="1047">
        <f t="shared" si="48"/>
        <v>91.22</v>
      </c>
      <c r="Q108" s="306">
        <f t="shared" si="52"/>
        <v>10384.4848</v>
      </c>
      <c r="R108" s="307">
        <f t="shared" si="49"/>
        <v>1</v>
      </c>
      <c r="S108" s="314" t="str">
        <f t="shared" si="53"/>
        <v>ok</v>
      </c>
      <c r="T108" s="306"/>
      <c r="U108" s="314"/>
      <c r="V108" s="314"/>
      <c r="W108" s="314"/>
      <c r="X108" s="306"/>
    </row>
    <row r="109" spans="1:24" s="316" customFormat="1" ht="16.5" customHeight="1">
      <c r="A109" s="1101" t="s">
        <v>1268</v>
      </c>
      <c r="B109" s="1101" t="s">
        <v>1761</v>
      </c>
      <c r="C109" s="1104" t="s">
        <v>51</v>
      </c>
      <c r="D109" s="1105">
        <v>670.25</v>
      </c>
      <c r="E109" s="1106">
        <v>23.82</v>
      </c>
      <c r="F109" s="841">
        <f t="shared" si="51"/>
        <v>15965.355</v>
      </c>
      <c r="G109" s="1049">
        <v>632.29999999999995</v>
      </c>
      <c r="H109" s="306">
        <v>15061.385999999999</v>
      </c>
      <c r="I109" s="307">
        <v>0.943379336068631</v>
      </c>
      <c r="J109" s="1046"/>
      <c r="K109" s="306">
        <f t="shared" si="43"/>
        <v>0</v>
      </c>
      <c r="L109" s="307">
        <f t="shared" si="44"/>
        <v>0</v>
      </c>
      <c r="M109" s="1047">
        <f t="shared" si="45"/>
        <v>632.29999999999995</v>
      </c>
      <c r="N109" s="306">
        <f t="shared" si="46"/>
        <v>15061.385999999999</v>
      </c>
      <c r="O109" s="307">
        <f t="shared" si="47"/>
        <v>0.943379336068631</v>
      </c>
      <c r="P109" s="1047">
        <f t="shared" si="48"/>
        <v>37.950000000000045</v>
      </c>
      <c r="Q109" s="306">
        <f t="shared" si="52"/>
        <v>903.96900000000096</v>
      </c>
      <c r="R109" s="307">
        <f t="shared" si="49"/>
        <v>5.6620663931368956E-2</v>
      </c>
      <c r="S109" s="314" t="str">
        <f t="shared" si="53"/>
        <v>ok</v>
      </c>
      <c r="T109" s="306"/>
      <c r="U109" s="314"/>
      <c r="V109" s="314"/>
      <c r="W109" s="314"/>
      <c r="X109" s="306"/>
    </row>
    <row r="110" spans="1:24" s="316" customFormat="1" ht="16.5" customHeight="1">
      <c r="A110" s="1401">
        <v>3.6</v>
      </c>
      <c r="B110" s="1446" t="s">
        <v>1762</v>
      </c>
      <c r="C110" s="1447"/>
      <c r="D110" s="1105"/>
      <c r="E110" s="1448"/>
      <c r="F110" s="1404"/>
      <c r="G110" s="1049"/>
      <c r="H110" s="306"/>
      <c r="I110" s="307"/>
      <c r="J110" s="1046"/>
      <c r="K110" s="306"/>
      <c r="L110" s="307"/>
      <c r="M110" s="1047"/>
      <c r="N110" s="306"/>
      <c r="O110" s="307"/>
      <c r="P110" s="1047"/>
      <c r="Q110" s="306">
        <f t="shared" si="52"/>
        <v>0</v>
      </c>
      <c r="R110" s="307"/>
      <c r="S110" s="314" t="str">
        <f t="shared" si="53"/>
        <v>ok</v>
      </c>
      <c r="T110" s="306"/>
      <c r="U110" s="314"/>
      <c r="V110" s="314"/>
      <c r="W110" s="314"/>
      <c r="X110" s="306"/>
    </row>
    <row r="111" spans="1:24" s="316" customFormat="1" ht="16.5" customHeight="1">
      <c r="A111" s="1401" t="s">
        <v>1269</v>
      </c>
      <c r="B111" s="1401" t="s">
        <v>1763</v>
      </c>
      <c r="C111" s="1444" t="s">
        <v>2147</v>
      </c>
      <c r="D111" s="1105">
        <v>815.15</v>
      </c>
      <c r="E111" s="1445">
        <v>49.63</v>
      </c>
      <c r="F111" s="1404">
        <f t="shared" si="51"/>
        <v>40455.894500000002</v>
      </c>
      <c r="G111" s="1049">
        <v>601.49</v>
      </c>
      <c r="H111" s="306">
        <v>29851.948700000001</v>
      </c>
      <c r="I111" s="307">
        <v>0.7378887321351898</v>
      </c>
      <c r="J111" s="1046"/>
      <c r="K111" s="306">
        <f t="shared" si="43"/>
        <v>0</v>
      </c>
      <c r="L111" s="307">
        <f t="shared" si="44"/>
        <v>0</v>
      </c>
      <c r="M111" s="1047">
        <f t="shared" si="45"/>
        <v>601.49</v>
      </c>
      <c r="N111" s="306">
        <f t="shared" si="46"/>
        <v>29851.948700000001</v>
      </c>
      <c r="O111" s="307">
        <f t="shared" si="47"/>
        <v>0.7378887321351898</v>
      </c>
      <c r="P111" s="1047">
        <f t="shared" si="48"/>
        <v>213.65999999999997</v>
      </c>
      <c r="Q111" s="306">
        <f t="shared" si="52"/>
        <v>10603.945800000001</v>
      </c>
      <c r="R111" s="307">
        <f t="shared" si="49"/>
        <v>0.26211126786481015</v>
      </c>
      <c r="S111" s="314" t="str">
        <f t="shared" si="53"/>
        <v>ok</v>
      </c>
      <c r="T111" s="306"/>
      <c r="U111" s="314"/>
      <c r="V111" s="314"/>
      <c r="W111" s="314"/>
      <c r="X111" s="306"/>
    </row>
    <row r="112" spans="1:24" s="316" customFormat="1" ht="16.5" customHeight="1">
      <c r="A112" s="1101" t="s">
        <v>1270</v>
      </c>
      <c r="B112" s="1101" t="s">
        <v>1764</v>
      </c>
      <c r="C112" s="1104" t="s">
        <v>2147</v>
      </c>
      <c r="D112" s="1105">
        <v>4742.8500000000004</v>
      </c>
      <c r="E112" s="1106">
        <v>37.94</v>
      </c>
      <c r="F112" s="841">
        <f t="shared" si="51"/>
        <v>179943.72899999999</v>
      </c>
      <c r="G112" s="1049">
        <v>4742.8499999999995</v>
      </c>
      <c r="H112" s="306">
        <v>179943.72899999996</v>
      </c>
      <c r="I112" s="307">
        <v>0.99999999999999989</v>
      </c>
      <c r="J112" s="1046"/>
      <c r="K112" s="306">
        <f t="shared" si="43"/>
        <v>0</v>
      </c>
      <c r="L112" s="307">
        <f t="shared" si="44"/>
        <v>0</v>
      </c>
      <c r="M112" s="1047">
        <f t="shared" si="45"/>
        <v>4742.8499999999995</v>
      </c>
      <c r="N112" s="306">
        <f t="shared" si="46"/>
        <v>179943.72899999996</v>
      </c>
      <c r="O112" s="307">
        <f t="shared" si="47"/>
        <v>0.99999999999999989</v>
      </c>
      <c r="P112" s="1047">
        <f t="shared" si="48"/>
        <v>0</v>
      </c>
      <c r="Q112" s="306">
        <f t="shared" si="52"/>
        <v>0</v>
      </c>
      <c r="R112" s="307">
        <f t="shared" si="49"/>
        <v>0</v>
      </c>
      <c r="S112" s="314" t="str">
        <f t="shared" si="53"/>
        <v>ok</v>
      </c>
      <c r="T112" s="306"/>
      <c r="U112" s="314"/>
      <c r="V112" s="314"/>
      <c r="W112" s="314"/>
      <c r="X112" s="306"/>
    </row>
    <row r="113" spans="1:24" s="316" customFormat="1" ht="16.5" customHeight="1">
      <c r="A113" s="1101" t="s">
        <v>1271</v>
      </c>
      <c r="B113" s="1101" t="s">
        <v>1765</v>
      </c>
      <c r="C113" s="1104" t="s">
        <v>2147</v>
      </c>
      <c r="D113" s="1105">
        <v>4299.57</v>
      </c>
      <c r="E113" s="1106">
        <v>96.34</v>
      </c>
      <c r="F113" s="841">
        <f t="shared" si="51"/>
        <v>414220.57380000001</v>
      </c>
      <c r="G113" s="1049">
        <v>3941.7500000000005</v>
      </c>
      <c r="H113" s="306">
        <v>379748.19500000007</v>
      </c>
      <c r="I113" s="307">
        <v>0.91677772428405646</v>
      </c>
      <c r="J113" s="1046"/>
      <c r="K113" s="306">
        <f t="shared" si="43"/>
        <v>0</v>
      </c>
      <c r="L113" s="307">
        <f t="shared" si="44"/>
        <v>0</v>
      </c>
      <c r="M113" s="1047">
        <f t="shared" si="45"/>
        <v>3941.7500000000005</v>
      </c>
      <c r="N113" s="306">
        <f t="shared" si="46"/>
        <v>379748.19500000007</v>
      </c>
      <c r="O113" s="307">
        <f t="shared" si="47"/>
        <v>0.91677772428405646</v>
      </c>
      <c r="P113" s="1047">
        <f t="shared" si="48"/>
        <v>357.81999999999925</v>
      </c>
      <c r="Q113" s="306">
        <f t="shared" si="52"/>
        <v>34472.378799999948</v>
      </c>
      <c r="R113" s="307">
        <f t="shared" si="49"/>
        <v>8.3222275715943553E-2</v>
      </c>
      <c r="S113" s="314" t="str">
        <f t="shared" si="53"/>
        <v>ok</v>
      </c>
      <c r="T113" s="306"/>
      <c r="U113" s="314"/>
      <c r="V113" s="314"/>
      <c r="W113" s="314"/>
      <c r="X113" s="306"/>
    </row>
    <row r="114" spans="1:24" s="316" customFormat="1" ht="16.5" customHeight="1">
      <c r="A114" s="1101" t="s">
        <v>1272</v>
      </c>
      <c r="B114" s="1101" t="s">
        <v>1766</v>
      </c>
      <c r="C114" s="1104" t="s">
        <v>2147</v>
      </c>
      <c r="D114" s="1105">
        <v>395.41</v>
      </c>
      <c r="E114" s="1106">
        <v>59.09</v>
      </c>
      <c r="F114" s="841">
        <f t="shared" si="51"/>
        <v>23364.776900000004</v>
      </c>
      <c r="G114" s="1049">
        <v>0</v>
      </c>
      <c r="H114" s="306">
        <v>0</v>
      </c>
      <c r="I114" s="307">
        <v>0</v>
      </c>
      <c r="J114" s="1046"/>
      <c r="K114" s="306">
        <f t="shared" si="43"/>
        <v>0</v>
      </c>
      <c r="L114" s="307">
        <f t="shared" si="44"/>
        <v>0</v>
      </c>
      <c r="M114" s="1047">
        <f t="shared" si="45"/>
        <v>0</v>
      </c>
      <c r="N114" s="306">
        <f t="shared" si="46"/>
        <v>0</v>
      </c>
      <c r="O114" s="307">
        <f t="shared" si="47"/>
        <v>0</v>
      </c>
      <c r="P114" s="1047">
        <f t="shared" si="48"/>
        <v>395.41</v>
      </c>
      <c r="Q114" s="306">
        <f t="shared" si="52"/>
        <v>23364.776900000004</v>
      </c>
      <c r="R114" s="307">
        <f t="shared" si="49"/>
        <v>1</v>
      </c>
      <c r="S114" s="314" t="str">
        <f t="shared" si="53"/>
        <v>ok</v>
      </c>
      <c r="T114" s="306"/>
      <c r="U114" s="314"/>
      <c r="V114" s="314"/>
      <c r="W114" s="314"/>
      <c r="X114" s="306"/>
    </row>
    <row r="115" spans="1:24" s="316" customFormat="1" ht="16.5" customHeight="1">
      <c r="A115" s="1101" t="s">
        <v>1273</v>
      </c>
      <c r="B115" s="1101" t="s">
        <v>1767</v>
      </c>
      <c r="C115" s="1104" t="s">
        <v>2147</v>
      </c>
      <c r="D115" s="1105">
        <v>426.97</v>
      </c>
      <c r="E115" s="1106">
        <v>37.18</v>
      </c>
      <c r="F115" s="841">
        <f t="shared" si="51"/>
        <v>15874.7446</v>
      </c>
      <c r="G115" s="1049">
        <v>0</v>
      </c>
      <c r="H115" s="306">
        <v>0</v>
      </c>
      <c r="I115" s="307">
        <v>0</v>
      </c>
      <c r="J115" s="1046"/>
      <c r="K115" s="306">
        <f t="shared" si="43"/>
        <v>0</v>
      </c>
      <c r="L115" s="307">
        <f t="shared" si="44"/>
        <v>0</v>
      </c>
      <c r="M115" s="1047">
        <f t="shared" si="45"/>
        <v>0</v>
      </c>
      <c r="N115" s="306">
        <f t="shared" si="46"/>
        <v>0</v>
      </c>
      <c r="O115" s="307">
        <f t="shared" si="47"/>
        <v>0</v>
      </c>
      <c r="P115" s="1047">
        <f t="shared" si="48"/>
        <v>426.97</v>
      </c>
      <c r="Q115" s="306">
        <f t="shared" si="52"/>
        <v>15874.7446</v>
      </c>
      <c r="R115" s="307">
        <f t="shared" si="49"/>
        <v>1</v>
      </c>
      <c r="S115" s="314" t="str">
        <f t="shared" si="53"/>
        <v>ok</v>
      </c>
      <c r="T115" s="306"/>
      <c r="U115" s="314"/>
      <c r="V115" s="314"/>
      <c r="W115" s="314"/>
      <c r="X115" s="306"/>
    </row>
    <row r="116" spans="1:24" s="316" customFormat="1" ht="16.5" customHeight="1">
      <c r="A116" s="1101" t="s">
        <v>1274</v>
      </c>
      <c r="B116" s="1101" t="s">
        <v>2254</v>
      </c>
      <c r="C116" s="1104" t="s">
        <v>2147</v>
      </c>
      <c r="D116" s="1105">
        <v>1</v>
      </c>
      <c r="E116" s="1106">
        <v>34.5</v>
      </c>
      <c r="F116" s="841">
        <f t="shared" si="51"/>
        <v>34.5</v>
      </c>
      <c r="G116" s="1049">
        <v>0</v>
      </c>
      <c r="H116" s="306">
        <v>0</v>
      </c>
      <c r="I116" s="307">
        <v>0</v>
      </c>
      <c r="J116" s="1046"/>
      <c r="K116" s="306">
        <f t="shared" si="43"/>
        <v>0</v>
      </c>
      <c r="L116" s="307">
        <f t="shared" si="44"/>
        <v>0</v>
      </c>
      <c r="M116" s="1047">
        <f t="shared" si="45"/>
        <v>0</v>
      </c>
      <c r="N116" s="306">
        <f t="shared" si="46"/>
        <v>0</v>
      </c>
      <c r="O116" s="307">
        <f t="shared" si="47"/>
        <v>0</v>
      </c>
      <c r="P116" s="1047">
        <f t="shared" si="48"/>
        <v>1</v>
      </c>
      <c r="Q116" s="306">
        <f t="shared" si="52"/>
        <v>34.5</v>
      </c>
      <c r="R116" s="307">
        <f t="shared" si="49"/>
        <v>1</v>
      </c>
      <c r="S116" s="314" t="str">
        <f t="shared" si="53"/>
        <v>ok</v>
      </c>
      <c r="T116" s="306"/>
      <c r="U116" s="314"/>
      <c r="V116" s="314"/>
      <c r="W116" s="314"/>
      <c r="X116" s="306"/>
    </row>
    <row r="117" spans="1:24" s="316" customFormat="1" ht="16.5" customHeight="1">
      <c r="A117" s="1101" t="s">
        <v>1275</v>
      </c>
      <c r="B117" s="1101" t="s">
        <v>1768</v>
      </c>
      <c r="C117" s="1104" t="s">
        <v>2147</v>
      </c>
      <c r="D117" s="1105">
        <v>404.15</v>
      </c>
      <c r="E117" s="1106">
        <v>150.84</v>
      </c>
      <c r="F117" s="841">
        <f t="shared" si="51"/>
        <v>60961.985999999997</v>
      </c>
      <c r="G117" s="1049">
        <v>0</v>
      </c>
      <c r="H117" s="306">
        <v>0</v>
      </c>
      <c r="I117" s="307">
        <v>0</v>
      </c>
      <c r="J117" s="1046"/>
      <c r="K117" s="306">
        <f t="shared" si="43"/>
        <v>0</v>
      </c>
      <c r="L117" s="307">
        <f t="shared" si="44"/>
        <v>0</v>
      </c>
      <c r="M117" s="1047">
        <f t="shared" si="45"/>
        <v>0</v>
      </c>
      <c r="N117" s="306">
        <f t="shared" si="46"/>
        <v>0</v>
      </c>
      <c r="O117" s="307">
        <f t="shared" si="47"/>
        <v>0</v>
      </c>
      <c r="P117" s="1047">
        <f t="shared" si="48"/>
        <v>404.15</v>
      </c>
      <c r="Q117" s="306">
        <f t="shared" si="52"/>
        <v>60961.985999999997</v>
      </c>
      <c r="R117" s="307">
        <f t="shared" si="49"/>
        <v>1</v>
      </c>
      <c r="S117" s="314" t="str">
        <f t="shared" si="53"/>
        <v>ok</v>
      </c>
      <c r="T117" s="306"/>
      <c r="U117" s="314"/>
      <c r="V117" s="314"/>
      <c r="W117" s="314"/>
      <c r="X117" s="306"/>
    </row>
    <row r="118" spans="1:24" s="316" customFormat="1" ht="16.5" customHeight="1">
      <c r="A118" s="1101" t="s">
        <v>1276</v>
      </c>
      <c r="B118" s="1101" t="s">
        <v>1769</v>
      </c>
      <c r="C118" s="1104" t="s">
        <v>2147</v>
      </c>
      <c r="D118" s="1105">
        <v>99.01</v>
      </c>
      <c r="E118" s="1106">
        <v>86.22</v>
      </c>
      <c r="F118" s="841">
        <f t="shared" si="51"/>
        <v>8536.6422000000002</v>
      </c>
      <c r="G118" s="1049">
        <v>0</v>
      </c>
      <c r="H118" s="306">
        <v>0</v>
      </c>
      <c r="I118" s="307">
        <v>0</v>
      </c>
      <c r="J118" s="1046"/>
      <c r="K118" s="306">
        <f t="shared" ref="K118:K171" si="54">J118*E118</f>
        <v>0</v>
      </c>
      <c r="L118" s="307">
        <f t="shared" ref="L118:L171" si="55">K118/F118</f>
        <v>0</v>
      </c>
      <c r="M118" s="1047">
        <f t="shared" ref="M118:M171" si="56">G118+J118</f>
        <v>0</v>
      </c>
      <c r="N118" s="306">
        <f t="shared" ref="N118:N171" si="57">M118*E118</f>
        <v>0</v>
      </c>
      <c r="O118" s="307">
        <f t="shared" ref="O118:O171" si="58">N118/F118</f>
        <v>0</v>
      </c>
      <c r="P118" s="1047">
        <f t="shared" ref="P118:P171" si="59">D118-M118</f>
        <v>99.01</v>
      </c>
      <c r="Q118" s="306">
        <f t="shared" si="52"/>
        <v>8536.6422000000002</v>
      </c>
      <c r="R118" s="307">
        <f t="shared" ref="R118:R171" si="60">Q118/F118</f>
        <v>1</v>
      </c>
      <c r="S118" s="314" t="str">
        <f t="shared" si="53"/>
        <v>ok</v>
      </c>
      <c r="T118" s="306"/>
      <c r="U118" s="314"/>
      <c r="V118" s="314"/>
      <c r="W118" s="314"/>
      <c r="X118" s="306"/>
    </row>
    <row r="119" spans="1:24" s="316" customFormat="1" ht="16.5" customHeight="1">
      <c r="A119" s="1101" t="s">
        <v>1277</v>
      </c>
      <c r="B119" s="1101" t="s">
        <v>1770</v>
      </c>
      <c r="C119" s="1104" t="s">
        <v>2148</v>
      </c>
      <c r="D119" s="1105">
        <v>6.32</v>
      </c>
      <c r="E119" s="1106">
        <v>212.09</v>
      </c>
      <c r="F119" s="841">
        <f t="shared" si="51"/>
        <v>1340.4088000000002</v>
      </c>
      <c r="G119" s="1049">
        <v>0</v>
      </c>
      <c r="H119" s="306">
        <v>0</v>
      </c>
      <c r="I119" s="307">
        <v>0</v>
      </c>
      <c r="J119" s="1046"/>
      <c r="K119" s="306">
        <f t="shared" si="54"/>
        <v>0</v>
      </c>
      <c r="L119" s="307">
        <f t="shared" si="55"/>
        <v>0</v>
      </c>
      <c r="M119" s="1047">
        <f t="shared" si="56"/>
        <v>0</v>
      </c>
      <c r="N119" s="306">
        <f t="shared" si="57"/>
        <v>0</v>
      </c>
      <c r="O119" s="307">
        <f t="shared" si="58"/>
        <v>0</v>
      </c>
      <c r="P119" s="1047">
        <f t="shared" si="59"/>
        <v>6.32</v>
      </c>
      <c r="Q119" s="306">
        <f t="shared" si="52"/>
        <v>1340.4088000000002</v>
      </c>
      <c r="R119" s="307">
        <f t="shared" si="60"/>
        <v>1</v>
      </c>
      <c r="S119" s="314" t="str">
        <f t="shared" si="53"/>
        <v>ok</v>
      </c>
      <c r="T119" s="306"/>
      <c r="U119" s="314"/>
      <c r="V119" s="314"/>
      <c r="W119" s="314"/>
      <c r="X119" s="306"/>
    </row>
    <row r="120" spans="1:24" s="316" customFormat="1" ht="16.5" customHeight="1">
      <c r="A120" s="1101">
        <v>3.7</v>
      </c>
      <c r="B120" s="1102" t="s">
        <v>1771</v>
      </c>
      <c r="C120" s="1108"/>
      <c r="D120" s="1105"/>
      <c r="E120" s="1109"/>
      <c r="F120" s="841"/>
      <c r="G120" s="1049"/>
      <c r="H120" s="306"/>
      <c r="I120" s="307"/>
      <c r="J120" s="1046"/>
      <c r="K120" s="306"/>
      <c r="L120" s="307"/>
      <c r="M120" s="1047"/>
      <c r="N120" s="306"/>
      <c r="O120" s="307"/>
      <c r="P120" s="1047"/>
      <c r="Q120" s="306">
        <f t="shared" si="52"/>
        <v>0</v>
      </c>
      <c r="R120" s="307"/>
      <c r="S120" s="314" t="str">
        <f t="shared" si="53"/>
        <v>ok</v>
      </c>
      <c r="T120" s="306"/>
      <c r="U120" s="314"/>
      <c r="V120" s="314"/>
      <c r="W120" s="314"/>
      <c r="X120" s="306"/>
    </row>
    <row r="121" spans="1:24" s="316" customFormat="1" ht="16.5" customHeight="1">
      <c r="A121" s="1101" t="s">
        <v>1278</v>
      </c>
      <c r="B121" s="1101" t="s">
        <v>1772</v>
      </c>
      <c r="C121" s="1104" t="s">
        <v>2147</v>
      </c>
      <c r="D121" s="1105">
        <v>323.75</v>
      </c>
      <c r="E121" s="1106">
        <v>357.01</v>
      </c>
      <c r="F121" s="841">
        <f t="shared" si="51"/>
        <v>115581.9875</v>
      </c>
      <c r="G121" s="1049">
        <v>224.65</v>
      </c>
      <c r="H121" s="306">
        <v>80202.296499999997</v>
      </c>
      <c r="I121" s="307">
        <v>0.69389961389961385</v>
      </c>
      <c r="J121" s="1046"/>
      <c r="K121" s="306">
        <f t="shared" si="54"/>
        <v>0</v>
      </c>
      <c r="L121" s="307">
        <f t="shared" si="55"/>
        <v>0</v>
      </c>
      <c r="M121" s="1047">
        <f t="shared" si="56"/>
        <v>224.65</v>
      </c>
      <c r="N121" s="306">
        <f t="shared" si="57"/>
        <v>80202.296499999997</v>
      </c>
      <c r="O121" s="307">
        <f t="shared" si="58"/>
        <v>0.69389961389961385</v>
      </c>
      <c r="P121" s="1047">
        <f t="shared" si="59"/>
        <v>99.1</v>
      </c>
      <c r="Q121" s="306">
        <f t="shared" si="52"/>
        <v>35379.691000000006</v>
      </c>
      <c r="R121" s="307">
        <f t="shared" si="60"/>
        <v>0.30610038610038615</v>
      </c>
      <c r="S121" s="314" t="str">
        <f t="shared" si="53"/>
        <v>ok</v>
      </c>
      <c r="T121" s="306"/>
      <c r="U121" s="314"/>
      <c r="V121" s="314"/>
      <c r="W121" s="314"/>
      <c r="X121" s="306"/>
    </row>
    <row r="122" spans="1:24" s="316" customFormat="1" ht="16.5" customHeight="1">
      <c r="A122" s="1101" t="s">
        <v>1279</v>
      </c>
      <c r="B122" s="1101" t="s">
        <v>1773</v>
      </c>
      <c r="C122" s="1104" t="s">
        <v>52</v>
      </c>
      <c r="D122" s="1105">
        <v>1</v>
      </c>
      <c r="E122" s="1106">
        <v>1500</v>
      </c>
      <c r="F122" s="841">
        <f t="shared" si="51"/>
        <v>1500</v>
      </c>
      <c r="G122" s="1049">
        <v>0</v>
      </c>
      <c r="H122" s="306">
        <v>0</v>
      </c>
      <c r="I122" s="307">
        <v>0</v>
      </c>
      <c r="J122" s="1046"/>
      <c r="K122" s="306">
        <f t="shared" si="54"/>
        <v>0</v>
      </c>
      <c r="L122" s="307">
        <f t="shared" si="55"/>
        <v>0</v>
      </c>
      <c r="M122" s="1047">
        <f t="shared" si="56"/>
        <v>0</v>
      </c>
      <c r="N122" s="306">
        <f t="shared" si="57"/>
        <v>0</v>
      </c>
      <c r="O122" s="307">
        <f t="shared" si="58"/>
        <v>0</v>
      </c>
      <c r="P122" s="1047">
        <f t="shared" si="59"/>
        <v>1</v>
      </c>
      <c r="Q122" s="306">
        <f t="shared" si="52"/>
        <v>1500</v>
      </c>
      <c r="R122" s="307">
        <f t="shared" si="60"/>
        <v>1</v>
      </c>
      <c r="S122" s="314" t="str">
        <f t="shared" si="53"/>
        <v>ok</v>
      </c>
      <c r="T122" s="306"/>
      <c r="U122" s="314"/>
      <c r="V122" s="314"/>
      <c r="W122" s="314"/>
      <c r="X122" s="306"/>
    </row>
    <row r="123" spans="1:24" s="316" customFormat="1" ht="16.5" customHeight="1">
      <c r="A123" s="1101">
        <v>3.8</v>
      </c>
      <c r="B123" s="1102" t="s">
        <v>1774</v>
      </c>
      <c r="C123" s="1108"/>
      <c r="D123" s="1105"/>
      <c r="E123" s="1109"/>
      <c r="F123" s="841"/>
      <c r="G123" s="1049"/>
      <c r="H123" s="306"/>
      <c r="I123" s="307"/>
      <c r="J123" s="1046"/>
      <c r="K123" s="306"/>
      <c r="L123" s="307"/>
      <c r="M123" s="1047"/>
      <c r="N123" s="306"/>
      <c r="O123" s="307"/>
      <c r="P123" s="1047"/>
      <c r="Q123" s="306">
        <f t="shared" si="52"/>
        <v>0</v>
      </c>
      <c r="R123" s="307"/>
      <c r="S123" s="314" t="str">
        <f t="shared" si="53"/>
        <v>ok</v>
      </c>
      <c r="T123" s="306"/>
      <c r="U123" s="314"/>
      <c r="V123" s="314"/>
      <c r="W123" s="314"/>
      <c r="X123" s="306"/>
    </row>
    <row r="124" spans="1:24" s="316" customFormat="1" ht="16.5" customHeight="1">
      <c r="A124" s="1101" t="s">
        <v>1280</v>
      </c>
      <c r="B124" s="1101" t="s">
        <v>1775</v>
      </c>
      <c r="C124" s="1104" t="s">
        <v>51</v>
      </c>
      <c r="D124" s="1105">
        <v>3420.74</v>
      </c>
      <c r="E124" s="1106">
        <v>12.5</v>
      </c>
      <c r="F124" s="841">
        <f t="shared" si="51"/>
        <v>42759.25</v>
      </c>
      <c r="G124" s="1049">
        <v>0</v>
      </c>
      <c r="H124" s="306">
        <v>0</v>
      </c>
      <c r="I124" s="307">
        <v>0</v>
      </c>
      <c r="J124" s="1046"/>
      <c r="K124" s="306">
        <f t="shared" si="54"/>
        <v>0</v>
      </c>
      <c r="L124" s="307">
        <f t="shared" si="55"/>
        <v>0</v>
      </c>
      <c r="M124" s="1047">
        <f t="shared" si="56"/>
        <v>0</v>
      </c>
      <c r="N124" s="306">
        <f t="shared" si="57"/>
        <v>0</v>
      </c>
      <c r="O124" s="307">
        <f t="shared" si="58"/>
        <v>0</v>
      </c>
      <c r="P124" s="1047">
        <f t="shared" si="59"/>
        <v>3420.74</v>
      </c>
      <c r="Q124" s="306">
        <f t="shared" si="52"/>
        <v>42759.25</v>
      </c>
      <c r="R124" s="307">
        <f t="shared" si="60"/>
        <v>1</v>
      </c>
      <c r="S124" s="314" t="str">
        <f t="shared" si="53"/>
        <v>ok</v>
      </c>
      <c r="T124" s="306"/>
      <c r="U124" s="314"/>
      <c r="V124" s="314"/>
      <c r="W124" s="314"/>
      <c r="X124" s="306"/>
    </row>
    <row r="125" spans="1:24" s="316" customFormat="1" ht="16.5" customHeight="1">
      <c r="A125" s="1101">
        <v>3.9</v>
      </c>
      <c r="B125" s="1102" t="s">
        <v>1776</v>
      </c>
      <c r="C125" s="1108"/>
      <c r="D125" s="1105"/>
      <c r="E125" s="1109"/>
      <c r="F125" s="841"/>
      <c r="G125" s="1049"/>
      <c r="H125" s="306"/>
      <c r="I125" s="307"/>
      <c r="J125" s="1046"/>
      <c r="K125" s="306"/>
      <c r="L125" s="307"/>
      <c r="M125" s="1047"/>
      <c r="N125" s="306"/>
      <c r="O125" s="307"/>
      <c r="P125" s="1047"/>
      <c r="Q125" s="306">
        <f t="shared" si="52"/>
        <v>0</v>
      </c>
      <c r="R125" s="307"/>
      <c r="S125" s="314" t="str">
        <f t="shared" si="53"/>
        <v>ok</v>
      </c>
      <c r="T125" s="306"/>
      <c r="U125" s="314"/>
      <c r="V125" s="314"/>
      <c r="W125" s="314"/>
      <c r="X125" s="306"/>
    </row>
    <row r="126" spans="1:24" s="316" customFormat="1" ht="16.5" customHeight="1">
      <c r="A126" s="1101" t="s">
        <v>1281</v>
      </c>
      <c r="B126" s="1101" t="s">
        <v>1777</v>
      </c>
      <c r="C126" s="1104" t="s">
        <v>2147</v>
      </c>
      <c r="D126" s="1105">
        <v>1244.94</v>
      </c>
      <c r="E126" s="1106">
        <v>60.35</v>
      </c>
      <c r="F126" s="841">
        <f t="shared" si="51"/>
        <v>75132.129000000001</v>
      </c>
      <c r="G126" s="1049">
        <v>0</v>
      </c>
      <c r="H126" s="306">
        <v>0</v>
      </c>
      <c r="I126" s="307">
        <v>0</v>
      </c>
      <c r="J126" s="1046"/>
      <c r="K126" s="306">
        <f t="shared" si="54"/>
        <v>0</v>
      </c>
      <c r="L126" s="307">
        <f t="shared" si="55"/>
        <v>0</v>
      </c>
      <c r="M126" s="1047">
        <f t="shared" si="56"/>
        <v>0</v>
      </c>
      <c r="N126" s="306">
        <f t="shared" si="57"/>
        <v>0</v>
      </c>
      <c r="O126" s="307">
        <f t="shared" si="58"/>
        <v>0</v>
      </c>
      <c r="P126" s="1047">
        <f t="shared" si="59"/>
        <v>1244.94</v>
      </c>
      <c r="Q126" s="306">
        <f t="shared" si="52"/>
        <v>75132.129000000001</v>
      </c>
      <c r="R126" s="307">
        <f t="shared" si="60"/>
        <v>1</v>
      </c>
      <c r="S126" s="314" t="str">
        <f t="shared" si="53"/>
        <v>ok</v>
      </c>
      <c r="T126" s="306"/>
      <c r="U126" s="314"/>
      <c r="V126" s="314"/>
      <c r="W126" s="314"/>
      <c r="X126" s="306"/>
    </row>
    <row r="127" spans="1:24" s="316" customFormat="1" ht="16.5" customHeight="1">
      <c r="A127" s="1101">
        <v>3.1</v>
      </c>
      <c r="B127" s="1102" t="s">
        <v>1778</v>
      </c>
      <c r="C127" s="1108"/>
      <c r="D127" s="1105"/>
      <c r="E127" s="1109"/>
      <c r="F127" s="841"/>
      <c r="G127" s="1049"/>
      <c r="H127" s="306"/>
      <c r="I127" s="307"/>
      <c r="J127" s="1046"/>
      <c r="K127" s="306"/>
      <c r="L127" s="307"/>
      <c r="M127" s="1047"/>
      <c r="N127" s="306"/>
      <c r="O127" s="307"/>
      <c r="P127" s="1047"/>
      <c r="Q127" s="306">
        <f t="shared" si="52"/>
        <v>0</v>
      </c>
      <c r="R127" s="307"/>
      <c r="S127" s="314" t="str">
        <f t="shared" si="53"/>
        <v>ok</v>
      </c>
      <c r="T127" s="306"/>
      <c r="U127" s="314"/>
      <c r="V127" s="314"/>
      <c r="W127" s="314"/>
      <c r="X127" s="306"/>
    </row>
    <row r="128" spans="1:24" s="316" customFormat="1" ht="16.5" customHeight="1">
      <c r="A128" s="1101" t="s">
        <v>1282</v>
      </c>
      <c r="B128" s="1101" t="s">
        <v>1779</v>
      </c>
      <c r="C128" s="1104" t="s">
        <v>2147</v>
      </c>
      <c r="D128" s="1105">
        <v>1817.42</v>
      </c>
      <c r="E128" s="1106">
        <v>10.91</v>
      </c>
      <c r="F128" s="841">
        <f t="shared" si="51"/>
        <v>19828.052200000002</v>
      </c>
      <c r="G128" s="1049">
        <v>0</v>
      </c>
      <c r="H128" s="306">
        <v>0</v>
      </c>
      <c r="I128" s="307">
        <v>0</v>
      </c>
      <c r="J128" s="1046"/>
      <c r="K128" s="306">
        <f t="shared" si="54"/>
        <v>0</v>
      </c>
      <c r="L128" s="307">
        <f t="shared" si="55"/>
        <v>0</v>
      </c>
      <c r="M128" s="1047">
        <f t="shared" si="56"/>
        <v>0</v>
      </c>
      <c r="N128" s="306">
        <f t="shared" si="57"/>
        <v>0</v>
      </c>
      <c r="O128" s="307">
        <f t="shared" si="58"/>
        <v>0</v>
      </c>
      <c r="P128" s="1047">
        <f t="shared" si="59"/>
        <v>1817.42</v>
      </c>
      <c r="Q128" s="306">
        <f t="shared" si="52"/>
        <v>19828.052200000002</v>
      </c>
      <c r="R128" s="307">
        <f t="shared" si="60"/>
        <v>1</v>
      </c>
      <c r="S128" s="314" t="str">
        <f t="shared" si="53"/>
        <v>ok</v>
      </c>
      <c r="T128" s="306"/>
      <c r="U128" s="314"/>
      <c r="V128" s="314"/>
      <c r="W128" s="314"/>
      <c r="X128" s="306"/>
    </row>
    <row r="129" spans="1:24" s="316" customFormat="1" ht="16.5" customHeight="1">
      <c r="A129" s="1101" t="s">
        <v>1283</v>
      </c>
      <c r="B129" s="1101" t="s">
        <v>1780</v>
      </c>
      <c r="C129" s="1104" t="s">
        <v>2147</v>
      </c>
      <c r="D129" s="1105">
        <v>9049.7000000000007</v>
      </c>
      <c r="E129" s="1106">
        <v>9.8800000000000008</v>
      </c>
      <c r="F129" s="841">
        <f t="shared" si="51"/>
        <v>89411.036000000007</v>
      </c>
      <c r="G129" s="1049">
        <v>0</v>
      </c>
      <c r="H129" s="306">
        <v>0</v>
      </c>
      <c r="I129" s="307">
        <v>0</v>
      </c>
      <c r="J129" s="1046"/>
      <c r="K129" s="306">
        <f t="shared" si="54"/>
        <v>0</v>
      </c>
      <c r="L129" s="307">
        <f t="shared" si="55"/>
        <v>0</v>
      </c>
      <c r="M129" s="1047">
        <f t="shared" si="56"/>
        <v>0</v>
      </c>
      <c r="N129" s="306">
        <f t="shared" si="57"/>
        <v>0</v>
      </c>
      <c r="O129" s="307">
        <f t="shared" si="58"/>
        <v>0</v>
      </c>
      <c r="P129" s="1047">
        <f t="shared" si="59"/>
        <v>9049.7000000000007</v>
      </c>
      <c r="Q129" s="306">
        <f t="shared" si="52"/>
        <v>89411.036000000007</v>
      </c>
      <c r="R129" s="307">
        <f t="shared" si="60"/>
        <v>1</v>
      </c>
      <c r="S129" s="314" t="str">
        <f t="shared" si="53"/>
        <v>ok</v>
      </c>
      <c r="T129" s="306"/>
      <c r="U129" s="314"/>
      <c r="V129" s="314"/>
      <c r="W129" s="314"/>
      <c r="X129" s="306"/>
    </row>
    <row r="130" spans="1:24" s="316" customFormat="1" ht="16.5" customHeight="1">
      <c r="A130" s="1101" t="s">
        <v>1284</v>
      </c>
      <c r="B130" s="1101" t="s">
        <v>1781</v>
      </c>
      <c r="C130" s="1104" t="s">
        <v>51</v>
      </c>
      <c r="D130" s="1105">
        <v>842.7</v>
      </c>
      <c r="E130" s="1106">
        <v>3.45</v>
      </c>
      <c r="F130" s="841">
        <f t="shared" si="51"/>
        <v>2907.3150000000005</v>
      </c>
      <c r="G130" s="1049">
        <v>0</v>
      </c>
      <c r="H130" s="306">
        <v>0</v>
      </c>
      <c r="I130" s="307">
        <v>0</v>
      </c>
      <c r="J130" s="1046"/>
      <c r="K130" s="306">
        <f t="shared" si="54"/>
        <v>0</v>
      </c>
      <c r="L130" s="307">
        <f t="shared" si="55"/>
        <v>0</v>
      </c>
      <c r="M130" s="1047">
        <f t="shared" si="56"/>
        <v>0</v>
      </c>
      <c r="N130" s="306">
        <f t="shared" si="57"/>
        <v>0</v>
      </c>
      <c r="O130" s="307">
        <f t="shared" si="58"/>
        <v>0</v>
      </c>
      <c r="P130" s="1047">
        <f t="shared" si="59"/>
        <v>842.7</v>
      </c>
      <c r="Q130" s="306">
        <f t="shared" si="52"/>
        <v>2907.3150000000005</v>
      </c>
      <c r="R130" s="307">
        <f t="shared" si="60"/>
        <v>1</v>
      </c>
      <c r="S130" s="314" t="str">
        <f t="shared" si="53"/>
        <v>ok</v>
      </c>
      <c r="T130" s="306"/>
      <c r="U130" s="314"/>
      <c r="V130" s="314"/>
      <c r="W130" s="314"/>
      <c r="X130" s="306"/>
    </row>
    <row r="131" spans="1:24" s="316" customFormat="1" ht="16.5" customHeight="1">
      <c r="A131" s="1101" t="s">
        <v>1285</v>
      </c>
      <c r="B131" s="1101" t="s">
        <v>1782</v>
      </c>
      <c r="C131" s="1104" t="s">
        <v>2147</v>
      </c>
      <c r="D131" s="1105">
        <v>561.44000000000005</v>
      </c>
      <c r="E131" s="1106">
        <v>22.13</v>
      </c>
      <c r="F131" s="841">
        <f t="shared" si="51"/>
        <v>12424.6672</v>
      </c>
      <c r="G131" s="1049">
        <v>0</v>
      </c>
      <c r="H131" s="306">
        <v>0</v>
      </c>
      <c r="I131" s="307">
        <v>0</v>
      </c>
      <c r="J131" s="1046"/>
      <c r="K131" s="306">
        <f t="shared" si="54"/>
        <v>0</v>
      </c>
      <c r="L131" s="307">
        <f t="shared" si="55"/>
        <v>0</v>
      </c>
      <c r="M131" s="1047">
        <f t="shared" si="56"/>
        <v>0</v>
      </c>
      <c r="N131" s="306">
        <f t="shared" si="57"/>
        <v>0</v>
      </c>
      <c r="O131" s="307">
        <f t="shared" si="58"/>
        <v>0</v>
      </c>
      <c r="P131" s="1047">
        <f t="shared" si="59"/>
        <v>561.44000000000005</v>
      </c>
      <c r="Q131" s="306">
        <f t="shared" si="52"/>
        <v>12424.6672</v>
      </c>
      <c r="R131" s="307">
        <f t="shared" si="60"/>
        <v>1</v>
      </c>
      <c r="S131" s="314" t="str">
        <f t="shared" si="53"/>
        <v>ok</v>
      </c>
      <c r="T131" s="306"/>
      <c r="U131" s="314"/>
      <c r="V131" s="314"/>
      <c r="W131" s="314"/>
      <c r="X131" s="306"/>
    </row>
    <row r="132" spans="1:24" s="316" customFormat="1" ht="16.5" customHeight="1">
      <c r="A132" s="1101" t="s">
        <v>1286</v>
      </c>
      <c r="B132" s="1101" t="s">
        <v>1783</v>
      </c>
      <c r="C132" s="1104" t="s">
        <v>2147</v>
      </c>
      <c r="D132" s="1105">
        <v>515.04999999999995</v>
      </c>
      <c r="E132" s="1106">
        <v>13.38</v>
      </c>
      <c r="F132" s="841">
        <f t="shared" si="51"/>
        <v>6891.3689999999997</v>
      </c>
      <c r="G132" s="1049">
        <v>0</v>
      </c>
      <c r="H132" s="306">
        <v>0</v>
      </c>
      <c r="I132" s="307">
        <v>0</v>
      </c>
      <c r="J132" s="1046"/>
      <c r="K132" s="306">
        <f t="shared" si="54"/>
        <v>0</v>
      </c>
      <c r="L132" s="307">
        <f t="shared" si="55"/>
        <v>0</v>
      </c>
      <c r="M132" s="1047">
        <f t="shared" si="56"/>
        <v>0</v>
      </c>
      <c r="N132" s="306">
        <f t="shared" si="57"/>
        <v>0</v>
      </c>
      <c r="O132" s="307">
        <f t="shared" si="58"/>
        <v>0</v>
      </c>
      <c r="P132" s="1047">
        <f t="shared" si="59"/>
        <v>515.04999999999995</v>
      </c>
      <c r="Q132" s="306">
        <f t="shared" si="52"/>
        <v>6891.3689999999997</v>
      </c>
      <c r="R132" s="307">
        <f t="shared" si="60"/>
        <v>1</v>
      </c>
      <c r="S132" s="314" t="str">
        <f t="shared" si="53"/>
        <v>ok</v>
      </c>
      <c r="T132" s="306"/>
      <c r="U132" s="314"/>
      <c r="V132" s="314"/>
      <c r="W132" s="314"/>
      <c r="X132" s="306"/>
    </row>
    <row r="133" spans="1:24" s="316" customFormat="1" ht="16.5" customHeight="1">
      <c r="A133" s="1101">
        <v>4</v>
      </c>
      <c r="B133" s="1110" t="s">
        <v>1784</v>
      </c>
      <c r="C133" s="1111"/>
      <c r="D133" s="1105"/>
      <c r="E133" s="1111"/>
      <c r="F133" s="841"/>
      <c r="G133" s="1049"/>
      <c r="H133" s="306"/>
      <c r="I133" s="307"/>
      <c r="J133" s="1046"/>
      <c r="K133" s="306"/>
      <c r="L133" s="307"/>
      <c r="M133" s="1047"/>
      <c r="N133" s="306"/>
      <c r="O133" s="307"/>
      <c r="P133" s="1047"/>
      <c r="Q133" s="306">
        <f t="shared" si="52"/>
        <v>0</v>
      </c>
      <c r="R133" s="307"/>
      <c r="S133" s="314" t="str">
        <f t="shared" si="53"/>
        <v>ok</v>
      </c>
      <c r="T133" s="306"/>
      <c r="U133" s="314"/>
      <c r="V133" s="314"/>
      <c r="W133" s="314"/>
      <c r="X133" s="306"/>
    </row>
    <row r="134" spans="1:24" s="316" customFormat="1" ht="16.5" customHeight="1">
      <c r="A134" s="1101">
        <v>4.0999999999999996</v>
      </c>
      <c r="B134" s="1102" t="s">
        <v>1785</v>
      </c>
      <c r="C134" s="1108"/>
      <c r="D134" s="1105"/>
      <c r="E134" s="1109"/>
      <c r="F134" s="841"/>
      <c r="G134" s="1049"/>
      <c r="H134" s="306"/>
      <c r="I134" s="307"/>
      <c r="J134" s="1046"/>
      <c r="K134" s="306"/>
      <c r="L134" s="307"/>
      <c r="M134" s="1047"/>
      <c r="N134" s="306"/>
      <c r="O134" s="307"/>
      <c r="P134" s="1047"/>
      <c r="Q134" s="306">
        <f t="shared" si="52"/>
        <v>0</v>
      </c>
      <c r="R134" s="307"/>
      <c r="S134" s="314" t="str">
        <f t="shared" si="53"/>
        <v>ok</v>
      </c>
      <c r="T134" s="306"/>
      <c r="U134" s="314"/>
      <c r="V134" s="314"/>
      <c r="W134" s="314"/>
      <c r="X134" s="306"/>
    </row>
    <row r="135" spans="1:24" s="316" customFormat="1" ht="16.5" customHeight="1">
      <c r="A135" s="1101" t="s">
        <v>1287</v>
      </c>
      <c r="B135" s="1103" t="s">
        <v>1785</v>
      </c>
      <c r="C135" s="1103"/>
      <c r="D135" s="1105"/>
      <c r="E135" s="1107"/>
      <c r="F135" s="841"/>
      <c r="G135" s="1049"/>
      <c r="H135" s="306"/>
      <c r="I135" s="307"/>
      <c r="J135" s="1046"/>
      <c r="K135" s="306"/>
      <c r="L135" s="307"/>
      <c r="M135" s="1047"/>
      <c r="N135" s="306"/>
      <c r="O135" s="307"/>
      <c r="P135" s="1047"/>
      <c r="Q135" s="306">
        <f t="shared" si="52"/>
        <v>0</v>
      </c>
      <c r="R135" s="307"/>
      <c r="S135" s="314" t="str">
        <f t="shared" si="53"/>
        <v>ok</v>
      </c>
      <c r="T135" s="306"/>
      <c r="U135" s="314"/>
      <c r="V135" s="314"/>
      <c r="W135" s="314"/>
      <c r="X135" s="306"/>
    </row>
    <row r="136" spans="1:24" s="316" customFormat="1" ht="16.5" customHeight="1">
      <c r="A136" s="1101" t="s">
        <v>1288</v>
      </c>
      <c r="B136" s="1101" t="s">
        <v>1786</v>
      </c>
      <c r="C136" s="1104" t="s">
        <v>2148</v>
      </c>
      <c r="D136" s="1105">
        <v>64.03</v>
      </c>
      <c r="E136" s="1106">
        <v>31.93</v>
      </c>
      <c r="F136" s="841">
        <f t="shared" si="51"/>
        <v>2044.4779000000001</v>
      </c>
      <c r="G136" s="1049">
        <v>64.027999999999992</v>
      </c>
      <c r="H136" s="306">
        <v>2044.4140399999997</v>
      </c>
      <c r="I136" s="307">
        <v>0.99996876464157403</v>
      </c>
      <c r="J136" s="1046"/>
      <c r="K136" s="306">
        <f t="shared" si="54"/>
        <v>0</v>
      </c>
      <c r="L136" s="307">
        <f t="shared" si="55"/>
        <v>0</v>
      </c>
      <c r="M136" s="1047">
        <f t="shared" si="56"/>
        <v>64.027999999999992</v>
      </c>
      <c r="N136" s="306">
        <f t="shared" si="57"/>
        <v>2044.4140399999997</v>
      </c>
      <c r="O136" s="307">
        <f t="shared" si="58"/>
        <v>0.99996876464157403</v>
      </c>
      <c r="P136" s="1047">
        <f t="shared" si="59"/>
        <v>2.0000000000095497E-3</v>
      </c>
      <c r="Q136" s="306">
        <f t="shared" si="52"/>
        <v>6.3860000000431683E-2</v>
      </c>
      <c r="R136" s="307">
        <f t="shared" si="60"/>
        <v>3.1235358425949079E-5</v>
      </c>
      <c r="S136" s="314" t="str">
        <f t="shared" si="53"/>
        <v>ok</v>
      </c>
      <c r="T136" s="306"/>
      <c r="U136" s="314"/>
      <c r="V136" s="314"/>
      <c r="W136" s="314"/>
      <c r="X136" s="306"/>
    </row>
    <row r="137" spans="1:24" s="316" customFormat="1" ht="16.5" customHeight="1">
      <c r="A137" s="1101" t="s">
        <v>1289</v>
      </c>
      <c r="B137" s="1101" t="s">
        <v>1787</v>
      </c>
      <c r="C137" s="1104" t="s">
        <v>2147</v>
      </c>
      <c r="D137" s="1105">
        <v>86.96</v>
      </c>
      <c r="E137" s="1106">
        <v>2.3199999999999998</v>
      </c>
      <c r="F137" s="841">
        <f t="shared" si="51"/>
        <v>201.74719999999996</v>
      </c>
      <c r="G137" s="1049">
        <v>86.960000000000008</v>
      </c>
      <c r="H137" s="306">
        <v>201.74719999999999</v>
      </c>
      <c r="I137" s="307">
        <v>1.0000000000000002</v>
      </c>
      <c r="J137" s="1046"/>
      <c r="K137" s="306">
        <f t="shared" si="54"/>
        <v>0</v>
      </c>
      <c r="L137" s="307">
        <f t="shared" si="55"/>
        <v>0</v>
      </c>
      <c r="M137" s="1047">
        <f t="shared" si="56"/>
        <v>86.960000000000008</v>
      </c>
      <c r="N137" s="306">
        <f t="shared" si="57"/>
        <v>201.74719999999999</v>
      </c>
      <c r="O137" s="307">
        <f t="shared" si="58"/>
        <v>1.0000000000000002</v>
      </c>
      <c r="P137" s="1047">
        <f t="shared" si="59"/>
        <v>0</v>
      </c>
      <c r="Q137" s="306">
        <f t="shared" si="52"/>
        <v>0</v>
      </c>
      <c r="R137" s="307">
        <f t="shared" si="60"/>
        <v>0</v>
      </c>
      <c r="S137" s="314" t="str">
        <f t="shared" si="53"/>
        <v>ok</v>
      </c>
      <c r="T137" s="306"/>
      <c r="U137" s="314"/>
      <c r="V137" s="314"/>
      <c r="W137" s="314"/>
      <c r="X137" s="306"/>
    </row>
    <row r="138" spans="1:24" s="316" customFormat="1" ht="16.5" customHeight="1">
      <c r="A138" s="1101" t="s">
        <v>1290</v>
      </c>
      <c r="B138" s="1101" t="s">
        <v>1788</v>
      </c>
      <c r="C138" s="1104" t="s">
        <v>2148</v>
      </c>
      <c r="D138" s="1105">
        <v>138.52000000000001</v>
      </c>
      <c r="E138" s="1106">
        <v>123.91</v>
      </c>
      <c r="F138" s="841">
        <f t="shared" si="51"/>
        <v>17164.013200000001</v>
      </c>
      <c r="G138" s="1049">
        <v>8.92</v>
      </c>
      <c r="H138" s="306">
        <v>1105.2772</v>
      </c>
      <c r="I138" s="307">
        <v>6.4395033208200975E-2</v>
      </c>
      <c r="J138" s="1046"/>
      <c r="K138" s="306">
        <f t="shared" si="54"/>
        <v>0</v>
      </c>
      <c r="L138" s="307">
        <f t="shared" si="55"/>
        <v>0</v>
      </c>
      <c r="M138" s="1047">
        <f t="shared" si="56"/>
        <v>8.92</v>
      </c>
      <c r="N138" s="306">
        <f t="shared" si="57"/>
        <v>1105.2772</v>
      </c>
      <c r="O138" s="307">
        <f t="shared" si="58"/>
        <v>6.4395033208200975E-2</v>
      </c>
      <c r="P138" s="1047">
        <f t="shared" si="59"/>
        <v>129.60000000000002</v>
      </c>
      <c r="Q138" s="306">
        <f t="shared" si="52"/>
        <v>16058.736000000001</v>
      </c>
      <c r="R138" s="307">
        <f t="shared" si="60"/>
        <v>0.93560496679179894</v>
      </c>
      <c r="S138" s="314" t="str">
        <f t="shared" si="53"/>
        <v>ok</v>
      </c>
      <c r="T138" s="306"/>
      <c r="U138" s="314"/>
      <c r="V138" s="314"/>
      <c r="W138" s="314"/>
      <c r="X138" s="306"/>
    </row>
    <row r="139" spans="1:24" s="316" customFormat="1" ht="16.5" customHeight="1">
      <c r="A139" s="1101" t="s">
        <v>1291</v>
      </c>
      <c r="B139" s="1101" t="s">
        <v>1789</v>
      </c>
      <c r="C139" s="1104" t="s">
        <v>2148</v>
      </c>
      <c r="D139" s="1105">
        <v>52.18</v>
      </c>
      <c r="E139" s="1106">
        <v>18.38</v>
      </c>
      <c r="F139" s="841">
        <f t="shared" si="51"/>
        <v>959.0684</v>
      </c>
      <c r="G139" s="1049">
        <v>52.177999999999997</v>
      </c>
      <c r="H139" s="306">
        <v>959.03163999999992</v>
      </c>
      <c r="I139" s="307">
        <v>0.99996167113836709</v>
      </c>
      <c r="J139" s="1046"/>
      <c r="K139" s="306">
        <f t="shared" si="54"/>
        <v>0</v>
      </c>
      <c r="L139" s="307">
        <f t="shared" si="55"/>
        <v>0</v>
      </c>
      <c r="M139" s="1047">
        <f t="shared" si="56"/>
        <v>52.177999999999997</v>
      </c>
      <c r="N139" s="306">
        <f t="shared" si="57"/>
        <v>959.03163999999992</v>
      </c>
      <c r="O139" s="307">
        <f t="shared" si="58"/>
        <v>0.99996167113836709</v>
      </c>
      <c r="P139" s="1047">
        <f t="shared" si="59"/>
        <v>2.0000000000024443E-3</v>
      </c>
      <c r="Q139" s="306">
        <f t="shared" si="52"/>
        <v>3.6760000000072068E-2</v>
      </c>
      <c r="R139" s="307">
        <f t="shared" si="60"/>
        <v>3.8328861632884653E-5</v>
      </c>
      <c r="S139" s="314" t="str">
        <f t="shared" si="53"/>
        <v>ok</v>
      </c>
      <c r="T139" s="306"/>
      <c r="U139" s="314"/>
      <c r="V139" s="314"/>
      <c r="W139" s="314"/>
      <c r="X139" s="306"/>
    </row>
    <row r="140" spans="1:24" s="316" customFormat="1" ht="16.5" customHeight="1">
      <c r="A140" s="1101" t="s">
        <v>1292</v>
      </c>
      <c r="B140" s="1101" t="s">
        <v>1790</v>
      </c>
      <c r="C140" s="1104" t="s">
        <v>2148</v>
      </c>
      <c r="D140" s="1105">
        <v>14.81</v>
      </c>
      <c r="E140" s="1106">
        <v>30.3</v>
      </c>
      <c r="F140" s="841">
        <f t="shared" si="51"/>
        <v>448.74300000000005</v>
      </c>
      <c r="G140" s="1049">
        <v>14.81</v>
      </c>
      <c r="H140" s="306">
        <v>448.74300000000005</v>
      </c>
      <c r="I140" s="307">
        <v>1</v>
      </c>
      <c r="J140" s="1046"/>
      <c r="K140" s="306">
        <f t="shared" si="54"/>
        <v>0</v>
      </c>
      <c r="L140" s="307">
        <f t="shared" si="55"/>
        <v>0</v>
      </c>
      <c r="M140" s="1047">
        <f t="shared" si="56"/>
        <v>14.81</v>
      </c>
      <c r="N140" s="306">
        <f t="shared" si="57"/>
        <v>448.74300000000005</v>
      </c>
      <c r="O140" s="307">
        <f t="shared" si="58"/>
        <v>1</v>
      </c>
      <c r="P140" s="1047">
        <f t="shared" si="59"/>
        <v>0</v>
      </c>
      <c r="Q140" s="306">
        <f t="shared" si="52"/>
        <v>0</v>
      </c>
      <c r="R140" s="307">
        <f t="shared" si="60"/>
        <v>0</v>
      </c>
      <c r="S140" s="314" t="str">
        <f t="shared" si="53"/>
        <v>ok</v>
      </c>
      <c r="T140" s="306"/>
      <c r="U140" s="314"/>
      <c r="V140" s="314"/>
      <c r="W140" s="314"/>
      <c r="X140" s="306"/>
    </row>
    <row r="141" spans="1:24" s="316" customFormat="1" ht="16.5" customHeight="1">
      <c r="A141" s="1101">
        <v>4.2</v>
      </c>
      <c r="B141" s="1102" t="s">
        <v>1791</v>
      </c>
      <c r="C141" s="1108"/>
      <c r="D141" s="1105"/>
      <c r="E141" s="1109"/>
      <c r="F141" s="841"/>
      <c r="G141" s="1049"/>
      <c r="H141" s="306"/>
      <c r="I141" s="307"/>
      <c r="J141" s="1046"/>
      <c r="K141" s="306"/>
      <c r="L141" s="307"/>
      <c r="M141" s="1047"/>
      <c r="N141" s="306"/>
      <c r="O141" s="307"/>
      <c r="P141" s="1047"/>
      <c r="Q141" s="306">
        <f t="shared" si="52"/>
        <v>0</v>
      </c>
      <c r="R141" s="307"/>
      <c r="S141" s="314" t="str">
        <f t="shared" si="53"/>
        <v>ok</v>
      </c>
      <c r="T141" s="306"/>
      <c r="U141" s="314"/>
      <c r="V141" s="314"/>
      <c r="W141" s="314"/>
      <c r="X141" s="306"/>
    </row>
    <row r="142" spans="1:24" s="316" customFormat="1" ht="16.5" customHeight="1">
      <c r="A142" s="1101" t="s">
        <v>1293</v>
      </c>
      <c r="B142" s="1103" t="s">
        <v>1792</v>
      </c>
      <c r="C142" s="1103"/>
      <c r="D142" s="1105"/>
      <c r="E142" s="1107"/>
      <c r="F142" s="841"/>
      <c r="G142" s="1049"/>
      <c r="H142" s="306"/>
      <c r="I142" s="307"/>
      <c r="J142" s="1046"/>
      <c r="K142" s="306"/>
      <c r="L142" s="307"/>
      <c r="M142" s="1047"/>
      <c r="N142" s="306"/>
      <c r="O142" s="307"/>
      <c r="P142" s="1047"/>
      <c r="Q142" s="306">
        <f t="shared" si="52"/>
        <v>0</v>
      </c>
      <c r="R142" s="307"/>
      <c r="S142" s="314" t="str">
        <f t="shared" si="53"/>
        <v>ok</v>
      </c>
      <c r="T142" s="306"/>
      <c r="U142" s="314"/>
      <c r="V142" s="314"/>
      <c r="W142" s="314"/>
      <c r="X142" s="306"/>
    </row>
    <row r="143" spans="1:24" s="316" customFormat="1" ht="16.5" customHeight="1">
      <c r="A143" s="1101" t="s">
        <v>1294</v>
      </c>
      <c r="B143" s="1101" t="s">
        <v>1793</v>
      </c>
      <c r="C143" s="1104" t="s">
        <v>1145</v>
      </c>
      <c r="D143" s="1105">
        <v>145</v>
      </c>
      <c r="E143" s="1106">
        <v>95.56</v>
      </c>
      <c r="F143" s="841">
        <f t="shared" si="51"/>
        <v>13856.2</v>
      </c>
      <c r="G143" s="1049">
        <v>70</v>
      </c>
      <c r="H143" s="306">
        <v>6689.2</v>
      </c>
      <c r="I143" s="307">
        <v>0.48275862068965514</v>
      </c>
      <c r="J143" s="1046"/>
      <c r="K143" s="306">
        <f t="shared" si="54"/>
        <v>0</v>
      </c>
      <c r="L143" s="307">
        <f t="shared" si="55"/>
        <v>0</v>
      </c>
      <c r="M143" s="1047">
        <f t="shared" si="56"/>
        <v>70</v>
      </c>
      <c r="N143" s="306">
        <f t="shared" si="57"/>
        <v>6689.2</v>
      </c>
      <c r="O143" s="307">
        <f t="shared" si="58"/>
        <v>0.48275862068965514</v>
      </c>
      <c r="P143" s="1047">
        <f t="shared" si="59"/>
        <v>75</v>
      </c>
      <c r="Q143" s="306">
        <f t="shared" si="52"/>
        <v>7167.0000000000009</v>
      </c>
      <c r="R143" s="307">
        <f t="shared" si="60"/>
        <v>0.51724137931034486</v>
      </c>
      <c r="S143" s="314" t="str">
        <f t="shared" si="53"/>
        <v>ok</v>
      </c>
      <c r="T143" s="306"/>
      <c r="U143" s="314"/>
      <c r="V143" s="314"/>
      <c r="W143" s="314"/>
      <c r="X143" s="306"/>
    </row>
    <row r="144" spans="1:24" s="316" customFormat="1" ht="16.5" customHeight="1">
      <c r="A144" s="1101" t="s">
        <v>1295</v>
      </c>
      <c r="B144" s="1101" t="s">
        <v>1794</v>
      </c>
      <c r="C144" s="1104" t="s">
        <v>1145</v>
      </c>
      <c r="D144" s="1105">
        <v>105</v>
      </c>
      <c r="E144" s="1106">
        <v>109.66</v>
      </c>
      <c r="F144" s="841">
        <f t="shared" si="51"/>
        <v>11514.3</v>
      </c>
      <c r="G144" s="1049">
        <v>40</v>
      </c>
      <c r="H144" s="306">
        <v>4386.3999999999996</v>
      </c>
      <c r="I144" s="307">
        <v>0.38095238095238093</v>
      </c>
      <c r="J144" s="1046"/>
      <c r="K144" s="306">
        <f t="shared" si="54"/>
        <v>0</v>
      </c>
      <c r="L144" s="307">
        <f t="shared" si="55"/>
        <v>0</v>
      </c>
      <c r="M144" s="1047">
        <f t="shared" si="56"/>
        <v>40</v>
      </c>
      <c r="N144" s="306">
        <f t="shared" si="57"/>
        <v>4386.3999999999996</v>
      </c>
      <c r="O144" s="307">
        <f t="shared" si="58"/>
        <v>0.38095238095238093</v>
      </c>
      <c r="P144" s="1047">
        <f t="shared" si="59"/>
        <v>65</v>
      </c>
      <c r="Q144" s="306">
        <f t="shared" si="52"/>
        <v>7127.9</v>
      </c>
      <c r="R144" s="307">
        <f t="shared" si="60"/>
        <v>0.61904761904761907</v>
      </c>
      <c r="S144" s="314" t="str">
        <f t="shared" si="53"/>
        <v>ok</v>
      </c>
      <c r="T144" s="306"/>
      <c r="U144" s="314"/>
      <c r="V144" s="314"/>
      <c r="W144" s="314"/>
      <c r="X144" s="306"/>
    </row>
    <row r="145" spans="1:24" s="316" customFormat="1" ht="16.5" customHeight="1">
      <c r="A145" s="1101" t="s">
        <v>1296</v>
      </c>
      <c r="B145" s="1101" t="s">
        <v>1795</v>
      </c>
      <c r="C145" s="1104" t="s">
        <v>1145</v>
      </c>
      <c r="D145" s="1105">
        <v>21</v>
      </c>
      <c r="E145" s="1106">
        <v>103.1</v>
      </c>
      <c r="F145" s="841">
        <f t="shared" si="51"/>
        <v>2165.1</v>
      </c>
      <c r="G145" s="1049">
        <v>0</v>
      </c>
      <c r="H145" s="306">
        <v>0</v>
      </c>
      <c r="I145" s="307">
        <v>0</v>
      </c>
      <c r="J145" s="1046"/>
      <c r="K145" s="306">
        <f t="shared" si="54"/>
        <v>0</v>
      </c>
      <c r="L145" s="307">
        <f t="shared" si="55"/>
        <v>0</v>
      </c>
      <c r="M145" s="1047">
        <f t="shared" si="56"/>
        <v>0</v>
      </c>
      <c r="N145" s="306">
        <f t="shared" si="57"/>
        <v>0</v>
      </c>
      <c r="O145" s="307">
        <f t="shared" si="58"/>
        <v>0</v>
      </c>
      <c r="P145" s="1047">
        <f t="shared" si="59"/>
        <v>21</v>
      </c>
      <c r="Q145" s="306">
        <f t="shared" si="52"/>
        <v>2165.1</v>
      </c>
      <c r="R145" s="307">
        <f t="shared" si="60"/>
        <v>1</v>
      </c>
      <c r="S145" s="314" t="str">
        <f t="shared" si="53"/>
        <v>ok</v>
      </c>
      <c r="T145" s="306"/>
      <c r="U145" s="314"/>
      <c r="V145" s="314"/>
      <c r="W145" s="314"/>
      <c r="X145" s="306"/>
    </row>
    <row r="146" spans="1:24" s="316" customFormat="1" ht="16.5" customHeight="1">
      <c r="A146" s="1101" t="s">
        <v>1297</v>
      </c>
      <c r="B146" s="1103" t="s">
        <v>1796</v>
      </c>
      <c r="C146" s="1103"/>
      <c r="D146" s="1105"/>
      <c r="E146" s="1107"/>
      <c r="F146" s="841"/>
      <c r="G146" s="1049"/>
      <c r="H146" s="306"/>
      <c r="I146" s="307"/>
      <c r="J146" s="1046"/>
      <c r="K146" s="306"/>
      <c r="L146" s="307"/>
      <c r="M146" s="1047"/>
      <c r="N146" s="306"/>
      <c r="O146" s="307"/>
      <c r="P146" s="1047"/>
      <c r="Q146" s="306">
        <f t="shared" si="52"/>
        <v>0</v>
      </c>
      <c r="R146" s="307"/>
      <c r="S146" s="314" t="str">
        <f t="shared" si="53"/>
        <v>ok</v>
      </c>
      <c r="T146" s="306"/>
      <c r="U146" s="314"/>
      <c r="V146" s="314"/>
      <c r="W146" s="314"/>
      <c r="X146" s="306"/>
    </row>
    <row r="147" spans="1:24" s="316" customFormat="1" ht="16.5" customHeight="1">
      <c r="A147" s="1101" t="s">
        <v>1298</v>
      </c>
      <c r="B147" s="1101" t="s">
        <v>1797</v>
      </c>
      <c r="C147" s="1104" t="s">
        <v>51</v>
      </c>
      <c r="D147" s="1105">
        <v>128</v>
      </c>
      <c r="E147" s="1106">
        <v>33.11</v>
      </c>
      <c r="F147" s="841">
        <f t="shared" ref="F147:F209" si="61">+D147*E147</f>
        <v>4238.08</v>
      </c>
      <c r="G147" s="1049">
        <v>128</v>
      </c>
      <c r="H147" s="306">
        <v>4238.08</v>
      </c>
      <c r="I147" s="307">
        <v>1</v>
      </c>
      <c r="J147" s="1046"/>
      <c r="K147" s="306">
        <f t="shared" si="54"/>
        <v>0</v>
      </c>
      <c r="L147" s="307">
        <f t="shared" si="55"/>
        <v>0</v>
      </c>
      <c r="M147" s="1047">
        <f t="shared" si="56"/>
        <v>128</v>
      </c>
      <c r="N147" s="306">
        <f t="shared" si="57"/>
        <v>4238.08</v>
      </c>
      <c r="O147" s="307">
        <f t="shared" si="58"/>
        <v>1</v>
      </c>
      <c r="P147" s="1047">
        <f t="shared" si="59"/>
        <v>0</v>
      </c>
      <c r="Q147" s="306">
        <f t="shared" si="52"/>
        <v>0</v>
      </c>
      <c r="R147" s="307">
        <f t="shared" si="60"/>
        <v>0</v>
      </c>
      <c r="S147" s="314" t="str">
        <f t="shared" si="53"/>
        <v>ok</v>
      </c>
      <c r="T147" s="306"/>
      <c r="U147" s="314"/>
      <c r="V147" s="314"/>
      <c r="W147" s="314"/>
      <c r="X147" s="306"/>
    </row>
    <row r="148" spans="1:24" s="316" customFormat="1" ht="16.5" customHeight="1">
      <c r="A148" s="1101" t="s">
        <v>1299</v>
      </c>
      <c r="B148" s="1101" t="s">
        <v>1798</v>
      </c>
      <c r="C148" s="1104" t="s">
        <v>51</v>
      </c>
      <c r="D148" s="1105">
        <v>284.5</v>
      </c>
      <c r="E148" s="1106">
        <v>28.48</v>
      </c>
      <c r="F148" s="841">
        <f t="shared" si="61"/>
        <v>8102.56</v>
      </c>
      <c r="G148" s="1049">
        <v>284.5</v>
      </c>
      <c r="H148" s="306">
        <v>8102.56</v>
      </c>
      <c r="I148" s="307">
        <v>1</v>
      </c>
      <c r="J148" s="1046"/>
      <c r="K148" s="306">
        <f t="shared" si="54"/>
        <v>0</v>
      </c>
      <c r="L148" s="307">
        <f t="shared" si="55"/>
        <v>0</v>
      </c>
      <c r="M148" s="1047">
        <f t="shared" si="56"/>
        <v>284.5</v>
      </c>
      <c r="N148" s="306">
        <f t="shared" si="57"/>
        <v>8102.56</v>
      </c>
      <c r="O148" s="307">
        <f t="shared" si="58"/>
        <v>1</v>
      </c>
      <c r="P148" s="1047">
        <f t="shared" si="59"/>
        <v>0</v>
      </c>
      <c r="Q148" s="306">
        <f t="shared" si="52"/>
        <v>0</v>
      </c>
      <c r="R148" s="307">
        <f t="shared" si="60"/>
        <v>0</v>
      </c>
      <c r="S148" s="314" t="str">
        <f t="shared" si="53"/>
        <v>ok</v>
      </c>
      <c r="T148" s="306"/>
      <c r="U148" s="314"/>
      <c r="V148" s="314"/>
      <c r="W148" s="314"/>
      <c r="X148" s="306"/>
    </row>
    <row r="149" spans="1:24" s="316" customFormat="1" ht="16.5" customHeight="1">
      <c r="A149" s="1101" t="s">
        <v>1300</v>
      </c>
      <c r="B149" s="1101" t="s">
        <v>1799</v>
      </c>
      <c r="C149" s="1104" t="s">
        <v>51</v>
      </c>
      <c r="D149" s="1105">
        <v>39.5</v>
      </c>
      <c r="E149" s="1106">
        <v>103.1</v>
      </c>
      <c r="F149" s="841">
        <f t="shared" si="61"/>
        <v>4072.45</v>
      </c>
      <c r="G149" s="1049">
        <v>0</v>
      </c>
      <c r="H149" s="306">
        <v>0</v>
      </c>
      <c r="I149" s="307">
        <v>0</v>
      </c>
      <c r="J149" s="1046"/>
      <c r="K149" s="306">
        <f t="shared" si="54"/>
        <v>0</v>
      </c>
      <c r="L149" s="307">
        <f t="shared" si="55"/>
        <v>0</v>
      </c>
      <c r="M149" s="1047">
        <f t="shared" si="56"/>
        <v>0</v>
      </c>
      <c r="N149" s="306">
        <f t="shared" si="57"/>
        <v>0</v>
      </c>
      <c r="O149" s="307">
        <f t="shared" si="58"/>
        <v>0</v>
      </c>
      <c r="P149" s="1047">
        <f t="shared" si="59"/>
        <v>39.5</v>
      </c>
      <c r="Q149" s="306">
        <f t="shared" ref="Q149:Q212" si="62">F149-N149</f>
        <v>4072.45</v>
      </c>
      <c r="R149" s="307">
        <f t="shared" si="60"/>
        <v>1</v>
      </c>
      <c r="S149" s="314" t="str">
        <f t="shared" ref="S149:S212" si="63">IF(M149&gt;D149,"mayormetrado","ok")</f>
        <v>ok</v>
      </c>
      <c r="T149" s="306"/>
      <c r="U149" s="314"/>
      <c r="V149" s="314"/>
      <c r="W149" s="314"/>
      <c r="X149" s="306"/>
    </row>
    <row r="150" spans="1:24" s="316" customFormat="1" ht="16.5" customHeight="1">
      <c r="A150" s="1101" t="s">
        <v>1301</v>
      </c>
      <c r="B150" s="1103" t="s">
        <v>1800</v>
      </c>
      <c r="C150" s="1103"/>
      <c r="D150" s="1105"/>
      <c r="E150" s="1107"/>
      <c r="F150" s="841"/>
      <c r="G150" s="1049"/>
      <c r="H150" s="306"/>
      <c r="I150" s="307"/>
      <c r="J150" s="1046"/>
      <c r="K150" s="306"/>
      <c r="L150" s="307"/>
      <c r="M150" s="1047"/>
      <c r="N150" s="306"/>
      <c r="O150" s="307"/>
      <c r="P150" s="1047"/>
      <c r="Q150" s="306">
        <f t="shared" si="62"/>
        <v>0</v>
      </c>
      <c r="R150" s="307"/>
      <c r="S150" s="314" t="str">
        <f t="shared" si="63"/>
        <v>ok</v>
      </c>
      <c r="T150" s="306"/>
      <c r="U150" s="314"/>
      <c r="V150" s="314"/>
      <c r="W150" s="314"/>
      <c r="X150" s="306"/>
    </row>
    <row r="151" spans="1:24" s="316" customFormat="1" ht="16.5" customHeight="1">
      <c r="A151" s="1101" t="s">
        <v>1302</v>
      </c>
      <c r="B151" s="1101" t="s">
        <v>1801</v>
      </c>
      <c r="C151" s="1104" t="s">
        <v>52</v>
      </c>
      <c r="D151" s="1105">
        <v>24</v>
      </c>
      <c r="E151" s="1106">
        <v>77.88</v>
      </c>
      <c r="F151" s="841">
        <f t="shared" si="61"/>
        <v>1869.12</v>
      </c>
      <c r="G151" s="1049">
        <v>4</v>
      </c>
      <c r="H151" s="306">
        <v>311.52</v>
      </c>
      <c r="I151" s="307">
        <v>0.16666666666666666</v>
      </c>
      <c r="J151" s="1046"/>
      <c r="K151" s="306">
        <f t="shared" si="54"/>
        <v>0</v>
      </c>
      <c r="L151" s="307">
        <f t="shared" si="55"/>
        <v>0</v>
      </c>
      <c r="M151" s="1047">
        <f t="shared" si="56"/>
        <v>4</v>
      </c>
      <c r="N151" s="306">
        <f t="shared" si="57"/>
        <v>311.52</v>
      </c>
      <c r="O151" s="307">
        <f t="shared" si="58"/>
        <v>0.16666666666666666</v>
      </c>
      <c r="P151" s="1047">
        <f t="shared" si="59"/>
        <v>20</v>
      </c>
      <c r="Q151" s="306">
        <f t="shared" si="62"/>
        <v>1557.6</v>
      </c>
      <c r="R151" s="307">
        <f t="shared" si="60"/>
        <v>0.83333333333333337</v>
      </c>
      <c r="S151" s="314" t="str">
        <f t="shared" si="63"/>
        <v>ok</v>
      </c>
      <c r="T151" s="306"/>
      <c r="U151" s="314"/>
      <c r="V151" s="314"/>
      <c r="W151" s="314"/>
      <c r="X151" s="306"/>
    </row>
    <row r="152" spans="1:24" s="316" customFormat="1" ht="16.5" customHeight="1">
      <c r="A152" s="1101" t="s">
        <v>1303</v>
      </c>
      <c r="B152" s="1103" t="s">
        <v>1802</v>
      </c>
      <c r="C152" s="1103"/>
      <c r="D152" s="1105"/>
      <c r="E152" s="1107"/>
      <c r="F152" s="841"/>
      <c r="G152" s="1049"/>
      <c r="H152" s="306"/>
      <c r="I152" s="307"/>
      <c r="J152" s="1046"/>
      <c r="K152" s="306"/>
      <c r="L152" s="307"/>
      <c r="M152" s="1047"/>
      <c r="N152" s="306"/>
      <c r="O152" s="307"/>
      <c r="P152" s="1047"/>
      <c r="Q152" s="306">
        <f t="shared" si="62"/>
        <v>0</v>
      </c>
      <c r="R152" s="307"/>
      <c r="S152" s="314" t="str">
        <f t="shared" si="63"/>
        <v>ok</v>
      </c>
      <c r="T152" s="306"/>
      <c r="U152" s="314"/>
      <c r="V152" s="314"/>
      <c r="W152" s="314"/>
      <c r="X152" s="306"/>
    </row>
    <row r="153" spans="1:24" s="316" customFormat="1" ht="16.5" customHeight="1">
      <c r="A153" s="1101" t="s">
        <v>1304</v>
      </c>
      <c r="B153" s="1101" t="s">
        <v>1803</v>
      </c>
      <c r="C153" s="1104" t="s">
        <v>52</v>
      </c>
      <c r="D153" s="1105">
        <v>27</v>
      </c>
      <c r="E153" s="1106">
        <v>66.92</v>
      </c>
      <c r="F153" s="841">
        <f t="shared" si="61"/>
        <v>1806.8400000000001</v>
      </c>
      <c r="G153" s="1049">
        <v>0</v>
      </c>
      <c r="H153" s="306">
        <v>0</v>
      </c>
      <c r="I153" s="307">
        <v>0</v>
      </c>
      <c r="J153" s="1046"/>
      <c r="K153" s="306">
        <f t="shared" si="54"/>
        <v>0</v>
      </c>
      <c r="L153" s="307">
        <f t="shared" si="55"/>
        <v>0</v>
      </c>
      <c r="M153" s="1047">
        <f t="shared" si="56"/>
        <v>0</v>
      </c>
      <c r="N153" s="306">
        <f t="shared" si="57"/>
        <v>0</v>
      </c>
      <c r="O153" s="307">
        <f t="shared" si="58"/>
        <v>0</v>
      </c>
      <c r="P153" s="1047">
        <f t="shared" si="59"/>
        <v>27</v>
      </c>
      <c r="Q153" s="306">
        <f t="shared" si="62"/>
        <v>1806.8400000000001</v>
      </c>
      <c r="R153" s="307">
        <f t="shared" si="60"/>
        <v>1</v>
      </c>
      <c r="S153" s="314" t="str">
        <f t="shared" si="63"/>
        <v>ok</v>
      </c>
      <c r="T153" s="306"/>
      <c r="U153" s="314"/>
      <c r="V153" s="314"/>
      <c r="W153" s="314"/>
      <c r="X153" s="306"/>
    </row>
    <row r="154" spans="1:24" s="316" customFormat="1" ht="16.5" customHeight="1">
      <c r="A154" s="1101" t="s">
        <v>1305</v>
      </c>
      <c r="B154" s="1101" t="s">
        <v>1804</v>
      </c>
      <c r="C154" s="1104" t="s">
        <v>52</v>
      </c>
      <c r="D154" s="1105">
        <v>41</v>
      </c>
      <c r="E154" s="1106">
        <v>59.4</v>
      </c>
      <c r="F154" s="841">
        <f t="shared" si="61"/>
        <v>2435.4</v>
      </c>
      <c r="G154" s="1049">
        <v>0</v>
      </c>
      <c r="H154" s="306">
        <v>0</v>
      </c>
      <c r="I154" s="307">
        <v>0</v>
      </c>
      <c r="J154" s="1046"/>
      <c r="K154" s="306">
        <f t="shared" si="54"/>
        <v>0</v>
      </c>
      <c r="L154" s="307">
        <f t="shared" si="55"/>
        <v>0</v>
      </c>
      <c r="M154" s="1047">
        <f t="shared" si="56"/>
        <v>0</v>
      </c>
      <c r="N154" s="306">
        <f t="shared" si="57"/>
        <v>0</v>
      </c>
      <c r="O154" s="307">
        <f t="shared" si="58"/>
        <v>0</v>
      </c>
      <c r="P154" s="1047">
        <f t="shared" si="59"/>
        <v>41</v>
      </c>
      <c r="Q154" s="306">
        <f t="shared" si="62"/>
        <v>2435.4</v>
      </c>
      <c r="R154" s="307">
        <f t="shared" si="60"/>
        <v>1</v>
      </c>
      <c r="S154" s="314" t="str">
        <f t="shared" si="63"/>
        <v>ok</v>
      </c>
      <c r="T154" s="306"/>
      <c r="U154" s="314"/>
      <c r="V154" s="314"/>
      <c r="W154" s="314"/>
      <c r="X154" s="306"/>
    </row>
    <row r="155" spans="1:24" s="316" customFormat="1" ht="16.5" customHeight="1">
      <c r="A155" s="1101" t="s">
        <v>1306</v>
      </c>
      <c r="B155" s="1101" t="s">
        <v>1805</v>
      </c>
      <c r="C155" s="1104" t="s">
        <v>52</v>
      </c>
      <c r="D155" s="1105">
        <v>4</v>
      </c>
      <c r="E155" s="1106">
        <v>39.46</v>
      </c>
      <c r="F155" s="841">
        <f t="shared" si="61"/>
        <v>157.84</v>
      </c>
      <c r="G155" s="1049">
        <v>0</v>
      </c>
      <c r="H155" s="306">
        <v>0</v>
      </c>
      <c r="I155" s="307">
        <v>0</v>
      </c>
      <c r="J155" s="1046"/>
      <c r="K155" s="306">
        <f t="shared" si="54"/>
        <v>0</v>
      </c>
      <c r="L155" s="307">
        <f t="shared" si="55"/>
        <v>0</v>
      </c>
      <c r="M155" s="1047">
        <f t="shared" si="56"/>
        <v>0</v>
      </c>
      <c r="N155" s="306">
        <f t="shared" si="57"/>
        <v>0</v>
      </c>
      <c r="O155" s="307">
        <f t="shared" si="58"/>
        <v>0</v>
      </c>
      <c r="P155" s="1047">
        <f t="shared" si="59"/>
        <v>4</v>
      </c>
      <c r="Q155" s="306">
        <f t="shared" si="62"/>
        <v>157.84</v>
      </c>
      <c r="R155" s="307">
        <f t="shared" si="60"/>
        <v>1</v>
      </c>
      <c r="S155" s="314" t="str">
        <f t="shared" si="63"/>
        <v>ok</v>
      </c>
      <c r="T155" s="306"/>
      <c r="U155" s="314"/>
      <c r="V155" s="314"/>
      <c r="W155" s="314"/>
      <c r="X155" s="306"/>
    </row>
    <row r="156" spans="1:24" s="316" customFormat="1" ht="16.5" customHeight="1">
      <c r="A156" s="1101" t="s">
        <v>1307</v>
      </c>
      <c r="B156" s="1101" t="s">
        <v>1806</v>
      </c>
      <c r="C156" s="1104" t="s">
        <v>52</v>
      </c>
      <c r="D156" s="1105">
        <v>329</v>
      </c>
      <c r="E156" s="1106">
        <v>17.77</v>
      </c>
      <c r="F156" s="841">
        <f t="shared" si="61"/>
        <v>5846.33</v>
      </c>
      <c r="G156" s="1049">
        <v>329</v>
      </c>
      <c r="H156" s="306">
        <v>5846.33</v>
      </c>
      <c r="I156" s="307">
        <v>1</v>
      </c>
      <c r="J156" s="1046"/>
      <c r="K156" s="306">
        <f t="shared" si="54"/>
        <v>0</v>
      </c>
      <c r="L156" s="307">
        <f t="shared" si="55"/>
        <v>0</v>
      </c>
      <c r="M156" s="1047">
        <f t="shared" si="56"/>
        <v>329</v>
      </c>
      <c r="N156" s="306">
        <f t="shared" si="57"/>
        <v>5846.33</v>
      </c>
      <c r="O156" s="307">
        <f t="shared" si="58"/>
        <v>1</v>
      </c>
      <c r="P156" s="1047">
        <f t="shared" si="59"/>
        <v>0</v>
      </c>
      <c r="Q156" s="306">
        <f t="shared" si="62"/>
        <v>0</v>
      </c>
      <c r="R156" s="307">
        <f t="shared" si="60"/>
        <v>0</v>
      </c>
      <c r="S156" s="314" t="str">
        <f t="shared" si="63"/>
        <v>ok</v>
      </c>
      <c r="T156" s="306"/>
      <c r="U156" s="314"/>
      <c r="V156" s="314"/>
      <c r="W156" s="314"/>
      <c r="X156" s="306"/>
    </row>
    <row r="157" spans="1:24" s="316" customFormat="1" ht="16.5" customHeight="1">
      <c r="A157" s="1101" t="s">
        <v>1308</v>
      </c>
      <c r="B157" s="1101" t="s">
        <v>1807</v>
      </c>
      <c r="C157" s="1104" t="s">
        <v>52</v>
      </c>
      <c r="D157" s="1105">
        <v>12</v>
      </c>
      <c r="E157" s="1106">
        <v>22.75</v>
      </c>
      <c r="F157" s="841">
        <f t="shared" si="61"/>
        <v>273</v>
      </c>
      <c r="G157" s="1049">
        <v>12</v>
      </c>
      <c r="H157" s="306">
        <v>273</v>
      </c>
      <c r="I157" s="307">
        <v>1</v>
      </c>
      <c r="J157" s="1046"/>
      <c r="K157" s="306">
        <f t="shared" si="54"/>
        <v>0</v>
      </c>
      <c r="L157" s="307">
        <f t="shared" si="55"/>
        <v>0</v>
      </c>
      <c r="M157" s="1047">
        <f t="shared" si="56"/>
        <v>12</v>
      </c>
      <c r="N157" s="306">
        <f t="shared" si="57"/>
        <v>273</v>
      </c>
      <c r="O157" s="307">
        <f t="shared" si="58"/>
        <v>1</v>
      </c>
      <c r="P157" s="1047">
        <f t="shared" si="59"/>
        <v>0</v>
      </c>
      <c r="Q157" s="306">
        <f t="shared" si="62"/>
        <v>0</v>
      </c>
      <c r="R157" s="307">
        <f t="shared" si="60"/>
        <v>0</v>
      </c>
      <c r="S157" s="314" t="str">
        <f t="shared" si="63"/>
        <v>ok</v>
      </c>
      <c r="T157" s="306"/>
      <c r="U157" s="314"/>
      <c r="V157" s="314"/>
      <c r="W157" s="314"/>
      <c r="X157" s="306"/>
    </row>
    <row r="158" spans="1:24" s="316" customFormat="1" ht="16.5" customHeight="1">
      <c r="A158" s="1101" t="s">
        <v>1309</v>
      </c>
      <c r="B158" s="1101" t="s">
        <v>1808</v>
      </c>
      <c r="C158" s="1104" t="s">
        <v>52</v>
      </c>
      <c r="D158" s="1105">
        <v>8</v>
      </c>
      <c r="E158" s="1106">
        <v>20.190000000000001</v>
      </c>
      <c r="F158" s="841">
        <f t="shared" si="61"/>
        <v>161.52000000000001</v>
      </c>
      <c r="G158" s="1049">
        <v>8</v>
      </c>
      <c r="H158" s="306">
        <v>161.52000000000001</v>
      </c>
      <c r="I158" s="307">
        <v>1</v>
      </c>
      <c r="J158" s="1046"/>
      <c r="K158" s="306">
        <f t="shared" si="54"/>
        <v>0</v>
      </c>
      <c r="L158" s="307">
        <f t="shared" si="55"/>
        <v>0</v>
      </c>
      <c r="M158" s="1047">
        <f t="shared" si="56"/>
        <v>8</v>
      </c>
      <c r="N158" s="306">
        <f t="shared" si="57"/>
        <v>161.52000000000001</v>
      </c>
      <c r="O158" s="307">
        <f t="shared" si="58"/>
        <v>1</v>
      </c>
      <c r="P158" s="1047">
        <f t="shared" si="59"/>
        <v>0</v>
      </c>
      <c r="Q158" s="306">
        <f t="shared" si="62"/>
        <v>0</v>
      </c>
      <c r="R158" s="307">
        <f t="shared" si="60"/>
        <v>0</v>
      </c>
      <c r="S158" s="314" t="str">
        <f t="shared" si="63"/>
        <v>ok</v>
      </c>
      <c r="T158" s="306"/>
      <c r="U158" s="314"/>
      <c r="V158" s="314"/>
      <c r="W158" s="314"/>
      <c r="X158" s="306"/>
    </row>
    <row r="159" spans="1:24" s="316" customFormat="1" ht="16.5" customHeight="1">
      <c r="A159" s="1101" t="s">
        <v>1310</v>
      </c>
      <c r="B159" s="1101" t="s">
        <v>1809</v>
      </c>
      <c r="C159" s="1104" t="s">
        <v>52</v>
      </c>
      <c r="D159" s="1105">
        <v>78</v>
      </c>
      <c r="E159" s="1106">
        <v>10.94</v>
      </c>
      <c r="F159" s="841">
        <f t="shared" si="61"/>
        <v>853.31999999999994</v>
      </c>
      <c r="G159" s="1049">
        <v>78</v>
      </c>
      <c r="H159" s="306">
        <v>853.31999999999994</v>
      </c>
      <c r="I159" s="307">
        <v>1</v>
      </c>
      <c r="J159" s="1046"/>
      <c r="K159" s="306">
        <f t="shared" si="54"/>
        <v>0</v>
      </c>
      <c r="L159" s="307">
        <f t="shared" si="55"/>
        <v>0</v>
      </c>
      <c r="M159" s="1047">
        <f t="shared" si="56"/>
        <v>78</v>
      </c>
      <c r="N159" s="306">
        <f t="shared" si="57"/>
        <v>853.31999999999994</v>
      </c>
      <c r="O159" s="307">
        <f t="shared" si="58"/>
        <v>1</v>
      </c>
      <c r="P159" s="1047">
        <f t="shared" si="59"/>
        <v>0</v>
      </c>
      <c r="Q159" s="306">
        <f t="shared" si="62"/>
        <v>0</v>
      </c>
      <c r="R159" s="307">
        <f t="shared" si="60"/>
        <v>0</v>
      </c>
      <c r="S159" s="314" t="str">
        <f t="shared" si="63"/>
        <v>ok</v>
      </c>
      <c r="T159" s="306"/>
      <c r="U159" s="314"/>
      <c r="V159" s="314"/>
      <c r="W159" s="314"/>
      <c r="X159" s="306"/>
    </row>
    <row r="160" spans="1:24" s="316" customFormat="1" ht="16.5" customHeight="1">
      <c r="A160" s="1101" t="s">
        <v>1311</v>
      </c>
      <c r="B160" s="1101" t="s">
        <v>1810</v>
      </c>
      <c r="C160" s="1104" t="s">
        <v>52</v>
      </c>
      <c r="D160" s="1105">
        <v>40</v>
      </c>
      <c r="E160" s="1106">
        <v>17.89</v>
      </c>
      <c r="F160" s="841">
        <f t="shared" si="61"/>
        <v>715.6</v>
      </c>
      <c r="G160" s="1049">
        <v>40</v>
      </c>
      <c r="H160" s="306">
        <v>715.6</v>
      </c>
      <c r="I160" s="307">
        <v>1</v>
      </c>
      <c r="J160" s="1046"/>
      <c r="K160" s="306">
        <f t="shared" si="54"/>
        <v>0</v>
      </c>
      <c r="L160" s="307">
        <f t="shared" si="55"/>
        <v>0</v>
      </c>
      <c r="M160" s="1047">
        <f t="shared" si="56"/>
        <v>40</v>
      </c>
      <c r="N160" s="306">
        <f t="shared" si="57"/>
        <v>715.6</v>
      </c>
      <c r="O160" s="307">
        <f t="shared" si="58"/>
        <v>1</v>
      </c>
      <c r="P160" s="1047">
        <f t="shared" si="59"/>
        <v>0</v>
      </c>
      <c r="Q160" s="306">
        <f t="shared" si="62"/>
        <v>0</v>
      </c>
      <c r="R160" s="307">
        <f t="shared" si="60"/>
        <v>0</v>
      </c>
      <c r="S160" s="314" t="str">
        <f t="shared" si="63"/>
        <v>ok</v>
      </c>
      <c r="T160" s="306"/>
      <c r="U160" s="314"/>
      <c r="V160" s="314"/>
      <c r="W160" s="314"/>
      <c r="X160" s="306"/>
    </row>
    <row r="161" spans="1:24" s="316" customFormat="1" ht="16.5" customHeight="1">
      <c r="A161" s="1101" t="s">
        <v>1312</v>
      </c>
      <c r="B161" s="1101" t="s">
        <v>1811</v>
      </c>
      <c r="C161" s="1104" t="s">
        <v>52</v>
      </c>
      <c r="D161" s="1105">
        <v>42</v>
      </c>
      <c r="E161" s="1106">
        <v>23.69</v>
      </c>
      <c r="F161" s="841">
        <f t="shared" si="61"/>
        <v>994.98</v>
      </c>
      <c r="G161" s="1049">
        <v>42</v>
      </c>
      <c r="H161" s="306">
        <v>994.98</v>
      </c>
      <c r="I161" s="307">
        <v>1</v>
      </c>
      <c r="J161" s="1046"/>
      <c r="K161" s="306">
        <f t="shared" si="54"/>
        <v>0</v>
      </c>
      <c r="L161" s="307">
        <f t="shared" si="55"/>
        <v>0</v>
      </c>
      <c r="M161" s="1047">
        <f t="shared" si="56"/>
        <v>42</v>
      </c>
      <c r="N161" s="306">
        <f t="shared" si="57"/>
        <v>994.98</v>
      </c>
      <c r="O161" s="307">
        <f t="shared" si="58"/>
        <v>1</v>
      </c>
      <c r="P161" s="1047">
        <f t="shared" si="59"/>
        <v>0</v>
      </c>
      <c r="Q161" s="306">
        <f t="shared" si="62"/>
        <v>0</v>
      </c>
      <c r="R161" s="307">
        <f t="shared" si="60"/>
        <v>0</v>
      </c>
      <c r="S161" s="314" t="str">
        <f t="shared" si="63"/>
        <v>ok</v>
      </c>
      <c r="T161" s="306"/>
      <c r="U161" s="314"/>
      <c r="V161" s="314"/>
      <c r="W161" s="314"/>
      <c r="X161" s="306"/>
    </row>
    <row r="162" spans="1:24" s="316" customFormat="1" ht="16.5" customHeight="1">
      <c r="A162" s="1101" t="s">
        <v>1313</v>
      </c>
      <c r="B162" s="1103" t="s">
        <v>1812</v>
      </c>
      <c r="C162" s="1103"/>
      <c r="D162" s="1105"/>
      <c r="E162" s="1107"/>
      <c r="F162" s="841"/>
      <c r="G162" s="1049"/>
      <c r="H162" s="306"/>
      <c r="I162" s="307"/>
      <c r="J162" s="1046"/>
      <c r="K162" s="306"/>
      <c r="L162" s="307"/>
      <c r="M162" s="1047"/>
      <c r="N162" s="306"/>
      <c r="O162" s="307"/>
      <c r="P162" s="1047"/>
      <c r="Q162" s="306">
        <f t="shared" si="62"/>
        <v>0</v>
      </c>
      <c r="R162" s="307"/>
      <c r="S162" s="314" t="str">
        <f t="shared" si="63"/>
        <v>ok</v>
      </c>
      <c r="T162" s="306"/>
      <c r="U162" s="314"/>
      <c r="V162" s="314"/>
      <c r="W162" s="314"/>
      <c r="X162" s="306"/>
    </row>
    <row r="163" spans="1:24" s="316" customFormat="1" ht="16.5" customHeight="1">
      <c r="A163" s="1101" t="s">
        <v>1314</v>
      </c>
      <c r="B163" s="1101" t="s">
        <v>1813</v>
      </c>
      <c r="C163" s="1104" t="s">
        <v>52</v>
      </c>
      <c r="D163" s="1105">
        <v>9</v>
      </c>
      <c r="E163" s="1106">
        <v>540.63</v>
      </c>
      <c r="F163" s="841">
        <f t="shared" si="61"/>
        <v>4865.67</v>
      </c>
      <c r="G163" s="1049">
        <v>0</v>
      </c>
      <c r="H163" s="306">
        <v>0</v>
      </c>
      <c r="I163" s="307">
        <v>0</v>
      </c>
      <c r="J163" s="1046"/>
      <c r="K163" s="306">
        <f t="shared" si="54"/>
        <v>0</v>
      </c>
      <c r="L163" s="307">
        <f t="shared" si="55"/>
        <v>0</v>
      </c>
      <c r="M163" s="1047">
        <f t="shared" si="56"/>
        <v>0</v>
      </c>
      <c r="N163" s="306">
        <f t="shared" si="57"/>
        <v>0</v>
      </c>
      <c r="O163" s="307">
        <f t="shared" si="58"/>
        <v>0</v>
      </c>
      <c r="P163" s="1047">
        <f t="shared" si="59"/>
        <v>9</v>
      </c>
      <c r="Q163" s="306">
        <f t="shared" si="62"/>
        <v>4865.67</v>
      </c>
      <c r="R163" s="307">
        <f t="shared" si="60"/>
        <v>1</v>
      </c>
      <c r="S163" s="314" t="str">
        <f t="shared" si="63"/>
        <v>ok</v>
      </c>
      <c r="T163" s="306"/>
      <c r="U163" s="314"/>
      <c r="V163" s="314"/>
      <c r="W163" s="314"/>
      <c r="X163" s="306"/>
    </row>
    <row r="164" spans="1:24" s="316" customFormat="1" ht="16.5" customHeight="1">
      <c r="A164" s="1101" t="s">
        <v>1315</v>
      </c>
      <c r="B164" s="1103" t="s">
        <v>1814</v>
      </c>
      <c r="C164" s="1103"/>
      <c r="D164" s="1105"/>
      <c r="E164" s="1107"/>
      <c r="F164" s="841"/>
      <c r="G164" s="1049"/>
      <c r="H164" s="306"/>
      <c r="I164" s="307"/>
      <c r="J164" s="1046"/>
      <c r="K164" s="306"/>
      <c r="L164" s="307"/>
      <c r="M164" s="1047"/>
      <c r="N164" s="306"/>
      <c r="O164" s="307"/>
      <c r="P164" s="1047"/>
      <c r="Q164" s="306">
        <f t="shared" si="62"/>
        <v>0</v>
      </c>
      <c r="R164" s="307"/>
      <c r="S164" s="314" t="str">
        <f t="shared" si="63"/>
        <v>ok</v>
      </c>
      <c r="T164" s="306"/>
      <c r="U164" s="314"/>
      <c r="V164" s="314"/>
      <c r="W164" s="314"/>
      <c r="X164" s="306"/>
    </row>
    <row r="165" spans="1:24" s="934" customFormat="1" ht="16.5" customHeight="1">
      <c r="A165" s="1860" t="s">
        <v>1316</v>
      </c>
      <c r="B165" s="1860" t="s">
        <v>1815</v>
      </c>
      <c r="C165" s="1861" t="s">
        <v>2146</v>
      </c>
      <c r="D165" s="1877">
        <v>1</v>
      </c>
      <c r="E165" s="1878">
        <v>144.82</v>
      </c>
      <c r="F165" s="1879">
        <f t="shared" si="61"/>
        <v>144.82</v>
      </c>
      <c r="G165" s="1049">
        <v>1</v>
      </c>
      <c r="H165" s="1425">
        <v>144.82</v>
      </c>
      <c r="I165" s="305">
        <v>1</v>
      </c>
      <c r="J165" s="1046"/>
      <c r="K165" s="1425">
        <f t="shared" si="54"/>
        <v>0</v>
      </c>
      <c r="L165" s="305">
        <f t="shared" si="55"/>
        <v>0</v>
      </c>
      <c r="M165" s="1047">
        <f t="shared" si="56"/>
        <v>1</v>
      </c>
      <c r="N165" s="1425">
        <f t="shared" si="57"/>
        <v>144.82</v>
      </c>
      <c r="O165" s="305">
        <f t="shared" si="58"/>
        <v>1</v>
      </c>
      <c r="P165" s="1047">
        <f t="shared" si="59"/>
        <v>0</v>
      </c>
      <c r="Q165" s="1425">
        <f t="shared" si="62"/>
        <v>0</v>
      </c>
      <c r="R165" s="305">
        <f t="shared" si="60"/>
        <v>0</v>
      </c>
      <c r="S165" s="1426" t="str">
        <f t="shared" si="63"/>
        <v>ok</v>
      </c>
      <c r="T165" s="1425"/>
      <c r="U165" s="1426"/>
      <c r="V165" s="1426"/>
      <c r="W165" s="1426"/>
      <c r="X165" s="1425"/>
    </row>
    <row r="166" spans="1:24" s="934" customFormat="1" ht="16.5" customHeight="1">
      <c r="A166" s="1860" t="s">
        <v>1317</v>
      </c>
      <c r="B166" s="1860" t="s">
        <v>1816</v>
      </c>
      <c r="C166" s="1861" t="s">
        <v>2146</v>
      </c>
      <c r="D166" s="1877">
        <v>1</v>
      </c>
      <c r="E166" s="1878">
        <v>130.85</v>
      </c>
      <c r="F166" s="1879">
        <f t="shared" si="61"/>
        <v>130.85</v>
      </c>
      <c r="G166" s="1049">
        <v>1</v>
      </c>
      <c r="H166" s="1425">
        <v>130.85</v>
      </c>
      <c r="I166" s="305">
        <v>1</v>
      </c>
      <c r="J166" s="1046"/>
      <c r="K166" s="1425">
        <f t="shared" si="54"/>
        <v>0</v>
      </c>
      <c r="L166" s="305">
        <f t="shared" si="55"/>
        <v>0</v>
      </c>
      <c r="M166" s="1047">
        <f t="shared" si="56"/>
        <v>1</v>
      </c>
      <c r="N166" s="1425">
        <f t="shared" si="57"/>
        <v>130.85</v>
      </c>
      <c r="O166" s="305">
        <f t="shared" si="58"/>
        <v>1</v>
      </c>
      <c r="P166" s="1047">
        <f t="shared" si="59"/>
        <v>0</v>
      </c>
      <c r="Q166" s="1425">
        <f t="shared" si="62"/>
        <v>0</v>
      </c>
      <c r="R166" s="305">
        <f t="shared" si="60"/>
        <v>0</v>
      </c>
      <c r="S166" s="1426" t="str">
        <f t="shared" si="63"/>
        <v>ok</v>
      </c>
      <c r="T166" s="1425"/>
      <c r="U166" s="1426"/>
      <c r="V166" s="1426"/>
      <c r="W166" s="1426"/>
      <c r="X166" s="1425"/>
    </row>
    <row r="167" spans="1:24" s="934" customFormat="1" ht="16.5" customHeight="1">
      <c r="A167" s="1860" t="s">
        <v>1318</v>
      </c>
      <c r="B167" s="1901" t="s">
        <v>1817</v>
      </c>
      <c r="C167" s="1901"/>
      <c r="D167" s="1877"/>
      <c r="E167" s="1960"/>
      <c r="F167" s="1879"/>
      <c r="G167" s="1049"/>
      <c r="H167" s="1425"/>
      <c r="I167" s="305"/>
      <c r="J167" s="1046"/>
      <c r="K167" s="1425"/>
      <c r="L167" s="305"/>
      <c r="M167" s="1047"/>
      <c r="N167" s="1425"/>
      <c r="O167" s="305"/>
      <c r="P167" s="1047"/>
      <c r="Q167" s="1425">
        <f t="shared" si="62"/>
        <v>0</v>
      </c>
      <c r="R167" s="305"/>
      <c r="S167" s="1426" t="str">
        <f t="shared" si="63"/>
        <v>ok</v>
      </c>
      <c r="T167" s="1425"/>
      <c r="U167" s="1426"/>
      <c r="V167" s="1426"/>
      <c r="W167" s="1426"/>
      <c r="X167" s="1425"/>
    </row>
    <row r="168" spans="1:24" s="316" customFormat="1" ht="16.5" customHeight="1">
      <c r="A168" s="1101" t="s">
        <v>1319</v>
      </c>
      <c r="B168" s="1103" t="s">
        <v>1818</v>
      </c>
      <c r="C168" s="1103"/>
      <c r="D168" s="1105"/>
      <c r="E168" s="1107"/>
      <c r="F168" s="841"/>
      <c r="G168" s="1049"/>
      <c r="H168" s="306"/>
      <c r="I168" s="307"/>
      <c r="J168" s="1046"/>
      <c r="K168" s="306"/>
      <c r="L168" s="307"/>
      <c r="M168" s="1047"/>
      <c r="N168" s="306"/>
      <c r="O168" s="307"/>
      <c r="P168" s="1047"/>
      <c r="Q168" s="306">
        <f t="shared" si="62"/>
        <v>0</v>
      </c>
      <c r="R168" s="307"/>
      <c r="S168" s="314" t="str">
        <f t="shared" si="63"/>
        <v>ok</v>
      </c>
      <c r="T168" s="306"/>
      <c r="U168" s="314"/>
      <c r="V168" s="314"/>
      <c r="W168" s="314"/>
      <c r="X168" s="306"/>
    </row>
    <row r="169" spans="1:24" s="316" customFormat="1" ht="16.5" customHeight="1">
      <c r="A169" s="1101" t="s">
        <v>1320</v>
      </c>
      <c r="B169" s="1101" t="s">
        <v>1819</v>
      </c>
      <c r="C169" s="1104" t="s">
        <v>2145</v>
      </c>
      <c r="D169" s="1105">
        <v>85</v>
      </c>
      <c r="E169" s="1106">
        <v>666.31</v>
      </c>
      <c r="F169" s="841">
        <f t="shared" si="61"/>
        <v>56636.35</v>
      </c>
      <c r="G169" s="1049">
        <v>59</v>
      </c>
      <c r="H169" s="306">
        <v>39312.289999999994</v>
      </c>
      <c r="I169" s="307">
        <v>0.69411764705882339</v>
      </c>
      <c r="J169" s="1046"/>
      <c r="K169" s="306">
        <f t="shared" si="54"/>
        <v>0</v>
      </c>
      <c r="L169" s="307">
        <f t="shared" si="55"/>
        <v>0</v>
      </c>
      <c r="M169" s="1047">
        <f t="shared" si="56"/>
        <v>59</v>
      </c>
      <c r="N169" s="306">
        <f t="shared" si="57"/>
        <v>39312.289999999994</v>
      </c>
      <c r="O169" s="307">
        <f t="shared" si="58"/>
        <v>0.69411764705882339</v>
      </c>
      <c r="P169" s="1047">
        <f t="shared" si="59"/>
        <v>26</v>
      </c>
      <c r="Q169" s="306">
        <f t="shared" si="62"/>
        <v>17324.060000000005</v>
      </c>
      <c r="R169" s="307">
        <f t="shared" si="60"/>
        <v>0.30588235294117655</v>
      </c>
      <c r="S169" s="314" t="str">
        <f t="shared" si="63"/>
        <v>ok</v>
      </c>
      <c r="T169" s="306"/>
      <c r="U169" s="314"/>
      <c r="V169" s="314"/>
      <c r="W169" s="314"/>
      <c r="X169" s="306"/>
    </row>
    <row r="170" spans="1:24" s="316" customFormat="1" ht="16.5" customHeight="1">
      <c r="A170" s="1101" t="s">
        <v>1321</v>
      </c>
      <c r="B170" s="1101" t="s">
        <v>1820</v>
      </c>
      <c r="C170" s="1104" t="s">
        <v>2145</v>
      </c>
      <c r="D170" s="1105">
        <v>32</v>
      </c>
      <c r="E170" s="1106">
        <v>532.16</v>
      </c>
      <c r="F170" s="841">
        <f t="shared" si="61"/>
        <v>17029.12</v>
      </c>
      <c r="G170" s="1049">
        <v>14</v>
      </c>
      <c r="H170" s="306">
        <v>7450.24</v>
      </c>
      <c r="I170" s="307">
        <v>0.4375</v>
      </c>
      <c r="J170" s="1046"/>
      <c r="K170" s="306">
        <f t="shared" si="54"/>
        <v>0</v>
      </c>
      <c r="L170" s="307">
        <f t="shared" si="55"/>
        <v>0</v>
      </c>
      <c r="M170" s="1047">
        <f t="shared" si="56"/>
        <v>14</v>
      </c>
      <c r="N170" s="306">
        <f t="shared" si="57"/>
        <v>7450.24</v>
      </c>
      <c r="O170" s="307">
        <f t="shared" si="58"/>
        <v>0.4375</v>
      </c>
      <c r="P170" s="1047">
        <f t="shared" si="59"/>
        <v>18</v>
      </c>
      <c r="Q170" s="306">
        <f t="shared" si="62"/>
        <v>9578.8799999999992</v>
      </c>
      <c r="R170" s="307">
        <f t="shared" si="60"/>
        <v>0.5625</v>
      </c>
      <c r="S170" s="314" t="str">
        <f t="shared" si="63"/>
        <v>ok</v>
      </c>
      <c r="T170" s="306"/>
      <c r="U170" s="314"/>
      <c r="V170" s="314"/>
      <c r="W170" s="314"/>
      <c r="X170" s="306"/>
    </row>
    <row r="171" spans="1:24" s="316" customFormat="1" ht="16.5" customHeight="1">
      <c r="A171" s="1101" t="s">
        <v>1322</v>
      </c>
      <c r="B171" s="1101" t="s">
        <v>1821</v>
      </c>
      <c r="C171" s="1104" t="s">
        <v>2145</v>
      </c>
      <c r="D171" s="1105">
        <v>86</v>
      </c>
      <c r="E171" s="1106">
        <v>335.89</v>
      </c>
      <c r="F171" s="841">
        <f t="shared" si="61"/>
        <v>28886.539999999997</v>
      </c>
      <c r="G171" s="1049">
        <v>73</v>
      </c>
      <c r="H171" s="306">
        <v>24519.969999999998</v>
      </c>
      <c r="I171" s="307">
        <v>0.84883720930232553</v>
      </c>
      <c r="J171" s="1046"/>
      <c r="K171" s="306">
        <f t="shared" si="54"/>
        <v>0</v>
      </c>
      <c r="L171" s="307">
        <f t="shared" si="55"/>
        <v>0</v>
      </c>
      <c r="M171" s="1047">
        <f t="shared" si="56"/>
        <v>73</v>
      </c>
      <c r="N171" s="306">
        <f t="shared" si="57"/>
        <v>24519.969999999998</v>
      </c>
      <c r="O171" s="307">
        <f t="shared" si="58"/>
        <v>0.84883720930232553</v>
      </c>
      <c r="P171" s="1047">
        <f t="shared" si="59"/>
        <v>13</v>
      </c>
      <c r="Q171" s="306">
        <f t="shared" si="62"/>
        <v>4366.57</v>
      </c>
      <c r="R171" s="307">
        <f t="shared" si="60"/>
        <v>0.15116279069767441</v>
      </c>
      <c r="S171" s="314" t="str">
        <f t="shared" si="63"/>
        <v>ok</v>
      </c>
      <c r="T171" s="306"/>
      <c r="U171" s="314"/>
      <c r="V171" s="314"/>
      <c r="W171" s="314"/>
      <c r="X171" s="306"/>
    </row>
    <row r="172" spans="1:24" s="934" customFormat="1" ht="16.5" customHeight="1">
      <c r="A172" s="1860" t="s">
        <v>1323</v>
      </c>
      <c r="B172" s="1860" t="s">
        <v>1822</v>
      </c>
      <c r="C172" s="1861" t="s">
        <v>52</v>
      </c>
      <c r="D172" s="1877">
        <v>182</v>
      </c>
      <c r="E172" s="1878">
        <v>281.41000000000003</v>
      </c>
      <c r="F172" s="1879">
        <f t="shared" si="61"/>
        <v>51216.62</v>
      </c>
      <c r="G172" s="1049">
        <v>79</v>
      </c>
      <c r="H172" s="1425">
        <v>22231.390000000003</v>
      </c>
      <c r="I172" s="305">
        <v>0.43406593406593408</v>
      </c>
      <c r="J172" s="1049"/>
      <c r="K172" s="1425">
        <f t="shared" ref="K172" si="64">J172*E172</f>
        <v>0</v>
      </c>
      <c r="L172" s="305">
        <f t="shared" ref="L172" si="65">K172/F172</f>
        <v>0</v>
      </c>
      <c r="M172" s="1049">
        <f t="shared" ref="M172" si="66">G172+J172</f>
        <v>79</v>
      </c>
      <c r="N172" s="1425">
        <f t="shared" ref="N172" si="67">M172*E172</f>
        <v>22231.390000000003</v>
      </c>
      <c r="O172" s="305">
        <f t="shared" ref="O172" si="68">N172/F172</f>
        <v>0.43406593406593408</v>
      </c>
      <c r="P172" s="1049">
        <f t="shared" ref="P172" si="69">D172-M172</f>
        <v>103</v>
      </c>
      <c r="Q172" s="1425">
        <f t="shared" si="62"/>
        <v>28985.23</v>
      </c>
      <c r="R172" s="305">
        <f t="shared" ref="R172" si="70">Q172/F172</f>
        <v>0.56593406593406592</v>
      </c>
      <c r="S172" s="314" t="str">
        <f t="shared" si="63"/>
        <v>ok</v>
      </c>
      <c r="T172" s="1425"/>
      <c r="U172" s="1426"/>
      <c r="V172" s="1426"/>
      <c r="W172" s="1426"/>
      <c r="X172" s="1425"/>
    </row>
    <row r="173" spans="1:24" s="316" customFormat="1" ht="16.5" customHeight="1">
      <c r="A173" s="1101" t="s">
        <v>1324</v>
      </c>
      <c r="B173" s="1103" t="s">
        <v>1823</v>
      </c>
      <c r="C173" s="1103"/>
      <c r="D173" s="1105"/>
      <c r="E173" s="1107"/>
      <c r="F173" s="841"/>
      <c r="G173" s="1049"/>
      <c r="H173" s="306"/>
      <c r="I173" s="307"/>
      <c r="J173" s="1046"/>
      <c r="K173" s="306"/>
      <c r="L173" s="307"/>
      <c r="M173" s="1047"/>
      <c r="N173" s="306"/>
      <c r="O173" s="307"/>
      <c r="P173" s="1047"/>
      <c r="Q173" s="306">
        <f t="shared" si="62"/>
        <v>0</v>
      </c>
      <c r="R173" s="307"/>
      <c r="S173" s="314" t="str">
        <f t="shared" si="63"/>
        <v>ok</v>
      </c>
      <c r="T173" s="306"/>
      <c r="U173" s="314"/>
      <c r="V173" s="314"/>
      <c r="W173" s="314"/>
      <c r="X173" s="306"/>
    </row>
    <row r="174" spans="1:24" s="316" customFormat="1" ht="16.5" customHeight="1">
      <c r="A174" s="1101" t="s">
        <v>1325</v>
      </c>
      <c r="B174" s="1101" t="s">
        <v>1824</v>
      </c>
      <c r="C174" s="1104" t="s">
        <v>52</v>
      </c>
      <c r="D174" s="1105">
        <v>77</v>
      </c>
      <c r="E174" s="1106">
        <v>50.1</v>
      </c>
      <c r="F174" s="841">
        <f t="shared" si="61"/>
        <v>3857.7000000000003</v>
      </c>
      <c r="G174" s="1049">
        <v>77</v>
      </c>
      <c r="H174" s="306">
        <v>3857.7000000000003</v>
      </c>
      <c r="I174" s="307">
        <v>1</v>
      </c>
      <c r="J174" s="1046"/>
      <c r="K174" s="306">
        <f t="shared" ref="K174" si="71">J174*E174</f>
        <v>0</v>
      </c>
      <c r="L174" s="307">
        <f t="shared" ref="L174" si="72">K174/F174</f>
        <v>0</v>
      </c>
      <c r="M174" s="1047">
        <f t="shared" ref="M174" si="73">G174+J174</f>
        <v>77</v>
      </c>
      <c r="N174" s="306">
        <f t="shared" ref="N174" si="74">M174*E174</f>
        <v>3857.7000000000003</v>
      </c>
      <c r="O174" s="307">
        <f t="shared" ref="O174" si="75">N174/F174</f>
        <v>1</v>
      </c>
      <c r="P174" s="1047">
        <f t="shared" ref="P174" si="76">D174-M174</f>
        <v>0</v>
      </c>
      <c r="Q174" s="306">
        <f t="shared" si="62"/>
        <v>0</v>
      </c>
      <c r="R174" s="307">
        <f t="shared" ref="R174" si="77">Q174/F174</f>
        <v>0</v>
      </c>
      <c r="S174" s="314" t="str">
        <f t="shared" si="63"/>
        <v>ok</v>
      </c>
      <c r="T174" s="306"/>
      <c r="U174" s="314"/>
      <c r="V174" s="314"/>
      <c r="W174" s="314"/>
      <c r="X174" s="306"/>
    </row>
    <row r="175" spans="1:24" s="316" customFormat="1" ht="16.5" customHeight="1">
      <c r="A175" s="1101" t="s">
        <v>1326</v>
      </c>
      <c r="B175" s="1101" t="s">
        <v>1825</v>
      </c>
      <c r="C175" s="1104" t="s">
        <v>52</v>
      </c>
      <c r="D175" s="1105">
        <v>77</v>
      </c>
      <c r="E175" s="1106">
        <v>120</v>
      </c>
      <c r="F175" s="841">
        <f t="shared" si="61"/>
        <v>9240</v>
      </c>
      <c r="G175" s="1049">
        <v>77</v>
      </c>
      <c r="H175" s="306">
        <v>9240</v>
      </c>
      <c r="I175" s="307">
        <v>1</v>
      </c>
      <c r="J175" s="1046"/>
      <c r="K175" s="306">
        <f t="shared" ref="K175:K238" si="78">J175*E175</f>
        <v>0</v>
      </c>
      <c r="L175" s="307">
        <f t="shared" ref="L175:L238" si="79">K175/F175</f>
        <v>0</v>
      </c>
      <c r="M175" s="1047">
        <f t="shared" ref="M175:M238" si="80">G175+J175</f>
        <v>77</v>
      </c>
      <c r="N175" s="306">
        <f t="shared" ref="N175:N238" si="81">M175*E175</f>
        <v>9240</v>
      </c>
      <c r="O175" s="307">
        <f t="shared" ref="O175:O238" si="82">N175/F175</f>
        <v>1</v>
      </c>
      <c r="P175" s="1047">
        <f t="shared" ref="P175:P238" si="83">D175-M175</f>
        <v>0</v>
      </c>
      <c r="Q175" s="306">
        <f t="shared" si="62"/>
        <v>0</v>
      </c>
      <c r="R175" s="307">
        <f t="shared" ref="R175:R238" si="84">Q175/F175</f>
        <v>0</v>
      </c>
      <c r="S175" s="314" t="str">
        <f t="shared" si="63"/>
        <v>ok</v>
      </c>
      <c r="T175" s="306"/>
      <c r="U175" s="314"/>
      <c r="V175" s="314"/>
      <c r="W175" s="314"/>
      <c r="X175" s="306"/>
    </row>
    <row r="176" spans="1:24" s="316" customFormat="1" ht="16.5" customHeight="1">
      <c r="A176" s="1101" t="s">
        <v>1327</v>
      </c>
      <c r="B176" s="1101" t="s">
        <v>1826</v>
      </c>
      <c r="C176" s="1104" t="s">
        <v>52</v>
      </c>
      <c r="D176" s="1105">
        <v>38</v>
      </c>
      <c r="E176" s="1106">
        <v>30</v>
      </c>
      <c r="F176" s="841">
        <f t="shared" si="61"/>
        <v>1140</v>
      </c>
      <c r="G176" s="1049">
        <v>38</v>
      </c>
      <c r="H176" s="306">
        <v>1140</v>
      </c>
      <c r="I176" s="307">
        <v>1</v>
      </c>
      <c r="J176" s="1046"/>
      <c r="K176" s="306">
        <f t="shared" si="78"/>
        <v>0</v>
      </c>
      <c r="L176" s="307">
        <f t="shared" si="79"/>
        <v>0</v>
      </c>
      <c r="M176" s="1047">
        <f t="shared" si="80"/>
        <v>38</v>
      </c>
      <c r="N176" s="306">
        <f t="shared" si="81"/>
        <v>1140</v>
      </c>
      <c r="O176" s="307">
        <f t="shared" si="82"/>
        <v>1</v>
      </c>
      <c r="P176" s="1047">
        <f t="shared" si="83"/>
        <v>0</v>
      </c>
      <c r="Q176" s="306">
        <f t="shared" si="62"/>
        <v>0</v>
      </c>
      <c r="R176" s="307">
        <f t="shared" si="84"/>
        <v>0</v>
      </c>
      <c r="S176" s="314" t="str">
        <f t="shared" si="63"/>
        <v>ok</v>
      </c>
      <c r="T176" s="306"/>
      <c r="U176" s="314"/>
      <c r="V176" s="314"/>
      <c r="W176" s="314"/>
      <c r="X176" s="306"/>
    </row>
    <row r="177" spans="1:24" s="316" customFormat="1" ht="16.5" customHeight="1">
      <c r="A177" s="1101" t="s">
        <v>1328</v>
      </c>
      <c r="B177" s="1101" t="s">
        <v>1827</v>
      </c>
      <c r="C177" s="1104" t="s">
        <v>52</v>
      </c>
      <c r="D177" s="1105">
        <v>14</v>
      </c>
      <c r="E177" s="1106">
        <v>156</v>
      </c>
      <c r="F177" s="841">
        <f t="shared" si="61"/>
        <v>2184</v>
      </c>
      <c r="G177" s="1049">
        <v>14</v>
      </c>
      <c r="H177" s="306">
        <v>2184</v>
      </c>
      <c r="I177" s="307">
        <v>1</v>
      </c>
      <c r="J177" s="1046"/>
      <c r="K177" s="306">
        <f t="shared" si="78"/>
        <v>0</v>
      </c>
      <c r="L177" s="307">
        <f t="shared" si="79"/>
        <v>0</v>
      </c>
      <c r="M177" s="1047">
        <f t="shared" si="80"/>
        <v>14</v>
      </c>
      <c r="N177" s="306">
        <f t="shared" si="81"/>
        <v>2184</v>
      </c>
      <c r="O177" s="307">
        <f t="shared" si="82"/>
        <v>1</v>
      </c>
      <c r="P177" s="1047">
        <f t="shared" si="83"/>
        <v>0</v>
      </c>
      <c r="Q177" s="306">
        <f t="shared" si="62"/>
        <v>0</v>
      </c>
      <c r="R177" s="307">
        <f t="shared" si="84"/>
        <v>0</v>
      </c>
      <c r="S177" s="314" t="str">
        <f t="shared" si="63"/>
        <v>ok</v>
      </c>
      <c r="T177" s="306"/>
      <c r="U177" s="314"/>
      <c r="V177" s="314"/>
      <c r="W177" s="314"/>
      <c r="X177" s="306"/>
    </row>
    <row r="178" spans="1:24" s="316" customFormat="1" ht="16.5" customHeight="1">
      <c r="A178" s="1101" t="s">
        <v>1329</v>
      </c>
      <c r="B178" s="1101" t="s">
        <v>1828</v>
      </c>
      <c r="C178" s="1104" t="s">
        <v>52</v>
      </c>
      <c r="D178" s="1105">
        <v>26</v>
      </c>
      <c r="E178" s="1106">
        <v>690</v>
      </c>
      <c r="F178" s="841">
        <f t="shared" si="61"/>
        <v>17940</v>
      </c>
      <c r="G178" s="1049">
        <v>26</v>
      </c>
      <c r="H178" s="306">
        <v>17940</v>
      </c>
      <c r="I178" s="307">
        <v>1</v>
      </c>
      <c r="J178" s="1046"/>
      <c r="K178" s="306">
        <f t="shared" si="78"/>
        <v>0</v>
      </c>
      <c r="L178" s="307">
        <f t="shared" si="79"/>
        <v>0</v>
      </c>
      <c r="M178" s="1047">
        <f t="shared" si="80"/>
        <v>26</v>
      </c>
      <c r="N178" s="306">
        <f t="shared" si="81"/>
        <v>17940</v>
      </c>
      <c r="O178" s="307">
        <f t="shared" si="82"/>
        <v>1</v>
      </c>
      <c r="P178" s="1047">
        <f t="shared" si="83"/>
        <v>0</v>
      </c>
      <c r="Q178" s="306">
        <f t="shared" si="62"/>
        <v>0</v>
      </c>
      <c r="R178" s="307">
        <f t="shared" si="84"/>
        <v>0</v>
      </c>
      <c r="S178" s="314" t="str">
        <f t="shared" si="63"/>
        <v>ok</v>
      </c>
      <c r="T178" s="306"/>
      <c r="U178" s="314"/>
      <c r="V178" s="314"/>
      <c r="W178" s="314"/>
      <c r="X178" s="306"/>
    </row>
    <row r="179" spans="1:24" s="316" customFormat="1" ht="16.5" customHeight="1">
      <c r="A179" s="1101" t="s">
        <v>1330</v>
      </c>
      <c r="B179" s="1101" t="s">
        <v>1822</v>
      </c>
      <c r="C179" s="1104" t="s">
        <v>52</v>
      </c>
      <c r="D179" s="1105">
        <v>232</v>
      </c>
      <c r="E179" s="1106">
        <v>281.41000000000003</v>
      </c>
      <c r="F179" s="841">
        <f t="shared" si="61"/>
        <v>65287.12</v>
      </c>
      <c r="G179" s="1049">
        <v>0</v>
      </c>
      <c r="H179" s="306">
        <v>0</v>
      </c>
      <c r="I179" s="307">
        <v>0</v>
      </c>
      <c r="J179" s="1046"/>
      <c r="K179" s="306">
        <f t="shared" si="78"/>
        <v>0</v>
      </c>
      <c r="L179" s="307">
        <f t="shared" si="79"/>
        <v>0</v>
      </c>
      <c r="M179" s="1047">
        <f t="shared" si="80"/>
        <v>0</v>
      </c>
      <c r="N179" s="306">
        <f t="shared" si="81"/>
        <v>0</v>
      </c>
      <c r="O179" s="307">
        <f t="shared" si="82"/>
        <v>0</v>
      </c>
      <c r="P179" s="1047">
        <f t="shared" si="83"/>
        <v>232</v>
      </c>
      <c r="Q179" s="306">
        <f t="shared" si="62"/>
        <v>65287.12</v>
      </c>
      <c r="R179" s="307">
        <f t="shared" si="84"/>
        <v>1</v>
      </c>
      <c r="S179" s="314" t="str">
        <f t="shared" si="63"/>
        <v>ok</v>
      </c>
      <c r="T179" s="306"/>
      <c r="U179" s="314"/>
      <c r="V179" s="314"/>
      <c r="W179" s="314"/>
      <c r="X179" s="306"/>
    </row>
    <row r="180" spans="1:24" s="316" customFormat="1" ht="16.5" customHeight="1">
      <c r="A180" s="1101">
        <v>4.3</v>
      </c>
      <c r="B180" s="1102" t="s">
        <v>1829</v>
      </c>
      <c r="C180" s="1108"/>
      <c r="D180" s="1105"/>
      <c r="E180" s="1109"/>
      <c r="F180" s="841"/>
      <c r="G180" s="1049"/>
      <c r="H180" s="306"/>
      <c r="I180" s="307"/>
      <c r="J180" s="1046"/>
      <c r="K180" s="306"/>
      <c r="L180" s="307"/>
      <c r="M180" s="1047"/>
      <c r="N180" s="306"/>
      <c r="O180" s="307"/>
      <c r="P180" s="1047"/>
      <c r="Q180" s="306">
        <f t="shared" si="62"/>
        <v>0</v>
      </c>
      <c r="R180" s="307"/>
      <c r="S180" s="314" t="str">
        <f t="shared" si="63"/>
        <v>ok</v>
      </c>
      <c r="T180" s="306"/>
      <c r="U180" s="314"/>
      <c r="V180" s="314"/>
      <c r="W180" s="314"/>
      <c r="X180" s="306"/>
    </row>
    <row r="181" spans="1:24" s="316" customFormat="1" ht="16.5" customHeight="1">
      <c r="A181" s="1101" t="s">
        <v>1331</v>
      </c>
      <c r="B181" s="1103" t="s">
        <v>1830</v>
      </c>
      <c r="C181" s="1103"/>
      <c r="D181" s="1105"/>
      <c r="E181" s="1107"/>
      <c r="F181" s="841"/>
      <c r="G181" s="1049"/>
      <c r="H181" s="306"/>
      <c r="I181" s="307"/>
      <c r="J181" s="1046"/>
      <c r="K181" s="306"/>
      <c r="L181" s="307"/>
      <c r="M181" s="1047"/>
      <c r="N181" s="306"/>
      <c r="O181" s="307"/>
      <c r="P181" s="1047"/>
      <c r="Q181" s="306">
        <f t="shared" si="62"/>
        <v>0</v>
      </c>
      <c r="R181" s="307"/>
      <c r="S181" s="314" t="str">
        <f t="shared" si="63"/>
        <v>ok</v>
      </c>
      <c r="T181" s="306"/>
      <c r="U181" s="314"/>
      <c r="V181" s="314"/>
      <c r="W181" s="314"/>
      <c r="X181" s="306"/>
    </row>
    <row r="182" spans="1:24" s="316" customFormat="1" ht="16.5" customHeight="1">
      <c r="A182" s="1101" t="s">
        <v>1332</v>
      </c>
      <c r="B182" s="1101" t="s">
        <v>1831</v>
      </c>
      <c r="C182" s="1104" t="s">
        <v>1145</v>
      </c>
      <c r="D182" s="1105">
        <v>180</v>
      </c>
      <c r="E182" s="1106">
        <v>295.66000000000003</v>
      </c>
      <c r="F182" s="841">
        <f t="shared" si="61"/>
        <v>53218.8</v>
      </c>
      <c r="G182" s="1049">
        <v>0</v>
      </c>
      <c r="H182" s="306">
        <v>0</v>
      </c>
      <c r="I182" s="307">
        <v>0</v>
      </c>
      <c r="J182" s="1046"/>
      <c r="K182" s="306">
        <f t="shared" si="78"/>
        <v>0</v>
      </c>
      <c r="L182" s="307">
        <f t="shared" si="79"/>
        <v>0</v>
      </c>
      <c r="M182" s="1047">
        <f t="shared" si="80"/>
        <v>0</v>
      </c>
      <c r="N182" s="306">
        <f t="shared" si="81"/>
        <v>0</v>
      </c>
      <c r="O182" s="307">
        <f t="shared" si="82"/>
        <v>0</v>
      </c>
      <c r="P182" s="1047">
        <f t="shared" si="83"/>
        <v>180</v>
      </c>
      <c r="Q182" s="306">
        <f t="shared" si="62"/>
        <v>53218.8</v>
      </c>
      <c r="R182" s="307">
        <f t="shared" si="84"/>
        <v>1</v>
      </c>
      <c r="S182" s="314" t="str">
        <f t="shared" si="63"/>
        <v>ok</v>
      </c>
      <c r="T182" s="306"/>
      <c r="U182" s="314"/>
      <c r="V182" s="314"/>
      <c r="W182" s="314"/>
      <c r="X182" s="306"/>
    </row>
    <row r="183" spans="1:24" s="316" customFormat="1" ht="16.5" customHeight="1">
      <c r="A183" s="1101" t="s">
        <v>1333</v>
      </c>
      <c r="B183" s="1103" t="s">
        <v>1832</v>
      </c>
      <c r="C183" s="1103"/>
      <c r="D183" s="1105"/>
      <c r="E183" s="1107"/>
      <c r="F183" s="841"/>
      <c r="G183" s="1049"/>
      <c r="H183" s="306"/>
      <c r="I183" s="307"/>
      <c r="J183" s="1046"/>
      <c r="K183" s="306"/>
      <c r="L183" s="307"/>
      <c r="M183" s="1047"/>
      <c r="N183" s="306"/>
      <c r="O183" s="307"/>
      <c r="P183" s="1047"/>
      <c r="Q183" s="306">
        <f t="shared" si="62"/>
        <v>0</v>
      </c>
      <c r="R183" s="307"/>
      <c r="S183" s="314" t="str">
        <f t="shared" si="63"/>
        <v>ok</v>
      </c>
      <c r="T183" s="306"/>
      <c r="U183" s="314"/>
      <c r="V183" s="314"/>
      <c r="W183" s="314"/>
      <c r="X183" s="306"/>
    </row>
    <row r="184" spans="1:24" s="316" customFormat="1" ht="16.5" customHeight="1">
      <c r="A184" s="1101" t="s">
        <v>1334</v>
      </c>
      <c r="B184" s="1101" t="s">
        <v>1833</v>
      </c>
      <c r="C184" s="1104" t="s">
        <v>51</v>
      </c>
      <c r="D184" s="1105">
        <v>251.2</v>
      </c>
      <c r="E184" s="1106">
        <v>13.95</v>
      </c>
      <c r="F184" s="841">
        <f t="shared" si="61"/>
        <v>3504.24</v>
      </c>
      <c r="G184" s="1049">
        <v>251.2</v>
      </c>
      <c r="H184" s="306">
        <v>3504.24</v>
      </c>
      <c r="I184" s="307">
        <v>1</v>
      </c>
      <c r="J184" s="1046"/>
      <c r="K184" s="306">
        <f t="shared" si="78"/>
        <v>0</v>
      </c>
      <c r="L184" s="307">
        <f t="shared" si="79"/>
        <v>0</v>
      </c>
      <c r="M184" s="1047">
        <f t="shared" si="80"/>
        <v>251.2</v>
      </c>
      <c r="N184" s="306">
        <f t="shared" si="81"/>
        <v>3504.24</v>
      </c>
      <c r="O184" s="307">
        <f t="shared" si="82"/>
        <v>1</v>
      </c>
      <c r="P184" s="1047">
        <f t="shared" si="83"/>
        <v>0</v>
      </c>
      <c r="Q184" s="306">
        <f t="shared" si="62"/>
        <v>0</v>
      </c>
      <c r="R184" s="307">
        <f t="shared" si="84"/>
        <v>0</v>
      </c>
      <c r="S184" s="314" t="str">
        <f t="shared" si="63"/>
        <v>ok</v>
      </c>
      <c r="T184" s="306"/>
      <c r="U184" s="314"/>
      <c r="V184" s="314"/>
      <c r="W184" s="314"/>
      <c r="X184" s="306"/>
    </row>
    <row r="185" spans="1:24" s="316" customFormat="1" ht="16.5" customHeight="1">
      <c r="A185" s="1101" t="s">
        <v>1335</v>
      </c>
      <c r="B185" s="1101" t="s">
        <v>1834</v>
      </c>
      <c r="C185" s="1104" t="s">
        <v>51</v>
      </c>
      <c r="D185" s="1105">
        <v>28.09</v>
      </c>
      <c r="E185" s="1106">
        <v>16.149999999999999</v>
      </c>
      <c r="F185" s="841">
        <f t="shared" si="61"/>
        <v>453.65349999999995</v>
      </c>
      <c r="G185" s="1049">
        <v>28.09</v>
      </c>
      <c r="H185" s="306">
        <v>453.65349999999995</v>
      </c>
      <c r="I185" s="307">
        <v>1</v>
      </c>
      <c r="J185" s="1046"/>
      <c r="K185" s="306">
        <f t="shared" si="78"/>
        <v>0</v>
      </c>
      <c r="L185" s="307">
        <f t="shared" si="79"/>
        <v>0</v>
      </c>
      <c r="M185" s="1047">
        <f t="shared" si="80"/>
        <v>28.09</v>
      </c>
      <c r="N185" s="306">
        <f t="shared" si="81"/>
        <v>453.65349999999995</v>
      </c>
      <c r="O185" s="307">
        <f t="shared" si="82"/>
        <v>1</v>
      </c>
      <c r="P185" s="1047">
        <f t="shared" si="83"/>
        <v>0</v>
      </c>
      <c r="Q185" s="306">
        <f t="shared" si="62"/>
        <v>0</v>
      </c>
      <c r="R185" s="307">
        <f t="shared" si="84"/>
        <v>0</v>
      </c>
      <c r="S185" s="314" t="str">
        <f t="shared" si="63"/>
        <v>ok</v>
      </c>
      <c r="T185" s="306"/>
      <c r="U185" s="314"/>
      <c r="V185" s="314"/>
      <c r="W185" s="314"/>
      <c r="X185" s="306"/>
    </row>
    <row r="186" spans="1:24" s="316" customFormat="1" ht="16.5" customHeight="1">
      <c r="A186" s="1101" t="s">
        <v>1336</v>
      </c>
      <c r="B186" s="1101" t="s">
        <v>1835</v>
      </c>
      <c r="C186" s="1104" t="s">
        <v>51</v>
      </c>
      <c r="D186" s="1105">
        <v>41.75</v>
      </c>
      <c r="E186" s="1106">
        <v>22.55</v>
      </c>
      <c r="F186" s="841">
        <f t="shared" si="61"/>
        <v>941.46249999999998</v>
      </c>
      <c r="G186" s="1049">
        <v>41.75</v>
      </c>
      <c r="H186" s="306">
        <v>941.46249999999998</v>
      </c>
      <c r="I186" s="307">
        <v>1</v>
      </c>
      <c r="J186" s="1046"/>
      <c r="K186" s="306">
        <f t="shared" si="78"/>
        <v>0</v>
      </c>
      <c r="L186" s="307">
        <f t="shared" si="79"/>
        <v>0</v>
      </c>
      <c r="M186" s="1047">
        <f t="shared" si="80"/>
        <v>41.75</v>
      </c>
      <c r="N186" s="306">
        <f t="shared" si="81"/>
        <v>941.46249999999998</v>
      </c>
      <c r="O186" s="307">
        <f t="shared" si="82"/>
        <v>1</v>
      </c>
      <c r="P186" s="1047">
        <f t="shared" si="83"/>
        <v>0</v>
      </c>
      <c r="Q186" s="306">
        <f t="shared" si="62"/>
        <v>0</v>
      </c>
      <c r="R186" s="307">
        <f t="shared" si="84"/>
        <v>0</v>
      </c>
      <c r="S186" s="314" t="str">
        <f t="shared" si="63"/>
        <v>ok</v>
      </c>
      <c r="T186" s="306"/>
      <c r="U186" s="314"/>
      <c r="V186" s="314"/>
      <c r="W186" s="314"/>
      <c r="X186" s="306"/>
    </row>
    <row r="187" spans="1:24" s="316" customFormat="1" ht="16.5" customHeight="1">
      <c r="A187" s="1101" t="s">
        <v>1337</v>
      </c>
      <c r="B187" s="1101" t="s">
        <v>1836</v>
      </c>
      <c r="C187" s="1104" t="s">
        <v>52</v>
      </c>
      <c r="D187" s="1105">
        <v>2</v>
      </c>
      <c r="E187" s="1106">
        <v>18.170000000000002</v>
      </c>
      <c r="F187" s="841">
        <f t="shared" si="61"/>
        <v>36.340000000000003</v>
      </c>
      <c r="G187" s="1049">
        <v>0</v>
      </c>
      <c r="H187" s="306">
        <v>0</v>
      </c>
      <c r="I187" s="307">
        <v>0</v>
      </c>
      <c r="J187" s="1046"/>
      <c r="K187" s="306">
        <f t="shared" si="78"/>
        <v>0</v>
      </c>
      <c r="L187" s="307">
        <f t="shared" si="79"/>
        <v>0</v>
      </c>
      <c r="M187" s="1047">
        <f t="shared" si="80"/>
        <v>0</v>
      </c>
      <c r="N187" s="306">
        <f t="shared" si="81"/>
        <v>0</v>
      </c>
      <c r="O187" s="307">
        <f t="shared" si="82"/>
        <v>0</v>
      </c>
      <c r="P187" s="1047">
        <f t="shared" si="83"/>
        <v>2</v>
      </c>
      <c r="Q187" s="306">
        <f t="shared" si="62"/>
        <v>36.340000000000003</v>
      </c>
      <c r="R187" s="307">
        <f t="shared" si="84"/>
        <v>1</v>
      </c>
      <c r="S187" s="314" t="str">
        <f t="shared" si="63"/>
        <v>ok</v>
      </c>
      <c r="T187" s="306"/>
      <c r="U187" s="314"/>
      <c r="V187" s="314"/>
      <c r="W187" s="314"/>
      <c r="X187" s="306"/>
    </row>
    <row r="188" spans="1:24" s="316" customFormat="1" ht="16.5" customHeight="1">
      <c r="A188" s="1101" t="s">
        <v>1338</v>
      </c>
      <c r="B188" s="1101" t="s">
        <v>1837</v>
      </c>
      <c r="C188" s="1104" t="s">
        <v>52</v>
      </c>
      <c r="D188" s="1105">
        <v>6</v>
      </c>
      <c r="E188" s="1106">
        <v>14.53</v>
      </c>
      <c r="F188" s="841">
        <f t="shared" si="61"/>
        <v>87.179999999999993</v>
      </c>
      <c r="G188" s="1049">
        <v>6</v>
      </c>
      <c r="H188" s="306">
        <v>87.179999999999993</v>
      </c>
      <c r="I188" s="307">
        <v>1</v>
      </c>
      <c r="J188" s="1046"/>
      <c r="K188" s="306">
        <f t="shared" si="78"/>
        <v>0</v>
      </c>
      <c r="L188" s="307">
        <f t="shared" si="79"/>
        <v>0</v>
      </c>
      <c r="M188" s="1047">
        <f t="shared" si="80"/>
        <v>6</v>
      </c>
      <c r="N188" s="306">
        <f t="shared" si="81"/>
        <v>87.179999999999993</v>
      </c>
      <c r="O188" s="307">
        <f t="shared" si="82"/>
        <v>1</v>
      </c>
      <c r="P188" s="1047">
        <f t="shared" si="83"/>
        <v>0</v>
      </c>
      <c r="Q188" s="306">
        <f t="shared" si="62"/>
        <v>0</v>
      </c>
      <c r="R188" s="307">
        <f t="shared" si="84"/>
        <v>0</v>
      </c>
      <c r="S188" s="314" t="str">
        <f t="shared" si="63"/>
        <v>ok</v>
      </c>
      <c r="T188" s="306"/>
      <c r="U188" s="314"/>
      <c r="V188" s="314"/>
      <c r="W188" s="314"/>
      <c r="X188" s="306"/>
    </row>
    <row r="189" spans="1:24" s="316" customFormat="1" ht="16.5" customHeight="1">
      <c r="A189" s="1101" t="s">
        <v>1339</v>
      </c>
      <c r="B189" s="1101" t="s">
        <v>1838</v>
      </c>
      <c r="C189" s="1104" t="s">
        <v>52</v>
      </c>
      <c r="D189" s="1105">
        <v>362</v>
      </c>
      <c r="E189" s="1106">
        <v>10.23</v>
      </c>
      <c r="F189" s="841">
        <f t="shared" si="61"/>
        <v>3703.26</v>
      </c>
      <c r="G189" s="1049">
        <v>282</v>
      </c>
      <c r="H189" s="306">
        <v>2884.86</v>
      </c>
      <c r="I189" s="307">
        <v>0.77900552486187846</v>
      </c>
      <c r="J189" s="1046"/>
      <c r="K189" s="306">
        <f t="shared" si="78"/>
        <v>0</v>
      </c>
      <c r="L189" s="307">
        <f t="shared" si="79"/>
        <v>0</v>
      </c>
      <c r="M189" s="1047">
        <f t="shared" si="80"/>
        <v>282</v>
      </c>
      <c r="N189" s="306">
        <f t="shared" si="81"/>
        <v>2884.86</v>
      </c>
      <c r="O189" s="307">
        <f t="shared" si="82"/>
        <v>0.77900552486187846</v>
      </c>
      <c r="P189" s="1047">
        <f t="shared" si="83"/>
        <v>80</v>
      </c>
      <c r="Q189" s="306">
        <f t="shared" si="62"/>
        <v>818.40000000000009</v>
      </c>
      <c r="R189" s="307">
        <f t="shared" si="84"/>
        <v>0.22099447513812157</v>
      </c>
      <c r="S189" s="314" t="str">
        <f t="shared" si="63"/>
        <v>ok</v>
      </c>
      <c r="T189" s="306"/>
      <c r="U189" s="314"/>
      <c r="V189" s="314"/>
      <c r="W189" s="314"/>
      <c r="X189" s="306"/>
    </row>
    <row r="190" spans="1:24" s="316" customFormat="1" ht="16.5" customHeight="1">
      <c r="A190" s="1101" t="s">
        <v>1340</v>
      </c>
      <c r="B190" s="1101" t="s">
        <v>1839</v>
      </c>
      <c r="C190" s="1104" t="s">
        <v>52</v>
      </c>
      <c r="D190" s="1105">
        <v>7</v>
      </c>
      <c r="E190" s="1106">
        <v>23.88</v>
      </c>
      <c r="F190" s="841">
        <f t="shared" si="61"/>
        <v>167.16</v>
      </c>
      <c r="G190" s="1049">
        <v>0</v>
      </c>
      <c r="H190" s="306">
        <v>0</v>
      </c>
      <c r="I190" s="307">
        <v>0</v>
      </c>
      <c r="J190" s="1046"/>
      <c r="K190" s="306">
        <f t="shared" si="78"/>
        <v>0</v>
      </c>
      <c r="L190" s="307">
        <f t="shared" si="79"/>
        <v>0</v>
      </c>
      <c r="M190" s="1047">
        <f t="shared" si="80"/>
        <v>0</v>
      </c>
      <c r="N190" s="306">
        <f t="shared" si="81"/>
        <v>0</v>
      </c>
      <c r="O190" s="307">
        <f t="shared" si="82"/>
        <v>0</v>
      </c>
      <c r="P190" s="1047">
        <f t="shared" si="83"/>
        <v>7</v>
      </c>
      <c r="Q190" s="306">
        <f t="shared" si="62"/>
        <v>167.16</v>
      </c>
      <c r="R190" s="307">
        <f t="shared" si="84"/>
        <v>1</v>
      </c>
      <c r="S190" s="314" t="str">
        <f t="shared" si="63"/>
        <v>ok</v>
      </c>
      <c r="T190" s="306"/>
      <c r="U190" s="314"/>
      <c r="V190" s="314"/>
      <c r="W190" s="314"/>
      <c r="X190" s="306"/>
    </row>
    <row r="191" spans="1:24" s="316" customFormat="1" ht="16.5" customHeight="1">
      <c r="A191" s="1101" t="s">
        <v>1341</v>
      </c>
      <c r="B191" s="1101" t="s">
        <v>1840</v>
      </c>
      <c r="C191" s="1104" t="s">
        <v>52</v>
      </c>
      <c r="D191" s="1105">
        <v>11</v>
      </c>
      <c r="E191" s="1106">
        <v>14.66</v>
      </c>
      <c r="F191" s="841">
        <f t="shared" si="61"/>
        <v>161.26</v>
      </c>
      <c r="G191" s="1049">
        <v>0</v>
      </c>
      <c r="H191" s="306">
        <v>0</v>
      </c>
      <c r="I191" s="307">
        <v>0</v>
      </c>
      <c r="J191" s="1046"/>
      <c r="K191" s="306">
        <f t="shared" si="78"/>
        <v>0</v>
      </c>
      <c r="L191" s="307">
        <f t="shared" si="79"/>
        <v>0</v>
      </c>
      <c r="M191" s="1047">
        <f t="shared" si="80"/>
        <v>0</v>
      </c>
      <c r="N191" s="306">
        <f t="shared" si="81"/>
        <v>0</v>
      </c>
      <c r="O191" s="307">
        <f t="shared" si="82"/>
        <v>0</v>
      </c>
      <c r="P191" s="1047">
        <f t="shared" si="83"/>
        <v>11</v>
      </c>
      <c r="Q191" s="306">
        <f t="shared" si="62"/>
        <v>161.26</v>
      </c>
      <c r="R191" s="307">
        <f t="shared" si="84"/>
        <v>1</v>
      </c>
      <c r="S191" s="314" t="str">
        <f t="shared" si="63"/>
        <v>ok</v>
      </c>
      <c r="T191" s="306"/>
      <c r="U191" s="314"/>
      <c r="V191" s="314"/>
      <c r="W191" s="314"/>
      <c r="X191" s="306"/>
    </row>
    <row r="192" spans="1:24" s="316" customFormat="1" ht="16.5" customHeight="1">
      <c r="A192" s="1101" t="s">
        <v>1342</v>
      </c>
      <c r="B192" s="1101" t="s">
        <v>1841</v>
      </c>
      <c r="C192" s="1104" t="s">
        <v>52</v>
      </c>
      <c r="D192" s="1105">
        <v>149</v>
      </c>
      <c r="E192" s="1106">
        <v>12.46</v>
      </c>
      <c r="F192" s="841">
        <f t="shared" si="61"/>
        <v>1856.5400000000002</v>
      </c>
      <c r="G192" s="1049">
        <v>71</v>
      </c>
      <c r="H192" s="306">
        <v>884.66000000000008</v>
      </c>
      <c r="I192" s="307">
        <v>0.47651006711409394</v>
      </c>
      <c r="J192" s="1046"/>
      <c r="K192" s="306">
        <f t="shared" si="78"/>
        <v>0</v>
      </c>
      <c r="L192" s="307">
        <f t="shared" si="79"/>
        <v>0</v>
      </c>
      <c r="M192" s="1047">
        <f t="shared" si="80"/>
        <v>71</v>
      </c>
      <c r="N192" s="306">
        <f t="shared" si="81"/>
        <v>884.66000000000008</v>
      </c>
      <c r="O192" s="307">
        <f t="shared" si="82"/>
        <v>0.47651006711409394</v>
      </c>
      <c r="P192" s="1047">
        <f t="shared" si="83"/>
        <v>78</v>
      </c>
      <c r="Q192" s="306">
        <f t="shared" si="62"/>
        <v>971.88000000000011</v>
      </c>
      <c r="R192" s="307">
        <f t="shared" si="84"/>
        <v>0.52348993288590606</v>
      </c>
      <c r="S192" s="314" t="str">
        <f t="shared" si="63"/>
        <v>ok</v>
      </c>
      <c r="T192" s="306"/>
      <c r="U192" s="314"/>
      <c r="V192" s="314"/>
      <c r="W192" s="314"/>
      <c r="X192" s="306"/>
    </row>
    <row r="193" spans="1:24" s="316" customFormat="1" ht="16.5" customHeight="1">
      <c r="A193" s="1101" t="s">
        <v>1343</v>
      </c>
      <c r="B193" s="1101" t="s">
        <v>1842</v>
      </c>
      <c r="C193" s="1104" t="s">
        <v>52</v>
      </c>
      <c r="D193" s="1105">
        <v>3</v>
      </c>
      <c r="E193" s="1106">
        <v>14.06</v>
      </c>
      <c r="F193" s="841">
        <f t="shared" si="61"/>
        <v>42.18</v>
      </c>
      <c r="G193" s="1049">
        <v>3</v>
      </c>
      <c r="H193" s="306">
        <v>42.18</v>
      </c>
      <c r="I193" s="307">
        <v>1</v>
      </c>
      <c r="J193" s="1046"/>
      <c r="K193" s="306">
        <f t="shared" si="78"/>
        <v>0</v>
      </c>
      <c r="L193" s="307">
        <f t="shared" si="79"/>
        <v>0</v>
      </c>
      <c r="M193" s="1047">
        <f t="shared" si="80"/>
        <v>3</v>
      </c>
      <c r="N193" s="306">
        <f t="shared" si="81"/>
        <v>42.18</v>
      </c>
      <c r="O193" s="307">
        <f t="shared" si="82"/>
        <v>1</v>
      </c>
      <c r="P193" s="1047">
        <f t="shared" si="83"/>
        <v>0</v>
      </c>
      <c r="Q193" s="306">
        <f t="shared" si="62"/>
        <v>0</v>
      </c>
      <c r="R193" s="307">
        <f t="shared" si="84"/>
        <v>0</v>
      </c>
      <c r="S193" s="314" t="str">
        <f t="shared" si="63"/>
        <v>ok</v>
      </c>
      <c r="T193" s="306"/>
      <c r="U193" s="314"/>
      <c r="V193" s="314"/>
      <c r="W193" s="314"/>
      <c r="X193" s="306"/>
    </row>
    <row r="194" spans="1:24" s="316" customFormat="1" ht="16.5" customHeight="1">
      <c r="A194" s="1101" t="s">
        <v>1344</v>
      </c>
      <c r="B194" s="1101" t="s">
        <v>1843</v>
      </c>
      <c r="C194" s="1104" t="s">
        <v>52</v>
      </c>
      <c r="D194" s="1105">
        <v>3</v>
      </c>
      <c r="E194" s="1106">
        <v>13.53</v>
      </c>
      <c r="F194" s="841">
        <f t="shared" si="61"/>
        <v>40.589999999999996</v>
      </c>
      <c r="G194" s="1049">
        <v>0</v>
      </c>
      <c r="H194" s="306">
        <v>0</v>
      </c>
      <c r="I194" s="307">
        <v>0</v>
      </c>
      <c r="J194" s="1046"/>
      <c r="K194" s="306">
        <f t="shared" si="78"/>
        <v>0</v>
      </c>
      <c r="L194" s="307">
        <f t="shared" si="79"/>
        <v>0</v>
      </c>
      <c r="M194" s="1047">
        <f t="shared" si="80"/>
        <v>0</v>
      </c>
      <c r="N194" s="306">
        <f t="shared" si="81"/>
        <v>0</v>
      </c>
      <c r="O194" s="307">
        <f t="shared" si="82"/>
        <v>0</v>
      </c>
      <c r="P194" s="1047">
        <f t="shared" si="83"/>
        <v>3</v>
      </c>
      <c r="Q194" s="306">
        <f t="shared" si="62"/>
        <v>40.589999999999996</v>
      </c>
      <c r="R194" s="307">
        <f t="shared" si="84"/>
        <v>1</v>
      </c>
      <c r="S194" s="314" t="str">
        <f t="shared" si="63"/>
        <v>ok</v>
      </c>
      <c r="T194" s="306"/>
      <c r="U194" s="314"/>
      <c r="V194" s="314"/>
      <c r="W194" s="314"/>
      <c r="X194" s="306"/>
    </row>
    <row r="195" spans="1:24" s="316" customFormat="1" ht="16.5" customHeight="1">
      <c r="A195" s="1101" t="s">
        <v>1345</v>
      </c>
      <c r="B195" s="1101" t="s">
        <v>1844</v>
      </c>
      <c r="C195" s="1104" t="s">
        <v>52</v>
      </c>
      <c r="D195" s="1105">
        <v>2</v>
      </c>
      <c r="E195" s="1106">
        <v>24.41</v>
      </c>
      <c r="F195" s="841">
        <f t="shared" si="61"/>
        <v>48.82</v>
      </c>
      <c r="G195" s="1049">
        <v>0</v>
      </c>
      <c r="H195" s="306">
        <v>0</v>
      </c>
      <c r="I195" s="307">
        <v>0</v>
      </c>
      <c r="J195" s="1046"/>
      <c r="K195" s="306">
        <f t="shared" si="78"/>
        <v>0</v>
      </c>
      <c r="L195" s="307">
        <f t="shared" si="79"/>
        <v>0</v>
      </c>
      <c r="M195" s="1047">
        <f t="shared" si="80"/>
        <v>0</v>
      </c>
      <c r="N195" s="306">
        <f t="shared" si="81"/>
        <v>0</v>
      </c>
      <c r="O195" s="307">
        <f t="shared" si="82"/>
        <v>0</v>
      </c>
      <c r="P195" s="1047">
        <f t="shared" si="83"/>
        <v>2</v>
      </c>
      <c r="Q195" s="306">
        <f t="shared" si="62"/>
        <v>48.82</v>
      </c>
      <c r="R195" s="307">
        <f t="shared" si="84"/>
        <v>1</v>
      </c>
      <c r="S195" s="314" t="str">
        <f t="shared" si="63"/>
        <v>ok</v>
      </c>
      <c r="T195" s="306"/>
      <c r="U195" s="314"/>
      <c r="V195" s="314"/>
      <c r="W195" s="314"/>
      <c r="X195" s="306"/>
    </row>
    <row r="196" spans="1:24" s="316" customFormat="1" ht="16.5" customHeight="1">
      <c r="A196" s="1101" t="s">
        <v>1346</v>
      </c>
      <c r="B196" s="1101" t="s">
        <v>1845</v>
      </c>
      <c r="C196" s="1104" t="s">
        <v>52</v>
      </c>
      <c r="D196" s="1105">
        <v>18</v>
      </c>
      <c r="E196" s="1106">
        <v>24.41</v>
      </c>
      <c r="F196" s="841">
        <f t="shared" si="61"/>
        <v>439.38</v>
      </c>
      <c r="G196" s="1049">
        <v>0</v>
      </c>
      <c r="H196" s="306">
        <v>0</v>
      </c>
      <c r="I196" s="307">
        <v>0</v>
      </c>
      <c r="J196" s="1046"/>
      <c r="K196" s="306">
        <f t="shared" si="78"/>
        <v>0</v>
      </c>
      <c r="L196" s="307">
        <f t="shared" si="79"/>
        <v>0</v>
      </c>
      <c r="M196" s="1047">
        <f t="shared" si="80"/>
        <v>0</v>
      </c>
      <c r="N196" s="306">
        <f t="shared" si="81"/>
        <v>0</v>
      </c>
      <c r="O196" s="307">
        <f t="shared" si="82"/>
        <v>0</v>
      </c>
      <c r="P196" s="1047">
        <f t="shared" si="83"/>
        <v>18</v>
      </c>
      <c r="Q196" s="306">
        <f t="shared" si="62"/>
        <v>439.38</v>
      </c>
      <c r="R196" s="307">
        <f t="shared" si="84"/>
        <v>1</v>
      </c>
      <c r="S196" s="314" t="str">
        <f t="shared" si="63"/>
        <v>ok</v>
      </c>
      <c r="T196" s="306"/>
      <c r="U196" s="314"/>
      <c r="V196" s="314"/>
      <c r="W196" s="314"/>
      <c r="X196" s="306"/>
    </row>
    <row r="197" spans="1:24" s="316" customFormat="1" ht="16.5" customHeight="1">
      <c r="A197" s="1101" t="s">
        <v>1347</v>
      </c>
      <c r="B197" s="1103" t="s">
        <v>1846</v>
      </c>
      <c r="C197" s="1103"/>
      <c r="D197" s="1105"/>
      <c r="E197" s="1107"/>
      <c r="F197" s="841"/>
      <c r="G197" s="1049"/>
      <c r="H197" s="306"/>
      <c r="I197" s="307"/>
      <c r="J197" s="1046"/>
      <c r="K197" s="306"/>
      <c r="L197" s="307"/>
      <c r="M197" s="1047"/>
      <c r="N197" s="306"/>
      <c r="O197" s="307"/>
      <c r="P197" s="1047"/>
      <c r="Q197" s="306">
        <f t="shared" si="62"/>
        <v>0</v>
      </c>
      <c r="R197" s="307"/>
      <c r="S197" s="314" t="str">
        <f t="shared" si="63"/>
        <v>ok</v>
      </c>
      <c r="T197" s="306"/>
      <c r="U197" s="314"/>
      <c r="V197" s="314"/>
      <c r="W197" s="314"/>
      <c r="X197" s="306"/>
    </row>
    <row r="198" spans="1:24" s="316" customFormat="1" ht="16.5" customHeight="1">
      <c r="A198" s="1101" t="s">
        <v>1348</v>
      </c>
      <c r="B198" s="1101" t="s">
        <v>1847</v>
      </c>
      <c r="C198" s="1104" t="s">
        <v>52</v>
      </c>
      <c r="D198" s="1105">
        <v>23</v>
      </c>
      <c r="E198" s="1106">
        <v>124.03</v>
      </c>
      <c r="F198" s="841">
        <f t="shared" si="61"/>
        <v>2852.69</v>
      </c>
      <c r="G198" s="1049">
        <v>0</v>
      </c>
      <c r="H198" s="306">
        <v>0</v>
      </c>
      <c r="I198" s="307">
        <v>0</v>
      </c>
      <c r="J198" s="1046"/>
      <c r="K198" s="306">
        <f t="shared" si="78"/>
        <v>0</v>
      </c>
      <c r="L198" s="307">
        <f t="shared" si="79"/>
        <v>0</v>
      </c>
      <c r="M198" s="1047">
        <f t="shared" si="80"/>
        <v>0</v>
      </c>
      <c r="N198" s="306">
        <f t="shared" si="81"/>
        <v>0</v>
      </c>
      <c r="O198" s="307">
        <f t="shared" si="82"/>
        <v>0</v>
      </c>
      <c r="P198" s="1047">
        <f t="shared" si="83"/>
        <v>23</v>
      </c>
      <c r="Q198" s="306">
        <f t="shared" si="62"/>
        <v>2852.69</v>
      </c>
      <c r="R198" s="307">
        <f t="shared" si="84"/>
        <v>1</v>
      </c>
      <c r="S198" s="314" t="str">
        <f t="shared" si="63"/>
        <v>ok</v>
      </c>
      <c r="T198" s="306"/>
      <c r="U198" s="314"/>
      <c r="V198" s="314"/>
      <c r="W198" s="314"/>
      <c r="X198" s="306"/>
    </row>
    <row r="199" spans="1:24" s="316" customFormat="1" ht="16.5" customHeight="1">
      <c r="A199" s="1101" t="s">
        <v>1349</v>
      </c>
      <c r="B199" s="1101" t="s">
        <v>1848</v>
      </c>
      <c r="C199" s="1104" t="s">
        <v>52</v>
      </c>
      <c r="D199" s="1105">
        <v>1</v>
      </c>
      <c r="E199" s="1106">
        <v>347.93</v>
      </c>
      <c r="F199" s="841">
        <f t="shared" si="61"/>
        <v>347.93</v>
      </c>
      <c r="G199" s="1049">
        <v>0</v>
      </c>
      <c r="H199" s="306">
        <v>0</v>
      </c>
      <c r="I199" s="307">
        <v>0</v>
      </c>
      <c r="J199" s="1046"/>
      <c r="K199" s="306">
        <f t="shared" si="78"/>
        <v>0</v>
      </c>
      <c r="L199" s="307">
        <f t="shared" si="79"/>
        <v>0</v>
      </c>
      <c r="M199" s="1047">
        <f t="shared" si="80"/>
        <v>0</v>
      </c>
      <c r="N199" s="306">
        <f t="shared" si="81"/>
        <v>0</v>
      </c>
      <c r="O199" s="307">
        <f t="shared" si="82"/>
        <v>0</v>
      </c>
      <c r="P199" s="1047">
        <f t="shared" si="83"/>
        <v>1</v>
      </c>
      <c r="Q199" s="306">
        <f t="shared" si="62"/>
        <v>347.93</v>
      </c>
      <c r="R199" s="307">
        <f t="shared" si="84"/>
        <v>1</v>
      </c>
      <c r="S199" s="314" t="str">
        <f t="shared" si="63"/>
        <v>ok</v>
      </c>
      <c r="T199" s="306"/>
      <c r="U199" s="314"/>
      <c r="V199" s="314"/>
      <c r="W199" s="314"/>
      <c r="X199" s="306"/>
    </row>
    <row r="200" spans="1:24" s="316" customFormat="1" ht="16.5" customHeight="1">
      <c r="A200" s="1101" t="s">
        <v>1350</v>
      </c>
      <c r="B200" s="1101" t="s">
        <v>1849</v>
      </c>
      <c r="C200" s="1104" t="s">
        <v>52</v>
      </c>
      <c r="D200" s="1105">
        <v>2</v>
      </c>
      <c r="E200" s="1106">
        <v>189.99</v>
      </c>
      <c r="F200" s="841">
        <f t="shared" si="61"/>
        <v>379.98</v>
      </c>
      <c r="G200" s="1049">
        <v>0</v>
      </c>
      <c r="H200" s="306">
        <v>0</v>
      </c>
      <c r="I200" s="307">
        <v>0</v>
      </c>
      <c r="J200" s="1046"/>
      <c r="K200" s="306">
        <f t="shared" si="78"/>
        <v>0</v>
      </c>
      <c r="L200" s="307">
        <f t="shared" si="79"/>
        <v>0</v>
      </c>
      <c r="M200" s="1047">
        <f t="shared" si="80"/>
        <v>0</v>
      </c>
      <c r="N200" s="306">
        <f t="shared" si="81"/>
        <v>0</v>
      </c>
      <c r="O200" s="307">
        <f t="shared" si="82"/>
        <v>0</v>
      </c>
      <c r="P200" s="1047">
        <f t="shared" si="83"/>
        <v>2</v>
      </c>
      <c r="Q200" s="306">
        <f t="shared" si="62"/>
        <v>379.98</v>
      </c>
      <c r="R200" s="307">
        <f t="shared" si="84"/>
        <v>1</v>
      </c>
      <c r="S200" s="314" t="str">
        <f t="shared" si="63"/>
        <v>ok</v>
      </c>
      <c r="T200" s="306"/>
      <c r="U200" s="314"/>
      <c r="V200" s="314"/>
      <c r="W200" s="314"/>
      <c r="X200" s="306"/>
    </row>
    <row r="201" spans="1:24" s="316" customFormat="1" ht="16.5" customHeight="1">
      <c r="A201" s="1101" t="s">
        <v>1351</v>
      </c>
      <c r="B201" s="1103" t="s">
        <v>1850</v>
      </c>
      <c r="C201" s="1103"/>
      <c r="D201" s="1105"/>
      <c r="E201" s="1107"/>
      <c r="F201" s="841"/>
      <c r="G201" s="1049"/>
      <c r="H201" s="306"/>
      <c r="I201" s="307"/>
      <c r="J201" s="1046"/>
      <c r="K201" s="306"/>
      <c r="L201" s="307"/>
      <c r="M201" s="1047"/>
      <c r="N201" s="306"/>
      <c r="O201" s="307"/>
      <c r="P201" s="1047"/>
      <c r="Q201" s="306">
        <f t="shared" si="62"/>
        <v>0</v>
      </c>
      <c r="R201" s="307"/>
      <c r="S201" s="314" t="str">
        <f t="shared" si="63"/>
        <v>ok</v>
      </c>
      <c r="T201" s="306"/>
      <c r="U201" s="314"/>
      <c r="V201" s="314"/>
      <c r="W201" s="314"/>
      <c r="X201" s="306"/>
    </row>
    <row r="202" spans="1:24" s="316" customFormat="1" ht="16.5" customHeight="1">
      <c r="A202" s="1101" t="s">
        <v>1352</v>
      </c>
      <c r="B202" s="1101" t="s">
        <v>1851</v>
      </c>
      <c r="C202" s="1104" t="s">
        <v>52</v>
      </c>
      <c r="D202" s="1105">
        <v>3</v>
      </c>
      <c r="E202" s="1106">
        <v>6689.27</v>
      </c>
      <c r="F202" s="841">
        <f t="shared" si="61"/>
        <v>20067.810000000001</v>
      </c>
      <c r="G202" s="1049">
        <v>0</v>
      </c>
      <c r="H202" s="306">
        <v>0</v>
      </c>
      <c r="I202" s="307">
        <v>0</v>
      </c>
      <c r="J202" s="1046"/>
      <c r="K202" s="306">
        <f t="shared" si="78"/>
        <v>0</v>
      </c>
      <c r="L202" s="307">
        <f t="shared" si="79"/>
        <v>0</v>
      </c>
      <c r="M202" s="1047">
        <f t="shared" si="80"/>
        <v>0</v>
      </c>
      <c r="N202" s="306">
        <f t="shared" si="81"/>
        <v>0</v>
      </c>
      <c r="O202" s="307">
        <f t="shared" si="82"/>
        <v>0</v>
      </c>
      <c r="P202" s="1047">
        <f t="shared" si="83"/>
        <v>3</v>
      </c>
      <c r="Q202" s="306">
        <f t="shared" si="62"/>
        <v>20067.810000000001</v>
      </c>
      <c r="R202" s="307">
        <f t="shared" si="84"/>
        <v>1</v>
      </c>
      <c r="S202" s="314" t="str">
        <f t="shared" si="63"/>
        <v>ok</v>
      </c>
      <c r="T202" s="306"/>
      <c r="U202" s="314"/>
      <c r="V202" s="314"/>
      <c r="W202" s="314"/>
      <c r="X202" s="306"/>
    </row>
    <row r="203" spans="1:24" s="316" customFormat="1" ht="16.5" customHeight="1">
      <c r="A203" s="1101" t="s">
        <v>1353</v>
      </c>
      <c r="B203" s="1101" t="s">
        <v>1852</v>
      </c>
      <c r="C203" s="1104" t="s">
        <v>52</v>
      </c>
      <c r="D203" s="1105">
        <v>1</v>
      </c>
      <c r="E203" s="1106">
        <v>803.37</v>
      </c>
      <c r="F203" s="841">
        <f t="shared" si="61"/>
        <v>803.37</v>
      </c>
      <c r="G203" s="1049">
        <v>0</v>
      </c>
      <c r="H203" s="306">
        <v>0</v>
      </c>
      <c r="I203" s="307">
        <v>0</v>
      </c>
      <c r="J203" s="1046"/>
      <c r="K203" s="306">
        <f t="shared" si="78"/>
        <v>0</v>
      </c>
      <c r="L203" s="307">
        <f t="shared" si="79"/>
        <v>0</v>
      </c>
      <c r="M203" s="1047">
        <f t="shared" si="80"/>
        <v>0</v>
      </c>
      <c r="N203" s="306">
        <f t="shared" si="81"/>
        <v>0</v>
      </c>
      <c r="O203" s="307">
        <f t="shared" si="82"/>
        <v>0</v>
      </c>
      <c r="P203" s="1047">
        <f t="shared" si="83"/>
        <v>1</v>
      </c>
      <c r="Q203" s="306">
        <f t="shared" si="62"/>
        <v>803.37</v>
      </c>
      <c r="R203" s="307">
        <f t="shared" si="84"/>
        <v>1</v>
      </c>
      <c r="S203" s="314" t="str">
        <f t="shared" si="63"/>
        <v>ok</v>
      </c>
      <c r="T203" s="306"/>
      <c r="U203" s="314"/>
      <c r="V203" s="314"/>
      <c r="W203" s="314"/>
      <c r="X203" s="306"/>
    </row>
    <row r="204" spans="1:24" s="316" customFormat="1" ht="16.5" customHeight="1">
      <c r="A204" s="1101" t="s">
        <v>1354</v>
      </c>
      <c r="B204" s="1101" t="s">
        <v>1853</v>
      </c>
      <c r="C204" s="1104" t="s">
        <v>52</v>
      </c>
      <c r="D204" s="1105">
        <v>23</v>
      </c>
      <c r="E204" s="1106">
        <v>107.86</v>
      </c>
      <c r="F204" s="841">
        <f t="shared" si="61"/>
        <v>2480.7800000000002</v>
      </c>
      <c r="G204" s="1049">
        <v>23</v>
      </c>
      <c r="H204" s="306">
        <v>2480.7800000000002</v>
      </c>
      <c r="I204" s="307">
        <v>1</v>
      </c>
      <c r="J204" s="1046"/>
      <c r="K204" s="306">
        <f t="shared" si="78"/>
        <v>0</v>
      </c>
      <c r="L204" s="307">
        <f t="shared" si="79"/>
        <v>0</v>
      </c>
      <c r="M204" s="1047">
        <f t="shared" si="80"/>
        <v>23</v>
      </c>
      <c r="N204" s="306">
        <f t="shared" si="81"/>
        <v>2480.7800000000002</v>
      </c>
      <c r="O204" s="307">
        <f t="shared" si="82"/>
        <v>1</v>
      </c>
      <c r="P204" s="1047">
        <f t="shared" si="83"/>
        <v>0</v>
      </c>
      <c r="Q204" s="306">
        <f t="shared" si="62"/>
        <v>0</v>
      </c>
      <c r="R204" s="307">
        <f t="shared" si="84"/>
        <v>0</v>
      </c>
      <c r="S204" s="314" t="str">
        <f t="shared" si="63"/>
        <v>ok</v>
      </c>
      <c r="T204" s="306"/>
      <c r="U204" s="314"/>
      <c r="V204" s="314"/>
      <c r="W204" s="314"/>
      <c r="X204" s="306"/>
    </row>
    <row r="205" spans="1:24" s="316" customFormat="1" ht="16.5" customHeight="1">
      <c r="A205" s="1101">
        <v>4.4000000000000004</v>
      </c>
      <c r="B205" s="1102" t="s">
        <v>1854</v>
      </c>
      <c r="C205" s="1108"/>
      <c r="D205" s="1105"/>
      <c r="E205" s="1109"/>
      <c r="F205" s="841"/>
      <c r="G205" s="1049"/>
      <c r="H205" s="306"/>
      <c r="I205" s="307"/>
      <c r="J205" s="1046"/>
      <c r="K205" s="306"/>
      <c r="L205" s="307"/>
      <c r="M205" s="1047"/>
      <c r="N205" s="306"/>
      <c r="O205" s="307"/>
      <c r="P205" s="1047"/>
      <c r="Q205" s="306">
        <f t="shared" si="62"/>
        <v>0</v>
      </c>
      <c r="R205" s="307"/>
      <c r="S205" s="314" t="str">
        <f t="shared" si="63"/>
        <v>ok</v>
      </c>
      <c r="T205" s="306"/>
      <c r="U205" s="314"/>
      <c r="V205" s="314"/>
      <c r="W205" s="314"/>
      <c r="X205" s="306"/>
    </row>
    <row r="206" spans="1:24" s="316" customFormat="1" ht="16.5" customHeight="1">
      <c r="A206" s="1101" t="s">
        <v>1355</v>
      </c>
      <c r="B206" s="1103" t="s">
        <v>1855</v>
      </c>
      <c r="C206" s="1103"/>
      <c r="D206" s="1105"/>
      <c r="E206" s="1107"/>
      <c r="F206" s="841"/>
      <c r="G206" s="1049"/>
      <c r="H206" s="306"/>
      <c r="I206" s="307"/>
      <c r="J206" s="1046"/>
      <c r="K206" s="306"/>
      <c r="L206" s="307"/>
      <c r="M206" s="1047"/>
      <c r="N206" s="306"/>
      <c r="O206" s="307"/>
      <c r="P206" s="1047"/>
      <c r="Q206" s="306">
        <f t="shared" si="62"/>
        <v>0</v>
      </c>
      <c r="R206" s="307"/>
      <c r="S206" s="314" t="str">
        <f t="shared" si="63"/>
        <v>ok</v>
      </c>
      <c r="T206" s="306"/>
      <c r="U206" s="314"/>
      <c r="V206" s="314"/>
      <c r="W206" s="314"/>
      <c r="X206" s="306"/>
    </row>
    <row r="207" spans="1:24" s="316" customFormat="1" ht="16.5" customHeight="1">
      <c r="A207" s="1101" t="s">
        <v>1356</v>
      </c>
      <c r="B207" s="1101" t="s">
        <v>1856</v>
      </c>
      <c r="C207" s="1104" t="s">
        <v>51</v>
      </c>
      <c r="D207" s="1105">
        <v>39</v>
      </c>
      <c r="E207" s="1106">
        <v>38.28</v>
      </c>
      <c r="F207" s="841">
        <f t="shared" si="61"/>
        <v>1492.92</v>
      </c>
      <c r="G207" s="1049">
        <v>0</v>
      </c>
      <c r="H207" s="306">
        <v>0</v>
      </c>
      <c r="I207" s="307">
        <v>0</v>
      </c>
      <c r="J207" s="1046"/>
      <c r="K207" s="306">
        <f t="shared" si="78"/>
        <v>0</v>
      </c>
      <c r="L207" s="307">
        <f t="shared" si="79"/>
        <v>0</v>
      </c>
      <c r="M207" s="1047">
        <f t="shared" si="80"/>
        <v>0</v>
      </c>
      <c r="N207" s="306">
        <f t="shared" si="81"/>
        <v>0</v>
      </c>
      <c r="O207" s="307">
        <f t="shared" si="82"/>
        <v>0</v>
      </c>
      <c r="P207" s="1047">
        <f t="shared" si="83"/>
        <v>39</v>
      </c>
      <c r="Q207" s="306">
        <f t="shared" si="62"/>
        <v>1492.92</v>
      </c>
      <c r="R207" s="307">
        <f t="shared" si="84"/>
        <v>1</v>
      </c>
      <c r="S207" s="314" t="str">
        <f t="shared" si="63"/>
        <v>ok</v>
      </c>
      <c r="T207" s="306"/>
      <c r="U207" s="314"/>
      <c r="V207" s="314"/>
      <c r="W207" s="314"/>
      <c r="X207" s="306"/>
    </row>
    <row r="208" spans="1:24" s="316" customFormat="1" ht="16.5" customHeight="1">
      <c r="A208" s="1101" t="s">
        <v>1357</v>
      </c>
      <c r="B208" s="1101" t="s">
        <v>1857</v>
      </c>
      <c r="C208" s="1104" t="s">
        <v>51</v>
      </c>
      <c r="D208" s="1105">
        <v>266.3</v>
      </c>
      <c r="E208" s="1106">
        <v>110.48</v>
      </c>
      <c r="F208" s="841">
        <f t="shared" si="61"/>
        <v>29420.824000000001</v>
      </c>
      <c r="G208" s="1049">
        <v>0</v>
      </c>
      <c r="H208" s="306">
        <v>0</v>
      </c>
      <c r="I208" s="307">
        <v>0</v>
      </c>
      <c r="J208" s="1046"/>
      <c r="K208" s="306">
        <f t="shared" si="78"/>
        <v>0</v>
      </c>
      <c r="L208" s="307">
        <f t="shared" si="79"/>
        <v>0</v>
      </c>
      <c r="M208" s="1047">
        <f t="shared" si="80"/>
        <v>0</v>
      </c>
      <c r="N208" s="306">
        <f t="shared" si="81"/>
        <v>0</v>
      </c>
      <c r="O208" s="307">
        <f t="shared" si="82"/>
        <v>0</v>
      </c>
      <c r="P208" s="1047">
        <f t="shared" si="83"/>
        <v>266.3</v>
      </c>
      <c r="Q208" s="306">
        <f t="shared" si="62"/>
        <v>29420.824000000001</v>
      </c>
      <c r="R208" s="307">
        <f t="shared" si="84"/>
        <v>1</v>
      </c>
      <c r="S208" s="314" t="str">
        <f t="shared" si="63"/>
        <v>ok</v>
      </c>
      <c r="T208" s="306"/>
      <c r="U208" s="314"/>
      <c r="V208" s="314"/>
      <c r="W208" s="314"/>
      <c r="X208" s="306"/>
    </row>
    <row r="209" spans="1:24" s="316" customFormat="1" ht="16.5" customHeight="1">
      <c r="A209" s="1101" t="s">
        <v>1358</v>
      </c>
      <c r="B209" s="1101" t="s">
        <v>1858</v>
      </c>
      <c r="C209" s="1104" t="s">
        <v>51</v>
      </c>
      <c r="D209" s="1105">
        <v>40.6</v>
      </c>
      <c r="E209" s="1106">
        <v>233.95</v>
      </c>
      <c r="F209" s="841">
        <f t="shared" si="61"/>
        <v>9498.369999999999</v>
      </c>
      <c r="G209" s="1049">
        <v>0</v>
      </c>
      <c r="H209" s="306">
        <v>0</v>
      </c>
      <c r="I209" s="307">
        <v>0</v>
      </c>
      <c r="J209" s="1046"/>
      <c r="K209" s="306">
        <f t="shared" si="78"/>
        <v>0</v>
      </c>
      <c r="L209" s="307">
        <f t="shared" si="79"/>
        <v>0</v>
      </c>
      <c r="M209" s="1047">
        <f t="shared" si="80"/>
        <v>0</v>
      </c>
      <c r="N209" s="306">
        <f t="shared" si="81"/>
        <v>0</v>
      </c>
      <c r="O209" s="307">
        <f t="shared" si="82"/>
        <v>0</v>
      </c>
      <c r="P209" s="1047">
        <f t="shared" si="83"/>
        <v>40.6</v>
      </c>
      <c r="Q209" s="306">
        <f t="shared" si="62"/>
        <v>9498.369999999999</v>
      </c>
      <c r="R209" s="307">
        <f t="shared" si="84"/>
        <v>1</v>
      </c>
      <c r="S209" s="314" t="str">
        <f t="shared" si="63"/>
        <v>ok</v>
      </c>
      <c r="T209" s="306"/>
      <c r="U209" s="314"/>
      <c r="V209" s="314"/>
      <c r="W209" s="314"/>
      <c r="X209" s="306"/>
    </row>
    <row r="210" spans="1:24" s="316" customFormat="1" ht="16.5" customHeight="1">
      <c r="A210" s="1101" t="s">
        <v>1359</v>
      </c>
      <c r="B210" s="1103" t="s">
        <v>1859</v>
      </c>
      <c r="C210" s="1103"/>
      <c r="D210" s="1105"/>
      <c r="E210" s="1107"/>
      <c r="F210" s="841"/>
      <c r="G210" s="1049"/>
      <c r="H210" s="306"/>
      <c r="I210" s="307"/>
      <c r="J210" s="1046"/>
      <c r="K210" s="306"/>
      <c r="L210" s="307"/>
      <c r="M210" s="1047"/>
      <c r="N210" s="306"/>
      <c r="O210" s="307"/>
      <c r="P210" s="1047"/>
      <c r="Q210" s="306">
        <f t="shared" si="62"/>
        <v>0</v>
      </c>
      <c r="R210" s="307"/>
      <c r="S210" s="314" t="str">
        <f t="shared" si="63"/>
        <v>ok</v>
      </c>
      <c r="T210" s="306"/>
      <c r="U210" s="314"/>
      <c r="V210" s="314"/>
      <c r="W210" s="314"/>
      <c r="X210" s="306"/>
    </row>
    <row r="211" spans="1:24" s="316" customFormat="1" ht="16.5" customHeight="1">
      <c r="A211" s="1101" t="s">
        <v>1360</v>
      </c>
      <c r="B211" s="1101" t="s">
        <v>1860</v>
      </c>
      <c r="C211" s="1104" t="s">
        <v>52</v>
      </c>
      <c r="D211" s="1105">
        <v>5</v>
      </c>
      <c r="E211" s="1106">
        <v>56.39</v>
      </c>
      <c r="F211" s="841">
        <f t="shared" ref="F211:F274" si="85">+D211*E211</f>
        <v>281.95</v>
      </c>
      <c r="G211" s="1049">
        <v>0</v>
      </c>
      <c r="H211" s="306">
        <v>0</v>
      </c>
      <c r="I211" s="307">
        <v>0</v>
      </c>
      <c r="J211" s="1046"/>
      <c r="K211" s="306">
        <f t="shared" si="78"/>
        <v>0</v>
      </c>
      <c r="L211" s="307">
        <f t="shared" si="79"/>
        <v>0</v>
      </c>
      <c r="M211" s="1047">
        <f t="shared" si="80"/>
        <v>0</v>
      </c>
      <c r="N211" s="306">
        <f t="shared" si="81"/>
        <v>0</v>
      </c>
      <c r="O211" s="307">
        <f t="shared" si="82"/>
        <v>0</v>
      </c>
      <c r="P211" s="1047">
        <f t="shared" si="83"/>
        <v>5</v>
      </c>
      <c r="Q211" s="306">
        <f t="shared" si="62"/>
        <v>281.95</v>
      </c>
      <c r="R211" s="307">
        <f t="shared" si="84"/>
        <v>1</v>
      </c>
      <c r="S211" s="314" t="str">
        <f t="shared" si="63"/>
        <v>ok</v>
      </c>
      <c r="T211" s="306"/>
      <c r="U211" s="314"/>
      <c r="V211" s="314"/>
      <c r="W211" s="314"/>
      <c r="X211" s="306"/>
    </row>
    <row r="212" spans="1:24" s="316" customFormat="1" ht="16.5" customHeight="1">
      <c r="A212" s="1101" t="s">
        <v>1361</v>
      </c>
      <c r="B212" s="1101" t="s">
        <v>1861</v>
      </c>
      <c r="C212" s="1104" t="s">
        <v>52</v>
      </c>
      <c r="D212" s="1105">
        <v>62</v>
      </c>
      <c r="E212" s="1106">
        <v>85.39</v>
      </c>
      <c r="F212" s="841">
        <f t="shared" si="85"/>
        <v>5294.18</v>
      </c>
      <c r="G212" s="1049">
        <v>0</v>
      </c>
      <c r="H212" s="306">
        <v>0</v>
      </c>
      <c r="I212" s="307">
        <v>0</v>
      </c>
      <c r="J212" s="1046"/>
      <c r="K212" s="306">
        <f t="shared" si="78"/>
        <v>0</v>
      </c>
      <c r="L212" s="307">
        <f t="shared" si="79"/>
        <v>0</v>
      </c>
      <c r="M212" s="1047">
        <f t="shared" si="80"/>
        <v>0</v>
      </c>
      <c r="N212" s="306">
        <f t="shared" si="81"/>
        <v>0</v>
      </c>
      <c r="O212" s="307">
        <f t="shared" si="82"/>
        <v>0</v>
      </c>
      <c r="P212" s="1047">
        <f t="shared" si="83"/>
        <v>62</v>
      </c>
      <c r="Q212" s="306">
        <f t="shared" si="62"/>
        <v>5294.18</v>
      </c>
      <c r="R212" s="307">
        <f t="shared" si="84"/>
        <v>1</v>
      </c>
      <c r="S212" s="314" t="str">
        <f t="shared" si="63"/>
        <v>ok</v>
      </c>
      <c r="T212" s="306"/>
      <c r="U212" s="314"/>
      <c r="V212" s="314"/>
      <c r="W212" s="314"/>
      <c r="X212" s="306"/>
    </row>
    <row r="213" spans="1:24" s="316" customFormat="1" ht="16.5" customHeight="1">
      <c r="A213" s="1101" t="s">
        <v>1362</v>
      </c>
      <c r="B213" s="1101" t="s">
        <v>1862</v>
      </c>
      <c r="C213" s="1104" t="s">
        <v>52</v>
      </c>
      <c r="D213" s="1105">
        <v>9</v>
      </c>
      <c r="E213" s="1106">
        <v>130.38999999999999</v>
      </c>
      <c r="F213" s="841">
        <f t="shared" si="85"/>
        <v>1173.5099999999998</v>
      </c>
      <c r="G213" s="1049">
        <v>0</v>
      </c>
      <c r="H213" s="306">
        <v>0</v>
      </c>
      <c r="I213" s="307">
        <v>0</v>
      </c>
      <c r="J213" s="1046"/>
      <c r="K213" s="306">
        <f t="shared" si="78"/>
        <v>0</v>
      </c>
      <c r="L213" s="307">
        <f t="shared" si="79"/>
        <v>0</v>
      </c>
      <c r="M213" s="1047">
        <f t="shared" si="80"/>
        <v>0</v>
      </c>
      <c r="N213" s="306">
        <f t="shared" si="81"/>
        <v>0</v>
      </c>
      <c r="O213" s="307">
        <f t="shared" si="82"/>
        <v>0</v>
      </c>
      <c r="P213" s="1047">
        <f t="shared" si="83"/>
        <v>9</v>
      </c>
      <c r="Q213" s="306">
        <f t="shared" ref="Q213:Q276" si="86">F213-N213</f>
        <v>1173.5099999999998</v>
      </c>
      <c r="R213" s="307">
        <f t="shared" si="84"/>
        <v>1</v>
      </c>
      <c r="S213" s="314" t="str">
        <f t="shared" ref="S213:S276" si="87">IF(M213&gt;D213,"mayormetrado","ok")</f>
        <v>ok</v>
      </c>
      <c r="T213" s="306"/>
      <c r="U213" s="314"/>
      <c r="V213" s="314"/>
      <c r="W213" s="314"/>
      <c r="X213" s="306"/>
    </row>
    <row r="214" spans="1:24" s="316" customFormat="1" ht="16.5" customHeight="1">
      <c r="A214" s="1101" t="s">
        <v>1363</v>
      </c>
      <c r="B214" s="1101" t="s">
        <v>1863</v>
      </c>
      <c r="C214" s="1104" t="s">
        <v>52</v>
      </c>
      <c r="D214" s="1105">
        <v>5</v>
      </c>
      <c r="E214" s="1106">
        <v>50.3</v>
      </c>
      <c r="F214" s="841">
        <f t="shared" si="85"/>
        <v>251.5</v>
      </c>
      <c r="G214" s="1049">
        <v>0</v>
      </c>
      <c r="H214" s="306">
        <v>0</v>
      </c>
      <c r="I214" s="307">
        <v>0</v>
      </c>
      <c r="J214" s="1046"/>
      <c r="K214" s="306">
        <f t="shared" si="78"/>
        <v>0</v>
      </c>
      <c r="L214" s="307">
        <f t="shared" si="79"/>
        <v>0</v>
      </c>
      <c r="M214" s="1047">
        <f t="shared" si="80"/>
        <v>0</v>
      </c>
      <c r="N214" s="306">
        <f t="shared" si="81"/>
        <v>0</v>
      </c>
      <c r="O214" s="307">
        <f t="shared" si="82"/>
        <v>0</v>
      </c>
      <c r="P214" s="1047">
        <f t="shared" si="83"/>
        <v>5</v>
      </c>
      <c r="Q214" s="306">
        <f t="shared" si="86"/>
        <v>251.5</v>
      </c>
      <c r="R214" s="307">
        <f t="shared" si="84"/>
        <v>1</v>
      </c>
      <c r="S214" s="314" t="str">
        <f t="shared" si="87"/>
        <v>ok</v>
      </c>
      <c r="T214" s="306"/>
      <c r="U214" s="314"/>
      <c r="V214" s="314"/>
      <c r="W214" s="314"/>
      <c r="X214" s="306"/>
    </row>
    <row r="215" spans="1:24" s="316" customFormat="1" ht="16.5" customHeight="1">
      <c r="A215" s="1101" t="s">
        <v>1364</v>
      </c>
      <c r="B215" s="1101" t="s">
        <v>1864</v>
      </c>
      <c r="C215" s="1104" t="s">
        <v>52</v>
      </c>
      <c r="D215" s="1105">
        <v>11</v>
      </c>
      <c r="E215" s="1106">
        <v>110.87</v>
      </c>
      <c r="F215" s="841">
        <f t="shared" si="85"/>
        <v>1219.5700000000002</v>
      </c>
      <c r="G215" s="1049">
        <v>0</v>
      </c>
      <c r="H215" s="306">
        <v>0</v>
      </c>
      <c r="I215" s="307">
        <v>0</v>
      </c>
      <c r="J215" s="1046"/>
      <c r="K215" s="306">
        <f t="shared" si="78"/>
        <v>0</v>
      </c>
      <c r="L215" s="307">
        <f t="shared" si="79"/>
        <v>0</v>
      </c>
      <c r="M215" s="1047">
        <f t="shared" si="80"/>
        <v>0</v>
      </c>
      <c r="N215" s="306">
        <f t="shared" si="81"/>
        <v>0</v>
      </c>
      <c r="O215" s="307">
        <f t="shared" si="82"/>
        <v>0</v>
      </c>
      <c r="P215" s="1047">
        <f t="shared" si="83"/>
        <v>11</v>
      </c>
      <c r="Q215" s="306">
        <f t="shared" si="86"/>
        <v>1219.5700000000002</v>
      </c>
      <c r="R215" s="307">
        <f t="shared" si="84"/>
        <v>1</v>
      </c>
      <c r="S215" s="314" t="str">
        <f t="shared" si="87"/>
        <v>ok</v>
      </c>
      <c r="T215" s="306"/>
      <c r="U215" s="314"/>
      <c r="V215" s="314"/>
      <c r="W215" s="314"/>
      <c r="X215" s="306"/>
    </row>
    <row r="216" spans="1:24" s="316" customFormat="1" ht="16.5" customHeight="1">
      <c r="A216" s="1101" t="s">
        <v>1365</v>
      </c>
      <c r="B216" s="1101" t="s">
        <v>1865</v>
      </c>
      <c r="C216" s="1104" t="s">
        <v>52</v>
      </c>
      <c r="D216" s="1105">
        <v>5</v>
      </c>
      <c r="E216" s="1106">
        <v>49.8</v>
      </c>
      <c r="F216" s="841">
        <f t="shared" si="85"/>
        <v>249</v>
      </c>
      <c r="G216" s="1049">
        <v>0</v>
      </c>
      <c r="H216" s="306">
        <v>0</v>
      </c>
      <c r="I216" s="307">
        <v>0</v>
      </c>
      <c r="J216" s="1046"/>
      <c r="K216" s="306">
        <f t="shared" si="78"/>
        <v>0</v>
      </c>
      <c r="L216" s="307">
        <f t="shared" si="79"/>
        <v>0</v>
      </c>
      <c r="M216" s="1047">
        <f t="shared" si="80"/>
        <v>0</v>
      </c>
      <c r="N216" s="306">
        <f t="shared" si="81"/>
        <v>0</v>
      </c>
      <c r="O216" s="307">
        <f t="shared" si="82"/>
        <v>0</v>
      </c>
      <c r="P216" s="1047">
        <f t="shared" si="83"/>
        <v>5</v>
      </c>
      <c r="Q216" s="306">
        <f t="shared" si="86"/>
        <v>249</v>
      </c>
      <c r="R216" s="307">
        <f t="shared" si="84"/>
        <v>1</v>
      </c>
      <c r="S216" s="314" t="str">
        <f t="shared" si="87"/>
        <v>ok</v>
      </c>
      <c r="T216" s="306"/>
      <c r="U216" s="314"/>
      <c r="V216" s="314"/>
      <c r="W216" s="314"/>
      <c r="X216" s="306"/>
    </row>
    <row r="217" spans="1:24" s="316" customFormat="1" ht="16.5" customHeight="1">
      <c r="A217" s="1101" t="s">
        <v>1366</v>
      </c>
      <c r="B217" s="1101" t="s">
        <v>1866</v>
      </c>
      <c r="C217" s="1104" t="s">
        <v>52</v>
      </c>
      <c r="D217" s="1105">
        <v>7</v>
      </c>
      <c r="E217" s="1106">
        <v>103.87</v>
      </c>
      <c r="F217" s="841">
        <f t="shared" si="85"/>
        <v>727.09</v>
      </c>
      <c r="G217" s="1049">
        <v>0</v>
      </c>
      <c r="H217" s="306">
        <v>0</v>
      </c>
      <c r="I217" s="307">
        <v>0</v>
      </c>
      <c r="J217" s="1046"/>
      <c r="K217" s="306">
        <f t="shared" si="78"/>
        <v>0</v>
      </c>
      <c r="L217" s="307">
        <f t="shared" si="79"/>
        <v>0</v>
      </c>
      <c r="M217" s="1047">
        <f t="shared" si="80"/>
        <v>0</v>
      </c>
      <c r="N217" s="306">
        <f t="shared" si="81"/>
        <v>0</v>
      </c>
      <c r="O217" s="307">
        <f t="shared" si="82"/>
        <v>0</v>
      </c>
      <c r="P217" s="1047">
        <f t="shared" si="83"/>
        <v>7</v>
      </c>
      <c r="Q217" s="306">
        <f t="shared" si="86"/>
        <v>727.09</v>
      </c>
      <c r="R217" s="307">
        <f t="shared" si="84"/>
        <v>1</v>
      </c>
      <c r="S217" s="314" t="str">
        <f t="shared" si="87"/>
        <v>ok</v>
      </c>
      <c r="T217" s="306"/>
      <c r="U217" s="314"/>
      <c r="V217" s="314"/>
      <c r="W217" s="314"/>
      <c r="X217" s="306"/>
    </row>
    <row r="218" spans="1:24" s="316" customFormat="1" ht="16.5" customHeight="1">
      <c r="A218" s="1101" t="s">
        <v>1367</v>
      </c>
      <c r="B218" s="1101" t="s">
        <v>1867</v>
      </c>
      <c r="C218" s="1104" t="s">
        <v>52</v>
      </c>
      <c r="D218" s="1105">
        <v>5</v>
      </c>
      <c r="E218" s="1106">
        <v>18.71</v>
      </c>
      <c r="F218" s="841">
        <f t="shared" si="85"/>
        <v>93.550000000000011</v>
      </c>
      <c r="G218" s="1049">
        <v>0</v>
      </c>
      <c r="H218" s="306">
        <v>0</v>
      </c>
      <c r="I218" s="307">
        <v>0</v>
      </c>
      <c r="J218" s="1046"/>
      <c r="K218" s="306">
        <f t="shared" si="78"/>
        <v>0</v>
      </c>
      <c r="L218" s="307">
        <f t="shared" si="79"/>
        <v>0</v>
      </c>
      <c r="M218" s="1047">
        <f t="shared" si="80"/>
        <v>0</v>
      </c>
      <c r="N218" s="306">
        <f t="shared" si="81"/>
        <v>0</v>
      </c>
      <c r="O218" s="307">
        <f t="shared" si="82"/>
        <v>0</v>
      </c>
      <c r="P218" s="1047">
        <f t="shared" si="83"/>
        <v>5</v>
      </c>
      <c r="Q218" s="306">
        <f t="shared" si="86"/>
        <v>93.550000000000011</v>
      </c>
      <c r="R218" s="307">
        <f t="shared" si="84"/>
        <v>1</v>
      </c>
      <c r="S218" s="314" t="str">
        <f t="shared" si="87"/>
        <v>ok</v>
      </c>
      <c r="T218" s="306"/>
      <c r="U218" s="314"/>
      <c r="V218" s="314"/>
      <c r="W218" s="314"/>
      <c r="X218" s="306"/>
    </row>
    <row r="219" spans="1:24" s="316" customFormat="1" ht="16.5" customHeight="1">
      <c r="A219" s="1101" t="s">
        <v>1368</v>
      </c>
      <c r="B219" s="1101" t="s">
        <v>1868</v>
      </c>
      <c r="C219" s="1104" t="s">
        <v>52</v>
      </c>
      <c r="D219" s="1105">
        <v>6</v>
      </c>
      <c r="E219" s="1106">
        <v>101.87</v>
      </c>
      <c r="F219" s="841">
        <f t="shared" si="85"/>
        <v>611.22</v>
      </c>
      <c r="G219" s="1049">
        <v>0</v>
      </c>
      <c r="H219" s="306">
        <v>0</v>
      </c>
      <c r="I219" s="307">
        <v>0</v>
      </c>
      <c r="J219" s="1046"/>
      <c r="K219" s="306">
        <f t="shared" si="78"/>
        <v>0</v>
      </c>
      <c r="L219" s="307">
        <f t="shared" si="79"/>
        <v>0</v>
      </c>
      <c r="M219" s="1047">
        <f t="shared" si="80"/>
        <v>0</v>
      </c>
      <c r="N219" s="306">
        <f t="shared" si="81"/>
        <v>0</v>
      </c>
      <c r="O219" s="307">
        <f t="shared" si="82"/>
        <v>0</v>
      </c>
      <c r="P219" s="1047">
        <f t="shared" si="83"/>
        <v>6</v>
      </c>
      <c r="Q219" s="306">
        <f t="shared" si="86"/>
        <v>611.22</v>
      </c>
      <c r="R219" s="307">
        <f t="shared" si="84"/>
        <v>1</v>
      </c>
      <c r="S219" s="314" t="str">
        <f t="shared" si="87"/>
        <v>ok</v>
      </c>
      <c r="T219" s="306"/>
      <c r="U219" s="314"/>
      <c r="V219" s="314"/>
      <c r="W219" s="314"/>
      <c r="X219" s="306"/>
    </row>
    <row r="220" spans="1:24" s="316" customFormat="1" ht="16.5" customHeight="1">
      <c r="A220" s="1101" t="s">
        <v>1369</v>
      </c>
      <c r="B220" s="1101" t="s">
        <v>1869</v>
      </c>
      <c r="C220" s="1104" t="s">
        <v>52</v>
      </c>
      <c r="D220" s="1105">
        <v>7</v>
      </c>
      <c r="E220" s="1106">
        <v>152.37</v>
      </c>
      <c r="F220" s="841">
        <f t="shared" si="85"/>
        <v>1066.5900000000001</v>
      </c>
      <c r="G220" s="1049">
        <v>0</v>
      </c>
      <c r="H220" s="306">
        <v>0</v>
      </c>
      <c r="I220" s="307">
        <v>0</v>
      </c>
      <c r="J220" s="1046"/>
      <c r="K220" s="306">
        <f t="shared" si="78"/>
        <v>0</v>
      </c>
      <c r="L220" s="307">
        <f t="shared" si="79"/>
        <v>0</v>
      </c>
      <c r="M220" s="1047">
        <f t="shared" si="80"/>
        <v>0</v>
      </c>
      <c r="N220" s="306">
        <f t="shared" si="81"/>
        <v>0</v>
      </c>
      <c r="O220" s="307">
        <f t="shared" si="82"/>
        <v>0</v>
      </c>
      <c r="P220" s="1047">
        <f t="shared" si="83"/>
        <v>7</v>
      </c>
      <c r="Q220" s="306">
        <f t="shared" si="86"/>
        <v>1066.5900000000001</v>
      </c>
      <c r="R220" s="307">
        <f t="shared" si="84"/>
        <v>1</v>
      </c>
      <c r="S220" s="314" t="str">
        <f t="shared" si="87"/>
        <v>ok</v>
      </c>
      <c r="T220" s="306"/>
      <c r="U220" s="314"/>
      <c r="V220" s="314"/>
      <c r="W220" s="314"/>
      <c r="X220" s="306"/>
    </row>
    <row r="221" spans="1:24" s="316" customFormat="1" ht="16.5" customHeight="1">
      <c r="A221" s="1101" t="s">
        <v>1370</v>
      </c>
      <c r="B221" s="1101" t="s">
        <v>1870</v>
      </c>
      <c r="C221" s="1104" t="s">
        <v>52</v>
      </c>
      <c r="D221" s="1105">
        <v>168</v>
      </c>
      <c r="E221" s="1106">
        <v>10.85</v>
      </c>
      <c r="F221" s="841">
        <f t="shared" si="85"/>
        <v>1822.8</v>
      </c>
      <c r="G221" s="1049">
        <v>0</v>
      </c>
      <c r="H221" s="306">
        <v>0</v>
      </c>
      <c r="I221" s="307">
        <v>0</v>
      </c>
      <c r="J221" s="1046"/>
      <c r="K221" s="306">
        <f t="shared" si="78"/>
        <v>0</v>
      </c>
      <c r="L221" s="307">
        <f t="shared" si="79"/>
        <v>0</v>
      </c>
      <c r="M221" s="1047">
        <f t="shared" si="80"/>
        <v>0</v>
      </c>
      <c r="N221" s="306">
        <f t="shared" si="81"/>
        <v>0</v>
      </c>
      <c r="O221" s="307">
        <f t="shared" si="82"/>
        <v>0</v>
      </c>
      <c r="P221" s="1047">
        <f t="shared" si="83"/>
        <v>168</v>
      </c>
      <c r="Q221" s="306">
        <f t="shared" si="86"/>
        <v>1822.8</v>
      </c>
      <c r="R221" s="307">
        <f t="shared" si="84"/>
        <v>1</v>
      </c>
      <c r="S221" s="314" t="str">
        <f t="shared" si="87"/>
        <v>ok</v>
      </c>
      <c r="T221" s="306"/>
      <c r="U221" s="314"/>
      <c r="V221" s="314"/>
      <c r="W221" s="314"/>
      <c r="X221" s="306"/>
    </row>
    <row r="222" spans="1:24" s="316" customFormat="1" ht="16.5" customHeight="1">
      <c r="A222" s="1101" t="s">
        <v>1371</v>
      </c>
      <c r="B222" s="1103" t="s">
        <v>1871</v>
      </c>
      <c r="C222" s="1103"/>
      <c r="D222" s="1105"/>
      <c r="E222" s="1107"/>
      <c r="F222" s="841"/>
      <c r="G222" s="1049"/>
      <c r="H222" s="306"/>
      <c r="I222" s="307"/>
      <c r="J222" s="1046"/>
      <c r="K222" s="306"/>
      <c r="L222" s="307"/>
      <c r="M222" s="1047"/>
      <c r="N222" s="306"/>
      <c r="O222" s="307"/>
      <c r="P222" s="1047"/>
      <c r="Q222" s="306">
        <f t="shared" si="86"/>
        <v>0</v>
      </c>
      <c r="R222" s="307"/>
      <c r="S222" s="314" t="str">
        <f t="shared" si="87"/>
        <v>ok</v>
      </c>
      <c r="T222" s="306"/>
      <c r="U222" s="314"/>
      <c r="V222" s="314"/>
      <c r="W222" s="314"/>
      <c r="X222" s="306"/>
    </row>
    <row r="223" spans="1:24" s="316" customFormat="1" ht="16.5" customHeight="1">
      <c r="A223" s="1101" t="s">
        <v>1372</v>
      </c>
      <c r="B223" s="1101" t="s">
        <v>1872</v>
      </c>
      <c r="C223" s="1104" t="s">
        <v>52</v>
      </c>
      <c r="D223" s="1105">
        <v>10</v>
      </c>
      <c r="E223" s="1106">
        <v>55.69</v>
      </c>
      <c r="F223" s="841">
        <f t="shared" si="85"/>
        <v>556.9</v>
      </c>
      <c r="G223" s="1049">
        <v>0</v>
      </c>
      <c r="H223" s="306">
        <v>0</v>
      </c>
      <c r="I223" s="307">
        <v>0</v>
      </c>
      <c r="J223" s="1046"/>
      <c r="K223" s="306">
        <f t="shared" si="78"/>
        <v>0</v>
      </c>
      <c r="L223" s="307">
        <f t="shared" si="79"/>
        <v>0</v>
      </c>
      <c r="M223" s="1047">
        <f t="shared" si="80"/>
        <v>0</v>
      </c>
      <c r="N223" s="306">
        <f t="shared" si="81"/>
        <v>0</v>
      </c>
      <c r="O223" s="307">
        <f t="shared" si="82"/>
        <v>0</v>
      </c>
      <c r="P223" s="1047">
        <f t="shared" si="83"/>
        <v>10</v>
      </c>
      <c r="Q223" s="306">
        <f t="shared" si="86"/>
        <v>556.9</v>
      </c>
      <c r="R223" s="307">
        <f t="shared" si="84"/>
        <v>1</v>
      </c>
      <c r="S223" s="314" t="str">
        <f t="shared" si="87"/>
        <v>ok</v>
      </c>
      <c r="T223" s="306"/>
      <c r="U223" s="314"/>
      <c r="V223" s="314"/>
      <c r="W223" s="314"/>
      <c r="X223" s="306"/>
    </row>
    <row r="224" spans="1:24" s="316" customFormat="1" ht="16.5" customHeight="1">
      <c r="A224" s="1101" t="s">
        <v>1373</v>
      </c>
      <c r="B224" s="1103" t="s">
        <v>1873</v>
      </c>
      <c r="C224" s="1103"/>
      <c r="D224" s="1105"/>
      <c r="E224" s="1107"/>
      <c r="F224" s="841"/>
      <c r="G224" s="1049"/>
      <c r="H224" s="306"/>
      <c r="I224" s="307"/>
      <c r="J224" s="1046"/>
      <c r="K224" s="306"/>
      <c r="L224" s="307"/>
      <c r="M224" s="1047"/>
      <c r="N224" s="306"/>
      <c r="O224" s="307"/>
      <c r="P224" s="1047"/>
      <c r="Q224" s="306">
        <f t="shared" si="86"/>
        <v>0</v>
      </c>
      <c r="R224" s="307"/>
      <c r="S224" s="314" t="str">
        <f t="shared" si="87"/>
        <v>ok</v>
      </c>
      <c r="T224" s="306"/>
      <c r="U224" s="314"/>
      <c r="V224" s="314"/>
      <c r="W224" s="314"/>
      <c r="X224" s="306"/>
    </row>
    <row r="225" spans="1:24" s="316" customFormat="1" ht="16.5" customHeight="1">
      <c r="A225" s="1101" t="s">
        <v>1374</v>
      </c>
      <c r="B225" s="1101" t="s">
        <v>1874</v>
      </c>
      <c r="C225" s="1104" t="s">
        <v>52</v>
      </c>
      <c r="D225" s="1105">
        <v>20</v>
      </c>
      <c r="E225" s="1106">
        <v>1774.46</v>
      </c>
      <c r="F225" s="841">
        <f t="shared" si="85"/>
        <v>35489.199999999997</v>
      </c>
      <c r="G225" s="1049">
        <v>0</v>
      </c>
      <c r="H225" s="306">
        <v>0</v>
      </c>
      <c r="I225" s="307">
        <v>0</v>
      </c>
      <c r="J225" s="1046"/>
      <c r="K225" s="306">
        <f t="shared" si="78"/>
        <v>0</v>
      </c>
      <c r="L225" s="307">
        <f t="shared" si="79"/>
        <v>0</v>
      </c>
      <c r="M225" s="1047">
        <f t="shared" si="80"/>
        <v>0</v>
      </c>
      <c r="N225" s="306">
        <f t="shared" si="81"/>
        <v>0</v>
      </c>
      <c r="O225" s="307">
        <f t="shared" si="82"/>
        <v>0</v>
      </c>
      <c r="P225" s="1047">
        <f t="shared" si="83"/>
        <v>20</v>
      </c>
      <c r="Q225" s="306">
        <f t="shared" si="86"/>
        <v>35489.199999999997</v>
      </c>
      <c r="R225" s="307">
        <f t="shared" si="84"/>
        <v>1</v>
      </c>
      <c r="S225" s="314" t="str">
        <f t="shared" si="87"/>
        <v>ok</v>
      </c>
      <c r="T225" s="306"/>
      <c r="U225" s="314"/>
      <c r="V225" s="314"/>
      <c r="W225" s="314"/>
      <c r="X225" s="306"/>
    </row>
    <row r="226" spans="1:24" s="316" customFormat="1" ht="16.5" customHeight="1">
      <c r="A226" s="1101" t="s">
        <v>1375</v>
      </c>
      <c r="B226" s="1103" t="s">
        <v>1875</v>
      </c>
      <c r="C226" s="1103"/>
      <c r="D226" s="1105"/>
      <c r="E226" s="1107"/>
      <c r="F226" s="841"/>
      <c r="G226" s="1049"/>
      <c r="H226" s="306"/>
      <c r="I226" s="307"/>
      <c r="J226" s="1046"/>
      <c r="K226" s="306"/>
      <c r="L226" s="307"/>
      <c r="M226" s="1047"/>
      <c r="N226" s="306"/>
      <c r="O226" s="307"/>
      <c r="P226" s="1047"/>
      <c r="Q226" s="306">
        <f t="shared" si="86"/>
        <v>0</v>
      </c>
      <c r="R226" s="307"/>
      <c r="S226" s="314" t="str">
        <f t="shared" si="87"/>
        <v>ok</v>
      </c>
      <c r="T226" s="306"/>
      <c r="U226" s="314"/>
      <c r="V226" s="314"/>
      <c r="W226" s="314"/>
      <c r="X226" s="306"/>
    </row>
    <row r="227" spans="1:24" s="316" customFormat="1" ht="16.5" customHeight="1">
      <c r="A227" s="1101" t="s">
        <v>1376</v>
      </c>
      <c r="B227" s="1101" t="s">
        <v>1876</v>
      </c>
      <c r="C227" s="1104" t="s">
        <v>52</v>
      </c>
      <c r="D227" s="1105">
        <v>1</v>
      </c>
      <c r="E227" s="1106">
        <v>109.34</v>
      </c>
      <c r="F227" s="841">
        <f t="shared" si="85"/>
        <v>109.34</v>
      </c>
      <c r="G227" s="1049">
        <v>0</v>
      </c>
      <c r="H227" s="306">
        <v>0</v>
      </c>
      <c r="I227" s="307">
        <v>0</v>
      </c>
      <c r="J227" s="1046"/>
      <c r="K227" s="306">
        <f t="shared" si="78"/>
        <v>0</v>
      </c>
      <c r="L227" s="307">
        <f t="shared" si="79"/>
        <v>0</v>
      </c>
      <c r="M227" s="1047">
        <f t="shared" si="80"/>
        <v>0</v>
      </c>
      <c r="N227" s="306">
        <f t="shared" si="81"/>
        <v>0</v>
      </c>
      <c r="O227" s="307">
        <f t="shared" si="82"/>
        <v>0</v>
      </c>
      <c r="P227" s="1047">
        <f t="shared" si="83"/>
        <v>1</v>
      </c>
      <c r="Q227" s="306">
        <f t="shared" si="86"/>
        <v>109.34</v>
      </c>
      <c r="R227" s="307">
        <f t="shared" si="84"/>
        <v>1</v>
      </c>
      <c r="S227" s="314" t="str">
        <f t="shared" si="87"/>
        <v>ok</v>
      </c>
      <c r="T227" s="306"/>
      <c r="U227" s="314"/>
      <c r="V227" s="314"/>
      <c r="W227" s="314"/>
      <c r="X227" s="306"/>
    </row>
    <row r="228" spans="1:24" s="316" customFormat="1" ht="16.5" customHeight="1">
      <c r="A228" s="1101" t="s">
        <v>1377</v>
      </c>
      <c r="B228" s="1101" t="s">
        <v>1877</v>
      </c>
      <c r="C228" s="1104" t="s">
        <v>52</v>
      </c>
      <c r="D228" s="1105">
        <v>20</v>
      </c>
      <c r="E228" s="1106">
        <v>261.55</v>
      </c>
      <c r="F228" s="841">
        <f t="shared" si="85"/>
        <v>5231</v>
      </c>
      <c r="G228" s="1049">
        <v>0</v>
      </c>
      <c r="H228" s="306">
        <v>0</v>
      </c>
      <c r="I228" s="307">
        <v>0</v>
      </c>
      <c r="J228" s="1046"/>
      <c r="K228" s="306">
        <f t="shared" si="78"/>
        <v>0</v>
      </c>
      <c r="L228" s="307">
        <f t="shared" si="79"/>
        <v>0</v>
      </c>
      <c r="M228" s="1047">
        <f t="shared" si="80"/>
        <v>0</v>
      </c>
      <c r="N228" s="306">
        <f t="shared" si="81"/>
        <v>0</v>
      </c>
      <c r="O228" s="307">
        <f t="shared" si="82"/>
        <v>0</v>
      </c>
      <c r="P228" s="1047">
        <f t="shared" si="83"/>
        <v>20</v>
      </c>
      <c r="Q228" s="306">
        <f t="shared" si="86"/>
        <v>5231</v>
      </c>
      <c r="R228" s="307">
        <f t="shared" si="84"/>
        <v>1</v>
      </c>
      <c r="S228" s="314" t="str">
        <f t="shared" si="87"/>
        <v>ok</v>
      </c>
      <c r="T228" s="306"/>
      <c r="U228" s="314"/>
      <c r="V228" s="314"/>
      <c r="W228" s="314"/>
      <c r="X228" s="306"/>
    </row>
    <row r="229" spans="1:24" s="316" customFormat="1" ht="16.5" customHeight="1">
      <c r="A229" s="1101" t="s">
        <v>1378</v>
      </c>
      <c r="B229" s="1103" t="s">
        <v>1878</v>
      </c>
      <c r="C229" s="1103"/>
      <c r="D229" s="1105"/>
      <c r="E229" s="1107"/>
      <c r="F229" s="841"/>
      <c r="G229" s="1049"/>
      <c r="H229" s="306"/>
      <c r="I229" s="307"/>
      <c r="J229" s="1046"/>
      <c r="K229" s="306"/>
      <c r="L229" s="307"/>
      <c r="M229" s="1047"/>
      <c r="N229" s="306"/>
      <c r="O229" s="307"/>
      <c r="P229" s="1047"/>
      <c r="Q229" s="306">
        <f t="shared" si="86"/>
        <v>0</v>
      </c>
      <c r="R229" s="307"/>
      <c r="S229" s="314" t="str">
        <f t="shared" si="87"/>
        <v>ok</v>
      </c>
      <c r="T229" s="306"/>
      <c r="U229" s="314"/>
      <c r="V229" s="314"/>
      <c r="W229" s="314"/>
      <c r="X229" s="306"/>
    </row>
    <row r="230" spans="1:24" s="316" customFormat="1" ht="16.5" customHeight="1">
      <c r="A230" s="1101" t="s">
        <v>1379</v>
      </c>
      <c r="B230" s="1101" t="s">
        <v>1879</v>
      </c>
      <c r="C230" s="1104" t="s">
        <v>52</v>
      </c>
      <c r="D230" s="1105">
        <v>1</v>
      </c>
      <c r="E230" s="1106">
        <v>41800</v>
      </c>
      <c r="F230" s="841">
        <f t="shared" si="85"/>
        <v>41800</v>
      </c>
      <c r="G230" s="1049">
        <v>0</v>
      </c>
      <c r="H230" s="306">
        <v>0</v>
      </c>
      <c r="I230" s="307">
        <v>0</v>
      </c>
      <c r="J230" s="1046"/>
      <c r="K230" s="306">
        <f t="shared" si="78"/>
        <v>0</v>
      </c>
      <c r="L230" s="307">
        <f t="shared" si="79"/>
        <v>0</v>
      </c>
      <c r="M230" s="1047">
        <f t="shared" si="80"/>
        <v>0</v>
      </c>
      <c r="N230" s="306">
        <f t="shared" si="81"/>
        <v>0</v>
      </c>
      <c r="O230" s="307">
        <f t="shared" si="82"/>
        <v>0</v>
      </c>
      <c r="P230" s="1047">
        <f t="shared" si="83"/>
        <v>1</v>
      </c>
      <c r="Q230" s="306">
        <f t="shared" si="86"/>
        <v>41800</v>
      </c>
      <c r="R230" s="307">
        <f t="shared" si="84"/>
        <v>1</v>
      </c>
      <c r="S230" s="314" t="str">
        <f t="shared" si="87"/>
        <v>ok</v>
      </c>
      <c r="T230" s="306"/>
      <c r="U230" s="314"/>
      <c r="V230" s="314"/>
      <c r="W230" s="314"/>
      <c r="X230" s="306"/>
    </row>
    <row r="231" spans="1:24" s="316" customFormat="1" ht="16.5" customHeight="1">
      <c r="A231" s="1101" t="s">
        <v>1380</v>
      </c>
      <c r="B231" s="1101" t="s">
        <v>1880</v>
      </c>
      <c r="C231" s="1104" t="s">
        <v>52</v>
      </c>
      <c r="D231" s="1105">
        <v>1</v>
      </c>
      <c r="E231" s="1106">
        <v>5750</v>
      </c>
      <c r="F231" s="841">
        <f t="shared" si="85"/>
        <v>5750</v>
      </c>
      <c r="G231" s="1049">
        <v>0</v>
      </c>
      <c r="H231" s="306">
        <v>0</v>
      </c>
      <c r="I231" s="307">
        <v>0</v>
      </c>
      <c r="J231" s="1046"/>
      <c r="K231" s="306">
        <f t="shared" si="78"/>
        <v>0</v>
      </c>
      <c r="L231" s="307">
        <f t="shared" si="79"/>
        <v>0</v>
      </c>
      <c r="M231" s="1047">
        <f t="shared" si="80"/>
        <v>0</v>
      </c>
      <c r="N231" s="306">
        <f t="shared" si="81"/>
        <v>0</v>
      </c>
      <c r="O231" s="307">
        <f t="shared" si="82"/>
        <v>0</v>
      </c>
      <c r="P231" s="1047">
        <f t="shared" si="83"/>
        <v>1</v>
      </c>
      <c r="Q231" s="306">
        <f t="shared" si="86"/>
        <v>5750</v>
      </c>
      <c r="R231" s="307">
        <f t="shared" si="84"/>
        <v>1</v>
      </c>
      <c r="S231" s="314" t="str">
        <f t="shared" si="87"/>
        <v>ok</v>
      </c>
      <c r="T231" s="306"/>
      <c r="U231" s="314"/>
      <c r="V231" s="314"/>
      <c r="W231" s="314"/>
      <c r="X231" s="306"/>
    </row>
    <row r="232" spans="1:24" s="316" customFormat="1" ht="16.5" customHeight="1">
      <c r="A232" s="1101">
        <v>4.5</v>
      </c>
      <c r="B232" s="1102" t="s">
        <v>1881</v>
      </c>
      <c r="C232" s="1108"/>
      <c r="D232" s="1105"/>
      <c r="E232" s="1109"/>
      <c r="F232" s="841"/>
      <c r="G232" s="1049"/>
      <c r="H232" s="306"/>
      <c r="I232" s="307"/>
      <c r="J232" s="1046"/>
      <c r="K232" s="306"/>
      <c r="L232" s="307"/>
      <c r="M232" s="1047"/>
      <c r="N232" s="306"/>
      <c r="O232" s="307"/>
      <c r="P232" s="1047"/>
      <c r="Q232" s="306">
        <f t="shared" si="86"/>
        <v>0</v>
      </c>
      <c r="R232" s="307"/>
      <c r="S232" s="314" t="str">
        <f t="shared" si="87"/>
        <v>ok</v>
      </c>
      <c r="T232" s="306"/>
      <c r="U232" s="314"/>
      <c r="V232" s="314"/>
      <c r="W232" s="314"/>
      <c r="X232" s="306"/>
    </row>
    <row r="233" spans="1:24" s="316" customFormat="1" ht="16.5" customHeight="1">
      <c r="A233" s="1101" t="s">
        <v>1381</v>
      </c>
      <c r="B233" s="1103" t="s">
        <v>1882</v>
      </c>
      <c r="C233" s="1103"/>
      <c r="D233" s="1105"/>
      <c r="E233" s="1107"/>
      <c r="F233" s="841"/>
      <c r="G233" s="1049"/>
      <c r="H233" s="306"/>
      <c r="I233" s="307"/>
      <c r="J233" s="1046"/>
      <c r="K233" s="306"/>
      <c r="L233" s="307"/>
      <c r="M233" s="1047"/>
      <c r="N233" s="306"/>
      <c r="O233" s="307"/>
      <c r="P233" s="1047"/>
      <c r="Q233" s="306">
        <f t="shared" si="86"/>
        <v>0</v>
      </c>
      <c r="R233" s="307"/>
      <c r="S233" s="314" t="str">
        <f t="shared" si="87"/>
        <v>ok</v>
      </c>
      <c r="T233" s="306"/>
      <c r="U233" s="314"/>
      <c r="V233" s="314"/>
      <c r="W233" s="314"/>
      <c r="X233" s="306"/>
    </row>
    <row r="234" spans="1:24" s="316" customFormat="1" ht="16.5" customHeight="1">
      <c r="A234" s="1101" t="s">
        <v>1382</v>
      </c>
      <c r="B234" s="1101" t="s">
        <v>1883</v>
      </c>
      <c r="C234" s="1104" t="s">
        <v>51</v>
      </c>
      <c r="D234" s="1105">
        <v>115.74</v>
      </c>
      <c r="E234" s="1106">
        <v>20.07</v>
      </c>
      <c r="F234" s="841">
        <f t="shared" si="85"/>
        <v>2322.9018000000001</v>
      </c>
      <c r="G234" s="1049"/>
      <c r="H234" s="306"/>
      <c r="I234" s="307"/>
      <c r="J234" s="1046"/>
      <c r="K234" s="306"/>
      <c r="L234" s="307"/>
      <c r="M234" s="1047"/>
      <c r="N234" s="306"/>
      <c r="O234" s="307"/>
      <c r="P234" s="1047"/>
      <c r="Q234" s="306">
        <f t="shared" si="86"/>
        <v>2322.9018000000001</v>
      </c>
      <c r="R234" s="307"/>
      <c r="S234" s="314" t="str">
        <f t="shared" si="87"/>
        <v>ok</v>
      </c>
      <c r="T234" s="306"/>
      <c r="U234" s="314"/>
      <c r="V234" s="314"/>
      <c r="W234" s="314"/>
      <c r="X234" s="306"/>
    </row>
    <row r="235" spans="1:24" s="316" customFormat="1" ht="16.5" customHeight="1">
      <c r="A235" s="1101" t="s">
        <v>1383</v>
      </c>
      <c r="B235" s="1101" t="s">
        <v>1884</v>
      </c>
      <c r="C235" s="1104" t="s">
        <v>52</v>
      </c>
      <c r="D235" s="1105">
        <v>1</v>
      </c>
      <c r="E235" s="1106">
        <v>97.14</v>
      </c>
      <c r="F235" s="841">
        <f t="shared" si="85"/>
        <v>97.14</v>
      </c>
      <c r="G235" s="1049">
        <v>0</v>
      </c>
      <c r="H235" s="306">
        <v>0</v>
      </c>
      <c r="I235" s="307">
        <v>0</v>
      </c>
      <c r="J235" s="1046"/>
      <c r="K235" s="306">
        <f t="shared" si="78"/>
        <v>0</v>
      </c>
      <c r="L235" s="307">
        <f t="shared" si="79"/>
        <v>0</v>
      </c>
      <c r="M235" s="1047">
        <f t="shared" si="80"/>
        <v>0</v>
      </c>
      <c r="N235" s="306">
        <f t="shared" si="81"/>
        <v>0</v>
      </c>
      <c r="O235" s="307">
        <f t="shared" si="82"/>
        <v>0</v>
      </c>
      <c r="P235" s="1047">
        <f t="shared" si="83"/>
        <v>1</v>
      </c>
      <c r="Q235" s="306">
        <f t="shared" si="86"/>
        <v>97.14</v>
      </c>
      <c r="R235" s="307">
        <f t="shared" si="84"/>
        <v>1</v>
      </c>
      <c r="S235" s="314" t="str">
        <f t="shared" si="87"/>
        <v>ok</v>
      </c>
      <c r="T235" s="306"/>
      <c r="U235" s="314"/>
      <c r="V235" s="314"/>
      <c r="W235" s="314"/>
      <c r="X235" s="306"/>
    </row>
    <row r="236" spans="1:24" s="316" customFormat="1" ht="16.5" customHeight="1">
      <c r="A236" s="1401">
        <v>5</v>
      </c>
      <c r="B236" s="1402" t="s">
        <v>1885</v>
      </c>
      <c r="C236" s="1403"/>
      <c r="D236" s="1105"/>
      <c r="E236" s="1403"/>
      <c r="F236" s="1404"/>
      <c r="G236" s="1046"/>
      <c r="H236" s="306"/>
      <c r="I236" s="307"/>
      <c r="J236" s="1046"/>
      <c r="K236" s="306"/>
      <c r="L236" s="307"/>
      <c r="M236" s="1047"/>
      <c r="N236" s="306"/>
      <c r="O236" s="307"/>
      <c r="P236" s="1047"/>
      <c r="Q236" s="306">
        <f t="shared" si="86"/>
        <v>0</v>
      </c>
      <c r="R236" s="307"/>
      <c r="S236" s="314" t="str">
        <f t="shared" si="87"/>
        <v>ok</v>
      </c>
      <c r="T236" s="306"/>
      <c r="U236" s="314"/>
      <c r="V236" s="314"/>
      <c r="W236" s="314"/>
      <c r="X236" s="306"/>
    </row>
    <row r="237" spans="1:24" s="316" customFormat="1" ht="16.5" customHeight="1">
      <c r="A237" s="1101">
        <v>5.0999999999999996</v>
      </c>
      <c r="B237" s="1102" t="s">
        <v>1886</v>
      </c>
      <c r="C237" s="1108"/>
      <c r="D237" s="1105"/>
      <c r="E237" s="1109"/>
      <c r="F237" s="841"/>
      <c r="G237" s="1049"/>
      <c r="H237" s="306"/>
      <c r="I237" s="307"/>
      <c r="J237" s="1046"/>
      <c r="K237" s="306"/>
      <c r="L237" s="307"/>
      <c r="M237" s="1047"/>
      <c r="N237" s="306"/>
      <c r="O237" s="307"/>
      <c r="P237" s="1047"/>
      <c r="Q237" s="306">
        <f t="shared" si="86"/>
        <v>0</v>
      </c>
      <c r="R237" s="307"/>
      <c r="S237" s="314" t="str">
        <f t="shared" si="87"/>
        <v>ok</v>
      </c>
      <c r="T237" s="306"/>
      <c r="U237" s="314"/>
      <c r="V237" s="314"/>
      <c r="W237" s="314"/>
      <c r="X237" s="306"/>
    </row>
    <row r="238" spans="1:24" s="316" customFormat="1" ht="16.5" customHeight="1">
      <c r="A238" s="1101" t="s">
        <v>1384</v>
      </c>
      <c r="B238" s="1101" t="s">
        <v>1887</v>
      </c>
      <c r="C238" s="1104" t="s">
        <v>2148</v>
      </c>
      <c r="D238" s="1105">
        <v>15</v>
      </c>
      <c r="E238" s="1106">
        <v>31.93</v>
      </c>
      <c r="F238" s="841">
        <f t="shared" si="85"/>
        <v>478.95</v>
      </c>
      <c r="G238" s="1049">
        <v>15</v>
      </c>
      <c r="H238" s="306">
        <v>478.95</v>
      </c>
      <c r="I238" s="307">
        <v>1</v>
      </c>
      <c r="J238" s="1046"/>
      <c r="K238" s="306">
        <f t="shared" si="78"/>
        <v>0</v>
      </c>
      <c r="L238" s="307">
        <f t="shared" si="79"/>
        <v>0</v>
      </c>
      <c r="M238" s="1047">
        <f t="shared" si="80"/>
        <v>15</v>
      </c>
      <c r="N238" s="306">
        <f t="shared" si="81"/>
        <v>478.95</v>
      </c>
      <c r="O238" s="307">
        <f t="shared" si="82"/>
        <v>1</v>
      </c>
      <c r="P238" s="1047">
        <f t="shared" si="83"/>
        <v>0</v>
      </c>
      <c r="Q238" s="306">
        <f t="shared" si="86"/>
        <v>0</v>
      </c>
      <c r="R238" s="307">
        <f t="shared" si="84"/>
        <v>0</v>
      </c>
      <c r="S238" s="314" t="str">
        <f t="shared" si="87"/>
        <v>ok</v>
      </c>
      <c r="T238" s="306"/>
      <c r="U238" s="314"/>
      <c r="V238" s="314"/>
      <c r="W238" s="314"/>
      <c r="X238" s="306"/>
    </row>
    <row r="239" spans="1:24" s="316" customFormat="1" ht="16.5" customHeight="1">
      <c r="A239" s="1101" t="s">
        <v>1385</v>
      </c>
      <c r="B239" s="1101" t="s">
        <v>1888</v>
      </c>
      <c r="C239" s="1104" t="s">
        <v>2148</v>
      </c>
      <c r="D239" s="1105">
        <v>0.5</v>
      </c>
      <c r="E239" s="1106">
        <v>18.38</v>
      </c>
      <c r="F239" s="841">
        <f t="shared" si="85"/>
        <v>9.19</v>
      </c>
      <c r="G239" s="1049">
        <v>0.5</v>
      </c>
      <c r="H239" s="306">
        <v>9.19</v>
      </c>
      <c r="I239" s="307">
        <v>1</v>
      </c>
      <c r="J239" s="1046"/>
      <c r="K239" s="306">
        <f t="shared" ref="K239:K302" si="88">J239*E239</f>
        <v>0</v>
      </c>
      <c r="L239" s="307">
        <f t="shared" ref="L239:L302" si="89">K239/F239</f>
        <v>0</v>
      </c>
      <c r="M239" s="1047">
        <f t="shared" ref="M239:M302" si="90">G239+J239</f>
        <v>0.5</v>
      </c>
      <c r="N239" s="306">
        <f t="shared" ref="N239:N302" si="91">M239*E239</f>
        <v>9.19</v>
      </c>
      <c r="O239" s="307">
        <f t="shared" ref="O239:O302" si="92">N239/F239</f>
        <v>1</v>
      </c>
      <c r="P239" s="1047">
        <f t="shared" ref="P239:P302" si="93">D239-M239</f>
        <v>0</v>
      </c>
      <c r="Q239" s="306">
        <f t="shared" si="86"/>
        <v>0</v>
      </c>
      <c r="R239" s="307">
        <f t="shared" ref="R239:R302" si="94">Q239/F239</f>
        <v>0</v>
      </c>
      <c r="S239" s="314" t="str">
        <f t="shared" si="87"/>
        <v>ok</v>
      </c>
      <c r="T239" s="306"/>
      <c r="U239" s="314"/>
      <c r="V239" s="314"/>
      <c r="W239" s="314"/>
      <c r="X239" s="306"/>
    </row>
    <row r="240" spans="1:24" s="316" customFormat="1" ht="16.5" customHeight="1">
      <c r="A240" s="1101" t="s">
        <v>1386</v>
      </c>
      <c r="B240" s="1101" t="s">
        <v>1889</v>
      </c>
      <c r="C240" s="1104" t="s">
        <v>2148</v>
      </c>
      <c r="D240" s="1105">
        <v>3</v>
      </c>
      <c r="E240" s="1106">
        <v>18.38</v>
      </c>
      <c r="F240" s="841">
        <f t="shared" si="85"/>
        <v>55.14</v>
      </c>
      <c r="G240" s="1049">
        <v>0</v>
      </c>
      <c r="H240" s="306">
        <v>0</v>
      </c>
      <c r="I240" s="307">
        <v>0</v>
      </c>
      <c r="J240" s="1046"/>
      <c r="K240" s="306">
        <f t="shared" si="88"/>
        <v>0</v>
      </c>
      <c r="L240" s="307">
        <f t="shared" si="89"/>
        <v>0</v>
      </c>
      <c r="M240" s="1047">
        <f t="shared" si="90"/>
        <v>0</v>
      </c>
      <c r="N240" s="306">
        <f t="shared" si="91"/>
        <v>0</v>
      </c>
      <c r="O240" s="307">
        <f t="shared" si="92"/>
        <v>0</v>
      </c>
      <c r="P240" s="1047">
        <f t="shared" si="93"/>
        <v>3</v>
      </c>
      <c r="Q240" s="306">
        <f t="shared" si="86"/>
        <v>55.14</v>
      </c>
      <c r="R240" s="307">
        <f t="shared" si="94"/>
        <v>1</v>
      </c>
      <c r="S240" s="314" t="str">
        <f t="shared" si="87"/>
        <v>ok</v>
      </c>
      <c r="T240" s="306"/>
      <c r="U240" s="314"/>
      <c r="V240" s="314"/>
      <c r="W240" s="314"/>
      <c r="X240" s="306"/>
    </row>
    <row r="241" spans="1:24" s="316" customFormat="1" ht="16.5" customHeight="1">
      <c r="A241" s="1101" t="s">
        <v>1387</v>
      </c>
      <c r="B241" s="1101" t="s">
        <v>1890</v>
      </c>
      <c r="C241" s="1104" t="s">
        <v>2148</v>
      </c>
      <c r="D241" s="1105">
        <v>10.5</v>
      </c>
      <c r="E241" s="1106">
        <v>18.38</v>
      </c>
      <c r="F241" s="841">
        <f t="shared" si="85"/>
        <v>192.98999999999998</v>
      </c>
      <c r="G241" s="1049">
        <v>0</v>
      </c>
      <c r="H241" s="306">
        <v>0</v>
      </c>
      <c r="I241" s="307">
        <v>0</v>
      </c>
      <c r="J241" s="1046"/>
      <c r="K241" s="306">
        <f t="shared" si="88"/>
        <v>0</v>
      </c>
      <c r="L241" s="307">
        <f t="shared" si="89"/>
        <v>0</v>
      </c>
      <c r="M241" s="1047">
        <f t="shared" si="90"/>
        <v>0</v>
      </c>
      <c r="N241" s="306">
        <f t="shared" si="91"/>
        <v>0</v>
      </c>
      <c r="O241" s="307">
        <f t="shared" si="92"/>
        <v>0</v>
      </c>
      <c r="P241" s="1047">
        <f t="shared" si="93"/>
        <v>10.5</v>
      </c>
      <c r="Q241" s="306">
        <f t="shared" si="86"/>
        <v>192.98999999999998</v>
      </c>
      <c r="R241" s="307">
        <f t="shared" si="94"/>
        <v>1</v>
      </c>
      <c r="S241" s="314" t="str">
        <f t="shared" si="87"/>
        <v>ok</v>
      </c>
      <c r="T241" s="306"/>
      <c r="U241" s="314"/>
      <c r="V241" s="314"/>
      <c r="W241" s="314"/>
      <c r="X241" s="306"/>
    </row>
    <row r="242" spans="1:24" s="316" customFormat="1" ht="16.5" customHeight="1">
      <c r="A242" s="1101" t="s">
        <v>1388</v>
      </c>
      <c r="B242" s="1101" t="s">
        <v>1790</v>
      </c>
      <c r="C242" s="1104" t="s">
        <v>2148</v>
      </c>
      <c r="D242" s="1105">
        <v>3</v>
      </c>
      <c r="E242" s="1106">
        <v>30.3</v>
      </c>
      <c r="F242" s="841">
        <f t="shared" si="85"/>
        <v>90.9</v>
      </c>
      <c r="G242" s="1049">
        <v>3</v>
      </c>
      <c r="H242" s="306">
        <v>90.9</v>
      </c>
      <c r="I242" s="307">
        <v>1</v>
      </c>
      <c r="J242" s="1046"/>
      <c r="K242" s="306">
        <f t="shared" si="88"/>
        <v>0</v>
      </c>
      <c r="L242" s="307">
        <f t="shared" si="89"/>
        <v>0</v>
      </c>
      <c r="M242" s="1047">
        <f t="shared" si="90"/>
        <v>3</v>
      </c>
      <c r="N242" s="306">
        <f t="shared" si="91"/>
        <v>90.9</v>
      </c>
      <c r="O242" s="307">
        <f t="shared" si="92"/>
        <v>1</v>
      </c>
      <c r="P242" s="1047">
        <f t="shared" si="93"/>
        <v>0</v>
      </c>
      <c r="Q242" s="306">
        <f t="shared" si="86"/>
        <v>0</v>
      </c>
      <c r="R242" s="307">
        <f t="shared" si="94"/>
        <v>0</v>
      </c>
      <c r="S242" s="314" t="str">
        <f t="shared" si="87"/>
        <v>ok</v>
      </c>
      <c r="T242" s="306"/>
      <c r="U242" s="314"/>
      <c r="V242" s="314"/>
      <c r="W242" s="314"/>
      <c r="X242" s="306"/>
    </row>
    <row r="243" spans="1:24" s="316" customFormat="1" ht="16.5" customHeight="1">
      <c r="A243" s="1101">
        <v>5.2</v>
      </c>
      <c r="B243" s="1102" t="s">
        <v>1891</v>
      </c>
      <c r="C243" s="1108"/>
      <c r="D243" s="1105"/>
      <c r="E243" s="1109"/>
      <c r="F243" s="841"/>
      <c r="G243" s="1049"/>
      <c r="H243" s="306"/>
      <c r="I243" s="307"/>
      <c r="J243" s="1046"/>
      <c r="K243" s="306"/>
      <c r="L243" s="307"/>
      <c r="M243" s="1047"/>
      <c r="N243" s="306"/>
      <c r="O243" s="307"/>
      <c r="P243" s="1047"/>
      <c r="Q243" s="306">
        <f t="shared" si="86"/>
        <v>0</v>
      </c>
      <c r="R243" s="307"/>
      <c r="S243" s="314" t="str">
        <f t="shared" si="87"/>
        <v>ok</v>
      </c>
      <c r="T243" s="306"/>
      <c r="U243" s="314"/>
      <c r="V243" s="314"/>
      <c r="W243" s="314"/>
      <c r="X243" s="306"/>
    </row>
    <row r="244" spans="1:24" s="316" customFormat="1" ht="16.5" customHeight="1">
      <c r="A244" s="1101" t="s">
        <v>1389</v>
      </c>
      <c r="B244" s="1101" t="s">
        <v>1892</v>
      </c>
      <c r="C244" s="1104" t="s">
        <v>52</v>
      </c>
      <c r="D244" s="1105">
        <v>5</v>
      </c>
      <c r="E244" s="1106">
        <v>305.47000000000003</v>
      </c>
      <c r="F244" s="841">
        <f t="shared" si="85"/>
        <v>1527.3500000000001</v>
      </c>
      <c r="G244" s="1049">
        <v>0</v>
      </c>
      <c r="H244" s="306">
        <v>0</v>
      </c>
      <c r="I244" s="307">
        <v>0</v>
      </c>
      <c r="J244" s="1046"/>
      <c r="K244" s="306">
        <f t="shared" si="88"/>
        <v>0</v>
      </c>
      <c r="L244" s="307">
        <f t="shared" si="89"/>
        <v>0</v>
      </c>
      <c r="M244" s="1047">
        <f t="shared" si="90"/>
        <v>0</v>
      </c>
      <c r="N244" s="306">
        <f t="shared" si="91"/>
        <v>0</v>
      </c>
      <c r="O244" s="307">
        <f t="shared" si="92"/>
        <v>0</v>
      </c>
      <c r="P244" s="1047">
        <f t="shared" si="93"/>
        <v>5</v>
      </c>
      <c r="Q244" s="306">
        <f t="shared" si="86"/>
        <v>1527.3500000000001</v>
      </c>
      <c r="R244" s="307">
        <f t="shared" si="94"/>
        <v>1</v>
      </c>
      <c r="S244" s="314" t="str">
        <f t="shared" si="87"/>
        <v>ok</v>
      </c>
      <c r="T244" s="306"/>
      <c r="U244" s="314"/>
      <c r="V244" s="314"/>
      <c r="W244" s="314"/>
      <c r="X244" s="306"/>
    </row>
    <row r="245" spans="1:24" s="316" customFormat="1" ht="16.5" customHeight="1">
      <c r="A245" s="1101" t="s">
        <v>1390</v>
      </c>
      <c r="B245" s="1101" t="s">
        <v>1893</v>
      </c>
      <c r="C245" s="1104" t="s">
        <v>52</v>
      </c>
      <c r="D245" s="1105">
        <v>5</v>
      </c>
      <c r="E245" s="1106">
        <v>99.23</v>
      </c>
      <c r="F245" s="841">
        <f t="shared" si="85"/>
        <v>496.15000000000003</v>
      </c>
      <c r="G245" s="1049">
        <v>0</v>
      </c>
      <c r="H245" s="306">
        <v>0</v>
      </c>
      <c r="I245" s="307">
        <v>0</v>
      </c>
      <c r="J245" s="1046"/>
      <c r="K245" s="306">
        <f t="shared" si="88"/>
        <v>0</v>
      </c>
      <c r="L245" s="307">
        <f t="shared" si="89"/>
        <v>0</v>
      </c>
      <c r="M245" s="1047">
        <f t="shared" si="90"/>
        <v>0</v>
      </c>
      <c r="N245" s="306">
        <f t="shared" si="91"/>
        <v>0</v>
      </c>
      <c r="O245" s="307">
        <f t="shared" si="92"/>
        <v>0</v>
      </c>
      <c r="P245" s="1047">
        <f t="shared" si="93"/>
        <v>5</v>
      </c>
      <c r="Q245" s="306">
        <f t="shared" si="86"/>
        <v>496.15000000000003</v>
      </c>
      <c r="R245" s="307">
        <f t="shared" si="94"/>
        <v>1</v>
      </c>
      <c r="S245" s="314" t="str">
        <f t="shared" si="87"/>
        <v>ok</v>
      </c>
      <c r="T245" s="306"/>
      <c r="U245" s="314"/>
      <c r="V245" s="314"/>
      <c r="W245" s="314"/>
      <c r="X245" s="306"/>
    </row>
    <row r="246" spans="1:24" s="316" customFormat="1" ht="16.5" customHeight="1">
      <c r="A246" s="1101">
        <v>5.3</v>
      </c>
      <c r="B246" s="1102" t="s">
        <v>1894</v>
      </c>
      <c r="C246" s="1108"/>
      <c r="D246" s="1105"/>
      <c r="E246" s="1109"/>
      <c r="F246" s="841"/>
      <c r="G246" s="1049"/>
      <c r="H246" s="306"/>
      <c r="I246" s="307"/>
      <c r="J246" s="1046"/>
      <c r="K246" s="306"/>
      <c r="L246" s="307"/>
      <c r="M246" s="1047"/>
      <c r="N246" s="306"/>
      <c r="O246" s="307"/>
      <c r="P246" s="1047"/>
      <c r="Q246" s="306">
        <f t="shared" si="86"/>
        <v>0</v>
      </c>
      <c r="R246" s="307"/>
      <c r="S246" s="314" t="str">
        <f t="shared" si="87"/>
        <v>ok</v>
      </c>
      <c r="T246" s="306"/>
      <c r="U246" s="314"/>
      <c r="V246" s="314"/>
      <c r="W246" s="314"/>
      <c r="X246" s="306"/>
    </row>
    <row r="247" spans="1:24" s="316" customFormat="1" ht="16.5" customHeight="1">
      <c r="A247" s="1101" t="s">
        <v>1391</v>
      </c>
      <c r="B247" s="1101" t="s">
        <v>1895</v>
      </c>
      <c r="C247" s="1104" t="s">
        <v>52</v>
      </c>
      <c r="D247" s="1105">
        <v>13</v>
      </c>
      <c r="E247" s="1106">
        <v>782.78</v>
      </c>
      <c r="F247" s="841">
        <f t="shared" si="85"/>
        <v>10176.14</v>
      </c>
      <c r="G247" s="1049">
        <v>0</v>
      </c>
      <c r="H247" s="306">
        <v>0</v>
      </c>
      <c r="I247" s="307">
        <v>0</v>
      </c>
      <c r="J247" s="1046"/>
      <c r="K247" s="306">
        <f t="shared" si="88"/>
        <v>0</v>
      </c>
      <c r="L247" s="307">
        <f t="shared" si="89"/>
        <v>0</v>
      </c>
      <c r="M247" s="1047">
        <f t="shared" si="90"/>
        <v>0</v>
      </c>
      <c r="N247" s="306">
        <f t="shared" si="91"/>
        <v>0</v>
      </c>
      <c r="O247" s="307">
        <f t="shared" si="92"/>
        <v>0</v>
      </c>
      <c r="P247" s="1047">
        <f t="shared" si="93"/>
        <v>13</v>
      </c>
      <c r="Q247" s="306">
        <f t="shared" si="86"/>
        <v>10176.14</v>
      </c>
      <c r="R247" s="307">
        <f t="shared" si="94"/>
        <v>1</v>
      </c>
      <c r="S247" s="314" t="str">
        <f t="shared" si="87"/>
        <v>ok</v>
      </c>
      <c r="T247" s="306"/>
      <c r="U247" s="314"/>
      <c r="V247" s="314"/>
      <c r="W247" s="314"/>
      <c r="X247" s="306"/>
    </row>
    <row r="248" spans="1:24" s="316" customFormat="1" ht="16.5" customHeight="1">
      <c r="A248" s="1101" t="s">
        <v>1392</v>
      </c>
      <c r="B248" s="1101" t="s">
        <v>1896</v>
      </c>
      <c r="C248" s="1104" t="s">
        <v>52</v>
      </c>
      <c r="D248" s="1105">
        <v>13</v>
      </c>
      <c r="E248" s="1106">
        <v>99.23</v>
      </c>
      <c r="F248" s="841">
        <f t="shared" si="85"/>
        <v>1289.99</v>
      </c>
      <c r="G248" s="1049">
        <v>0</v>
      </c>
      <c r="H248" s="306">
        <v>0</v>
      </c>
      <c r="I248" s="307">
        <v>0</v>
      </c>
      <c r="J248" s="1046"/>
      <c r="K248" s="306">
        <f t="shared" si="88"/>
        <v>0</v>
      </c>
      <c r="L248" s="307">
        <f t="shared" si="89"/>
        <v>0</v>
      </c>
      <c r="M248" s="1047">
        <f t="shared" si="90"/>
        <v>0</v>
      </c>
      <c r="N248" s="306">
        <f t="shared" si="91"/>
        <v>0</v>
      </c>
      <c r="O248" s="307">
        <f t="shared" si="92"/>
        <v>0</v>
      </c>
      <c r="P248" s="1047">
        <f t="shared" si="93"/>
        <v>13</v>
      </c>
      <c r="Q248" s="306">
        <f t="shared" si="86"/>
        <v>1289.99</v>
      </c>
      <c r="R248" s="307">
        <f t="shared" si="94"/>
        <v>1</v>
      </c>
      <c r="S248" s="314" t="str">
        <f t="shared" si="87"/>
        <v>ok</v>
      </c>
      <c r="T248" s="306"/>
      <c r="U248" s="314"/>
      <c r="V248" s="314"/>
      <c r="W248" s="314"/>
      <c r="X248" s="306"/>
    </row>
    <row r="249" spans="1:24" s="316" customFormat="1" ht="16.5" customHeight="1">
      <c r="A249" s="1101">
        <v>5.4</v>
      </c>
      <c r="B249" s="1102" t="s">
        <v>1897</v>
      </c>
      <c r="C249" s="1108"/>
      <c r="D249" s="1105"/>
      <c r="E249" s="1109"/>
      <c r="F249" s="841"/>
      <c r="G249" s="1049"/>
      <c r="H249" s="306"/>
      <c r="I249" s="307"/>
      <c r="J249" s="1046"/>
      <c r="K249" s="306"/>
      <c r="L249" s="307"/>
      <c r="M249" s="1047"/>
      <c r="N249" s="306"/>
      <c r="O249" s="307"/>
      <c r="P249" s="1047"/>
      <c r="Q249" s="306">
        <f t="shared" si="86"/>
        <v>0</v>
      </c>
      <c r="R249" s="307"/>
      <c r="S249" s="314" t="str">
        <f t="shared" si="87"/>
        <v>ok</v>
      </c>
      <c r="T249" s="306"/>
      <c r="U249" s="314"/>
      <c r="V249" s="314"/>
      <c r="W249" s="314"/>
      <c r="X249" s="306"/>
    </row>
    <row r="250" spans="1:24" s="316" customFormat="1" ht="16.5" customHeight="1">
      <c r="A250" s="1101" t="s">
        <v>1393</v>
      </c>
      <c r="B250" s="1103" t="s">
        <v>1898</v>
      </c>
      <c r="C250" s="1103"/>
      <c r="D250" s="1105"/>
      <c r="E250" s="1107"/>
      <c r="F250" s="841"/>
      <c r="G250" s="1049"/>
      <c r="H250" s="306"/>
      <c r="I250" s="307"/>
      <c r="J250" s="1049"/>
      <c r="K250" s="306"/>
      <c r="L250" s="307"/>
      <c r="M250" s="1047"/>
      <c r="N250" s="306"/>
      <c r="O250" s="307"/>
      <c r="P250" s="1047"/>
      <c r="Q250" s="306">
        <f t="shared" si="86"/>
        <v>0</v>
      </c>
      <c r="R250" s="307"/>
      <c r="S250" s="314" t="str">
        <f t="shared" si="87"/>
        <v>ok</v>
      </c>
      <c r="T250" s="306"/>
      <c r="U250" s="314"/>
      <c r="V250" s="314"/>
      <c r="W250" s="314"/>
      <c r="X250" s="306"/>
    </row>
    <row r="251" spans="1:24" s="934" customFormat="1" ht="16.5" customHeight="1">
      <c r="A251" s="1860" t="s">
        <v>1394</v>
      </c>
      <c r="B251" s="1860" t="s">
        <v>1899</v>
      </c>
      <c r="C251" s="1861" t="s">
        <v>52</v>
      </c>
      <c r="D251" s="1877">
        <v>1</v>
      </c>
      <c r="E251" s="1878">
        <v>1402.62</v>
      </c>
      <c r="F251" s="1879">
        <f t="shared" si="85"/>
        <v>1402.62</v>
      </c>
      <c r="G251" s="1049">
        <v>0</v>
      </c>
      <c r="H251" s="1425">
        <v>0</v>
      </c>
      <c r="I251" s="305">
        <v>0</v>
      </c>
      <c r="J251" s="1049"/>
      <c r="K251" s="1425">
        <f t="shared" si="88"/>
        <v>0</v>
      </c>
      <c r="L251" s="305">
        <f t="shared" si="89"/>
        <v>0</v>
      </c>
      <c r="M251" s="1047">
        <f t="shared" si="90"/>
        <v>0</v>
      </c>
      <c r="N251" s="1425">
        <f t="shared" si="91"/>
        <v>0</v>
      </c>
      <c r="O251" s="305">
        <f t="shared" si="92"/>
        <v>0</v>
      </c>
      <c r="P251" s="1047">
        <f t="shared" si="93"/>
        <v>1</v>
      </c>
      <c r="Q251" s="1425">
        <f t="shared" si="86"/>
        <v>1402.62</v>
      </c>
      <c r="R251" s="305">
        <f t="shared" si="94"/>
        <v>1</v>
      </c>
      <c r="S251" s="314" t="str">
        <f t="shared" si="87"/>
        <v>ok</v>
      </c>
      <c r="T251" s="1425"/>
      <c r="U251" s="1426"/>
      <c r="V251" s="1426"/>
      <c r="W251" s="1426"/>
      <c r="X251" s="1425"/>
    </row>
    <row r="252" spans="1:24" s="934" customFormat="1" ht="16.5" customHeight="1">
      <c r="A252" s="1860" t="s">
        <v>1395</v>
      </c>
      <c r="B252" s="1860" t="s">
        <v>1900</v>
      </c>
      <c r="C252" s="1861" t="s">
        <v>52</v>
      </c>
      <c r="D252" s="1877">
        <v>1</v>
      </c>
      <c r="E252" s="1878">
        <v>640.88</v>
      </c>
      <c r="F252" s="1879">
        <f t="shared" si="85"/>
        <v>640.88</v>
      </c>
      <c r="G252" s="1049">
        <v>0</v>
      </c>
      <c r="H252" s="1425">
        <v>0</v>
      </c>
      <c r="I252" s="305">
        <v>0</v>
      </c>
      <c r="J252" s="1049"/>
      <c r="K252" s="1425">
        <f t="shared" si="88"/>
        <v>0</v>
      </c>
      <c r="L252" s="305">
        <f t="shared" si="89"/>
        <v>0</v>
      </c>
      <c r="M252" s="1047">
        <f t="shared" si="90"/>
        <v>0</v>
      </c>
      <c r="N252" s="1425">
        <f t="shared" si="91"/>
        <v>0</v>
      </c>
      <c r="O252" s="305">
        <f t="shared" si="92"/>
        <v>0</v>
      </c>
      <c r="P252" s="1047">
        <f t="shared" si="93"/>
        <v>1</v>
      </c>
      <c r="Q252" s="1425">
        <f t="shared" si="86"/>
        <v>640.88</v>
      </c>
      <c r="R252" s="305">
        <f t="shared" si="94"/>
        <v>1</v>
      </c>
      <c r="S252" s="314" t="str">
        <f t="shared" si="87"/>
        <v>ok</v>
      </c>
      <c r="T252" s="1425"/>
      <c r="U252" s="1426"/>
      <c r="V252" s="1426"/>
      <c r="W252" s="1426"/>
      <c r="X252" s="1425"/>
    </row>
    <row r="253" spans="1:24" s="934" customFormat="1" ht="16.5" customHeight="1">
      <c r="A253" s="1860" t="s">
        <v>1396</v>
      </c>
      <c r="B253" s="1860" t="s">
        <v>1901</v>
      </c>
      <c r="C253" s="1861" t="s">
        <v>52</v>
      </c>
      <c r="D253" s="1877">
        <v>1</v>
      </c>
      <c r="E253" s="1878">
        <v>640.88</v>
      </c>
      <c r="F253" s="1879">
        <f t="shared" si="85"/>
        <v>640.88</v>
      </c>
      <c r="G253" s="1049">
        <v>0</v>
      </c>
      <c r="H253" s="1425">
        <v>0</v>
      </c>
      <c r="I253" s="305">
        <v>0</v>
      </c>
      <c r="J253" s="1049"/>
      <c r="K253" s="1425">
        <f t="shared" si="88"/>
        <v>0</v>
      </c>
      <c r="L253" s="305">
        <f t="shared" si="89"/>
        <v>0</v>
      </c>
      <c r="M253" s="1047">
        <f t="shared" si="90"/>
        <v>0</v>
      </c>
      <c r="N253" s="1425">
        <f t="shared" si="91"/>
        <v>0</v>
      </c>
      <c r="O253" s="305">
        <f t="shared" si="92"/>
        <v>0</v>
      </c>
      <c r="P253" s="1047">
        <f t="shared" si="93"/>
        <v>1</v>
      </c>
      <c r="Q253" s="1425">
        <f t="shared" si="86"/>
        <v>640.88</v>
      </c>
      <c r="R253" s="305">
        <f t="shared" si="94"/>
        <v>1</v>
      </c>
      <c r="S253" s="314" t="str">
        <f t="shared" si="87"/>
        <v>ok</v>
      </c>
      <c r="T253" s="1425"/>
      <c r="U253" s="1426"/>
      <c r="V253" s="1426"/>
      <c r="W253" s="1426"/>
      <c r="X253" s="1425"/>
    </row>
    <row r="254" spans="1:24" s="934" customFormat="1" ht="16.149999999999999" customHeight="1">
      <c r="A254" s="1860" t="s">
        <v>1397</v>
      </c>
      <c r="B254" s="1860" t="s">
        <v>1902</v>
      </c>
      <c r="C254" s="1861" t="s">
        <v>52</v>
      </c>
      <c r="D254" s="1877">
        <v>1</v>
      </c>
      <c r="E254" s="1878">
        <v>640.88</v>
      </c>
      <c r="F254" s="1879">
        <f t="shared" si="85"/>
        <v>640.88</v>
      </c>
      <c r="G254" s="1049">
        <v>0</v>
      </c>
      <c r="H254" s="1425">
        <v>0</v>
      </c>
      <c r="I254" s="305">
        <v>0</v>
      </c>
      <c r="J254" s="1049"/>
      <c r="K254" s="1425">
        <f t="shared" si="88"/>
        <v>0</v>
      </c>
      <c r="L254" s="305">
        <f t="shared" si="89"/>
        <v>0</v>
      </c>
      <c r="M254" s="1047">
        <f t="shared" si="90"/>
        <v>0</v>
      </c>
      <c r="N254" s="1425">
        <f t="shared" si="91"/>
        <v>0</v>
      </c>
      <c r="O254" s="305">
        <f t="shared" si="92"/>
        <v>0</v>
      </c>
      <c r="P254" s="1047">
        <f t="shared" si="93"/>
        <v>1</v>
      </c>
      <c r="Q254" s="1425">
        <f t="shared" si="86"/>
        <v>640.88</v>
      </c>
      <c r="R254" s="305">
        <f t="shared" si="94"/>
        <v>1</v>
      </c>
      <c r="S254" s="314" t="str">
        <f t="shared" si="87"/>
        <v>ok</v>
      </c>
      <c r="T254" s="1425"/>
      <c r="U254" s="1426"/>
      <c r="V254" s="1426"/>
      <c r="W254" s="1426"/>
      <c r="X254" s="1425"/>
    </row>
    <row r="255" spans="1:24" s="316" customFormat="1" ht="16.5" customHeight="1">
      <c r="A255" s="1860" t="s">
        <v>1398</v>
      </c>
      <c r="B255" s="1860" t="s">
        <v>1903</v>
      </c>
      <c r="C255" s="1861" t="s">
        <v>52</v>
      </c>
      <c r="D255" s="1877">
        <v>1</v>
      </c>
      <c r="E255" s="1878">
        <v>640.88</v>
      </c>
      <c r="F255" s="1879">
        <f t="shared" si="85"/>
        <v>640.88</v>
      </c>
      <c r="G255" s="1049">
        <v>1</v>
      </c>
      <c r="H255" s="1425">
        <v>640.88</v>
      </c>
      <c r="I255" s="305">
        <v>1</v>
      </c>
      <c r="J255" s="1049"/>
      <c r="K255" s="1425">
        <f t="shared" si="88"/>
        <v>0</v>
      </c>
      <c r="L255" s="305">
        <f t="shared" si="89"/>
        <v>0</v>
      </c>
      <c r="M255" s="1047">
        <f t="shared" si="90"/>
        <v>1</v>
      </c>
      <c r="N255" s="306">
        <f t="shared" si="91"/>
        <v>640.88</v>
      </c>
      <c r="O255" s="305">
        <f t="shared" si="92"/>
        <v>1</v>
      </c>
      <c r="P255" s="1047">
        <f t="shared" si="93"/>
        <v>0</v>
      </c>
      <c r="Q255" s="306">
        <f t="shared" si="86"/>
        <v>0</v>
      </c>
      <c r="R255" s="305">
        <f t="shared" si="94"/>
        <v>0</v>
      </c>
      <c r="S255" s="314" t="str">
        <f t="shared" si="87"/>
        <v>ok</v>
      </c>
      <c r="T255" s="1425"/>
      <c r="U255" s="314"/>
      <c r="V255" s="314"/>
      <c r="W255" s="314"/>
      <c r="X255" s="1425"/>
    </row>
    <row r="256" spans="1:24" s="316" customFormat="1" ht="16.5" customHeight="1">
      <c r="A256" s="1860" t="s">
        <v>1399</v>
      </c>
      <c r="B256" s="1860" t="s">
        <v>1904</v>
      </c>
      <c r="C256" s="1861" t="s">
        <v>52</v>
      </c>
      <c r="D256" s="1877">
        <v>1</v>
      </c>
      <c r="E256" s="1878">
        <v>640.88</v>
      </c>
      <c r="F256" s="1879">
        <f t="shared" si="85"/>
        <v>640.88</v>
      </c>
      <c r="G256" s="1049">
        <v>1</v>
      </c>
      <c r="H256" s="1425">
        <v>640.88</v>
      </c>
      <c r="I256" s="305">
        <v>1</v>
      </c>
      <c r="J256" s="1049"/>
      <c r="K256" s="1425">
        <f t="shared" si="88"/>
        <v>0</v>
      </c>
      <c r="L256" s="305">
        <f t="shared" si="89"/>
        <v>0</v>
      </c>
      <c r="M256" s="1047">
        <f t="shared" si="90"/>
        <v>1</v>
      </c>
      <c r="N256" s="306">
        <f t="shared" si="91"/>
        <v>640.88</v>
      </c>
      <c r="O256" s="305">
        <f t="shared" si="92"/>
        <v>1</v>
      </c>
      <c r="P256" s="1047">
        <f t="shared" si="93"/>
        <v>0</v>
      </c>
      <c r="Q256" s="306">
        <f t="shared" si="86"/>
        <v>0</v>
      </c>
      <c r="R256" s="305">
        <f t="shared" si="94"/>
        <v>0</v>
      </c>
      <c r="S256" s="314" t="str">
        <f t="shared" si="87"/>
        <v>ok</v>
      </c>
      <c r="T256" s="1425"/>
      <c r="U256" s="314"/>
      <c r="V256" s="314"/>
      <c r="W256" s="314"/>
      <c r="X256" s="1425"/>
    </row>
    <row r="257" spans="1:24" s="316" customFormat="1" ht="16.5" customHeight="1">
      <c r="A257" s="1860" t="s">
        <v>1400</v>
      </c>
      <c r="B257" s="1860" t="s">
        <v>1905</v>
      </c>
      <c r="C257" s="1861" t="s">
        <v>52</v>
      </c>
      <c r="D257" s="1877">
        <v>1</v>
      </c>
      <c r="E257" s="1878">
        <v>640.88</v>
      </c>
      <c r="F257" s="1879">
        <f t="shared" si="85"/>
        <v>640.88</v>
      </c>
      <c r="G257" s="1049">
        <v>1</v>
      </c>
      <c r="H257" s="1425">
        <v>640.88</v>
      </c>
      <c r="I257" s="305">
        <v>1</v>
      </c>
      <c r="J257" s="1049"/>
      <c r="K257" s="1425">
        <f t="shared" si="88"/>
        <v>0</v>
      </c>
      <c r="L257" s="305">
        <f t="shared" si="89"/>
        <v>0</v>
      </c>
      <c r="M257" s="1047">
        <f t="shared" si="90"/>
        <v>1</v>
      </c>
      <c r="N257" s="306">
        <f t="shared" si="91"/>
        <v>640.88</v>
      </c>
      <c r="O257" s="305">
        <f t="shared" si="92"/>
        <v>1</v>
      </c>
      <c r="P257" s="1047">
        <f t="shared" si="93"/>
        <v>0</v>
      </c>
      <c r="Q257" s="306">
        <f t="shared" si="86"/>
        <v>0</v>
      </c>
      <c r="R257" s="305">
        <f t="shared" si="94"/>
        <v>0</v>
      </c>
      <c r="S257" s="314" t="str">
        <f t="shared" si="87"/>
        <v>ok</v>
      </c>
      <c r="T257" s="1425"/>
      <c r="U257" s="314"/>
      <c r="V257" s="314"/>
      <c r="W257" s="314"/>
      <c r="X257" s="1425"/>
    </row>
    <row r="258" spans="1:24" s="316" customFormat="1" ht="16.5" customHeight="1">
      <c r="A258" s="1860" t="s">
        <v>1401</v>
      </c>
      <c r="B258" s="1860" t="s">
        <v>1906</v>
      </c>
      <c r="C258" s="1861" t="s">
        <v>52</v>
      </c>
      <c r="D258" s="1877">
        <v>1</v>
      </c>
      <c r="E258" s="1878">
        <v>640.88</v>
      </c>
      <c r="F258" s="1879">
        <f t="shared" si="85"/>
        <v>640.88</v>
      </c>
      <c r="G258" s="1049">
        <v>1</v>
      </c>
      <c r="H258" s="1425">
        <v>640.88</v>
      </c>
      <c r="I258" s="305">
        <v>1</v>
      </c>
      <c r="J258" s="1049"/>
      <c r="K258" s="1425">
        <f t="shared" si="88"/>
        <v>0</v>
      </c>
      <c r="L258" s="305">
        <f t="shared" si="89"/>
        <v>0</v>
      </c>
      <c r="M258" s="1047">
        <f t="shared" si="90"/>
        <v>1</v>
      </c>
      <c r="N258" s="306">
        <f t="shared" si="91"/>
        <v>640.88</v>
      </c>
      <c r="O258" s="305">
        <f t="shared" si="92"/>
        <v>1</v>
      </c>
      <c r="P258" s="1047">
        <f t="shared" si="93"/>
        <v>0</v>
      </c>
      <c r="Q258" s="306">
        <f t="shared" si="86"/>
        <v>0</v>
      </c>
      <c r="R258" s="305">
        <f t="shared" si="94"/>
        <v>0</v>
      </c>
      <c r="S258" s="314" t="str">
        <f t="shared" si="87"/>
        <v>ok</v>
      </c>
      <c r="T258" s="1425"/>
      <c r="U258" s="314"/>
      <c r="V258" s="314"/>
      <c r="W258" s="314"/>
      <c r="X258" s="1425"/>
    </row>
    <row r="259" spans="1:24" s="316" customFormat="1" ht="16.5" customHeight="1">
      <c r="A259" s="1860" t="s">
        <v>1402</v>
      </c>
      <c r="B259" s="1860" t="s">
        <v>1907</v>
      </c>
      <c r="C259" s="1861" t="s">
        <v>52</v>
      </c>
      <c r="D259" s="1877">
        <v>1</v>
      </c>
      <c r="E259" s="1878">
        <v>640.88</v>
      </c>
      <c r="F259" s="1879">
        <f t="shared" si="85"/>
        <v>640.88</v>
      </c>
      <c r="G259" s="1049">
        <v>1</v>
      </c>
      <c r="H259" s="1425">
        <v>640.88</v>
      </c>
      <c r="I259" s="305">
        <v>1</v>
      </c>
      <c r="J259" s="1049"/>
      <c r="K259" s="1425">
        <f t="shared" si="88"/>
        <v>0</v>
      </c>
      <c r="L259" s="305">
        <f t="shared" si="89"/>
        <v>0</v>
      </c>
      <c r="M259" s="1047">
        <f t="shared" si="90"/>
        <v>1</v>
      </c>
      <c r="N259" s="306">
        <f t="shared" si="91"/>
        <v>640.88</v>
      </c>
      <c r="O259" s="305">
        <f t="shared" si="92"/>
        <v>1</v>
      </c>
      <c r="P259" s="1047">
        <f t="shared" si="93"/>
        <v>0</v>
      </c>
      <c r="Q259" s="306">
        <f t="shared" si="86"/>
        <v>0</v>
      </c>
      <c r="R259" s="305">
        <f t="shared" si="94"/>
        <v>0</v>
      </c>
      <c r="S259" s="314" t="str">
        <f t="shared" si="87"/>
        <v>ok</v>
      </c>
      <c r="T259" s="1425"/>
      <c r="U259" s="314"/>
      <c r="V259" s="314"/>
      <c r="W259" s="314"/>
      <c r="X259" s="1425"/>
    </row>
    <row r="260" spans="1:24" s="316" customFormat="1" ht="16.5" customHeight="1">
      <c r="A260" s="1860" t="s">
        <v>1403</v>
      </c>
      <c r="B260" s="1860" t="s">
        <v>1908</v>
      </c>
      <c r="C260" s="1861" t="s">
        <v>52</v>
      </c>
      <c r="D260" s="1877">
        <v>1</v>
      </c>
      <c r="E260" s="1878">
        <v>640.88</v>
      </c>
      <c r="F260" s="1879">
        <f t="shared" si="85"/>
        <v>640.88</v>
      </c>
      <c r="G260" s="1049">
        <v>1</v>
      </c>
      <c r="H260" s="1425">
        <v>640.88</v>
      </c>
      <c r="I260" s="305">
        <v>1</v>
      </c>
      <c r="J260" s="1049"/>
      <c r="K260" s="1425">
        <f t="shared" si="88"/>
        <v>0</v>
      </c>
      <c r="L260" s="305">
        <f t="shared" si="89"/>
        <v>0</v>
      </c>
      <c r="M260" s="1047">
        <f t="shared" si="90"/>
        <v>1</v>
      </c>
      <c r="N260" s="306">
        <f t="shared" si="91"/>
        <v>640.88</v>
      </c>
      <c r="O260" s="305">
        <f t="shared" si="92"/>
        <v>1</v>
      </c>
      <c r="P260" s="1047">
        <f t="shared" si="93"/>
        <v>0</v>
      </c>
      <c r="Q260" s="306">
        <f t="shared" si="86"/>
        <v>0</v>
      </c>
      <c r="R260" s="305">
        <f t="shared" si="94"/>
        <v>0</v>
      </c>
      <c r="S260" s="314" t="str">
        <f t="shared" si="87"/>
        <v>ok</v>
      </c>
      <c r="T260" s="1425"/>
      <c r="U260" s="314"/>
      <c r="V260" s="314"/>
      <c r="W260" s="314"/>
      <c r="X260" s="1425"/>
    </row>
    <row r="261" spans="1:24" s="316" customFormat="1" ht="16.5" customHeight="1">
      <c r="A261" s="1860" t="s">
        <v>1404</v>
      </c>
      <c r="B261" s="1860" t="s">
        <v>1909</v>
      </c>
      <c r="C261" s="1861" t="s">
        <v>52</v>
      </c>
      <c r="D261" s="1877">
        <v>1</v>
      </c>
      <c r="E261" s="1878">
        <v>640.88</v>
      </c>
      <c r="F261" s="1879">
        <f t="shared" si="85"/>
        <v>640.88</v>
      </c>
      <c r="G261" s="1049">
        <v>1</v>
      </c>
      <c r="H261" s="1425">
        <v>640.88</v>
      </c>
      <c r="I261" s="305">
        <v>1</v>
      </c>
      <c r="J261" s="1049"/>
      <c r="K261" s="1425">
        <f t="shared" si="88"/>
        <v>0</v>
      </c>
      <c r="L261" s="305">
        <f t="shared" si="89"/>
        <v>0</v>
      </c>
      <c r="M261" s="1047">
        <f t="shared" si="90"/>
        <v>1</v>
      </c>
      <c r="N261" s="306">
        <f t="shared" si="91"/>
        <v>640.88</v>
      </c>
      <c r="O261" s="305">
        <f t="shared" si="92"/>
        <v>1</v>
      </c>
      <c r="P261" s="1047">
        <f t="shared" si="93"/>
        <v>0</v>
      </c>
      <c r="Q261" s="306">
        <f t="shared" si="86"/>
        <v>0</v>
      </c>
      <c r="R261" s="305">
        <f t="shared" si="94"/>
        <v>0</v>
      </c>
      <c r="S261" s="314" t="str">
        <f t="shared" si="87"/>
        <v>ok</v>
      </c>
      <c r="T261" s="1425"/>
      <c r="U261" s="314"/>
      <c r="V261" s="314"/>
      <c r="W261" s="314"/>
      <c r="X261" s="1425"/>
    </row>
    <row r="262" spans="1:24" s="316" customFormat="1" ht="16.5" customHeight="1">
      <c r="A262" s="1860" t="s">
        <v>1405</v>
      </c>
      <c r="B262" s="1860" t="s">
        <v>1910</v>
      </c>
      <c r="C262" s="1861" t="s">
        <v>52</v>
      </c>
      <c r="D262" s="1877">
        <v>1</v>
      </c>
      <c r="E262" s="1878">
        <v>640.88</v>
      </c>
      <c r="F262" s="1879">
        <f t="shared" si="85"/>
        <v>640.88</v>
      </c>
      <c r="G262" s="1049">
        <v>1</v>
      </c>
      <c r="H262" s="1425">
        <v>640.88</v>
      </c>
      <c r="I262" s="305">
        <v>1</v>
      </c>
      <c r="J262" s="1049"/>
      <c r="K262" s="1425">
        <f t="shared" si="88"/>
        <v>0</v>
      </c>
      <c r="L262" s="305">
        <f t="shared" si="89"/>
        <v>0</v>
      </c>
      <c r="M262" s="1047">
        <f t="shared" si="90"/>
        <v>1</v>
      </c>
      <c r="N262" s="306">
        <f t="shared" si="91"/>
        <v>640.88</v>
      </c>
      <c r="O262" s="305">
        <f t="shared" si="92"/>
        <v>1</v>
      </c>
      <c r="P262" s="1047">
        <f t="shared" si="93"/>
        <v>0</v>
      </c>
      <c r="Q262" s="306">
        <f t="shared" si="86"/>
        <v>0</v>
      </c>
      <c r="R262" s="305">
        <f t="shared" si="94"/>
        <v>0</v>
      </c>
      <c r="S262" s="314" t="str">
        <f t="shared" si="87"/>
        <v>ok</v>
      </c>
      <c r="T262" s="1425"/>
      <c r="U262" s="314"/>
      <c r="V262" s="314"/>
      <c r="W262" s="314"/>
      <c r="X262" s="1425"/>
    </row>
    <row r="263" spans="1:24" s="316" customFormat="1" ht="16.5" customHeight="1">
      <c r="A263" s="1860" t="s">
        <v>1406</v>
      </c>
      <c r="B263" s="1860" t="s">
        <v>1911</v>
      </c>
      <c r="C263" s="1861" t="s">
        <v>52</v>
      </c>
      <c r="D263" s="1877">
        <v>1</v>
      </c>
      <c r="E263" s="1878">
        <v>640.88</v>
      </c>
      <c r="F263" s="1879">
        <f t="shared" si="85"/>
        <v>640.88</v>
      </c>
      <c r="G263" s="1049">
        <v>1</v>
      </c>
      <c r="H263" s="1425">
        <v>640.88</v>
      </c>
      <c r="I263" s="305">
        <v>1</v>
      </c>
      <c r="J263" s="1049"/>
      <c r="K263" s="1425">
        <f t="shared" si="88"/>
        <v>0</v>
      </c>
      <c r="L263" s="305">
        <f t="shared" si="89"/>
        <v>0</v>
      </c>
      <c r="M263" s="1047">
        <f t="shared" si="90"/>
        <v>1</v>
      </c>
      <c r="N263" s="306">
        <f t="shared" si="91"/>
        <v>640.88</v>
      </c>
      <c r="O263" s="305">
        <f t="shared" si="92"/>
        <v>1</v>
      </c>
      <c r="P263" s="1047">
        <f t="shared" si="93"/>
        <v>0</v>
      </c>
      <c r="Q263" s="306">
        <f t="shared" si="86"/>
        <v>0</v>
      </c>
      <c r="R263" s="305">
        <f t="shared" si="94"/>
        <v>0</v>
      </c>
      <c r="S263" s="314" t="str">
        <f t="shared" si="87"/>
        <v>ok</v>
      </c>
      <c r="T263" s="1425"/>
      <c r="U263" s="314"/>
      <c r="V263" s="314"/>
      <c r="W263" s="314"/>
      <c r="X263" s="1425"/>
    </row>
    <row r="264" spans="1:24" s="316" customFormat="1" ht="16.5" customHeight="1">
      <c r="A264" s="1860" t="s">
        <v>1407</v>
      </c>
      <c r="B264" s="1860" t="s">
        <v>1912</v>
      </c>
      <c r="C264" s="1861" t="s">
        <v>52</v>
      </c>
      <c r="D264" s="1877">
        <v>1</v>
      </c>
      <c r="E264" s="1878">
        <v>640.88</v>
      </c>
      <c r="F264" s="1879">
        <f t="shared" si="85"/>
        <v>640.88</v>
      </c>
      <c r="G264" s="1049">
        <v>1</v>
      </c>
      <c r="H264" s="1425">
        <v>640.88</v>
      </c>
      <c r="I264" s="305">
        <v>1</v>
      </c>
      <c r="J264" s="1049"/>
      <c r="K264" s="1425">
        <f t="shared" si="88"/>
        <v>0</v>
      </c>
      <c r="L264" s="305">
        <f t="shared" si="89"/>
        <v>0</v>
      </c>
      <c r="M264" s="1047">
        <f t="shared" si="90"/>
        <v>1</v>
      </c>
      <c r="N264" s="306">
        <f t="shared" si="91"/>
        <v>640.88</v>
      </c>
      <c r="O264" s="305">
        <f t="shared" si="92"/>
        <v>1</v>
      </c>
      <c r="P264" s="1047">
        <f t="shared" si="93"/>
        <v>0</v>
      </c>
      <c r="Q264" s="306">
        <f t="shared" si="86"/>
        <v>0</v>
      </c>
      <c r="R264" s="305">
        <f t="shared" si="94"/>
        <v>0</v>
      </c>
      <c r="S264" s="314" t="str">
        <f t="shared" si="87"/>
        <v>ok</v>
      </c>
      <c r="T264" s="1425"/>
      <c r="U264" s="314"/>
      <c r="V264" s="314"/>
      <c r="W264" s="314"/>
      <c r="X264" s="1425"/>
    </row>
    <row r="265" spans="1:24" s="316" customFormat="1" ht="16.5" customHeight="1">
      <c r="A265" s="1860" t="s">
        <v>1408</v>
      </c>
      <c r="B265" s="1860" t="s">
        <v>1913</v>
      </c>
      <c r="C265" s="1861" t="s">
        <v>52</v>
      </c>
      <c r="D265" s="1877">
        <v>1</v>
      </c>
      <c r="E265" s="1878">
        <v>640.88</v>
      </c>
      <c r="F265" s="1879">
        <f t="shared" si="85"/>
        <v>640.88</v>
      </c>
      <c r="G265" s="1049">
        <v>1</v>
      </c>
      <c r="H265" s="1425">
        <v>640.88</v>
      </c>
      <c r="I265" s="305">
        <v>1</v>
      </c>
      <c r="J265" s="1049"/>
      <c r="K265" s="1425">
        <f t="shared" si="88"/>
        <v>0</v>
      </c>
      <c r="L265" s="305">
        <f t="shared" si="89"/>
        <v>0</v>
      </c>
      <c r="M265" s="1047">
        <f t="shared" si="90"/>
        <v>1</v>
      </c>
      <c r="N265" s="306">
        <f t="shared" si="91"/>
        <v>640.88</v>
      </c>
      <c r="O265" s="305">
        <f t="shared" si="92"/>
        <v>1</v>
      </c>
      <c r="P265" s="1047">
        <f t="shared" si="93"/>
        <v>0</v>
      </c>
      <c r="Q265" s="306">
        <f t="shared" si="86"/>
        <v>0</v>
      </c>
      <c r="R265" s="305">
        <f t="shared" si="94"/>
        <v>0</v>
      </c>
      <c r="S265" s="314" t="str">
        <f t="shared" si="87"/>
        <v>ok</v>
      </c>
      <c r="T265" s="1425"/>
      <c r="U265" s="314"/>
      <c r="V265" s="314"/>
      <c r="W265" s="314"/>
      <c r="X265" s="1425"/>
    </row>
    <row r="266" spans="1:24" s="316" customFormat="1" ht="16.5" customHeight="1">
      <c r="A266" s="1860" t="s">
        <v>1409</v>
      </c>
      <c r="B266" s="1860" t="s">
        <v>1914</v>
      </c>
      <c r="C266" s="1861" t="s">
        <v>52</v>
      </c>
      <c r="D266" s="1877">
        <v>1</v>
      </c>
      <c r="E266" s="1878">
        <v>640.88</v>
      </c>
      <c r="F266" s="1879">
        <f t="shared" si="85"/>
        <v>640.88</v>
      </c>
      <c r="G266" s="1049">
        <v>1</v>
      </c>
      <c r="H266" s="1425">
        <v>640.88</v>
      </c>
      <c r="I266" s="305">
        <v>1</v>
      </c>
      <c r="J266" s="1049"/>
      <c r="K266" s="1425">
        <f t="shared" si="88"/>
        <v>0</v>
      </c>
      <c r="L266" s="305">
        <f t="shared" si="89"/>
        <v>0</v>
      </c>
      <c r="M266" s="1047">
        <f t="shared" si="90"/>
        <v>1</v>
      </c>
      <c r="N266" s="306">
        <f t="shared" si="91"/>
        <v>640.88</v>
      </c>
      <c r="O266" s="305">
        <f t="shared" si="92"/>
        <v>1</v>
      </c>
      <c r="P266" s="1047">
        <f t="shared" si="93"/>
        <v>0</v>
      </c>
      <c r="Q266" s="306">
        <f t="shared" si="86"/>
        <v>0</v>
      </c>
      <c r="R266" s="305">
        <f t="shared" si="94"/>
        <v>0</v>
      </c>
      <c r="S266" s="314" t="str">
        <f t="shared" si="87"/>
        <v>ok</v>
      </c>
      <c r="T266" s="1425"/>
      <c r="U266" s="314"/>
      <c r="V266" s="314"/>
      <c r="W266" s="314"/>
      <c r="X266" s="1425"/>
    </row>
    <row r="267" spans="1:24" s="934" customFormat="1" ht="16.5" customHeight="1">
      <c r="A267" s="1860" t="s">
        <v>1410</v>
      </c>
      <c r="B267" s="1860" t="s">
        <v>1915</v>
      </c>
      <c r="C267" s="1861" t="s">
        <v>52</v>
      </c>
      <c r="D267" s="1877">
        <v>1</v>
      </c>
      <c r="E267" s="1878">
        <v>640.88</v>
      </c>
      <c r="F267" s="1879">
        <f t="shared" si="85"/>
        <v>640.88</v>
      </c>
      <c r="G267" s="1049">
        <v>1</v>
      </c>
      <c r="H267" s="1425">
        <v>640.88</v>
      </c>
      <c r="I267" s="305">
        <v>1</v>
      </c>
      <c r="J267" s="1049"/>
      <c r="K267" s="1425">
        <f t="shared" si="88"/>
        <v>0</v>
      </c>
      <c r="L267" s="305">
        <f t="shared" si="89"/>
        <v>0</v>
      </c>
      <c r="M267" s="1047">
        <f t="shared" si="90"/>
        <v>1</v>
      </c>
      <c r="N267" s="1425">
        <f t="shared" si="91"/>
        <v>640.88</v>
      </c>
      <c r="O267" s="305">
        <f t="shared" si="92"/>
        <v>1</v>
      </c>
      <c r="P267" s="1047">
        <f t="shared" si="93"/>
        <v>0</v>
      </c>
      <c r="Q267" s="1425">
        <f t="shared" si="86"/>
        <v>0</v>
      </c>
      <c r="R267" s="305">
        <f t="shared" si="94"/>
        <v>0</v>
      </c>
      <c r="S267" s="314" t="str">
        <f t="shared" si="87"/>
        <v>ok</v>
      </c>
      <c r="T267" s="1425"/>
      <c r="U267" s="1426"/>
      <c r="V267" s="1426"/>
      <c r="W267" s="1426"/>
      <c r="X267" s="1425"/>
    </row>
    <row r="268" spans="1:24" s="934" customFormat="1" ht="16.5" customHeight="1">
      <c r="A268" s="1860" t="s">
        <v>1411</v>
      </c>
      <c r="B268" s="1860" t="s">
        <v>1916</v>
      </c>
      <c r="C268" s="1861" t="s">
        <v>52</v>
      </c>
      <c r="D268" s="1877">
        <v>1</v>
      </c>
      <c r="E268" s="1878">
        <v>640.88</v>
      </c>
      <c r="F268" s="1879">
        <f t="shared" si="85"/>
        <v>640.88</v>
      </c>
      <c r="G268" s="1049">
        <v>1</v>
      </c>
      <c r="H268" s="1425">
        <v>640.88</v>
      </c>
      <c r="I268" s="305">
        <v>1</v>
      </c>
      <c r="J268" s="1049"/>
      <c r="K268" s="1425">
        <f t="shared" si="88"/>
        <v>0</v>
      </c>
      <c r="L268" s="305">
        <f t="shared" si="89"/>
        <v>0</v>
      </c>
      <c r="M268" s="1047">
        <f t="shared" si="90"/>
        <v>1</v>
      </c>
      <c r="N268" s="1425">
        <f t="shared" si="91"/>
        <v>640.88</v>
      </c>
      <c r="O268" s="305">
        <f t="shared" si="92"/>
        <v>1</v>
      </c>
      <c r="P268" s="1047">
        <f t="shared" si="93"/>
        <v>0</v>
      </c>
      <c r="Q268" s="1425">
        <f t="shared" si="86"/>
        <v>0</v>
      </c>
      <c r="R268" s="305">
        <f t="shared" si="94"/>
        <v>0</v>
      </c>
      <c r="S268" s="314" t="str">
        <f t="shared" si="87"/>
        <v>ok</v>
      </c>
      <c r="T268" s="1425"/>
      <c r="U268" s="1426"/>
      <c r="V268" s="1426"/>
      <c r="W268" s="1426"/>
      <c r="X268" s="1425"/>
    </row>
    <row r="269" spans="1:24" s="934" customFormat="1" ht="16.5" customHeight="1">
      <c r="A269" s="1860" t="s">
        <v>1412</v>
      </c>
      <c r="B269" s="1860" t="s">
        <v>1917</v>
      </c>
      <c r="C269" s="1861" t="s">
        <v>52</v>
      </c>
      <c r="D269" s="1877">
        <v>1</v>
      </c>
      <c r="E269" s="1878">
        <v>640.88</v>
      </c>
      <c r="F269" s="1879">
        <f t="shared" si="85"/>
        <v>640.88</v>
      </c>
      <c r="G269" s="1049">
        <v>0</v>
      </c>
      <c r="H269" s="1425">
        <v>0</v>
      </c>
      <c r="I269" s="305">
        <v>0</v>
      </c>
      <c r="J269" s="1049"/>
      <c r="K269" s="1425">
        <f t="shared" si="88"/>
        <v>0</v>
      </c>
      <c r="L269" s="305">
        <f t="shared" si="89"/>
        <v>0</v>
      </c>
      <c r="M269" s="1047">
        <f t="shared" si="90"/>
        <v>0</v>
      </c>
      <c r="N269" s="1425">
        <f t="shared" si="91"/>
        <v>0</v>
      </c>
      <c r="O269" s="305">
        <f t="shared" si="92"/>
        <v>0</v>
      </c>
      <c r="P269" s="1047">
        <f t="shared" si="93"/>
        <v>1</v>
      </c>
      <c r="Q269" s="1425">
        <f t="shared" si="86"/>
        <v>640.88</v>
      </c>
      <c r="R269" s="305">
        <f t="shared" si="94"/>
        <v>1</v>
      </c>
      <c r="S269" s="314" t="str">
        <f t="shared" si="87"/>
        <v>ok</v>
      </c>
      <c r="T269" s="1425"/>
      <c r="U269" s="1426"/>
      <c r="V269" s="1426"/>
      <c r="W269" s="1426"/>
      <c r="X269" s="1425"/>
    </row>
    <row r="270" spans="1:24" s="934" customFormat="1" ht="16.5" customHeight="1">
      <c r="A270" s="1860" t="s">
        <v>1413</v>
      </c>
      <c r="B270" s="1860" t="s">
        <v>1918</v>
      </c>
      <c r="C270" s="1861" t="s">
        <v>52</v>
      </c>
      <c r="D270" s="1877">
        <v>1</v>
      </c>
      <c r="E270" s="1878">
        <v>640.88</v>
      </c>
      <c r="F270" s="1879">
        <f t="shared" si="85"/>
        <v>640.88</v>
      </c>
      <c r="G270" s="1049">
        <v>0</v>
      </c>
      <c r="H270" s="1425">
        <v>0</v>
      </c>
      <c r="I270" s="305">
        <v>0</v>
      </c>
      <c r="J270" s="1049"/>
      <c r="K270" s="1425">
        <f t="shared" si="88"/>
        <v>0</v>
      </c>
      <c r="L270" s="305">
        <f t="shared" si="89"/>
        <v>0</v>
      </c>
      <c r="M270" s="1047">
        <f t="shared" si="90"/>
        <v>0</v>
      </c>
      <c r="N270" s="1425">
        <f t="shared" si="91"/>
        <v>0</v>
      </c>
      <c r="O270" s="305">
        <f t="shared" si="92"/>
        <v>0</v>
      </c>
      <c r="P270" s="1047">
        <f t="shared" si="93"/>
        <v>1</v>
      </c>
      <c r="Q270" s="1425">
        <f t="shared" si="86"/>
        <v>640.88</v>
      </c>
      <c r="R270" s="305">
        <f t="shared" si="94"/>
        <v>1</v>
      </c>
      <c r="S270" s="314" t="str">
        <f t="shared" si="87"/>
        <v>ok</v>
      </c>
      <c r="T270" s="1425"/>
      <c r="U270" s="1426"/>
      <c r="V270" s="1426"/>
      <c r="W270" s="1426"/>
      <c r="X270" s="1425"/>
    </row>
    <row r="271" spans="1:24" s="934" customFormat="1" ht="16.5" customHeight="1">
      <c r="A271" s="1860" t="s">
        <v>1414</v>
      </c>
      <c r="B271" s="1860" t="s">
        <v>1919</v>
      </c>
      <c r="C271" s="1861" t="s">
        <v>52</v>
      </c>
      <c r="D271" s="1877">
        <v>1</v>
      </c>
      <c r="E271" s="1878">
        <v>640.88</v>
      </c>
      <c r="F271" s="1879">
        <f t="shared" si="85"/>
        <v>640.88</v>
      </c>
      <c r="G271" s="1049">
        <v>0</v>
      </c>
      <c r="H271" s="1425">
        <v>0</v>
      </c>
      <c r="I271" s="305">
        <v>0</v>
      </c>
      <c r="J271" s="1049"/>
      <c r="K271" s="1425">
        <f t="shared" si="88"/>
        <v>0</v>
      </c>
      <c r="L271" s="305">
        <f t="shared" si="89"/>
        <v>0</v>
      </c>
      <c r="M271" s="1047">
        <f t="shared" si="90"/>
        <v>0</v>
      </c>
      <c r="N271" s="1425">
        <f t="shared" si="91"/>
        <v>0</v>
      </c>
      <c r="O271" s="305">
        <f t="shared" si="92"/>
        <v>0</v>
      </c>
      <c r="P271" s="1047">
        <f t="shared" si="93"/>
        <v>1</v>
      </c>
      <c r="Q271" s="1425">
        <f t="shared" si="86"/>
        <v>640.88</v>
      </c>
      <c r="R271" s="305">
        <f t="shared" si="94"/>
        <v>1</v>
      </c>
      <c r="S271" s="314" t="str">
        <f t="shared" si="87"/>
        <v>ok</v>
      </c>
      <c r="T271" s="1425"/>
      <c r="U271" s="1426"/>
      <c r="V271" s="1426"/>
      <c r="W271" s="1426"/>
      <c r="X271" s="1425"/>
    </row>
    <row r="272" spans="1:24" s="934" customFormat="1" ht="16.5" customHeight="1">
      <c r="A272" s="1860" t="s">
        <v>1415</v>
      </c>
      <c r="B272" s="1860" t="s">
        <v>1920</v>
      </c>
      <c r="C272" s="1861" t="s">
        <v>52</v>
      </c>
      <c r="D272" s="1877">
        <v>1</v>
      </c>
      <c r="E272" s="1878">
        <v>640.88</v>
      </c>
      <c r="F272" s="1879">
        <f t="shared" si="85"/>
        <v>640.88</v>
      </c>
      <c r="G272" s="1049">
        <v>0</v>
      </c>
      <c r="H272" s="1425">
        <v>0</v>
      </c>
      <c r="I272" s="305">
        <v>0</v>
      </c>
      <c r="J272" s="1049"/>
      <c r="K272" s="1425">
        <f t="shared" si="88"/>
        <v>0</v>
      </c>
      <c r="L272" s="305">
        <f t="shared" si="89"/>
        <v>0</v>
      </c>
      <c r="M272" s="1047">
        <f t="shared" si="90"/>
        <v>0</v>
      </c>
      <c r="N272" s="1425">
        <f t="shared" si="91"/>
        <v>0</v>
      </c>
      <c r="O272" s="305">
        <f t="shared" si="92"/>
        <v>0</v>
      </c>
      <c r="P272" s="1047">
        <f t="shared" si="93"/>
        <v>1</v>
      </c>
      <c r="Q272" s="1425">
        <f t="shared" si="86"/>
        <v>640.88</v>
      </c>
      <c r="R272" s="305">
        <f t="shared" si="94"/>
        <v>1</v>
      </c>
      <c r="S272" s="314" t="str">
        <f t="shared" si="87"/>
        <v>ok</v>
      </c>
      <c r="T272" s="1425"/>
      <c r="U272" s="1426"/>
      <c r="V272" s="1426"/>
      <c r="W272" s="1426"/>
      <c r="X272" s="1425"/>
    </row>
    <row r="273" spans="1:24" s="934" customFormat="1" ht="16.5" customHeight="1">
      <c r="A273" s="1860" t="s">
        <v>1416</v>
      </c>
      <c r="B273" s="1860" t="s">
        <v>1921</v>
      </c>
      <c r="C273" s="1861" t="s">
        <v>52</v>
      </c>
      <c r="D273" s="1877">
        <v>1</v>
      </c>
      <c r="E273" s="1878">
        <v>640.88</v>
      </c>
      <c r="F273" s="1879">
        <f t="shared" si="85"/>
        <v>640.88</v>
      </c>
      <c r="G273" s="1049">
        <v>0</v>
      </c>
      <c r="H273" s="1425">
        <v>0</v>
      </c>
      <c r="I273" s="305">
        <v>0</v>
      </c>
      <c r="J273" s="1049"/>
      <c r="K273" s="1425">
        <f t="shared" si="88"/>
        <v>0</v>
      </c>
      <c r="L273" s="305">
        <f t="shared" si="89"/>
        <v>0</v>
      </c>
      <c r="M273" s="1047">
        <f t="shared" si="90"/>
        <v>0</v>
      </c>
      <c r="N273" s="1425">
        <f t="shared" si="91"/>
        <v>0</v>
      </c>
      <c r="O273" s="305">
        <f t="shared" si="92"/>
        <v>0</v>
      </c>
      <c r="P273" s="1047">
        <f t="shared" si="93"/>
        <v>1</v>
      </c>
      <c r="Q273" s="1425">
        <f t="shared" si="86"/>
        <v>640.88</v>
      </c>
      <c r="R273" s="305">
        <f t="shared" si="94"/>
        <v>1</v>
      </c>
      <c r="S273" s="314" t="str">
        <f t="shared" si="87"/>
        <v>ok</v>
      </c>
      <c r="T273" s="1425"/>
      <c r="U273" s="1426"/>
      <c r="V273" s="1426"/>
      <c r="W273" s="1426"/>
      <c r="X273" s="1425"/>
    </row>
    <row r="274" spans="1:24" s="934" customFormat="1" ht="16.5" customHeight="1">
      <c r="A274" s="1860" t="s">
        <v>1417</v>
      </c>
      <c r="B274" s="1860" t="s">
        <v>1922</v>
      </c>
      <c r="C274" s="1861" t="s">
        <v>52</v>
      </c>
      <c r="D274" s="1877">
        <v>1</v>
      </c>
      <c r="E274" s="1878">
        <v>640.88</v>
      </c>
      <c r="F274" s="1879">
        <f t="shared" si="85"/>
        <v>640.88</v>
      </c>
      <c r="G274" s="1049">
        <v>0</v>
      </c>
      <c r="H274" s="1425">
        <v>0</v>
      </c>
      <c r="I274" s="305">
        <v>0</v>
      </c>
      <c r="J274" s="1049"/>
      <c r="K274" s="1425">
        <f t="shared" si="88"/>
        <v>0</v>
      </c>
      <c r="L274" s="305">
        <f t="shared" si="89"/>
        <v>0</v>
      </c>
      <c r="M274" s="1047">
        <f t="shared" si="90"/>
        <v>0</v>
      </c>
      <c r="N274" s="1425">
        <f t="shared" si="91"/>
        <v>0</v>
      </c>
      <c r="O274" s="305">
        <f t="shared" si="92"/>
        <v>0</v>
      </c>
      <c r="P274" s="1047">
        <f t="shared" si="93"/>
        <v>1</v>
      </c>
      <c r="Q274" s="1425">
        <f t="shared" si="86"/>
        <v>640.88</v>
      </c>
      <c r="R274" s="305">
        <f t="shared" si="94"/>
        <v>1</v>
      </c>
      <c r="S274" s="314" t="str">
        <f t="shared" si="87"/>
        <v>ok</v>
      </c>
      <c r="T274" s="1425"/>
      <c r="U274" s="1426"/>
      <c r="V274" s="1426"/>
      <c r="W274" s="1426"/>
      <c r="X274" s="1425"/>
    </row>
    <row r="275" spans="1:24" s="934" customFormat="1" ht="16.5" customHeight="1">
      <c r="A275" s="1860" t="s">
        <v>1418</v>
      </c>
      <c r="B275" s="1860" t="s">
        <v>1923</v>
      </c>
      <c r="C275" s="1861" t="s">
        <v>52</v>
      </c>
      <c r="D275" s="1877">
        <v>1</v>
      </c>
      <c r="E275" s="1878">
        <v>640.88</v>
      </c>
      <c r="F275" s="1879">
        <f t="shared" ref="F275:F338" si="95">+D275*E275</f>
        <v>640.88</v>
      </c>
      <c r="G275" s="1049">
        <v>0</v>
      </c>
      <c r="H275" s="1425">
        <v>0</v>
      </c>
      <c r="I275" s="305">
        <v>0</v>
      </c>
      <c r="J275" s="1049"/>
      <c r="K275" s="1425">
        <f t="shared" si="88"/>
        <v>0</v>
      </c>
      <c r="L275" s="305">
        <f t="shared" si="89"/>
        <v>0</v>
      </c>
      <c r="M275" s="1047">
        <f t="shared" si="90"/>
        <v>0</v>
      </c>
      <c r="N275" s="1425">
        <f t="shared" si="91"/>
        <v>0</v>
      </c>
      <c r="O275" s="305">
        <f t="shared" si="92"/>
        <v>0</v>
      </c>
      <c r="P275" s="1047">
        <f t="shared" si="93"/>
        <v>1</v>
      </c>
      <c r="Q275" s="1425">
        <f t="shared" si="86"/>
        <v>640.88</v>
      </c>
      <c r="R275" s="305">
        <f t="shared" si="94"/>
        <v>1</v>
      </c>
      <c r="S275" s="314" t="str">
        <f t="shared" si="87"/>
        <v>ok</v>
      </c>
      <c r="T275" s="1425"/>
      <c r="U275" s="1426"/>
      <c r="V275" s="1426"/>
      <c r="W275" s="1426"/>
      <c r="X275" s="1425"/>
    </row>
    <row r="276" spans="1:24" s="316" customFormat="1" ht="16.5" customHeight="1">
      <c r="A276" s="1101" t="s">
        <v>1419</v>
      </c>
      <c r="B276" s="1103" t="s">
        <v>1924</v>
      </c>
      <c r="C276" s="1103"/>
      <c r="D276" s="1105"/>
      <c r="E276" s="1107"/>
      <c r="F276" s="841"/>
      <c r="G276" s="1049"/>
      <c r="H276" s="306"/>
      <c r="I276" s="307"/>
      <c r="J276" s="1049"/>
      <c r="K276" s="306"/>
      <c r="L276" s="307"/>
      <c r="M276" s="1047"/>
      <c r="N276" s="306"/>
      <c r="O276" s="307"/>
      <c r="P276" s="1047"/>
      <c r="Q276" s="306">
        <f t="shared" si="86"/>
        <v>0</v>
      </c>
      <c r="R276" s="307"/>
      <c r="S276" s="314" t="str">
        <f t="shared" si="87"/>
        <v>ok</v>
      </c>
      <c r="T276" s="306"/>
      <c r="U276" s="314"/>
      <c r="V276" s="314"/>
      <c r="W276" s="314"/>
      <c r="X276" s="306"/>
    </row>
    <row r="277" spans="1:24" s="316" customFormat="1" ht="16.5" customHeight="1">
      <c r="A277" s="1101" t="s">
        <v>1420</v>
      </c>
      <c r="B277" s="1101" t="s">
        <v>1925</v>
      </c>
      <c r="C277" s="1104" t="s">
        <v>52</v>
      </c>
      <c r="D277" s="1105">
        <v>1</v>
      </c>
      <c r="E277" s="1106">
        <v>180.98</v>
      </c>
      <c r="F277" s="841">
        <f t="shared" si="95"/>
        <v>180.98</v>
      </c>
      <c r="G277" s="1049">
        <v>0</v>
      </c>
      <c r="H277" s="306">
        <v>0</v>
      </c>
      <c r="I277" s="307">
        <v>0</v>
      </c>
      <c r="J277" s="1049"/>
      <c r="K277" s="306">
        <f t="shared" si="88"/>
        <v>0</v>
      </c>
      <c r="L277" s="307">
        <f t="shared" si="89"/>
        <v>0</v>
      </c>
      <c r="M277" s="1047">
        <f t="shared" si="90"/>
        <v>0</v>
      </c>
      <c r="N277" s="306">
        <f t="shared" si="91"/>
        <v>0</v>
      </c>
      <c r="O277" s="307">
        <f t="shared" si="92"/>
        <v>0</v>
      </c>
      <c r="P277" s="1047">
        <f t="shared" si="93"/>
        <v>1</v>
      </c>
      <c r="Q277" s="306">
        <f t="shared" ref="Q277:Q340" si="96">F277-N277</f>
        <v>180.98</v>
      </c>
      <c r="R277" s="307">
        <f t="shared" si="94"/>
        <v>1</v>
      </c>
      <c r="S277" s="314" t="str">
        <f t="shared" ref="S277:S340" si="97">IF(M277&gt;D277,"mayormetrado","ok")</f>
        <v>ok</v>
      </c>
      <c r="T277" s="306"/>
      <c r="U277" s="314"/>
      <c r="V277" s="314"/>
      <c r="W277" s="314"/>
      <c r="X277" s="306"/>
    </row>
    <row r="278" spans="1:24" s="316" customFormat="1" ht="16.5" customHeight="1">
      <c r="A278" s="1101" t="s">
        <v>1421</v>
      </c>
      <c r="B278" s="1101" t="s">
        <v>1926</v>
      </c>
      <c r="C278" s="1104" t="s">
        <v>52</v>
      </c>
      <c r="D278" s="1105">
        <v>2</v>
      </c>
      <c r="E278" s="1106">
        <v>236.68</v>
      </c>
      <c r="F278" s="841">
        <f t="shared" si="95"/>
        <v>473.36</v>
      </c>
      <c r="G278" s="1049">
        <v>0</v>
      </c>
      <c r="H278" s="306">
        <v>0</v>
      </c>
      <c r="I278" s="307">
        <v>0</v>
      </c>
      <c r="J278" s="1049"/>
      <c r="K278" s="306">
        <f t="shared" si="88"/>
        <v>0</v>
      </c>
      <c r="L278" s="307">
        <f t="shared" si="89"/>
        <v>0</v>
      </c>
      <c r="M278" s="1047">
        <f t="shared" si="90"/>
        <v>0</v>
      </c>
      <c r="N278" s="306">
        <f t="shared" si="91"/>
        <v>0</v>
      </c>
      <c r="O278" s="307">
        <f t="shared" si="92"/>
        <v>0</v>
      </c>
      <c r="P278" s="1047">
        <f t="shared" si="93"/>
        <v>2</v>
      </c>
      <c r="Q278" s="306">
        <f t="shared" si="96"/>
        <v>473.36</v>
      </c>
      <c r="R278" s="307">
        <f t="shared" si="94"/>
        <v>1</v>
      </c>
      <c r="S278" s="314" t="str">
        <f t="shared" si="97"/>
        <v>ok</v>
      </c>
      <c r="T278" s="306"/>
      <c r="U278" s="314"/>
      <c r="V278" s="314"/>
      <c r="W278" s="314"/>
      <c r="X278" s="306"/>
    </row>
    <row r="279" spans="1:24" s="316" customFormat="1" ht="16.5" customHeight="1">
      <c r="A279" s="1101" t="s">
        <v>1422</v>
      </c>
      <c r="B279" s="1101" t="s">
        <v>1927</v>
      </c>
      <c r="C279" s="1104" t="s">
        <v>52</v>
      </c>
      <c r="D279" s="1105">
        <v>2</v>
      </c>
      <c r="E279" s="1106">
        <v>86.68</v>
      </c>
      <c r="F279" s="841">
        <f t="shared" si="95"/>
        <v>173.36</v>
      </c>
      <c r="G279" s="1049">
        <v>0</v>
      </c>
      <c r="H279" s="306">
        <v>0</v>
      </c>
      <c r="I279" s="307">
        <v>0</v>
      </c>
      <c r="J279" s="1049"/>
      <c r="K279" s="306">
        <f t="shared" si="88"/>
        <v>0</v>
      </c>
      <c r="L279" s="307">
        <f t="shared" si="89"/>
        <v>0</v>
      </c>
      <c r="M279" s="1047">
        <f t="shared" si="90"/>
        <v>0</v>
      </c>
      <c r="N279" s="306">
        <f t="shared" si="91"/>
        <v>0</v>
      </c>
      <c r="O279" s="307">
        <f t="shared" si="92"/>
        <v>0</v>
      </c>
      <c r="P279" s="1047">
        <f t="shared" si="93"/>
        <v>2</v>
      </c>
      <c r="Q279" s="306">
        <f t="shared" si="96"/>
        <v>173.36</v>
      </c>
      <c r="R279" s="307">
        <f t="shared" si="94"/>
        <v>1</v>
      </c>
      <c r="S279" s="314" t="str">
        <f t="shared" si="97"/>
        <v>ok</v>
      </c>
      <c r="T279" s="306"/>
      <c r="U279" s="314"/>
      <c r="V279" s="314"/>
      <c r="W279" s="314"/>
      <c r="X279" s="306"/>
    </row>
    <row r="280" spans="1:24" s="316" customFormat="1" ht="16.5" customHeight="1">
      <c r="A280" s="1101" t="s">
        <v>1423</v>
      </c>
      <c r="B280" s="1101" t="s">
        <v>1928</v>
      </c>
      <c r="C280" s="1104" t="s">
        <v>52</v>
      </c>
      <c r="D280" s="1105">
        <v>3</v>
      </c>
      <c r="E280" s="1106">
        <v>71.680000000000007</v>
      </c>
      <c r="F280" s="841">
        <f t="shared" si="95"/>
        <v>215.04000000000002</v>
      </c>
      <c r="G280" s="1049">
        <v>0</v>
      </c>
      <c r="H280" s="306">
        <v>0</v>
      </c>
      <c r="I280" s="307">
        <v>0</v>
      </c>
      <c r="J280" s="1046"/>
      <c r="K280" s="306">
        <f t="shared" si="88"/>
        <v>0</v>
      </c>
      <c r="L280" s="307">
        <f t="shared" si="89"/>
        <v>0</v>
      </c>
      <c r="M280" s="1047">
        <f t="shared" si="90"/>
        <v>0</v>
      </c>
      <c r="N280" s="306">
        <f t="shared" si="91"/>
        <v>0</v>
      </c>
      <c r="O280" s="307">
        <f t="shared" si="92"/>
        <v>0</v>
      </c>
      <c r="P280" s="1047">
        <f t="shared" si="93"/>
        <v>3</v>
      </c>
      <c r="Q280" s="306">
        <f t="shared" si="96"/>
        <v>215.04000000000002</v>
      </c>
      <c r="R280" s="307">
        <f t="shared" si="94"/>
        <v>1</v>
      </c>
      <c r="S280" s="314" t="str">
        <f t="shared" si="97"/>
        <v>ok</v>
      </c>
      <c r="T280" s="306"/>
      <c r="U280" s="314"/>
      <c r="V280" s="314"/>
      <c r="W280" s="314"/>
      <c r="X280" s="306"/>
    </row>
    <row r="281" spans="1:24" s="316" customFormat="1" ht="16.5" customHeight="1">
      <c r="A281" s="1101" t="s">
        <v>1424</v>
      </c>
      <c r="B281" s="1101" t="s">
        <v>1929</v>
      </c>
      <c r="C281" s="1104" t="s">
        <v>52</v>
      </c>
      <c r="D281" s="1105">
        <v>20</v>
      </c>
      <c r="E281" s="1106">
        <v>51.88</v>
      </c>
      <c r="F281" s="841">
        <f t="shared" si="95"/>
        <v>1037.6000000000001</v>
      </c>
      <c r="G281" s="1049">
        <v>0</v>
      </c>
      <c r="H281" s="306">
        <v>0</v>
      </c>
      <c r="I281" s="307">
        <v>0</v>
      </c>
      <c r="J281" s="1046"/>
      <c r="K281" s="306">
        <f t="shared" si="88"/>
        <v>0</v>
      </c>
      <c r="L281" s="307">
        <f t="shared" si="89"/>
        <v>0</v>
      </c>
      <c r="M281" s="1047">
        <f t="shared" si="90"/>
        <v>0</v>
      </c>
      <c r="N281" s="306">
        <f t="shared" si="91"/>
        <v>0</v>
      </c>
      <c r="O281" s="307">
        <f t="shared" si="92"/>
        <v>0</v>
      </c>
      <c r="P281" s="1047">
        <f t="shared" si="93"/>
        <v>20</v>
      </c>
      <c r="Q281" s="306">
        <f t="shared" si="96"/>
        <v>1037.6000000000001</v>
      </c>
      <c r="R281" s="307">
        <f t="shared" si="94"/>
        <v>1</v>
      </c>
      <c r="S281" s="314" t="str">
        <f t="shared" si="97"/>
        <v>ok</v>
      </c>
      <c r="T281" s="306"/>
      <c r="U281" s="314"/>
      <c r="V281" s="314"/>
      <c r="W281" s="314"/>
      <c r="X281" s="306"/>
    </row>
    <row r="282" spans="1:24" s="316" customFormat="1" ht="16.5" customHeight="1">
      <c r="A282" s="1101" t="s">
        <v>1425</v>
      </c>
      <c r="B282" s="1101" t="s">
        <v>1930</v>
      </c>
      <c r="C282" s="1104" t="s">
        <v>52</v>
      </c>
      <c r="D282" s="1105">
        <v>24</v>
      </c>
      <c r="E282" s="1106">
        <v>41.68</v>
      </c>
      <c r="F282" s="841">
        <f t="shared" si="95"/>
        <v>1000.3199999999999</v>
      </c>
      <c r="G282" s="1049">
        <v>0</v>
      </c>
      <c r="H282" s="306">
        <v>0</v>
      </c>
      <c r="I282" s="307">
        <v>0</v>
      </c>
      <c r="J282" s="1046"/>
      <c r="K282" s="306">
        <f t="shared" si="88"/>
        <v>0</v>
      </c>
      <c r="L282" s="307">
        <f t="shared" si="89"/>
        <v>0</v>
      </c>
      <c r="M282" s="1047">
        <f t="shared" si="90"/>
        <v>0</v>
      </c>
      <c r="N282" s="306">
        <f t="shared" si="91"/>
        <v>0</v>
      </c>
      <c r="O282" s="307">
        <f t="shared" si="92"/>
        <v>0</v>
      </c>
      <c r="P282" s="1047">
        <f t="shared" si="93"/>
        <v>24</v>
      </c>
      <c r="Q282" s="306">
        <f t="shared" si="96"/>
        <v>1000.3199999999999</v>
      </c>
      <c r="R282" s="307">
        <f t="shared" si="94"/>
        <v>1</v>
      </c>
      <c r="S282" s="314" t="str">
        <f t="shared" si="97"/>
        <v>ok</v>
      </c>
      <c r="T282" s="306"/>
      <c r="U282" s="314"/>
      <c r="V282" s="314"/>
      <c r="W282" s="314"/>
      <c r="X282" s="306"/>
    </row>
    <row r="283" spans="1:24" s="316" customFormat="1" ht="16.5" customHeight="1">
      <c r="A283" s="1101" t="s">
        <v>1426</v>
      </c>
      <c r="B283" s="1101" t="s">
        <v>1931</v>
      </c>
      <c r="C283" s="1104" t="s">
        <v>52</v>
      </c>
      <c r="D283" s="1105">
        <v>138</v>
      </c>
      <c r="E283" s="1106">
        <v>32.950000000000003</v>
      </c>
      <c r="F283" s="841">
        <f t="shared" si="95"/>
        <v>4547.1000000000004</v>
      </c>
      <c r="G283" s="1049">
        <v>0</v>
      </c>
      <c r="H283" s="306">
        <v>0</v>
      </c>
      <c r="I283" s="307">
        <v>0</v>
      </c>
      <c r="J283" s="1046"/>
      <c r="K283" s="306">
        <f t="shared" si="88"/>
        <v>0</v>
      </c>
      <c r="L283" s="307">
        <f t="shared" si="89"/>
        <v>0</v>
      </c>
      <c r="M283" s="1047">
        <f t="shared" si="90"/>
        <v>0</v>
      </c>
      <c r="N283" s="306">
        <f t="shared" si="91"/>
        <v>0</v>
      </c>
      <c r="O283" s="307">
        <f t="shared" si="92"/>
        <v>0</v>
      </c>
      <c r="P283" s="1047">
        <f t="shared" si="93"/>
        <v>138</v>
      </c>
      <c r="Q283" s="306">
        <f t="shared" si="96"/>
        <v>4547.1000000000004</v>
      </c>
      <c r="R283" s="307">
        <f t="shared" si="94"/>
        <v>1</v>
      </c>
      <c r="S283" s="314" t="str">
        <f t="shared" si="97"/>
        <v>ok</v>
      </c>
      <c r="T283" s="306"/>
      <c r="U283" s="314"/>
      <c r="V283" s="314"/>
      <c r="W283" s="314"/>
      <c r="X283" s="306"/>
    </row>
    <row r="284" spans="1:24" s="316" customFormat="1" ht="16.5" customHeight="1">
      <c r="A284" s="1101" t="s">
        <v>1427</v>
      </c>
      <c r="B284" s="1101" t="s">
        <v>1932</v>
      </c>
      <c r="C284" s="1104" t="s">
        <v>52</v>
      </c>
      <c r="D284" s="1105">
        <v>149</v>
      </c>
      <c r="E284" s="1106">
        <v>26.68</v>
      </c>
      <c r="F284" s="841">
        <f t="shared" si="95"/>
        <v>3975.32</v>
      </c>
      <c r="G284" s="1049">
        <v>0</v>
      </c>
      <c r="H284" s="306">
        <v>0</v>
      </c>
      <c r="I284" s="307">
        <v>0</v>
      </c>
      <c r="J284" s="1046"/>
      <c r="K284" s="306">
        <f t="shared" si="88"/>
        <v>0</v>
      </c>
      <c r="L284" s="307">
        <f t="shared" si="89"/>
        <v>0</v>
      </c>
      <c r="M284" s="1047">
        <f t="shared" si="90"/>
        <v>0</v>
      </c>
      <c r="N284" s="306">
        <f t="shared" si="91"/>
        <v>0</v>
      </c>
      <c r="O284" s="307">
        <f t="shared" si="92"/>
        <v>0</v>
      </c>
      <c r="P284" s="1047">
        <f t="shared" si="93"/>
        <v>149</v>
      </c>
      <c r="Q284" s="306">
        <f t="shared" si="96"/>
        <v>3975.32</v>
      </c>
      <c r="R284" s="307">
        <f t="shared" si="94"/>
        <v>1</v>
      </c>
      <c r="S284" s="314" t="str">
        <f t="shared" si="97"/>
        <v>ok</v>
      </c>
      <c r="T284" s="306"/>
      <c r="U284" s="314"/>
      <c r="V284" s="314"/>
      <c r="W284" s="314"/>
      <c r="X284" s="306"/>
    </row>
    <row r="285" spans="1:24" s="316" customFormat="1" ht="16.5" customHeight="1">
      <c r="A285" s="1101" t="s">
        <v>1428</v>
      </c>
      <c r="B285" s="1101" t="s">
        <v>1933</v>
      </c>
      <c r="C285" s="1104" t="s">
        <v>52</v>
      </c>
      <c r="D285" s="1105">
        <v>287</v>
      </c>
      <c r="E285" s="1106">
        <v>186.68</v>
      </c>
      <c r="F285" s="841">
        <f t="shared" si="95"/>
        <v>53577.16</v>
      </c>
      <c r="G285" s="1049">
        <v>0</v>
      </c>
      <c r="H285" s="306">
        <v>0</v>
      </c>
      <c r="I285" s="307">
        <v>0</v>
      </c>
      <c r="J285" s="1046"/>
      <c r="K285" s="306">
        <f t="shared" si="88"/>
        <v>0</v>
      </c>
      <c r="L285" s="307">
        <f t="shared" si="89"/>
        <v>0</v>
      </c>
      <c r="M285" s="1047">
        <f t="shared" si="90"/>
        <v>0</v>
      </c>
      <c r="N285" s="306">
        <f t="shared" si="91"/>
        <v>0</v>
      </c>
      <c r="O285" s="307">
        <f t="shared" si="92"/>
        <v>0</v>
      </c>
      <c r="P285" s="1047">
        <f t="shared" si="93"/>
        <v>287</v>
      </c>
      <c r="Q285" s="306">
        <f t="shared" si="96"/>
        <v>53577.16</v>
      </c>
      <c r="R285" s="307">
        <f t="shared" si="94"/>
        <v>1</v>
      </c>
      <c r="S285" s="314" t="str">
        <f t="shared" si="97"/>
        <v>ok</v>
      </c>
      <c r="T285" s="306"/>
      <c r="U285" s="314"/>
      <c r="V285" s="314"/>
      <c r="W285" s="314"/>
      <c r="X285" s="306"/>
    </row>
    <row r="286" spans="1:24" s="316" customFormat="1" ht="16.5" customHeight="1">
      <c r="A286" s="1101" t="s">
        <v>1429</v>
      </c>
      <c r="B286" s="1103" t="s">
        <v>1934</v>
      </c>
      <c r="C286" s="1103"/>
      <c r="D286" s="1105"/>
      <c r="E286" s="1107"/>
      <c r="F286" s="841"/>
      <c r="G286" s="1049"/>
      <c r="H286" s="306"/>
      <c r="I286" s="307"/>
      <c r="J286" s="1046"/>
      <c r="K286" s="306"/>
      <c r="L286" s="307"/>
      <c r="M286" s="1047"/>
      <c r="N286" s="306"/>
      <c r="O286" s="307"/>
      <c r="P286" s="1047"/>
      <c r="Q286" s="306">
        <f t="shared" si="96"/>
        <v>0</v>
      </c>
      <c r="R286" s="307"/>
      <c r="S286" s="314" t="str">
        <f t="shared" si="97"/>
        <v>ok</v>
      </c>
      <c r="T286" s="306"/>
      <c r="U286" s="314"/>
      <c r="V286" s="314"/>
      <c r="W286" s="314"/>
      <c r="X286" s="306"/>
    </row>
    <row r="287" spans="1:24" s="316" customFormat="1" ht="16.5" customHeight="1">
      <c r="A287" s="1101" t="s">
        <v>1430</v>
      </c>
      <c r="B287" s="1101" t="s">
        <v>1935</v>
      </c>
      <c r="C287" s="1104" t="s">
        <v>51</v>
      </c>
      <c r="D287" s="1105">
        <v>18</v>
      </c>
      <c r="E287" s="1106">
        <v>32.700000000000003</v>
      </c>
      <c r="F287" s="841">
        <f t="shared" si="95"/>
        <v>588.6</v>
      </c>
      <c r="G287" s="1049">
        <v>0</v>
      </c>
      <c r="H287" s="306">
        <v>0</v>
      </c>
      <c r="I287" s="307">
        <v>0</v>
      </c>
      <c r="J287" s="1046"/>
      <c r="K287" s="306">
        <f t="shared" si="88"/>
        <v>0</v>
      </c>
      <c r="L287" s="307">
        <f t="shared" si="89"/>
        <v>0</v>
      </c>
      <c r="M287" s="1047">
        <f t="shared" si="90"/>
        <v>0</v>
      </c>
      <c r="N287" s="306">
        <f t="shared" si="91"/>
        <v>0</v>
      </c>
      <c r="O287" s="307">
        <f t="shared" si="92"/>
        <v>0</v>
      </c>
      <c r="P287" s="1047">
        <f t="shared" si="93"/>
        <v>18</v>
      </c>
      <c r="Q287" s="306">
        <f t="shared" si="96"/>
        <v>588.6</v>
      </c>
      <c r="R287" s="307">
        <f t="shared" si="94"/>
        <v>1</v>
      </c>
      <c r="S287" s="314" t="str">
        <f t="shared" si="97"/>
        <v>ok</v>
      </c>
      <c r="T287" s="306"/>
      <c r="U287" s="314"/>
      <c r="V287" s="314"/>
      <c r="W287" s="314"/>
      <c r="X287" s="306"/>
    </row>
    <row r="288" spans="1:24" s="316" customFormat="1" ht="16.5" customHeight="1">
      <c r="A288" s="1101" t="s">
        <v>1431</v>
      </c>
      <c r="B288" s="1101" t="s">
        <v>1936</v>
      </c>
      <c r="C288" s="1104" t="s">
        <v>51</v>
      </c>
      <c r="D288" s="1105">
        <v>101</v>
      </c>
      <c r="E288" s="1106">
        <v>28.91</v>
      </c>
      <c r="F288" s="841">
        <f t="shared" si="95"/>
        <v>2919.91</v>
      </c>
      <c r="G288" s="1049">
        <v>0</v>
      </c>
      <c r="H288" s="306">
        <v>0</v>
      </c>
      <c r="I288" s="307">
        <v>0</v>
      </c>
      <c r="J288" s="1046"/>
      <c r="K288" s="306">
        <f t="shared" si="88"/>
        <v>0</v>
      </c>
      <c r="L288" s="307">
        <f t="shared" si="89"/>
        <v>0</v>
      </c>
      <c r="M288" s="1047">
        <f t="shared" si="90"/>
        <v>0</v>
      </c>
      <c r="N288" s="306">
        <f t="shared" si="91"/>
        <v>0</v>
      </c>
      <c r="O288" s="307">
        <f t="shared" si="92"/>
        <v>0</v>
      </c>
      <c r="P288" s="1047">
        <f t="shared" si="93"/>
        <v>101</v>
      </c>
      <c r="Q288" s="306">
        <f t="shared" si="96"/>
        <v>2919.91</v>
      </c>
      <c r="R288" s="307">
        <f t="shared" si="94"/>
        <v>1</v>
      </c>
      <c r="S288" s="314" t="str">
        <f t="shared" si="97"/>
        <v>ok</v>
      </c>
      <c r="T288" s="306"/>
      <c r="U288" s="314"/>
      <c r="V288" s="314"/>
      <c r="W288" s="314"/>
      <c r="X288" s="306"/>
    </row>
    <row r="289" spans="1:24" s="316" customFormat="1" ht="16.5" customHeight="1">
      <c r="A289" s="1101" t="s">
        <v>1432</v>
      </c>
      <c r="B289" s="1101" t="s">
        <v>1937</v>
      </c>
      <c r="C289" s="1104" t="s">
        <v>51</v>
      </c>
      <c r="D289" s="1105">
        <v>280</v>
      </c>
      <c r="E289" s="1106">
        <v>20.84</v>
      </c>
      <c r="F289" s="841">
        <f t="shared" si="95"/>
        <v>5835.2</v>
      </c>
      <c r="G289" s="1049">
        <v>234</v>
      </c>
      <c r="H289" s="306">
        <v>4876.5600000000004</v>
      </c>
      <c r="I289" s="307">
        <v>0.83571428571428585</v>
      </c>
      <c r="J289" s="1046"/>
      <c r="K289" s="306">
        <f t="shared" si="88"/>
        <v>0</v>
      </c>
      <c r="L289" s="307">
        <f t="shared" si="89"/>
        <v>0</v>
      </c>
      <c r="M289" s="1047">
        <f t="shared" si="90"/>
        <v>234</v>
      </c>
      <c r="N289" s="306">
        <f t="shared" si="91"/>
        <v>4876.5600000000004</v>
      </c>
      <c r="O289" s="307">
        <f t="shared" si="92"/>
        <v>0.83571428571428585</v>
      </c>
      <c r="P289" s="1047">
        <f t="shared" si="93"/>
        <v>46</v>
      </c>
      <c r="Q289" s="306">
        <f t="shared" si="96"/>
        <v>958.63999999999942</v>
      </c>
      <c r="R289" s="307">
        <f t="shared" si="94"/>
        <v>0.1642857142857142</v>
      </c>
      <c r="S289" s="314" t="str">
        <f t="shared" si="97"/>
        <v>ok</v>
      </c>
      <c r="T289" s="306"/>
      <c r="U289" s="314"/>
      <c r="V289" s="314"/>
      <c r="W289" s="314"/>
      <c r="X289" s="306"/>
    </row>
    <row r="290" spans="1:24" s="316" customFormat="1" ht="16.5" customHeight="1">
      <c r="A290" s="1101" t="s">
        <v>1433</v>
      </c>
      <c r="B290" s="1101" t="s">
        <v>1938</v>
      </c>
      <c r="C290" s="1104" t="s">
        <v>51</v>
      </c>
      <c r="D290" s="1105">
        <v>40</v>
      </c>
      <c r="E290" s="1106">
        <v>16.670000000000002</v>
      </c>
      <c r="F290" s="841">
        <f t="shared" si="95"/>
        <v>666.80000000000007</v>
      </c>
      <c r="G290" s="1049">
        <v>0</v>
      </c>
      <c r="H290" s="306">
        <v>0</v>
      </c>
      <c r="I290" s="307">
        <v>0</v>
      </c>
      <c r="J290" s="1046"/>
      <c r="K290" s="306">
        <f t="shared" si="88"/>
        <v>0</v>
      </c>
      <c r="L290" s="307">
        <f t="shared" si="89"/>
        <v>0</v>
      </c>
      <c r="M290" s="1047">
        <f t="shared" si="90"/>
        <v>0</v>
      </c>
      <c r="N290" s="306">
        <f t="shared" si="91"/>
        <v>0</v>
      </c>
      <c r="O290" s="307">
        <f t="shared" si="92"/>
        <v>0</v>
      </c>
      <c r="P290" s="1047">
        <f t="shared" si="93"/>
        <v>40</v>
      </c>
      <c r="Q290" s="306">
        <f t="shared" si="96"/>
        <v>666.80000000000007</v>
      </c>
      <c r="R290" s="307">
        <f t="shared" si="94"/>
        <v>1</v>
      </c>
      <c r="S290" s="314" t="str">
        <f t="shared" si="97"/>
        <v>ok</v>
      </c>
      <c r="T290" s="306"/>
      <c r="U290" s="314"/>
      <c r="V290" s="314"/>
      <c r="W290" s="314"/>
      <c r="X290" s="306"/>
    </row>
    <row r="291" spans="1:24" s="316" customFormat="1" ht="16.5" customHeight="1">
      <c r="A291" s="1101" t="s">
        <v>1434</v>
      </c>
      <c r="B291" s="1103" t="s">
        <v>1939</v>
      </c>
      <c r="C291" s="1103"/>
      <c r="D291" s="1105"/>
      <c r="E291" s="1107"/>
      <c r="F291" s="841"/>
      <c r="G291" s="1049"/>
      <c r="H291" s="306"/>
      <c r="I291" s="307"/>
      <c r="J291" s="1046"/>
      <c r="K291" s="306"/>
      <c r="L291" s="307"/>
      <c r="M291" s="1047"/>
      <c r="N291" s="306"/>
      <c r="O291" s="307"/>
      <c r="P291" s="1047"/>
      <c r="Q291" s="306">
        <f t="shared" si="96"/>
        <v>0</v>
      </c>
      <c r="R291" s="307"/>
      <c r="S291" s="314" t="str">
        <f t="shared" si="97"/>
        <v>ok</v>
      </c>
      <c r="T291" s="306"/>
      <c r="U291" s="314"/>
      <c r="V291" s="314"/>
      <c r="W291" s="314"/>
      <c r="X291" s="306"/>
    </row>
    <row r="292" spans="1:24" s="316" customFormat="1" ht="16.5" customHeight="1">
      <c r="A292" s="1101" t="s">
        <v>1435</v>
      </c>
      <c r="B292" s="1101" t="s">
        <v>1940</v>
      </c>
      <c r="C292" s="1104" t="s">
        <v>51</v>
      </c>
      <c r="D292" s="1105">
        <v>42</v>
      </c>
      <c r="E292" s="1106">
        <v>16.71</v>
      </c>
      <c r="F292" s="841">
        <f t="shared" si="95"/>
        <v>701.82</v>
      </c>
      <c r="G292" s="1049">
        <v>0</v>
      </c>
      <c r="H292" s="306">
        <v>0</v>
      </c>
      <c r="I292" s="307">
        <v>0</v>
      </c>
      <c r="J292" s="1046"/>
      <c r="K292" s="306">
        <f t="shared" si="88"/>
        <v>0</v>
      </c>
      <c r="L292" s="307">
        <f t="shared" si="89"/>
        <v>0</v>
      </c>
      <c r="M292" s="1047">
        <f t="shared" si="90"/>
        <v>0</v>
      </c>
      <c r="N292" s="306">
        <f t="shared" si="91"/>
        <v>0</v>
      </c>
      <c r="O292" s="307">
        <f t="shared" si="92"/>
        <v>0</v>
      </c>
      <c r="P292" s="1047">
        <f t="shared" si="93"/>
        <v>42</v>
      </c>
      <c r="Q292" s="306">
        <f t="shared" si="96"/>
        <v>701.82</v>
      </c>
      <c r="R292" s="307">
        <f t="shared" si="94"/>
        <v>1</v>
      </c>
      <c r="S292" s="314" t="str">
        <f t="shared" si="97"/>
        <v>ok</v>
      </c>
      <c r="T292" s="306"/>
      <c r="U292" s="314"/>
      <c r="V292" s="314"/>
      <c r="W292" s="314"/>
      <c r="X292" s="306"/>
    </row>
    <row r="293" spans="1:24" s="316" customFormat="1" ht="16.5" customHeight="1">
      <c r="A293" s="1101" t="s">
        <v>1436</v>
      </c>
      <c r="B293" s="1101" t="s">
        <v>1941</v>
      </c>
      <c r="C293" s="1104" t="s">
        <v>51</v>
      </c>
      <c r="D293" s="1105">
        <v>17</v>
      </c>
      <c r="E293" s="1106">
        <v>6.42</v>
      </c>
      <c r="F293" s="841">
        <f t="shared" si="95"/>
        <v>109.14</v>
      </c>
      <c r="G293" s="1049">
        <v>0</v>
      </c>
      <c r="H293" s="306">
        <v>0</v>
      </c>
      <c r="I293" s="307">
        <v>0</v>
      </c>
      <c r="J293" s="1046"/>
      <c r="K293" s="306">
        <f t="shared" si="88"/>
        <v>0</v>
      </c>
      <c r="L293" s="307">
        <f t="shared" si="89"/>
        <v>0</v>
      </c>
      <c r="M293" s="1047">
        <f t="shared" si="90"/>
        <v>0</v>
      </c>
      <c r="N293" s="306">
        <f t="shared" si="91"/>
        <v>0</v>
      </c>
      <c r="O293" s="307">
        <f t="shared" si="92"/>
        <v>0</v>
      </c>
      <c r="P293" s="1047">
        <f t="shared" si="93"/>
        <v>17</v>
      </c>
      <c r="Q293" s="306">
        <f t="shared" si="96"/>
        <v>109.14</v>
      </c>
      <c r="R293" s="307">
        <f t="shared" si="94"/>
        <v>1</v>
      </c>
      <c r="S293" s="314" t="str">
        <f t="shared" si="97"/>
        <v>ok</v>
      </c>
      <c r="T293" s="306"/>
      <c r="U293" s="314"/>
      <c r="V293" s="314"/>
      <c r="W293" s="314"/>
      <c r="X293" s="306"/>
    </row>
    <row r="294" spans="1:24" s="316" customFormat="1" ht="16.5" customHeight="1">
      <c r="A294" s="1101" t="s">
        <v>1437</v>
      </c>
      <c r="B294" s="1101" t="s">
        <v>1942</v>
      </c>
      <c r="C294" s="1104" t="s">
        <v>51</v>
      </c>
      <c r="D294" s="1105">
        <v>65</v>
      </c>
      <c r="E294" s="1106">
        <v>2.85</v>
      </c>
      <c r="F294" s="841">
        <f t="shared" si="95"/>
        <v>185.25</v>
      </c>
      <c r="G294" s="1049">
        <v>0</v>
      </c>
      <c r="H294" s="306">
        <v>0</v>
      </c>
      <c r="I294" s="307">
        <v>0</v>
      </c>
      <c r="J294" s="1046"/>
      <c r="K294" s="306">
        <f t="shared" si="88"/>
        <v>0</v>
      </c>
      <c r="L294" s="307">
        <f t="shared" si="89"/>
        <v>0</v>
      </c>
      <c r="M294" s="1047">
        <f t="shared" si="90"/>
        <v>0</v>
      </c>
      <c r="N294" s="306">
        <f t="shared" si="91"/>
        <v>0</v>
      </c>
      <c r="O294" s="307">
        <f t="shared" si="92"/>
        <v>0</v>
      </c>
      <c r="P294" s="1047">
        <f t="shared" si="93"/>
        <v>65</v>
      </c>
      <c r="Q294" s="306">
        <f t="shared" si="96"/>
        <v>185.25</v>
      </c>
      <c r="R294" s="307">
        <f t="shared" si="94"/>
        <v>1</v>
      </c>
      <c r="S294" s="314" t="str">
        <f t="shared" si="97"/>
        <v>ok</v>
      </c>
      <c r="T294" s="306"/>
      <c r="U294" s="314"/>
      <c r="V294" s="314"/>
      <c r="W294" s="314"/>
      <c r="X294" s="306"/>
    </row>
    <row r="295" spans="1:24" s="316" customFormat="1" ht="16.5" customHeight="1">
      <c r="A295" s="1101" t="s">
        <v>1438</v>
      </c>
      <c r="B295" s="1101" t="s">
        <v>1943</v>
      </c>
      <c r="C295" s="1104" t="s">
        <v>51</v>
      </c>
      <c r="D295" s="1105">
        <v>459</v>
      </c>
      <c r="E295" s="1106">
        <v>2.64</v>
      </c>
      <c r="F295" s="841">
        <f t="shared" si="95"/>
        <v>1211.76</v>
      </c>
      <c r="G295" s="1049">
        <v>0</v>
      </c>
      <c r="H295" s="306">
        <v>0</v>
      </c>
      <c r="I295" s="307">
        <v>0</v>
      </c>
      <c r="J295" s="1046"/>
      <c r="K295" s="306">
        <f t="shared" si="88"/>
        <v>0</v>
      </c>
      <c r="L295" s="307">
        <f t="shared" si="89"/>
        <v>0</v>
      </c>
      <c r="M295" s="1047">
        <f t="shared" si="90"/>
        <v>0</v>
      </c>
      <c r="N295" s="306">
        <f t="shared" si="91"/>
        <v>0</v>
      </c>
      <c r="O295" s="307">
        <f t="shared" si="92"/>
        <v>0</v>
      </c>
      <c r="P295" s="1047">
        <f t="shared" si="93"/>
        <v>459</v>
      </c>
      <c r="Q295" s="306">
        <f t="shared" si="96"/>
        <v>1211.76</v>
      </c>
      <c r="R295" s="307">
        <f t="shared" si="94"/>
        <v>1</v>
      </c>
      <c r="S295" s="314" t="str">
        <f t="shared" si="97"/>
        <v>ok</v>
      </c>
      <c r="T295" s="306"/>
      <c r="U295" s="314"/>
      <c r="V295" s="314"/>
      <c r="W295" s="314"/>
      <c r="X295" s="306"/>
    </row>
    <row r="296" spans="1:24" s="316" customFormat="1" ht="16.5" customHeight="1">
      <c r="A296" s="1101" t="s">
        <v>1439</v>
      </c>
      <c r="B296" s="1101" t="s">
        <v>1944</v>
      </c>
      <c r="C296" s="1104" t="s">
        <v>51</v>
      </c>
      <c r="D296" s="1105">
        <v>35</v>
      </c>
      <c r="E296" s="1106">
        <v>26.58</v>
      </c>
      <c r="F296" s="841">
        <f t="shared" si="95"/>
        <v>930.3</v>
      </c>
      <c r="G296" s="1049">
        <v>0</v>
      </c>
      <c r="H296" s="306">
        <v>0</v>
      </c>
      <c r="I296" s="307">
        <v>0</v>
      </c>
      <c r="J296" s="1046"/>
      <c r="K296" s="306">
        <f t="shared" si="88"/>
        <v>0</v>
      </c>
      <c r="L296" s="307">
        <f t="shared" si="89"/>
        <v>0</v>
      </c>
      <c r="M296" s="1047">
        <f t="shared" si="90"/>
        <v>0</v>
      </c>
      <c r="N296" s="306">
        <f t="shared" si="91"/>
        <v>0</v>
      </c>
      <c r="O296" s="307">
        <f t="shared" si="92"/>
        <v>0</v>
      </c>
      <c r="P296" s="1047">
        <f t="shared" si="93"/>
        <v>35</v>
      </c>
      <c r="Q296" s="306">
        <f t="shared" si="96"/>
        <v>930.3</v>
      </c>
      <c r="R296" s="307">
        <f t="shared" si="94"/>
        <v>1</v>
      </c>
      <c r="S296" s="314" t="str">
        <f t="shared" si="97"/>
        <v>ok</v>
      </c>
      <c r="T296" s="306"/>
      <c r="U296" s="314"/>
      <c r="V296" s="314"/>
      <c r="W296" s="314"/>
      <c r="X296" s="306"/>
    </row>
    <row r="297" spans="1:24" s="316" customFormat="1" ht="16.5" customHeight="1">
      <c r="A297" s="1101">
        <v>5.5</v>
      </c>
      <c r="B297" s="1102" t="s">
        <v>1945</v>
      </c>
      <c r="C297" s="1108"/>
      <c r="D297" s="1105"/>
      <c r="E297" s="1109"/>
      <c r="F297" s="841"/>
      <c r="G297" s="1049"/>
      <c r="H297" s="306"/>
      <c r="I297" s="307"/>
      <c r="J297" s="1046"/>
      <c r="K297" s="306"/>
      <c r="L297" s="307"/>
      <c r="M297" s="1047"/>
      <c r="N297" s="306"/>
      <c r="O297" s="307"/>
      <c r="P297" s="1047"/>
      <c r="Q297" s="306">
        <f t="shared" si="96"/>
        <v>0</v>
      </c>
      <c r="R297" s="307"/>
      <c r="S297" s="314" t="str">
        <f t="shared" si="97"/>
        <v>ok</v>
      </c>
      <c r="T297" s="306"/>
      <c r="U297" s="314"/>
      <c r="V297" s="314"/>
      <c r="W297" s="314"/>
      <c r="X297" s="306"/>
    </row>
    <row r="298" spans="1:24" s="316" customFormat="1" ht="16.5" customHeight="1">
      <c r="A298" s="1101" t="s">
        <v>1440</v>
      </c>
      <c r="B298" s="1103" t="s">
        <v>1934</v>
      </c>
      <c r="C298" s="1103"/>
      <c r="D298" s="1105"/>
      <c r="E298" s="1107"/>
      <c r="F298" s="841"/>
      <c r="G298" s="1049"/>
      <c r="H298" s="306"/>
      <c r="I298" s="307"/>
      <c r="J298" s="1046"/>
      <c r="K298" s="306"/>
      <c r="L298" s="307"/>
      <c r="M298" s="1047"/>
      <c r="N298" s="306"/>
      <c r="O298" s="307"/>
      <c r="P298" s="1047"/>
      <c r="Q298" s="306">
        <f t="shared" si="96"/>
        <v>0</v>
      </c>
      <c r="R298" s="307"/>
      <c r="S298" s="314" t="str">
        <f t="shared" si="97"/>
        <v>ok</v>
      </c>
      <c r="T298" s="306"/>
      <c r="U298" s="314"/>
      <c r="V298" s="314"/>
      <c r="W298" s="314"/>
      <c r="X298" s="306"/>
    </row>
    <row r="299" spans="1:24" s="316" customFormat="1" ht="16.5" customHeight="1">
      <c r="A299" s="1101" t="s">
        <v>1441</v>
      </c>
      <c r="B299" s="1101" t="s">
        <v>1946</v>
      </c>
      <c r="C299" s="1104" t="s">
        <v>51</v>
      </c>
      <c r="D299" s="1105">
        <v>9310</v>
      </c>
      <c r="E299" s="1106">
        <v>15.5</v>
      </c>
      <c r="F299" s="841">
        <f t="shared" si="95"/>
        <v>144305</v>
      </c>
      <c r="G299" s="1049">
        <v>7989.8</v>
      </c>
      <c r="H299" s="306">
        <v>123841.90000000001</v>
      </c>
      <c r="I299" s="307">
        <v>0.85819548872180462</v>
      </c>
      <c r="J299" s="1046"/>
      <c r="K299" s="306">
        <f t="shared" si="88"/>
        <v>0</v>
      </c>
      <c r="L299" s="307">
        <f t="shared" si="89"/>
        <v>0</v>
      </c>
      <c r="M299" s="1047">
        <f t="shared" si="90"/>
        <v>7989.8</v>
      </c>
      <c r="N299" s="306">
        <f t="shared" si="91"/>
        <v>123841.90000000001</v>
      </c>
      <c r="O299" s="307">
        <f t="shared" si="92"/>
        <v>0.85819548872180462</v>
      </c>
      <c r="P299" s="1047">
        <f t="shared" si="93"/>
        <v>1320.1999999999998</v>
      </c>
      <c r="Q299" s="306">
        <f t="shared" si="96"/>
        <v>20463.099999999991</v>
      </c>
      <c r="R299" s="307">
        <f t="shared" si="94"/>
        <v>0.14180451127819543</v>
      </c>
      <c r="S299" s="314" t="str">
        <f t="shared" si="97"/>
        <v>ok</v>
      </c>
      <c r="T299" s="306"/>
      <c r="U299" s="314"/>
      <c r="V299" s="314"/>
      <c r="W299" s="314"/>
      <c r="X299" s="306"/>
    </row>
    <row r="300" spans="1:24" s="316" customFormat="1" ht="16.5" customHeight="1">
      <c r="A300" s="1101" t="s">
        <v>1442</v>
      </c>
      <c r="B300" s="1103" t="s">
        <v>1947</v>
      </c>
      <c r="C300" s="1103"/>
      <c r="D300" s="1105"/>
      <c r="E300" s="1107"/>
      <c r="F300" s="841"/>
      <c r="G300" s="1049"/>
      <c r="H300" s="306"/>
      <c r="I300" s="307"/>
      <c r="J300" s="1046"/>
      <c r="K300" s="306"/>
      <c r="L300" s="307"/>
      <c r="M300" s="1047"/>
      <c r="N300" s="306"/>
      <c r="O300" s="307"/>
      <c r="P300" s="1047"/>
      <c r="Q300" s="306">
        <f t="shared" si="96"/>
        <v>0</v>
      </c>
      <c r="R300" s="307"/>
      <c r="S300" s="314" t="str">
        <f t="shared" si="97"/>
        <v>ok</v>
      </c>
      <c r="T300" s="306"/>
      <c r="U300" s="314"/>
      <c r="V300" s="314"/>
      <c r="W300" s="314"/>
      <c r="X300" s="306"/>
    </row>
    <row r="301" spans="1:24" s="316" customFormat="1" ht="16.5" customHeight="1">
      <c r="A301" s="1101" t="s">
        <v>1443</v>
      </c>
      <c r="B301" s="1101" t="s">
        <v>1948</v>
      </c>
      <c r="C301" s="1104" t="s">
        <v>51</v>
      </c>
      <c r="D301" s="1105">
        <v>7944</v>
      </c>
      <c r="E301" s="1106">
        <v>2.33</v>
      </c>
      <c r="F301" s="841">
        <f t="shared" si="95"/>
        <v>18509.52</v>
      </c>
      <c r="G301" s="1049">
        <v>0</v>
      </c>
      <c r="H301" s="306">
        <v>0</v>
      </c>
      <c r="I301" s="307">
        <v>0</v>
      </c>
      <c r="J301" s="1046"/>
      <c r="K301" s="306">
        <f t="shared" si="88"/>
        <v>0</v>
      </c>
      <c r="L301" s="307">
        <f t="shared" si="89"/>
        <v>0</v>
      </c>
      <c r="M301" s="1047">
        <f t="shared" si="90"/>
        <v>0</v>
      </c>
      <c r="N301" s="306">
        <f t="shared" si="91"/>
        <v>0</v>
      </c>
      <c r="O301" s="307">
        <f t="shared" si="92"/>
        <v>0</v>
      </c>
      <c r="P301" s="1047">
        <f t="shared" si="93"/>
        <v>7944</v>
      </c>
      <c r="Q301" s="306">
        <f t="shared" si="96"/>
        <v>18509.52</v>
      </c>
      <c r="R301" s="307">
        <f t="shared" si="94"/>
        <v>1</v>
      </c>
      <c r="S301" s="314" t="str">
        <f t="shared" si="97"/>
        <v>ok</v>
      </c>
      <c r="T301" s="306"/>
      <c r="U301" s="314"/>
      <c r="V301" s="314"/>
      <c r="W301" s="314"/>
      <c r="X301" s="306"/>
    </row>
    <row r="302" spans="1:24" s="316" customFormat="1" ht="16.5" customHeight="1">
      <c r="A302" s="1101" t="s">
        <v>1444</v>
      </c>
      <c r="B302" s="1101" t="s">
        <v>1949</v>
      </c>
      <c r="C302" s="1104" t="s">
        <v>51</v>
      </c>
      <c r="D302" s="1105">
        <v>4014</v>
      </c>
      <c r="E302" s="1106">
        <v>2.96</v>
      </c>
      <c r="F302" s="841">
        <f t="shared" si="95"/>
        <v>11881.44</v>
      </c>
      <c r="G302" s="1049">
        <v>0</v>
      </c>
      <c r="H302" s="306">
        <v>0</v>
      </c>
      <c r="I302" s="307">
        <v>0</v>
      </c>
      <c r="J302" s="1046"/>
      <c r="K302" s="306">
        <f t="shared" si="88"/>
        <v>0</v>
      </c>
      <c r="L302" s="307">
        <f t="shared" si="89"/>
        <v>0</v>
      </c>
      <c r="M302" s="1047">
        <f t="shared" si="90"/>
        <v>0</v>
      </c>
      <c r="N302" s="306">
        <f t="shared" si="91"/>
        <v>0</v>
      </c>
      <c r="O302" s="307">
        <f t="shared" si="92"/>
        <v>0</v>
      </c>
      <c r="P302" s="1047">
        <f t="shared" si="93"/>
        <v>4014</v>
      </c>
      <c r="Q302" s="306">
        <f t="shared" si="96"/>
        <v>11881.44</v>
      </c>
      <c r="R302" s="307">
        <f t="shared" si="94"/>
        <v>1</v>
      </c>
      <c r="S302" s="314" t="str">
        <f t="shared" si="97"/>
        <v>ok</v>
      </c>
      <c r="T302" s="306"/>
      <c r="U302" s="314"/>
      <c r="V302" s="314"/>
      <c r="W302" s="314"/>
      <c r="X302" s="306"/>
    </row>
    <row r="303" spans="1:24" s="316" customFormat="1" ht="16.5" customHeight="1">
      <c r="A303" s="1101" t="s">
        <v>1445</v>
      </c>
      <c r="B303" s="1103" t="s">
        <v>1950</v>
      </c>
      <c r="C303" s="1103"/>
      <c r="D303" s="1105"/>
      <c r="E303" s="1107"/>
      <c r="F303" s="841"/>
      <c r="G303" s="1049"/>
      <c r="H303" s="306"/>
      <c r="I303" s="307"/>
      <c r="J303" s="1046"/>
      <c r="K303" s="306"/>
      <c r="L303" s="307"/>
      <c r="M303" s="1049"/>
      <c r="N303" s="306"/>
      <c r="O303" s="307"/>
      <c r="P303" s="1047"/>
      <c r="Q303" s="306">
        <f t="shared" si="96"/>
        <v>0</v>
      </c>
      <c r="R303" s="307"/>
      <c r="S303" s="314" t="str">
        <f t="shared" si="97"/>
        <v>ok</v>
      </c>
      <c r="T303" s="306"/>
      <c r="U303" s="314"/>
      <c r="V303" s="314"/>
      <c r="W303" s="314"/>
      <c r="X303" s="306"/>
    </row>
    <row r="304" spans="1:24" s="316" customFormat="1" ht="16.5" customHeight="1">
      <c r="A304" s="1101" t="s">
        <v>1446</v>
      </c>
      <c r="B304" s="1101" t="s">
        <v>1951</v>
      </c>
      <c r="C304" s="1104" t="s">
        <v>1145</v>
      </c>
      <c r="D304" s="1105">
        <v>819</v>
      </c>
      <c r="E304" s="1106">
        <v>91.23</v>
      </c>
      <c r="F304" s="841">
        <f t="shared" si="95"/>
        <v>74717.37000000001</v>
      </c>
      <c r="G304" s="1049">
        <v>819</v>
      </c>
      <c r="H304" s="306">
        <v>74717.37000000001</v>
      </c>
      <c r="I304" s="307">
        <v>1</v>
      </c>
      <c r="J304" s="1049"/>
      <c r="K304" s="306">
        <f t="shared" ref="K304" si="98">J304*E304</f>
        <v>0</v>
      </c>
      <c r="L304" s="307">
        <f t="shared" ref="L304" si="99">K304/F304</f>
        <v>0</v>
      </c>
      <c r="M304" s="1049">
        <f t="shared" ref="M304" si="100">G304+J304</f>
        <v>819</v>
      </c>
      <c r="N304" s="306">
        <f t="shared" ref="N304" si="101">M304*E304</f>
        <v>74717.37000000001</v>
      </c>
      <c r="O304" s="307">
        <f t="shared" ref="O304" si="102">N304/F304</f>
        <v>1</v>
      </c>
      <c r="P304" s="1049">
        <f t="shared" ref="P304" si="103">D304-M304</f>
        <v>0</v>
      </c>
      <c r="Q304" s="306">
        <f t="shared" si="96"/>
        <v>0</v>
      </c>
      <c r="R304" s="307">
        <f t="shared" ref="R304" si="104">Q304/F304</f>
        <v>0</v>
      </c>
      <c r="S304" s="314" t="str">
        <f t="shared" si="97"/>
        <v>ok</v>
      </c>
      <c r="T304" s="306"/>
      <c r="U304" s="314"/>
      <c r="V304" s="314"/>
      <c r="W304" s="314"/>
      <c r="X304" s="306"/>
    </row>
    <row r="305" spans="1:24" s="934" customFormat="1" ht="16.5" customHeight="1">
      <c r="A305" s="1860" t="s">
        <v>1447</v>
      </c>
      <c r="B305" s="1860" t="s">
        <v>1952</v>
      </c>
      <c r="C305" s="1861" t="s">
        <v>52</v>
      </c>
      <c r="D305" s="1877">
        <v>146</v>
      </c>
      <c r="E305" s="1878">
        <v>14.39</v>
      </c>
      <c r="F305" s="1879">
        <f t="shared" si="95"/>
        <v>2100.94</v>
      </c>
      <c r="G305" s="1049">
        <v>53</v>
      </c>
      <c r="H305" s="1425">
        <v>762.67000000000007</v>
      </c>
      <c r="I305" s="305">
        <v>0.36301369863013699</v>
      </c>
      <c r="J305" s="1049"/>
      <c r="K305" s="1425">
        <f t="shared" ref="K305:K318" si="105">J305*E305</f>
        <v>0</v>
      </c>
      <c r="L305" s="305">
        <f t="shared" ref="L305:L318" si="106">K305/F305</f>
        <v>0</v>
      </c>
      <c r="M305" s="1049">
        <f t="shared" ref="M305:M318" si="107">G305+J305</f>
        <v>53</v>
      </c>
      <c r="N305" s="1425">
        <f t="shared" ref="N305:N318" si="108">M305*E305</f>
        <v>762.67000000000007</v>
      </c>
      <c r="O305" s="305">
        <f t="shared" ref="O305:O318" si="109">N305/F305</f>
        <v>0.36301369863013699</v>
      </c>
      <c r="P305" s="1049">
        <f t="shared" ref="P305:P318" si="110">D305-M305</f>
        <v>93</v>
      </c>
      <c r="Q305" s="1425">
        <f t="shared" si="96"/>
        <v>1338.27</v>
      </c>
      <c r="R305" s="305">
        <f t="shared" ref="R305:R318" si="111">Q305/F305</f>
        <v>0.63698630136986301</v>
      </c>
      <c r="S305" s="314" t="str">
        <f t="shared" si="97"/>
        <v>ok</v>
      </c>
      <c r="T305" s="1425"/>
      <c r="U305" s="1426"/>
      <c r="V305" s="1426"/>
      <c r="W305" s="1426"/>
      <c r="X305" s="1425"/>
    </row>
    <row r="306" spans="1:24" s="934" customFormat="1" ht="16.5" customHeight="1">
      <c r="A306" s="1860" t="s">
        <v>1448</v>
      </c>
      <c r="B306" s="1860" t="s">
        <v>1953</v>
      </c>
      <c r="C306" s="1861" t="s">
        <v>52</v>
      </c>
      <c r="D306" s="1877">
        <v>62</v>
      </c>
      <c r="E306" s="1878">
        <v>17.190000000000001</v>
      </c>
      <c r="F306" s="1879">
        <f t="shared" si="95"/>
        <v>1065.78</v>
      </c>
      <c r="G306" s="1049">
        <v>28</v>
      </c>
      <c r="H306" s="1425">
        <v>481.32000000000005</v>
      </c>
      <c r="I306" s="305">
        <v>0.45161290322580649</v>
      </c>
      <c r="J306" s="1049"/>
      <c r="K306" s="1425">
        <f t="shared" si="105"/>
        <v>0</v>
      </c>
      <c r="L306" s="305">
        <f t="shared" si="106"/>
        <v>0</v>
      </c>
      <c r="M306" s="1049">
        <f t="shared" si="107"/>
        <v>28</v>
      </c>
      <c r="N306" s="1425">
        <f t="shared" si="108"/>
        <v>481.32000000000005</v>
      </c>
      <c r="O306" s="305">
        <f t="shared" si="109"/>
        <v>0.45161290322580649</v>
      </c>
      <c r="P306" s="1049">
        <f t="shared" si="110"/>
        <v>34</v>
      </c>
      <c r="Q306" s="1425">
        <f t="shared" si="96"/>
        <v>584.45999999999992</v>
      </c>
      <c r="R306" s="305">
        <f t="shared" si="111"/>
        <v>0.54838709677419351</v>
      </c>
      <c r="S306" s="314" t="str">
        <f t="shared" si="97"/>
        <v>ok</v>
      </c>
      <c r="T306" s="1425"/>
      <c r="U306" s="1426"/>
      <c r="V306" s="1426"/>
      <c r="W306" s="1426"/>
      <c r="X306" s="1425"/>
    </row>
    <row r="307" spans="1:24" s="934" customFormat="1" ht="16.5" customHeight="1">
      <c r="A307" s="1860" t="s">
        <v>1449</v>
      </c>
      <c r="B307" s="1860" t="s">
        <v>1954</v>
      </c>
      <c r="C307" s="1861" t="s">
        <v>1145</v>
      </c>
      <c r="D307" s="1877">
        <v>172</v>
      </c>
      <c r="E307" s="1878">
        <v>99.45</v>
      </c>
      <c r="F307" s="1879">
        <f t="shared" si="95"/>
        <v>17105.400000000001</v>
      </c>
      <c r="G307" s="1049">
        <v>152</v>
      </c>
      <c r="H307" s="1425">
        <v>15116.4</v>
      </c>
      <c r="I307" s="305">
        <v>0.88372093023255804</v>
      </c>
      <c r="J307" s="1049"/>
      <c r="K307" s="1425">
        <f t="shared" si="105"/>
        <v>0</v>
      </c>
      <c r="L307" s="305">
        <f t="shared" si="106"/>
        <v>0</v>
      </c>
      <c r="M307" s="1049">
        <f t="shared" si="107"/>
        <v>152</v>
      </c>
      <c r="N307" s="1425">
        <f t="shared" si="108"/>
        <v>15116.4</v>
      </c>
      <c r="O307" s="305">
        <f t="shared" si="109"/>
        <v>0.88372093023255804</v>
      </c>
      <c r="P307" s="1049">
        <f t="shared" si="110"/>
        <v>20</v>
      </c>
      <c r="Q307" s="1425">
        <f t="shared" si="96"/>
        <v>1989.0000000000018</v>
      </c>
      <c r="R307" s="305">
        <f t="shared" si="111"/>
        <v>0.11627906976744196</v>
      </c>
      <c r="S307" s="314" t="str">
        <f t="shared" si="97"/>
        <v>ok</v>
      </c>
      <c r="T307" s="1425"/>
      <c r="U307" s="1426"/>
      <c r="V307" s="1426"/>
      <c r="W307" s="1426"/>
      <c r="X307" s="1425"/>
    </row>
    <row r="308" spans="1:24" s="934" customFormat="1" ht="16.5" customHeight="1">
      <c r="A308" s="1860" t="s">
        <v>1450</v>
      </c>
      <c r="B308" s="1860" t="s">
        <v>1955</v>
      </c>
      <c r="C308" s="1861" t="s">
        <v>1145</v>
      </c>
      <c r="D308" s="1877">
        <v>39</v>
      </c>
      <c r="E308" s="1878">
        <v>99.45</v>
      </c>
      <c r="F308" s="1879">
        <f t="shared" si="95"/>
        <v>3878.55</v>
      </c>
      <c r="G308" s="1049">
        <v>0</v>
      </c>
      <c r="H308" s="1425">
        <v>0</v>
      </c>
      <c r="I308" s="305">
        <v>0</v>
      </c>
      <c r="J308" s="1049"/>
      <c r="K308" s="1425">
        <f t="shared" si="105"/>
        <v>0</v>
      </c>
      <c r="L308" s="305">
        <f t="shared" si="106"/>
        <v>0</v>
      </c>
      <c r="M308" s="1049">
        <f t="shared" si="107"/>
        <v>0</v>
      </c>
      <c r="N308" s="1425">
        <f t="shared" si="108"/>
        <v>0</v>
      </c>
      <c r="O308" s="305">
        <f t="shared" si="109"/>
        <v>0</v>
      </c>
      <c r="P308" s="1049">
        <f t="shared" si="110"/>
        <v>39</v>
      </c>
      <c r="Q308" s="1425">
        <f t="shared" si="96"/>
        <v>3878.55</v>
      </c>
      <c r="R308" s="305">
        <f t="shared" si="111"/>
        <v>1</v>
      </c>
      <c r="S308" s="314" t="str">
        <f t="shared" si="97"/>
        <v>ok</v>
      </c>
      <c r="T308" s="1425"/>
      <c r="U308" s="1426"/>
      <c r="V308" s="1426"/>
      <c r="W308" s="1426"/>
      <c r="X308" s="1425"/>
    </row>
    <row r="309" spans="1:24" s="934" customFormat="1" ht="16.5" customHeight="1">
      <c r="A309" s="1860" t="s">
        <v>1451</v>
      </c>
      <c r="B309" s="1860" t="s">
        <v>1956</v>
      </c>
      <c r="C309" s="1861" t="s">
        <v>1145</v>
      </c>
      <c r="D309" s="1877">
        <v>389</v>
      </c>
      <c r="E309" s="1878">
        <v>99.45</v>
      </c>
      <c r="F309" s="1879">
        <f t="shared" si="95"/>
        <v>38686.050000000003</v>
      </c>
      <c r="G309" s="1049">
        <v>228</v>
      </c>
      <c r="H309" s="1425">
        <v>22674.600000000002</v>
      </c>
      <c r="I309" s="305">
        <v>0.58611825192802058</v>
      </c>
      <c r="J309" s="1049"/>
      <c r="K309" s="1425">
        <f t="shared" si="105"/>
        <v>0</v>
      </c>
      <c r="L309" s="305">
        <f t="shared" si="106"/>
        <v>0</v>
      </c>
      <c r="M309" s="1049">
        <f t="shared" si="107"/>
        <v>228</v>
      </c>
      <c r="N309" s="1425">
        <f t="shared" si="108"/>
        <v>22674.600000000002</v>
      </c>
      <c r="O309" s="305">
        <f t="shared" si="109"/>
        <v>0.58611825192802058</v>
      </c>
      <c r="P309" s="1049">
        <f t="shared" si="110"/>
        <v>161</v>
      </c>
      <c r="Q309" s="1425">
        <f t="shared" si="96"/>
        <v>16011.45</v>
      </c>
      <c r="R309" s="305">
        <f t="shared" si="111"/>
        <v>0.41388174807197942</v>
      </c>
      <c r="S309" s="314" t="str">
        <f t="shared" si="97"/>
        <v>ok</v>
      </c>
      <c r="T309" s="1425"/>
      <c r="U309" s="1426"/>
      <c r="V309" s="1426"/>
      <c r="W309" s="1426"/>
      <c r="X309" s="1425"/>
    </row>
    <row r="310" spans="1:24" s="934" customFormat="1" ht="16.5" customHeight="1">
      <c r="A310" s="1860" t="s">
        <v>1452</v>
      </c>
      <c r="B310" s="1860" t="s">
        <v>1957</v>
      </c>
      <c r="C310" s="1861" t="s">
        <v>1145</v>
      </c>
      <c r="D310" s="1877">
        <v>5</v>
      </c>
      <c r="E310" s="1878">
        <v>99.45</v>
      </c>
      <c r="F310" s="1879">
        <f t="shared" si="95"/>
        <v>497.25</v>
      </c>
      <c r="G310" s="1049">
        <v>0</v>
      </c>
      <c r="H310" s="1425">
        <v>0</v>
      </c>
      <c r="I310" s="305">
        <v>0</v>
      </c>
      <c r="J310" s="1049"/>
      <c r="K310" s="1425">
        <f t="shared" si="105"/>
        <v>0</v>
      </c>
      <c r="L310" s="305">
        <f t="shared" si="106"/>
        <v>0</v>
      </c>
      <c r="M310" s="1049">
        <f t="shared" si="107"/>
        <v>0</v>
      </c>
      <c r="N310" s="1425">
        <f t="shared" si="108"/>
        <v>0</v>
      </c>
      <c r="O310" s="305">
        <f t="shared" si="109"/>
        <v>0</v>
      </c>
      <c r="P310" s="1049">
        <f t="shared" si="110"/>
        <v>5</v>
      </c>
      <c r="Q310" s="1425">
        <f t="shared" si="96"/>
        <v>497.25</v>
      </c>
      <c r="R310" s="305">
        <f t="shared" si="111"/>
        <v>1</v>
      </c>
      <c r="S310" s="314" t="str">
        <f t="shared" si="97"/>
        <v>ok</v>
      </c>
      <c r="T310" s="1425"/>
      <c r="U310" s="1426"/>
      <c r="V310" s="1426"/>
      <c r="W310" s="1426"/>
      <c r="X310" s="1425"/>
    </row>
    <row r="311" spans="1:24" s="934" customFormat="1" ht="16.5" customHeight="1">
      <c r="A311" s="1860" t="s">
        <v>1453</v>
      </c>
      <c r="B311" s="1860" t="s">
        <v>1958</v>
      </c>
      <c r="C311" s="1861" t="s">
        <v>1145</v>
      </c>
      <c r="D311" s="1877">
        <v>21</v>
      </c>
      <c r="E311" s="1878">
        <v>99.45</v>
      </c>
      <c r="F311" s="1879">
        <f t="shared" si="95"/>
        <v>2088.4500000000003</v>
      </c>
      <c r="G311" s="1049">
        <v>0</v>
      </c>
      <c r="H311" s="1425">
        <v>0</v>
      </c>
      <c r="I311" s="305">
        <v>0</v>
      </c>
      <c r="J311" s="1049"/>
      <c r="K311" s="1425">
        <f t="shared" si="105"/>
        <v>0</v>
      </c>
      <c r="L311" s="305">
        <f t="shared" si="106"/>
        <v>0</v>
      </c>
      <c r="M311" s="1049">
        <f t="shared" si="107"/>
        <v>0</v>
      </c>
      <c r="N311" s="1425">
        <f t="shared" si="108"/>
        <v>0</v>
      </c>
      <c r="O311" s="305">
        <f t="shared" si="109"/>
        <v>0</v>
      </c>
      <c r="P311" s="1049">
        <f t="shared" si="110"/>
        <v>21</v>
      </c>
      <c r="Q311" s="1425">
        <f t="shared" si="96"/>
        <v>2088.4500000000003</v>
      </c>
      <c r="R311" s="305">
        <f t="shared" si="111"/>
        <v>1</v>
      </c>
      <c r="S311" s="314" t="str">
        <f t="shared" si="97"/>
        <v>ok</v>
      </c>
      <c r="T311" s="1425"/>
      <c r="U311" s="1426"/>
      <c r="V311" s="1426"/>
      <c r="W311" s="1426"/>
      <c r="X311" s="1425"/>
    </row>
    <row r="312" spans="1:24" s="934" customFormat="1" ht="16.5" customHeight="1">
      <c r="A312" s="1860" t="s">
        <v>1454</v>
      </c>
      <c r="B312" s="1860" t="s">
        <v>1959</v>
      </c>
      <c r="C312" s="1861" t="s">
        <v>1145</v>
      </c>
      <c r="D312" s="1877">
        <v>81</v>
      </c>
      <c r="E312" s="1878">
        <v>60.45</v>
      </c>
      <c r="F312" s="1879">
        <f t="shared" si="95"/>
        <v>4896.45</v>
      </c>
      <c r="G312" s="1049">
        <v>31</v>
      </c>
      <c r="H312" s="1425">
        <v>1873.95</v>
      </c>
      <c r="I312" s="305">
        <v>0.38271604938271608</v>
      </c>
      <c r="J312" s="1049"/>
      <c r="K312" s="1425">
        <f t="shared" si="105"/>
        <v>0</v>
      </c>
      <c r="L312" s="305">
        <f t="shared" si="106"/>
        <v>0</v>
      </c>
      <c r="M312" s="1049">
        <f t="shared" si="107"/>
        <v>31</v>
      </c>
      <c r="N312" s="1425">
        <f t="shared" si="108"/>
        <v>1873.95</v>
      </c>
      <c r="O312" s="305">
        <f t="shared" si="109"/>
        <v>0.38271604938271608</v>
      </c>
      <c r="P312" s="1049">
        <f t="shared" si="110"/>
        <v>50</v>
      </c>
      <c r="Q312" s="1425">
        <f t="shared" si="96"/>
        <v>3022.5</v>
      </c>
      <c r="R312" s="305">
        <f t="shared" si="111"/>
        <v>0.61728395061728403</v>
      </c>
      <c r="S312" s="314" t="str">
        <f t="shared" si="97"/>
        <v>ok</v>
      </c>
      <c r="T312" s="1425"/>
      <c r="U312" s="1426"/>
      <c r="V312" s="1426"/>
      <c r="W312" s="1426"/>
      <c r="X312" s="1425"/>
    </row>
    <row r="313" spans="1:24" s="1972" customFormat="1" ht="16.5" customHeight="1">
      <c r="A313" s="1963">
        <v>5.6</v>
      </c>
      <c r="B313" s="2079" t="s">
        <v>1960</v>
      </c>
      <c r="C313" s="2079"/>
      <c r="D313" s="1965"/>
      <c r="E313" s="2080"/>
      <c r="F313" s="1974"/>
      <c r="G313" s="1966"/>
      <c r="H313" s="1967"/>
      <c r="I313" s="1968"/>
      <c r="J313" s="1966"/>
      <c r="K313" s="1967"/>
      <c r="L313" s="1968"/>
      <c r="M313" s="1966"/>
      <c r="N313" s="1967"/>
      <c r="O313" s="1968"/>
      <c r="P313" s="1966"/>
      <c r="Q313" s="1967">
        <f t="shared" si="96"/>
        <v>0</v>
      </c>
      <c r="R313" s="1968"/>
      <c r="S313" s="1971" t="str">
        <f t="shared" si="97"/>
        <v>ok</v>
      </c>
      <c r="T313" s="1967"/>
      <c r="U313" s="1971" t="s">
        <v>4299</v>
      </c>
      <c r="V313" s="1971"/>
      <c r="W313" s="1971"/>
      <c r="X313" s="1967"/>
    </row>
    <row r="314" spans="1:24" s="934" customFormat="1" ht="16.5" customHeight="1">
      <c r="A314" s="1860" t="s">
        <v>1455</v>
      </c>
      <c r="B314" s="1860" t="s">
        <v>1961</v>
      </c>
      <c r="C314" s="1861" t="s">
        <v>52</v>
      </c>
      <c r="D314" s="1877">
        <v>247</v>
      </c>
      <c r="E314" s="1878">
        <v>261.41000000000003</v>
      </c>
      <c r="F314" s="1879">
        <f t="shared" si="95"/>
        <v>64568.270000000004</v>
      </c>
      <c r="G314" s="1049">
        <v>155</v>
      </c>
      <c r="H314" s="1425">
        <v>40518.550000000003</v>
      </c>
      <c r="I314" s="305">
        <v>0.62753036437246967</v>
      </c>
      <c r="J314" s="1049"/>
      <c r="K314" s="1425">
        <f t="shared" si="105"/>
        <v>0</v>
      </c>
      <c r="L314" s="305">
        <f t="shared" si="106"/>
        <v>0</v>
      </c>
      <c r="M314" s="1049">
        <f t="shared" si="107"/>
        <v>155</v>
      </c>
      <c r="N314" s="1425">
        <f t="shared" si="108"/>
        <v>40518.550000000003</v>
      </c>
      <c r="O314" s="305">
        <f t="shared" si="109"/>
        <v>0.62753036437246967</v>
      </c>
      <c r="P314" s="1049">
        <f t="shared" si="110"/>
        <v>92</v>
      </c>
      <c r="Q314" s="1425">
        <f t="shared" si="96"/>
        <v>24049.72</v>
      </c>
      <c r="R314" s="305">
        <f t="shared" si="111"/>
        <v>0.37246963562753038</v>
      </c>
      <c r="S314" s="314" t="str">
        <f t="shared" si="97"/>
        <v>ok</v>
      </c>
      <c r="T314" s="1425">
        <v>160</v>
      </c>
      <c r="U314" s="1426">
        <v>156</v>
      </c>
      <c r="V314" s="1426"/>
      <c r="W314" s="1426"/>
      <c r="X314" s="1425"/>
    </row>
    <row r="315" spans="1:24" s="934" customFormat="1" ht="16.5" customHeight="1">
      <c r="A315" s="1860" t="s">
        <v>1456</v>
      </c>
      <c r="B315" s="1860" t="s">
        <v>1962</v>
      </c>
      <c r="C315" s="1861" t="s">
        <v>52</v>
      </c>
      <c r="D315" s="1877">
        <v>265</v>
      </c>
      <c r="E315" s="1878">
        <v>196.41</v>
      </c>
      <c r="F315" s="1879">
        <f t="shared" si="95"/>
        <v>52048.65</v>
      </c>
      <c r="G315" s="1049">
        <v>181</v>
      </c>
      <c r="H315" s="1425">
        <v>35550.21</v>
      </c>
      <c r="I315" s="305">
        <v>0.68301886792452826</v>
      </c>
      <c r="J315" s="1049"/>
      <c r="K315" s="1425">
        <f t="shared" si="105"/>
        <v>0</v>
      </c>
      <c r="L315" s="305">
        <f t="shared" si="106"/>
        <v>0</v>
      </c>
      <c r="M315" s="1049">
        <f t="shared" si="107"/>
        <v>181</v>
      </c>
      <c r="N315" s="1425">
        <f t="shared" si="108"/>
        <v>35550.21</v>
      </c>
      <c r="O315" s="305">
        <f t="shared" si="109"/>
        <v>0.68301886792452826</v>
      </c>
      <c r="P315" s="1049">
        <f t="shared" si="110"/>
        <v>84</v>
      </c>
      <c r="Q315" s="1425">
        <f t="shared" si="96"/>
        <v>16498.440000000002</v>
      </c>
      <c r="R315" s="305">
        <f t="shared" si="111"/>
        <v>0.31698113207547174</v>
      </c>
      <c r="S315" s="314" t="str">
        <f t="shared" si="97"/>
        <v>ok</v>
      </c>
      <c r="T315" s="1425">
        <v>200</v>
      </c>
      <c r="U315" s="1426">
        <v>186</v>
      </c>
      <c r="V315" s="1426"/>
      <c r="W315" s="1426"/>
      <c r="X315" s="1425"/>
    </row>
    <row r="316" spans="1:24" s="934" customFormat="1" ht="16.5" customHeight="1">
      <c r="A316" s="1860" t="s">
        <v>1457</v>
      </c>
      <c r="B316" s="1860" t="s">
        <v>1963</v>
      </c>
      <c r="C316" s="1861" t="s">
        <v>52</v>
      </c>
      <c r="D316" s="1877">
        <v>292</v>
      </c>
      <c r="E316" s="1878">
        <v>126.41</v>
      </c>
      <c r="F316" s="1879">
        <f t="shared" si="95"/>
        <v>36911.72</v>
      </c>
      <c r="G316" s="1049">
        <v>14</v>
      </c>
      <c r="H316" s="1425">
        <v>1769.74</v>
      </c>
      <c r="I316" s="305">
        <v>4.7945205479452052E-2</v>
      </c>
      <c r="J316" s="1049"/>
      <c r="K316" s="1425">
        <f t="shared" si="105"/>
        <v>0</v>
      </c>
      <c r="L316" s="305">
        <f t="shared" si="106"/>
        <v>0</v>
      </c>
      <c r="M316" s="1049">
        <f t="shared" si="107"/>
        <v>14</v>
      </c>
      <c r="N316" s="1425">
        <f t="shared" si="108"/>
        <v>1769.74</v>
      </c>
      <c r="O316" s="305">
        <f t="shared" si="109"/>
        <v>4.7945205479452052E-2</v>
      </c>
      <c r="P316" s="1049">
        <f t="shared" si="110"/>
        <v>278</v>
      </c>
      <c r="Q316" s="1425">
        <f t="shared" si="96"/>
        <v>35141.980000000003</v>
      </c>
      <c r="R316" s="305">
        <f t="shared" si="111"/>
        <v>0.95205479452054798</v>
      </c>
      <c r="S316" s="314" t="str">
        <f t="shared" si="97"/>
        <v>ok</v>
      </c>
      <c r="T316" s="1425">
        <v>28</v>
      </c>
      <c r="U316" s="1426">
        <v>24</v>
      </c>
      <c r="V316" s="1426"/>
      <c r="W316" s="1426"/>
      <c r="X316" s="1425"/>
    </row>
    <row r="317" spans="1:24" s="2112" customFormat="1" ht="16.5" customHeight="1">
      <c r="A317" s="2103" t="s">
        <v>1458</v>
      </c>
      <c r="B317" s="2103" t="s">
        <v>1964</v>
      </c>
      <c r="C317" s="2104" t="s">
        <v>52</v>
      </c>
      <c r="D317" s="2105">
        <v>15</v>
      </c>
      <c r="E317" s="2106">
        <v>106.41</v>
      </c>
      <c r="F317" s="2107">
        <f t="shared" si="95"/>
        <v>1596.1499999999999</v>
      </c>
      <c r="G317" s="2108">
        <v>0</v>
      </c>
      <c r="H317" s="2109">
        <v>0</v>
      </c>
      <c r="I317" s="2110">
        <v>0</v>
      </c>
      <c r="J317" s="2108"/>
      <c r="K317" s="2109">
        <f t="shared" si="105"/>
        <v>0</v>
      </c>
      <c r="L317" s="2110">
        <f t="shared" si="106"/>
        <v>0</v>
      </c>
      <c r="M317" s="2108">
        <f t="shared" si="107"/>
        <v>0</v>
      </c>
      <c r="N317" s="2109">
        <f t="shared" si="108"/>
        <v>0</v>
      </c>
      <c r="O317" s="2110">
        <f t="shared" si="109"/>
        <v>0</v>
      </c>
      <c r="P317" s="2108">
        <f t="shared" si="110"/>
        <v>15</v>
      </c>
      <c r="Q317" s="2109">
        <f t="shared" si="96"/>
        <v>1596.1499999999999</v>
      </c>
      <c r="R317" s="2110">
        <f t="shared" si="111"/>
        <v>1</v>
      </c>
      <c r="S317" s="2111" t="str">
        <f t="shared" si="97"/>
        <v>ok</v>
      </c>
      <c r="T317" s="2109"/>
      <c r="U317" s="2111"/>
      <c r="V317" s="2111"/>
      <c r="W317" s="2111"/>
      <c r="X317" s="2109"/>
    </row>
    <row r="318" spans="1:24" s="933" customFormat="1" ht="16.5" customHeight="1">
      <c r="A318" s="1860" t="s">
        <v>1459</v>
      </c>
      <c r="B318" s="1860" t="s">
        <v>1965</v>
      </c>
      <c r="C318" s="1861" t="s">
        <v>52</v>
      </c>
      <c r="D318" s="1877">
        <v>81</v>
      </c>
      <c r="E318" s="1878">
        <v>133.46</v>
      </c>
      <c r="F318" s="1879">
        <f t="shared" si="95"/>
        <v>10810.26</v>
      </c>
      <c r="G318" s="1049">
        <v>37</v>
      </c>
      <c r="H318" s="1425">
        <v>4938.0200000000004</v>
      </c>
      <c r="I318" s="305">
        <v>0.45679012345679015</v>
      </c>
      <c r="J318" s="1049"/>
      <c r="K318" s="1425">
        <f t="shared" si="105"/>
        <v>0</v>
      </c>
      <c r="L318" s="305">
        <f t="shared" si="106"/>
        <v>0</v>
      </c>
      <c r="M318" s="1049">
        <f t="shared" si="107"/>
        <v>37</v>
      </c>
      <c r="N318" s="1425">
        <f t="shared" si="108"/>
        <v>4938.0200000000004</v>
      </c>
      <c r="O318" s="305">
        <f t="shared" si="109"/>
        <v>0.45679012345679015</v>
      </c>
      <c r="P318" s="1049">
        <f t="shared" si="110"/>
        <v>44</v>
      </c>
      <c r="Q318" s="1425">
        <f t="shared" si="96"/>
        <v>5872.24</v>
      </c>
      <c r="R318" s="305">
        <f t="shared" si="111"/>
        <v>0.54320987654320985</v>
      </c>
      <c r="S318" s="314" t="str">
        <f t="shared" si="97"/>
        <v>ok</v>
      </c>
      <c r="T318" s="1425">
        <v>44</v>
      </c>
      <c r="U318" s="1426">
        <v>41</v>
      </c>
      <c r="V318" s="1426"/>
      <c r="W318" s="1426"/>
      <c r="X318" s="1425"/>
    </row>
    <row r="319" spans="1:24" s="933" customFormat="1" ht="16.5" customHeight="1">
      <c r="A319" s="1860">
        <v>5.7</v>
      </c>
      <c r="B319" s="1904" t="s">
        <v>1966</v>
      </c>
      <c r="C319" s="1902"/>
      <c r="D319" s="1877"/>
      <c r="E319" s="1903"/>
      <c r="F319" s="1879"/>
      <c r="G319" s="1049"/>
      <c r="H319" s="1425"/>
      <c r="I319" s="305"/>
      <c r="J319" s="1049"/>
      <c r="K319" s="1425"/>
      <c r="L319" s="305"/>
      <c r="M319" s="1049"/>
      <c r="N319" s="1425"/>
      <c r="O319" s="305"/>
      <c r="P319" s="1049"/>
      <c r="Q319" s="1425">
        <f t="shared" si="96"/>
        <v>0</v>
      </c>
      <c r="R319" s="305"/>
      <c r="S319" s="314" t="str">
        <f t="shared" si="97"/>
        <v>ok</v>
      </c>
      <c r="T319" s="1425"/>
      <c r="U319" s="1426"/>
      <c r="V319" s="1426"/>
      <c r="W319" s="1426"/>
      <c r="X319" s="1425"/>
    </row>
    <row r="320" spans="1:24" s="933" customFormat="1" ht="16.5" customHeight="1">
      <c r="A320" s="1860" t="s">
        <v>1460</v>
      </c>
      <c r="B320" s="1860" t="s">
        <v>1967</v>
      </c>
      <c r="C320" s="1861" t="s">
        <v>52</v>
      </c>
      <c r="D320" s="1877">
        <v>1</v>
      </c>
      <c r="E320" s="1878">
        <v>160000</v>
      </c>
      <c r="F320" s="1879">
        <f t="shared" si="95"/>
        <v>160000</v>
      </c>
      <c r="G320" s="1049">
        <v>0</v>
      </c>
      <c r="H320" s="1425">
        <v>0</v>
      </c>
      <c r="I320" s="305">
        <v>0</v>
      </c>
      <c r="J320" s="1049"/>
      <c r="K320" s="1425">
        <f t="shared" ref="K320" si="112">J320*E320</f>
        <v>0</v>
      </c>
      <c r="L320" s="305">
        <f t="shared" ref="L320" si="113">K320/F320</f>
        <v>0</v>
      </c>
      <c r="M320" s="1049">
        <f t="shared" ref="M320" si="114">G320+J320</f>
        <v>0</v>
      </c>
      <c r="N320" s="1425">
        <f t="shared" ref="N320" si="115">M320*E320</f>
        <v>0</v>
      </c>
      <c r="O320" s="305">
        <f t="shared" ref="O320" si="116">N320/F320</f>
        <v>0</v>
      </c>
      <c r="P320" s="1049">
        <f t="shared" ref="P320" si="117">D320-M320</f>
        <v>1</v>
      </c>
      <c r="Q320" s="1425">
        <f t="shared" si="96"/>
        <v>160000</v>
      </c>
      <c r="R320" s="305">
        <f t="shared" ref="R320" si="118">Q320/F320</f>
        <v>1</v>
      </c>
      <c r="S320" s="314" t="str">
        <f t="shared" si="97"/>
        <v>ok</v>
      </c>
      <c r="T320" s="1425"/>
      <c r="U320" s="1426"/>
      <c r="V320" s="1426"/>
      <c r="W320" s="1426"/>
      <c r="X320" s="1425"/>
    </row>
    <row r="321" spans="1:24" s="933" customFormat="1" ht="16.5" customHeight="1">
      <c r="A321" s="1860" t="s">
        <v>1461</v>
      </c>
      <c r="B321" s="1860" t="s">
        <v>1968</v>
      </c>
      <c r="C321" s="1861" t="s">
        <v>52</v>
      </c>
      <c r="D321" s="1877">
        <v>1</v>
      </c>
      <c r="E321" s="1878">
        <v>12500</v>
      </c>
      <c r="F321" s="1879">
        <f t="shared" si="95"/>
        <v>12500</v>
      </c>
      <c r="G321" s="1049">
        <v>0</v>
      </c>
      <c r="H321" s="1425">
        <v>0</v>
      </c>
      <c r="I321" s="305">
        <v>0</v>
      </c>
      <c r="J321" s="1049"/>
      <c r="K321" s="1425">
        <f t="shared" ref="K321:K383" si="119">J321*E321</f>
        <v>0</v>
      </c>
      <c r="L321" s="305">
        <f t="shared" ref="L321:L383" si="120">K321/F321</f>
        <v>0</v>
      </c>
      <c r="M321" s="1049">
        <f t="shared" ref="M321:M383" si="121">G321+J321</f>
        <v>0</v>
      </c>
      <c r="N321" s="1425">
        <f t="shared" ref="N321:N383" si="122">M321*E321</f>
        <v>0</v>
      </c>
      <c r="O321" s="305">
        <f t="shared" ref="O321:O383" si="123">N321/F321</f>
        <v>0</v>
      </c>
      <c r="P321" s="1049">
        <f t="shared" ref="P321:P383" si="124">D321-M321</f>
        <v>1</v>
      </c>
      <c r="Q321" s="1425">
        <f t="shared" si="96"/>
        <v>12500</v>
      </c>
      <c r="R321" s="305">
        <f t="shared" ref="R321:R383" si="125">Q321/F321</f>
        <v>1</v>
      </c>
      <c r="S321" s="314" t="str">
        <f t="shared" si="97"/>
        <v>ok</v>
      </c>
      <c r="T321" s="1425"/>
      <c r="U321" s="1426"/>
      <c r="V321" s="1426"/>
      <c r="W321" s="1426"/>
      <c r="X321" s="1425"/>
    </row>
    <row r="322" spans="1:24" s="933" customFormat="1" ht="16.5" customHeight="1">
      <c r="A322" s="1860">
        <v>6</v>
      </c>
      <c r="B322" s="1905" t="s">
        <v>1969</v>
      </c>
      <c r="C322" s="1906"/>
      <c r="D322" s="1877"/>
      <c r="E322" s="1906"/>
      <c r="F322" s="1879"/>
      <c r="G322" s="1049"/>
      <c r="H322" s="1425"/>
      <c r="I322" s="305"/>
      <c r="J322" s="1049"/>
      <c r="K322" s="1425"/>
      <c r="L322" s="305"/>
      <c r="M322" s="1049"/>
      <c r="N322" s="1425"/>
      <c r="O322" s="305"/>
      <c r="P322" s="1049"/>
      <c r="Q322" s="1425">
        <f t="shared" si="96"/>
        <v>0</v>
      </c>
      <c r="R322" s="305"/>
      <c r="S322" s="314" t="str">
        <f t="shared" si="97"/>
        <v>ok</v>
      </c>
      <c r="T322" s="1425"/>
      <c r="U322" s="1426"/>
      <c r="V322" s="1426"/>
      <c r="W322" s="1426"/>
      <c r="X322" s="1425"/>
    </row>
    <row r="323" spans="1:24" s="933" customFormat="1" ht="16.5" customHeight="1">
      <c r="A323" s="1860">
        <v>6.1</v>
      </c>
      <c r="B323" s="1904" t="s">
        <v>1970</v>
      </c>
      <c r="C323" s="1902"/>
      <c r="D323" s="1877"/>
      <c r="E323" s="1903"/>
      <c r="F323" s="1879"/>
      <c r="G323" s="1049"/>
      <c r="H323" s="1425"/>
      <c r="I323" s="305"/>
      <c r="J323" s="1049"/>
      <c r="K323" s="1425"/>
      <c r="L323" s="305"/>
      <c r="M323" s="1049"/>
      <c r="N323" s="1425"/>
      <c r="O323" s="305"/>
      <c r="P323" s="1049"/>
      <c r="Q323" s="1425">
        <f t="shared" si="96"/>
        <v>0</v>
      </c>
      <c r="R323" s="305"/>
      <c r="S323" s="314" t="str">
        <f t="shared" si="97"/>
        <v>ok</v>
      </c>
      <c r="T323" s="1425"/>
      <c r="U323" s="1426"/>
      <c r="V323" s="1426"/>
      <c r="W323" s="1426"/>
      <c r="X323" s="1425"/>
    </row>
    <row r="324" spans="1:24" s="8" customFormat="1" ht="16.5" customHeight="1">
      <c r="A324" s="1101" t="s">
        <v>1462</v>
      </c>
      <c r="B324" s="1101" t="s">
        <v>1971</v>
      </c>
      <c r="C324" s="1104" t="s">
        <v>52</v>
      </c>
      <c r="D324" s="1105">
        <v>1</v>
      </c>
      <c r="E324" s="1106">
        <v>3200.61</v>
      </c>
      <c r="F324" s="841">
        <f t="shared" si="95"/>
        <v>3200.61</v>
      </c>
      <c r="G324" s="1049">
        <v>0</v>
      </c>
      <c r="H324" s="306">
        <v>0</v>
      </c>
      <c r="I324" s="307">
        <v>0</v>
      </c>
      <c r="J324" s="1049"/>
      <c r="K324" s="306">
        <f t="shared" si="119"/>
        <v>0</v>
      </c>
      <c r="L324" s="307">
        <f t="shared" si="120"/>
        <v>0</v>
      </c>
      <c r="M324" s="1049">
        <f t="shared" si="121"/>
        <v>0</v>
      </c>
      <c r="N324" s="306">
        <f t="shared" si="122"/>
        <v>0</v>
      </c>
      <c r="O324" s="307">
        <f t="shared" si="123"/>
        <v>0</v>
      </c>
      <c r="P324" s="1049">
        <f t="shared" si="124"/>
        <v>1</v>
      </c>
      <c r="Q324" s="306">
        <f t="shared" si="96"/>
        <v>3200.61</v>
      </c>
      <c r="R324" s="307">
        <f t="shared" si="125"/>
        <v>1</v>
      </c>
      <c r="S324" s="314" t="str">
        <f t="shared" si="97"/>
        <v>ok</v>
      </c>
      <c r="T324" s="306"/>
      <c r="U324" s="314"/>
      <c r="V324" s="314"/>
      <c r="W324" s="314"/>
      <c r="X324" s="306"/>
    </row>
    <row r="325" spans="1:24" s="8" customFormat="1" ht="16.5" customHeight="1">
      <c r="A325" s="1101" t="s">
        <v>1463</v>
      </c>
      <c r="B325" s="1101" t="s">
        <v>1972</v>
      </c>
      <c r="C325" s="1104" t="s">
        <v>52</v>
      </c>
      <c r="D325" s="1105">
        <v>4</v>
      </c>
      <c r="E325" s="1106">
        <v>540</v>
      </c>
      <c r="F325" s="841">
        <f t="shared" si="95"/>
        <v>2160</v>
      </c>
      <c r="G325" s="1049">
        <v>0</v>
      </c>
      <c r="H325" s="306">
        <v>0</v>
      </c>
      <c r="I325" s="307">
        <v>0</v>
      </c>
      <c r="J325" s="1049"/>
      <c r="K325" s="306">
        <f t="shared" si="119"/>
        <v>0</v>
      </c>
      <c r="L325" s="307">
        <f t="shared" si="120"/>
        <v>0</v>
      </c>
      <c r="M325" s="1047">
        <f t="shared" si="121"/>
        <v>0</v>
      </c>
      <c r="N325" s="306">
        <f t="shared" si="122"/>
        <v>0</v>
      </c>
      <c r="O325" s="307">
        <f t="shared" si="123"/>
        <v>0</v>
      </c>
      <c r="P325" s="1049">
        <f t="shared" si="124"/>
        <v>4</v>
      </c>
      <c r="Q325" s="306">
        <f t="shared" si="96"/>
        <v>2160</v>
      </c>
      <c r="R325" s="307">
        <f t="shared" si="125"/>
        <v>1</v>
      </c>
      <c r="S325" s="314" t="str">
        <f t="shared" si="97"/>
        <v>ok</v>
      </c>
      <c r="T325" s="306"/>
      <c r="U325" s="314"/>
      <c r="V325" s="314"/>
      <c r="W325" s="314"/>
      <c r="X325" s="306"/>
    </row>
    <row r="326" spans="1:24" s="8" customFormat="1" ht="16.5" customHeight="1">
      <c r="A326" s="1101" t="s">
        <v>1464</v>
      </c>
      <c r="B326" s="1101" t="s">
        <v>1973</v>
      </c>
      <c r="C326" s="1104" t="s">
        <v>52</v>
      </c>
      <c r="D326" s="1105">
        <v>23</v>
      </c>
      <c r="E326" s="1106">
        <v>753.49</v>
      </c>
      <c r="F326" s="841">
        <f t="shared" si="95"/>
        <v>17330.27</v>
      </c>
      <c r="G326" s="1049">
        <v>0</v>
      </c>
      <c r="H326" s="306">
        <v>0</v>
      </c>
      <c r="I326" s="307">
        <v>0</v>
      </c>
      <c r="J326" s="1046"/>
      <c r="K326" s="306">
        <f t="shared" si="119"/>
        <v>0</v>
      </c>
      <c r="L326" s="307">
        <f t="shared" si="120"/>
        <v>0</v>
      </c>
      <c r="M326" s="1047">
        <f t="shared" si="121"/>
        <v>0</v>
      </c>
      <c r="N326" s="306">
        <f t="shared" si="122"/>
        <v>0</v>
      </c>
      <c r="O326" s="307">
        <f t="shared" si="123"/>
        <v>0</v>
      </c>
      <c r="P326" s="1047">
        <f t="shared" si="124"/>
        <v>23</v>
      </c>
      <c r="Q326" s="306">
        <f t="shared" si="96"/>
        <v>17330.27</v>
      </c>
      <c r="R326" s="307">
        <f t="shared" si="125"/>
        <v>1</v>
      </c>
      <c r="S326" s="314" t="str">
        <f t="shared" si="97"/>
        <v>ok</v>
      </c>
      <c r="T326" s="306"/>
      <c r="U326" s="314"/>
      <c r="V326" s="314"/>
      <c r="W326" s="314"/>
      <c r="X326" s="306"/>
    </row>
    <row r="327" spans="1:24" s="8" customFormat="1" ht="16.5" customHeight="1">
      <c r="A327" s="1101" t="s">
        <v>1465</v>
      </c>
      <c r="B327" s="1101" t="s">
        <v>1974</v>
      </c>
      <c r="C327" s="1104" t="s">
        <v>52</v>
      </c>
      <c r="D327" s="1105">
        <v>9</v>
      </c>
      <c r="E327" s="1106">
        <v>295.41000000000003</v>
      </c>
      <c r="F327" s="841">
        <f t="shared" si="95"/>
        <v>2658.69</v>
      </c>
      <c r="G327" s="1049">
        <v>0</v>
      </c>
      <c r="H327" s="306">
        <v>0</v>
      </c>
      <c r="I327" s="307">
        <v>0</v>
      </c>
      <c r="J327" s="1046"/>
      <c r="K327" s="306">
        <f t="shared" si="119"/>
        <v>0</v>
      </c>
      <c r="L327" s="307">
        <f t="shared" si="120"/>
        <v>0</v>
      </c>
      <c r="M327" s="1047">
        <f t="shared" si="121"/>
        <v>0</v>
      </c>
      <c r="N327" s="306">
        <f t="shared" si="122"/>
        <v>0</v>
      </c>
      <c r="O327" s="307">
        <f t="shared" si="123"/>
        <v>0</v>
      </c>
      <c r="P327" s="1047">
        <f t="shared" si="124"/>
        <v>9</v>
      </c>
      <c r="Q327" s="306">
        <f t="shared" si="96"/>
        <v>2658.69</v>
      </c>
      <c r="R327" s="307">
        <f t="shared" si="125"/>
        <v>1</v>
      </c>
      <c r="S327" s="314" t="str">
        <f t="shared" si="97"/>
        <v>ok</v>
      </c>
      <c r="T327" s="306"/>
      <c r="U327" s="314"/>
      <c r="V327" s="314"/>
      <c r="W327" s="314"/>
      <c r="X327" s="306"/>
    </row>
    <row r="328" spans="1:24" s="8" customFormat="1" ht="16.5" customHeight="1">
      <c r="A328" s="1101" t="s">
        <v>1466</v>
      </c>
      <c r="B328" s="1101" t="s">
        <v>1975</v>
      </c>
      <c r="C328" s="1104" t="s">
        <v>268</v>
      </c>
      <c r="D328" s="1105">
        <v>1</v>
      </c>
      <c r="E328" s="1106">
        <v>3950.21</v>
      </c>
      <c r="F328" s="841">
        <f t="shared" si="95"/>
        <v>3950.21</v>
      </c>
      <c r="G328" s="1049">
        <v>0</v>
      </c>
      <c r="H328" s="306">
        <v>0</v>
      </c>
      <c r="I328" s="307">
        <v>0</v>
      </c>
      <c r="J328" s="1046"/>
      <c r="K328" s="306">
        <f t="shared" si="119"/>
        <v>0</v>
      </c>
      <c r="L328" s="307">
        <f t="shared" si="120"/>
        <v>0</v>
      </c>
      <c r="M328" s="1047">
        <f t="shared" si="121"/>
        <v>0</v>
      </c>
      <c r="N328" s="306">
        <f t="shared" si="122"/>
        <v>0</v>
      </c>
      <c r="O328" s="307">
        <f t="shared" si="123"/>
        <v>0</v>
      </c>
      <c r="P328" s="1047">
        <f t="shared" si="124"/>
        <v>1</v>
      </c>
      <c r="Q328" s="306">
        <f t="shared" si="96"/>
        <v>3950.21</v>
      </c>
      <c r="R328" s="307">
        <f t="shared" si="125"/>
        <v>1</v>
      </c>
      <c r="S328" s="314" t="str">
        <f t="shared" si="97"/>
        <v>ok</v>
      </c>
      <c r="T328" s="306"/>
      <c r="U328" s="314"/>
      <c r="V328" s="314"/>
      <c r="W328" s="314"/>
      <c r="X328" s="306"/>
    </row>
    <row r="329" spans="1:24" s="8" customFormat="1" ht="16.5" customHeight="1">
      <c r="A329" s="1101">
        <v>6.2</v>
      </c>
      <c r="B329" s="1102" t="s">
        <v>1976</v>
      </c>
      <c r="C329" s="1108"/>
      <c r="D329" s="1105"/>
      <c r="E329" s="1109"/>
      <c r="F329" s="841"/>
      <c r="G329" s="1049"/>
      <c r="H329" s="306"/>
      <c r="I329" s="307"/>
      <c r="J329" s="1046"/>
      <c r="K329" s="306"/>
      <c r="L329" s="307"/>
      <c r="M329" s="1047"/>
      <c r="N329" s="306"/>
      <c r="O329" s="307"/>
      <c r="P329" s="1047"/>
      <c r="Q329" s="306">
        <f t="shared" si="96"/>
        <v>0</v>
      </c>
      <c r="R329" s="307"/>
      <c r="S329" s="314" t="str">
        <f t="shared" si="97"/>
        <v>ok</v>
      </c>
      <c r="T329" s="306"/>
      <c r="U329" s="314"/>
      <c r="V329" s="314"/>
      <c r="W329" s="314"/>
      <c r="X329" s="306"/>
    </row>
    <row r="330" spans="1:24" s="8" customFormat="1" ht="16.5" customHeight="1">
      <c r="A330" s="1101" t="s">
        <v>1467</v>
      </c>
      <c r="B330" s="1103" t="s">
        <v>1977</v>
      </c>
      <c r="C330" s="1103"/>
      <c r="D330" s="1105"/>
      <c r="E330" s="1107"/>
      <c r="F330" s="841"/>
      <c r="G330" s="1049"/>
      <c r="H330" s="306"/>
      <c r="I330" s="307"/>
      <c r="J330" s="1046"/>
      <c r="K330" s="306"/>
      <c r="L330" s="307"/>
      <c r="M330" s="1047"/>
      <c r="N330" s="306"/>
      <c r="O330" s="307"/>
      <c r="P330" s="1047"/>
      <c r="Q330" s="306">
        <f t="shared" si="96"/>
        <v>0</v>
      </c>
      <c r="R330" s="307"/>
      <c r="S330" s="314" t="str">
        <f t="shared" si="97"/>
        <v>ok</v>
      </c>
      <c r="T330" s="306"/>
      <c r="U330" s="314"/>
      <c r="V330" s="314"/>
      <c r="W330" s="314"/>
      <c r="X330" s="306"/>
    </row>
    <row r="331" spans="1:24" s="8" customFormat="1" ht="16.5" customHeight="1">
      <c r="A331" s="1101" t="s">
        <v>1468</v>
      </c>
      <c r="B331" s="1101" t="s">
        <v>1978</v>
      </c>
      <c r="C331" s="1104" t="s">
        <v>51</v>
      </c>
      <c r="D331" s="1105">
        <v>90</v>
      </c>
      <c r="E331" s="1106">
        <v>8.33</v>
      </c>
      <c r="F331" s="841">
        <f t="shared" si="95"/>
        <v>749.7</v>
      </c>
      <c r="G331" s="1049">
        <v>0</v>
      </c>
      <c r="H331" s="306">
        <v>0</v>
      </c>
      <c r="I331" s="307">
        <v>0</v>
      </c>
      <c r="J331" s="1046"/>
      <c r="K331" s="306">
        <f t="shared" si="119"/>
        <v>0</v>
      </c>
      <c r="L331" s="307">
        <f t="shared" si="120"/>
        <v>0</v>
      </c>
      <c r="M331" s="1047">
        <f t="shared" si="121"/>
        <v>0</v>
      </c>
      <c r="N331" s="306">
        <f t="shared" si="122"/>
        <v>0</v>
      </c>
      <c r="O331" s="307">
        <f t="shared" si="123"/>
        <v>0</v>
      </c>
      <c r="P331" s="1047">
        <f t="shared" si="124"/>
        <v>90</v>
      </c>
      <c r="Q331" s="306">
        <f t="shared" si="96"/>
        <v>749.7</v>
      </c>
      <c r="R331" s="307">
        <f t="shared" si="125"/>
        <v>1</v>
      </c>
      <c r="S331" s="314" t="str">
        <f t="shared" si="97"/>
        <v>ok</v>
      </c>
      <c r="T331" s="306"/>
      <c r="U331" s="314"/>
      <c r="V331" s="314"/>
      <c r="W331" s="314"/>
      <c r="X331" s="306"/>
    </row>
    <row r="332" spans="1:24" s="8" customFormat="1" ht="16.5" customHeight="1">
      <c r="A332" s="1101" t="s">
        <v>1469</v>
      </c>
      <c r="B332" s="1101" t="s">
        <v>1979</v>
      </c>
      <c r="C332" s="1104" t="s">
        <v>51</v>
      </c>
      <c r="D332" s="1105">
        <v>1053</v>
      </c>
      <c r="E332" s="1106">
        <v>7.94</v>
      </c>
      <c r="F332" s="841">
        <f t="shared" si="95"/>
        <v>8360.82</v>
      </c>
      <c r="G332" s="1049">
        <v>0</v>
      </c>
      <c r="H332" s="306">
        <v>0</v>
      </c>
      <c r="I332" s="307">
        <v>0</v>
      </c>
      <c r="J332" s="1046"/>
      <c r="K332" s="306">
        <f t="shared" si="119"/>
        <v>0</v>
      </c>
      <c r="L332" s="307">
        <f t="shared" si="120"/>
        <v>0</v>
      </c>
      <c r="M332" s="1047">
        <f t="shared" si="121"/>
        <v>0</v>
      </c>
      <c r="N332" s="306">
        <f t="shared" si="122"/>
        <v>0</v>
      </c>
      <c r="O332" s="307">
        <f t="shared" si="123"/>
        <v>0</v>
      </c>
      <c r="P332" s="1047">
        <f t="shared" si="124"/>
        <v>1053</v>
      </c>
      <c r="Q332" s="306">
        <f t="shared" si="96"/>
        <v>8360.82</v>
      </c>
      <c r="R332" s="307">
        <f t="shared" si="125"/>
        <v>1</v>
      </c>
      <c r="S332" s="314" t="str">
        <f t="shared" si="97"/>
        <v>ok</v>
      </c>
      <c r="T332" s="306"/>
      <c r="U332" s="314"/>
      <c r="V332" s="314"/>
      <c r="W332" s="314"/>
      <c r="X332" s="306"/>
    </row>
    <row r="333" spans="1:24" s="8" customFormat="1" ht="16.5" customHeight="1">
      <c r="A333" s="1101" t="s">
        <v>1470</v>
      </c>
      <c r="B333" s="1103" t="s">
        <v>1980</v>
      </c>
      <c r="C333" s="1103"/>
      <c r="D333" s="1105"/>
      <c r="E333" s="1107"/>
      <c r="F333" s="841"/>
      <c r="G333" s="1049"/>
      <c r="H333" s="306"/>
      <c r="I333" s="307"/>
      <c r="J333" s="1046"/>
      <c r="K333" s="306"/>
      <c r="L333" s="307"/>
      <c r="M333" s="1047"/>
      <c r="N333" s="306"/>
      <c r="O333" s="307"/>
      <c r="P333" s="1047"/>
      <c r="Q333" s="306">
        <f t="shared" si="96"/>
        <v>0</v>
      </c>
      <c r="R333" s="307"/>
      <c r="S333" s="314" t="str">
        <f t="shared" si="97"/>
        <v>ok</v>
      </c>
      <c r="T333" s="306"/>
      <c r="U333" s="314"/>
      <c r="V333" s="314"/>
      <c r="W333" s="314"/>
      <c r="X333" s="306"/>
    </row>
    <row r="334" spans="1:24" s="8" customFormat="1" ht="16.5" customHeight="1">
      <c r="A334" s="1101" t="s">
        <v>1471</v>
      </c>
      <c r="B334" s="1101" t="s">
        <v>1981</v>
      </c>
      <c r="C334" s="1104" t="s">
        <v>51</v>
      </c>
      <c r="D334" s="1105">
        <v>4</v>
      </c>
      <c r="E334" s="1106">
        <v>9.43</v>
      </c>
      <c r="F334" s="841">
        <f t="shared" si="95"/>
        <v>37.72</v>
      </c>
      <c r="G334" s="1049">
        <v>0</v>
      </c>
      <c r="H334" s="306">
        <v>0</v>
      </c>
      <c r="I334" s="307">
        <v>0</v>
      </c>
      <c r="J334" s="1046"/>
      <c r="K334" s="306">
        <f t="shared" si="119"/>
        <v>0</v>
      </c>
      <c r="L334" s="307">
        <f t="shared" si="120"/>
        <v>0</v>
      </c>
      <c r="M334" s="1047">
        <f t="shared" si="121"/>
        <v>0</v>
      </c>
      <c r="N334" s="306">
        <f t="shared" si="122"/>
        <v>0</v>
      </c>
      <c r="O334" s="307">
        <f t="shared" si="123"/>
        <v>0</v>
      </c>
      <c r="P334" s="1047">
        <f t="shared" si="124"/>
        <v>4</v>
      </c>
      <c r="Q334" s="306">
        <f t="shared" si="96"/>
        <v>37.72</v>
      </c>
      <c r="R334" s="307">
        <f t="shared" si="125"/>
        <v>1</v>
      </c>
      <c r="S334" s="314" t="str">
        <f t="shared" si="97"/>
        <v>ok</v>
      </c>
      <c r="T334" s="306"/>
      <c r="U334" s="314"/>
      <c r="V334" s="314"/>
      <c r="W334" s="314"/>
      <c r="X334" s="306"/>
    </row>
    <row r="335" spans="1:24" s="8" customFormat="1" ht="16.5" customHeight="1">
      <c r="A335" s="1101" t="s">
        <v>1472</v>
      </c>
      <c r="B335" s="1101" t="s">
        <v>1982</v>
      </c>
      <c r="C335" s="1104" t="s">
        <v>52</v>
      </c>
      <c r="D335" s="1105">
        <v>1</v>
      </c>
      <c r="E335" s="1106">
        <v>8.2899999999999991</v>
      </c>
      <c r="F335" s="841">
        <f t="shared" si="95"/>
        <v>8.2899999999999991</v>
      </c>
      <c r="G335" s="1049">
        <v>0</v>
      </c>
      <c r="H335" s="306">
        <v>0</v>
      </c>
      <c r="I335" s="307">
        <v>0</v>
      </c>
      <c r="J335" s="1046"/>
      <c r="K335" s="306">
        <f t="shared" si="119"/>
        <v>0</v>
      </c>
      <c r="L335" s="307">
        <f t="shared" si="120"/>
        <v>0</v>
      </c>
      <c r="M335" s="1047">
        <f t="shared" si="121"/>
        <v>0</v>
      </c>
      <c r="N335" s="306">
        <f t="shared" si="122"/>
        <v>0</v>
      </c>
      <c r="O335" s="307">
        <f t="shared" si="123"/>
        <v>0</v>
      </c>
      <c r="P335" s="1047">
        <f t="shared" si="124"/>
        <v>1</v>
      </c>
      <c r="Q335" s="306">
        <f t="shared" si="96"/>
        <v>8.2899999999999991</v>
      </c>
      <c r="R335" s="307">
        <f t="shared" si="125"/>
        <v>1</v>
      </c>
      <c r="S335" s="314" t="str">
        <f t="shared" si="97"/>
        <v>ok</v>
      </c>
      <c r="T335" s="306"/>
      <c r="U335" s="314"/>
      <c r="V335" s="314"/>
      <c r="W335" s="314"/>
      <c r="X335" s="306"/>
    </row>
    <row r="336" spans="1:24" s="8" customFormat="1" ht="16.5" customHeight="1">
      <c r="A336" s="1101" t="s">
        <v>1473</v>
      </c>
      <c r="B336" s="1101" t="s">
        <v>1983</v>
      </c>
      <c r="C336" s="1104" t="s">
        <v>52</v>
      </c>
      <c r="D336" s="1105">
        <v>4</v>
      </c>
      <c r="E336" s="1106">
        <v>8.9600000000000009</v>
      </c>
      <c r="F336" s="841">
        <f t="shared" si="95"/>
        <v>35.840000000000003</v>
      </c>
      <c r="G336" s="1049">
        <v>0</v>
      </c>
      <c r="H336" s="306">
        <v>0</v>
      </c>
      <c r="I336" s="307">
        <v>0</v>
      </c>
      <c r="J336" s="1046"/>
      <c r="K336" s="306">
        <f t="shared" si="119"/>
        <v>0</v>
      </c>
      <c r="L336" s="307">
        <f t="shared" si="120"/>
        <v>0</v>
      </c>
      <c r="M336" s="1047">
        <f t="shared" si="121"/>
        <v>0</v>
      </c>
      <c r="N336" s="306">
        <f t="shared" si="122"/>
        <v>0</v>
      </c>
      <c r="O336" s="307">
        <f t="shared" si="123"/>
        <v>0</v>
      </c>
      <c r="P336" s="1047">
        <f t="shared" si="124"/>
        <v>4</v>
      </c>
      <c r="Q336" s="306">
        <f t="shared" si="96"/>
        <v>35.840000000000003</v>
      </c>
      <c r="R336" s="307">
        <f t="shared" si="125"/>
        <v>1</v>
      </c>
      <c r="S336" s="314" t="str">
        <f t="shared" si="97"/>
        <v>ok</v>
      </c>
      <c r="T336" s="306"/>
      <c r="U336" s="314"/>
      <c r="V336" s="314"/>
      <c r="W336" s="314"/>
      <c r="X336" s="306"/>
    </row>
    <row r="337" spans="1:24" s="8" customFormat="1" ht="16.5" customHeight="1">
      <c r="A337" s="1101" t="s">
        <v>1474</v>
      </c>
      <c r="B337" s="1101" t="s">
        <v>1984</v>
      </c>
      <c r="C337" s="1104" t="s">
        <v>51</v>
      </c>
      <c r="D337" s="1105">
        <v>154</v>
      </c>
      <c r="E337" s="1106">
        <v>40.46</v>
      </c>
      <c r="F337" s="841">
        <f t="shared" si="95"/>
        <v>6230.84</v>
      </c>
      <c r="G337" s="1049">
        <v>138</v>
      </c>
      <c r="H337" s="306">
        <v>5583.4800000000005</v>
      </c>
      <c r="I337" s="307">
        <v>0.89610389610389618</v>
      </c>
      <c r="J337" s="1046"/>
      <c r="K337" s="306">
        <f t="shared" si="119"/>
        <v>0</v>
      </c>
      <c r="L337" s="307">
        <f t="shared" si="120"/>
        <v>0</v>
      </c>
      <c r="M337" s="1047">
        <f t="shared" si="121"/>
        <v>138</v>
      </c>
      <c r="N337" s="306">
        <f t="shared" si="122"/>
        <v>5583.4800000000005</v>
      </c>
      <c r="O337" s="307">
        <f t="shared" si="123"/>
        <v>0.89610389610389618</v>
      </c>
      <c r="P337" s="1047">
        <f t="shared" si="124"/>
        <v>16</v>
      </c>
      <c r="Q337" s="306">
        <f t="shared" si="96"/>
        <v>647.35999999999967</v>
      </c>
      <c r="R337" s="307">
        <f t="shared" si="125"/>
        <v>0.10389610389610385</v>
      </c>
      <c r="S337" s="314" t="str">
        <f t="shared" si="97"/>
        <v>ok</v>
      </c>
      <c r="T337" s="306"/>
      <c r="U337" s="314"/>
      <c r="V337" s="314"/>
      <c r="W337" s="314"/>
      <c r="X337" s="306"/>
    </row>
    <row r="338" spans="1:24" s="8" customFormat="1" ht="16.5" customHeight="1">
      <c r="A338" s="1101" t="s">
        <v>1475</v>
      </c>
      <c r="B338" s="1101" t="s">
        <v>1985</v>
      </c>
      <c r="C338" s="1104" t="s">
        <v>52</v>
      </c>
      <c r="D338" s="1105">
        <v>68</v>
      </c>
      <c r="E338" s="1106">
        <v>20.45</v>
      </c>
      <c r="F338" s="841">
        <f t="shared" si="95"/>
        <v>1390.6</v>
      </c>
      <c r="G338" s="1049">
        <v>60</v>
      </c>
      <c r="H338" s="306">
        <v>1227</v>
      </c>
      <c r="I338" s="307">
        <v>0.88235294117647067</v>
      </c>
      <c r="J338" s="1046"/>
      <c r="K338" s="306">
        <f t="shared" si="119"/>
        <v>0</v>
      </c>
      <c r="L338" s="307">
        <f t="shared" si="120"/>
        <v>0</v>
      </c>
      <c r="M338" s="1047">
        <f t="shared" si="121"/>
        <v>60</v>
      </c>
      <c r="N338" s="306">
        <f t="shared" si="122"/>
        <v>1227</v>
      </c>
      <c r="O338" s="307">
        <f t="shared" si="123"/>
        <v>0.88235294117647067</v>
      </c>
      <c r="P338" s="1047">
        <f t="shared" si="124"/>
        <v>8</v>
      </c>
      <c r="Q338" s="306">
        <f t="shared" si="96"/>
        <v>163.59999999999991</v>
      </c>
      <c r="R338" s="307">
        <f t="shared" si="125"/>
        <v>0.11764705882352935</v>
      </c>
      <c r="S338" s="314" t="str">
        <f t="shared" si="97"/>
        <v>ok</v>
      </c>
      <c r="T338" s="306"/>
      <c r="U338" s="314"/>
      <c r="V338" s="314"/>
      <c r="W338" s="314"/>
      <c r="X338" s="306"/>
    </row>
    <row r="339" spans="1:24" s="8" customFormat="1" ht="16.5" customHeight="1">
      <c r="A339" s="1101" t="s">
        <v>1476</v>
      </c>
      <c r="B339" s="1101" t="s">
        <v>1986</v>
      </c>
      <c r="C339" s="1104" t="s">
        <v>52</v>
      </c>
      <c r="D339" s="1105">
        <v>205</v>
      </c>
      <c r="E339" s="1106">
        <v>20.45</v>
      </c>
      <c r="F339" s="841">
        <f t="shared" ref="F339:F402" si="126">+D339*E339</f>
        <v>4192.25</v>
      </c>
      <c r="G339" s="1049">
        <v>120</v>
      </c>
      <c r="H339" s="306">
        <v>2454</v>
      </c>
      <c r="I339" s="307">
        <v>0.58536585365853655</v>
      </c>
      <c r="J339" s="1046"/>
      <c r="K339" s="306">
        <f t="shared" si="119"/>
        <v>0</v>
      </c>
      <c r="L339" s="307">
        <f t="shared" si="120"/>
        <v>0</v>
      </c>
      <c r="M339" s="1047">
        <f t="shared" si="121"/>
        <v>120</v>
      </c>
      <c r="N339" s="306">
        <f t="shared" si="122"/>
        <v>2454</v>
      </c>
      <c r="O339" s="307">
        <f t="shared" si="123"/>
        <v>0.58536585365853655</v>
      </c>
      <c r="P339" s="1047">
        <f t="shared" si="124"/>
        <v>85</v>
      </c>
      <c r="Q339" s="306">
        <f t="shared" si="96"/>
        <v>1738.25</v>
      </c>
      <c r="R339" s="307">
        <f t="shared" si="125"/>
        <v>0.41463414634146339</v>
      </c>
      <c r="S339" s="314" t="str">
        <f t="shared" si="97"/>
        <v>ok</v>
      </c>
      <c r="T339" s="306"/>
      <c r="U339" s="314"/>
      <c r="V339" s="314"/>
      <c r="W339" s="314"/>
      <c r="X339" s="306"/>
    </row>
    <row r="340" spans="1:24" s="8" customFormat="1" ht="16.5" customHeight="1">
      <c r="A340" s="1101" t="s">
        <v>1477</v>
      </c>
      <c r="B340" s="1103" t="s">
        <v>1987</v>
      </c>
      <c r="C340" s="1103"/>
      <c r="D340" s="1105"/>
      <c r="E340" s="1107"/>
      <c r="F340" s="841"/>
      <c r="G340" s="1049"/>
      <c r="H340" s="306"/>
      <c r="I340" s="307"/>
      <c r="J340" s="1046"/>
      <c r="K340" s="306"/>
      <c r="L340" s="307"/>
      <c r="M340" s="1047"/>
      <c r="N340" s="306"/>
      <c r="O340" s="307"/>
      <c r="P340" s="1047"/>
      <c r="Q340" s="306">
        <f t="shared" si="96"/>
        <v>0</v>
      </c>
      <c r="R340" s="307"/>
      <c r="S340" s="314" t="str">
        <f t="shared" si="97"/>
        <v>ok</v>
      </c>
      <c r="T340" s="306"/>
      <c r="U340" s="314"/>
      <c r="V340" s="314"/>
      <c r="W340" s="314"/>
      <c r="X340" s="306"/>
    </row>
    <row r="341" spans="1:24" s="8" customFormat="1" ht="16.5" customHeight="1">
      <c r="A341" s="1101" t="s">
        <v>1478</v>
      </c>
      <c r="B341" s="1101" t="s">
        <v>1988</v>
      </c>
      <c r="C341" s="1104" t="s">
        <v>2145</v>
      </c>
      <c r="D341" s="1105">
        <v>1</v>
      </c>
      <c r="E341" s="1106">
        <v>29.32</v>
      </c>
      <c r="F341" s="841">
        <f t="shared" si="126"/>
        <v>29.32</v>
      </c>
      <c r="G341" s="1049">
        <v>1</v>
      </c>
      <c r="H341" s="306">
        <v>29.32</v>
      </c>
      <c r="I341" s="307">
        <v>1</v>
      </c>
      <c r="J341" s="1046"/>
      <c r="K341" s="306">
        <f t="shared" si="119"/>
        <v>0</v>
      </c>
      <c r="L341" s="307">
        <f t="shared" si="120"/>
        <v>0</v>
      </c>
      <c r="M341" s="1047">
        <f t="shared" si="121"/>
        <v>1</v>
      </c>
      <c r="N341" s="306">
        <f t="shared" si="122"/>
        <v>29.32</v>
      </c>
      <c r="O341" s="307">
        <f t="shared" si="123"/>
        <v>1</v>
      </c>
      <c r="P341" s="1047">
        <f t="shared" si="124"/>
        <v>0</v>
      </c>
      <c r="Q341" s="306">
        <f t="shared" ref="Q341:Q404" si="127">F341-N341</f>
        <v>0</v>
      </c>
      <c r="R341" s="307">
        <f t="shared" si="125"/>
        <v>0</v>
      </c>
      <c r="S341" s="314" t="str">
        <f t="shared" ref="S341:S404" si="128">IF(M341&gt;D341,"mayormetrado","ok")</f>
        <v>ok</v>
      </c>
      <c r="T341" s="306"/>
      <c r="U341" s="314"/>
      <c r="V341" s="314"/>
      <c r="W341" s="314"/>
      <c r="X341" s="306"/>
    </row>
    <row r="342" spans="1:24" s="8" customFormat="1" ht="16.5" customHeight="1">
      <c r="A342" s="1101" t="s">
        <v>1479</v>
      </c>
      <c r="B342" s="1101" t="s">
        <v>1989</v>
      </c>
      <c r="C342" s="1104" t="s">
        <v>52</v>
      </c>
      <c r="D342" s="1105">
        <v>65</v>
      </c>
      <c r="E342" s="1106">
        <v>53.74</v>
      </c>
      <c r="F342" s="841">
        <f t="shared" si="126"/>
        <v>3493.1</v>
      </c>
      <c r="G342" s="1049">
        <v>65</v>
      </c>
      <c r="H342" s="306">
        <v>3493.1</v>
      </c>
      <c r="I342" s="307">
        <v>1</v>
      </c>
      <c r="J342" s="1046"/>
      <c r="K342" s="306">
        <f t="shared" si="119"/>
        <v>0</v>
      </c>
      <c r="L342" s="307">
        <f t="shared" si="120"/>
        <v>0</v>
      </c>
      <c r="M342" s="1047">
        <f t="shared" si="121"/>
        <v>65</v>
      </c>
      <c r="N342" s="306">
        <f t="shared" si="122"/>
        <v>3493.1</v>
      </c>
      <c r="O342" s="307">
        <f t="shared" si="123"/>
        <v>1</v>
      </c>
      <c r="P342" s="1047">
        <f t="shared" si="124"/>
        <v>0</v>
      </c>
      <c r="Q342" s="306">
        <f t="shared" si="127"/>
        <v>0</v>
      </c>
      <c r="R342" s="307">
        <f t="shared" si="125"/>
        <v>0</v>
      </c>
      <c r="S342" s="314" t="str">
        <f t="shared" si="128"/>
        <v>ok</v>
      </c>
      <c r="T342" s="306"/>
      <c r="U342" s="314"/>
      <c r="V342" s="314"/>
      <c r="W342" s="314"/>
      <c r="X342" s="306"/>
    </row>
    <row r="343" spans="1:24" s="8" customFormat="1" ht="16.5" customHeight="1">
      <c r="A343" s="1101" t="s">
        <v>1480</v>
      </c>
      <c r="B343" s="1103" t="s">
        <v>1990</v>
      </c>
      <c r="C343" s="1103"/>
      <c r="D343" s="1105"/>
      <c r="E343" s="1107"/>
      <c r="F343" s="841"/>
      <c r="G343" s="1049"/>
      <c r="H343" s="306"/>
      <c r="I343" s="307"/>
      <c r="J343" s="1046"/>
      <c r="K343" s="306"/>
      <c r="L343" s="307"/>
      <c r="M343" s="1047"/>
      <c r="N343" s="306"/>
      <c r="O343" s="307"/>
      <c r="P343" s="1047"/>
      <c r="Q343" s="306">
        <f t="shared" si="127"/>
        <v>0</v>
      </c>
      <c r="R343" s="307"/>
      <c r="S343" s="314" t="str">
        <f t="shared" si="128"/>
        <v>ok</v>
      </c>
      <c r="T343" s="306"/>
      <c r="U343" s="314"/>
      <c r="V343" s="314"/>
      <c r="W343" s="314"/>
      <c r="X343" s="306"/>
    </row>
    <row r="344" spans="1:24" s="8" customFormat="1" ht="16.5" customHeight="1">
      <c r="A344" s="1101" t="s">
        <v>1481</v>
      </c>
      <c r="B344" s="1101" t="s">
        <v>1991</v>
      </c>
      <c r="C344" s="1104" t="s">
        <v>1145</v>
      </c>
      <c r="D344" s="1105">
        <v>1</v>
      </c>
      <c r="E344" s="1106">
        <v>23.82</v>
      </c>
      <c r="F344" s="841">
        <f t="shared" si="126"/>
        <v>23.82</v>
      </c>
      <c r="G344" s="1049">
        <v>1</v>
      </c>
      <c r="H344" s="306">
        <v>23.82</v>
      </c>
      <c r="I344" s="307">
        <v>1</v>
      </c>
      <c r="J344" s="1046"/>
      <c r="K344" s="306">
        <f t="shared" si="119"/>
        <v>0</v>
      </c>
      <c r="L344" s="307">
        <f t="shared" si="120"/>
        <v>0</v>
      </c>
      <c r="M344" s="1047">
        <f t="shared" si="121"/>
        <v>1</v>
      </c>
      <c r="N344" s="306">
        <f t="shared" si="122"/>
        <v>23.82</v>
      </c>
      <c r="O344" s="307">
        <f t="shared" si="123"/>
        <v>1</v>
      </c>
      <c r="P344" s="1047">
        <f t="shared" si="124"/>
        <v>0</v>
      </c>
      <c r="Q344" s="306">
        <f t="shared" si="127"/>
        <v>0</v>
      </c>
      <c r="R344" s="307">
        <f t="shared" si="125"/>
        <v>0</v>
      </c>
      <c r="S344" s="314" t="str">
        <f t="shared" si="128"/>
        <v>ok</v>
      </c>
      <c r="T344" s="306"/>
      <c r="U344" s="314"/>
      <c r="V344" s="314"/>
      <c r="W344" s="314"/>
      <c r="X344" s="306"/>
    </row>
    <row r="345" spans="1:24" s="8" customFormat="1" ht="16.5" customHeight="1">
      <c r="A345" s="1101" t="s">
        <v>1482</v>
      </c>
      <c r="B345" s="1101" t="s">
        <v>1992</v>
      </c>
      <c r="C345" s="1104" t="s">
        <v>1145</v>
      </c>
      <c r="D345" s="1105">
        <v>1</v>
      </c>
      <c r="E345" s="1106">
        <v>23.82</v>
      </c>
      <c r="F345" s="841">
        <f t="shared" si="126"/>
        <v>23.82</v>
      </c>
      <c r="G345" s="1049">
        <v>1</v>
      </c>
      <c r="H345" s="306">
        <v>23.82</v>
      </c>
      <c r="I345" s="307">
        <v>1</v>
      </c>
      <c r="J345" s="1046"/>
      <c r="K345" s="306">
        <f t="shared" si="119"/>
        <v>0</v>
      </c>
      <c r="L345" s="307">
        <f t="shared" si="120"/>
        <v>0</v>
      </c>
      <c r="M345" s="1047">
        <f t="shared" si="121"/>
        <v>1</v>
      </c>
      <c r="N345" s="306">
        <f t="shared" si="122"/>
        <v>23.82</v>
      </c>
      <c r="O345" s="307">
        <f t="shared" si="123"/>
        <v>1</v>
      </c>
      <c r="P345" s="1047">
        <f t="shared" si="124"/>
        <v>0</v>
      </c>
      <c r="Q345" s="306">
        <f t="shared" si="127"/>
        <v>0</v>
      </c>
      <c r="R345" s="307">
        <f t="shared" si="125"/>
        <v>0</v>
      </c>
      <c r="S345" s="314" t="str">
        <f t="shared" si="128"/>
        <v>ok</v>
      </c>
      <c r="T345" s="306"/>
      <c r="U345" s="314"/>
      <c r="V345" s="314"/>
      <c r="W345" s="314"/>
      <c r="X345" s="306"/>
    </row>
    <row r="346" spans="1:24" s="8" customFormat="1" ht="16.5" customHeight="1">
      <c r="A346" s="1101" t="s">
        <v>1483</v>
      </c>
      <c r="B346" s="1101" t="s">
        <v>1993</v>
      </c>
      <c r="C346" s="1104" t="s">
        <v>1145</v>
      </c>
      <c r="D346" s="1105">
        <v>68</v>
      </c>
      <c r="E346" s="1106">
        <v>39.369999999999997</v>
      </c>
      <c r="F346" s="841">
        <f t="shared" si="126"/>
        <v>2677.16</v>
      </c>
      <c r="G346" s="1049">
        <v>68</v>
      </c>
      <c r="H346" s="306">
        <v>2677.16</v>
      </c>
      <c r="I346" s="307">
        <v>1</v>
      </c>
      <c r="J346" s="1046"/>
      <c r="K346" s="306">
        <f t="shared" si="119"/>
        <v>0</v>
      </c>
      <c r="L346" s="307">
        <f t="shared" si="120"/>
        <v>0</v>
      </c>
      <c r="M346" s="1047">
        <f t="shared" si="121"/>
        <v>68</v>
      </c>
      <c r="N346" s="306">
        <f t="shared" si="122"/>
        <v>2677.16</v>
      </c>
      <c r="O346" s="307">
        <f t="shared" si="123"/>
        <v>1</v>
      </c>
      <c r="P346" s="1047">
        <f t="shared" si="124"/>
        <v>0</v>
      </c>
      <c r="Q346" s="306">
        <f t="shared" si="127"/>
        <v>0</v>
      </c>
      <c r="R346" s="307">
        <f t="shared" si="125"/>
        <v>0</v>
      </c>
      <c r="S346" s="314" t="str">
        <f t="shared" si="128"/>
        <v>ok</v>
      </c>
      <c r="T346" s="306"/>
      <c r="U346" s="314"/>
      <c r="V346" s="314"/>
      <c r="W346" s="314"/>
      <c r="X346" s="306"/>
    </row>
    <row r="347" spans="1:24" s="8" customFormat="1" ht="16.5" customHeight="1">
      <c r="A347" s="1101" t="s">
        <v>1484</v>
      </c>
      <c r="B347" s="1103" t="s">
        <v>1994</v>
      </c>
      <c r="C347" s="1103"/>
      <c r="D347" s="1105"/>
      <c r="E347" s="1107"/>
      <c r="F347" s="841"/>
      <c r="G347" s="1049"/>
      <c r="H347" s="306"/>
      <c r="I347" s="307"/>
      <c r="J347" s="1046"/>
      <c r="K347" s="306"/>
      <c r="L347" s="307"/>
      <c r="M347" s="1047"/>
      <c r="N347" s="306"/>
      <c r="O347" s="307"/>
      <c r="P347" s="1047"/>
      <c r="Q347" s="306">
        <f t="shared" si="127"/>
        <v>0</v>
      </c>
      <c r="R347" s="307"/>
      <c r="S347" s="314" t="str">
        <f t="shared" si="128"/>
        <v>ok</v>
      </c>
      <c r="T347" s="306"/>
      <c r="U347" s="314"/>
      <c r="V347" s="314"/>
      <c r="W347" s="314"/>
      <c r="X347" s="306"/>
    </row>
    <row r="348" spans="1:24" s="8" customFormat="1" ht="16.5" customHeight="1">
      <c r="A348" s="1101" t="s">
        <v>1485</v>
      </c>
      <c r="B348" s="1101" t="s">
        <v>1995</v>
      </c>
      <c r="C348" s="1104" t="s">
        <v>1145</v>
      </c>
      <c r="D348" s="1105">
        <v>1</v>
      </c>
      <c r="E348" s="1106">
        <v>61.56</v>
      </c>
      <c r="F348" s="841">
        <f t="shared" si="126"/>
        <v>61.56</v>
      </c>
      <c r="G348" s="1049">
        <v>1</v>
      </c>
      <c r="H348" s="306">
        <v>61.56</v>
      </c>
      <c r="I348" s="307">
        <v>1</v>
      </c>
      <c r="J348" s="1046"/>
      <c r="K348" s="306">
        <f t="shared" si="119"/>
        <v>0</v>
      </c>
      <c r="L348" s="307">
        <f t="shared" si="120"/>
        <v>0</v>
      </c>
      <c r="M348" s="1047">
        <f t="shared" si="121"/>
        <v>1</v>
      </c>
      <c r="N348" s="306">
        <f t="shared" si="122"/>
        <v>61.56</v>
      </c>
      <c r="O348" s="307">
        <f t="shared" si="123"/>
        <v>1</v>
      </c>
      <c r="P348" s="1047">
        <f t="shared" si="124"/>
        <v>0</v>
      </c>
      <c r="Q348" s="306">
        <f t="shared" si="127"/>
        <v>0</v>
      </c>
      <c r="R348" s="307">
        <f t="shared" si="125"/>
        <v>0</v>
      </c>
      <c r="S348" s="314" t="str">
        <f t="shared" si="128"/>
        <v>ok</v>
      </c>
      <c r="T348" s="306"/>
      <c r="U348" s="314"/>
      <c r="V348" s="314"/>
      <c r="W348" s="314"/>
      <c r="X348" s="306"/>
    </row>
    <row r="349" spans="1:24" s="8" customFormat="1" ht="16.5" customHeight="1">
      <c r="A349" s="1101" t="s">
        <v>1486</v>
      </c>
      <c r="B349" s="1103" t="s">
        <v>1996</v>
      </c>
      <c r="C349" s="1103"/>
      <c r="D349" s="1105"/>
      <c r="E349" s="1107"/>
      <c r="F349" s="841"/>
      <c r="G349" s="1049"/>
      <c r="H349" s="306"/>
      <c r="I349" s="307"/>
      <c r="J349" s="1046"/>
      <c r="K349" s="306"/>
      <c r="L349" s="307"/>
      <c r="M349" s="1047"/>
      <c r="N349" s="306"/>
      <c r="O349" s="307"/>
      <c r="P349" s="1047"/>
      <c r="Q349" s="306">
        <f t="shared" si="127"/>
        <v>0</v>
      </c>
      <c r="R349" s="307"/>
      <c r="S349" s="314" t="str">
        <f t="shared" si="128"/>
        <v>ok</v>
      </c>
      <c r="T349" s="306"/>
      <c r="U349" s="314"/>
      <c r="V349" s="314"/>
      <c r="W349" s="314"/>
      <c r="X349" s="306"/>
    </row>
    <row r="350" spans="1:24" s="8" customFormat="1" ht="16.5" customHeight="1">
      <c r="A350" s="1101" t="s">
        <v>1487</v>
      </c>
      <c r="B350" s="1101" t="s">
        <v>1997</v>
      </c>
      <c r="C350" s="1104" t="s">
        <v>52</v>
      </c>
      <c r="D350" s="1105">
        <v>1</v>
      </c>
      <c r="E350" s="1106">
        <v>7876.5</v>
      </c>
      <c r="F350" s="841">
        <f t="shared" si="126"/>
        <v>7876.5</v>
      </c>
      <c r="G350" s="1049">
        <v>0</v>
      </c>
      <c r="H350" s="306">
        <v>0</v>
      </c>
      <c r="I350" s="307">
        <v>0</v>
      </c>
      <c r="J350" s="1046"/>
      <c r="K350" s="306">
        <f t="shared" si="119"/>
        <v>0</v>
      </c>
      <c r="L350" s="307">
        <f t="shared" si="120"/>
        <v>0</v>
      </c>
      <c r="M350" s="1047">
        <f t="shared" si="121"/>
        <v>0</v>
      </c>
      <c r="N350" s="306">
        <f t="shared" si="122"/>
        <v>0</v>
      </c>
      <c r="O350" s="307">
        <f t="shared" si="123"/>
        <v>0</v>
      </c>
      <c r="P350" s="1047">
        <f t="shared" si="124"/>
        <v>1</v>
      </c>
      <c r="Q350" s="306">
        <f t="shared" si="127"/>
        <v>7876.5</v>
      </c>
      <c r="R350" s="307">
        <f t="shared" si="125"/>
        <v>1</v>
      </c>
      <c r="S350" s="314" t="str">
        <f t="shared" si="128"/>
        <v>ok</v>
      </c>
      <c r="T350" s="306"/>
      <c r="U350" s="314"/>
      <c r="V350" s="314"/>
      <c r="W350" s="314"/>
      <c r="X350" s="306"/>
    </row>
    <row r="351" spans="1:24" s="8" customFormat="1" ht="16.5" customHeight="1">
      <c r="A351" s="1101" t="s">
        <v>1488</v>
      </c>
      <c r="B351" s="1101" t="s">
        <v>1998</v>
      </c>
      <c r="C351" s="1104" t="s">
        <v>52</v>
      </c>
      <c r="D351" s="1105">
        <v>1</v>
      </c>
      <c r="E351" s="1106">
        <v>1416</v>
      </c>
      <c r="F351" s="841">
        <f t="shared" si="126"/>
        <v>1416</v>
      </c>
      <c r="G351" s="1049">
        <v>0</v>
      </c>
      <c r="H351" s="306">
        <v>0</v>
      </c>
      <c r="I351" s="307">
        <v>0</v>
      </c>
      <c r="J351" s="1046"/>
      <c r="K351" s="306">
        <f t="shared" si="119"/>
        <v>0</v>
      </c>
      <c r="L351" s="307">
        <f t="shared" si="120"/>
        <v>0</v>
      </c>
      <c r="M351" s="1047">
        <f t="shared" si="121"/>
        <v>0</v>
      </c>
      <c r="N351" s="306">
        <f t="shared" si="122"/>
        <v>0</v>
      </c>
      <c r="O351" s="307">
        <f t="shared" si="123"/>
        <v>0</v>
      </c>
      <c r="P351" s="1047">
        <f t="shared" si="124"/>
        <v>1</v>
      </c>
      <c r="Q351" s="306">
        <f t="shared" si="127"/>
        <v>1416</v>
      </c>
      <c r="R351" s="307">
        <f t="shared" si="125"/>
        <v>1</v>
      </c>
      <c r="S351" s="314" t="str">
        <f t="shared" si="128"/>
        <v>ok</v>
      </c>
      <c r="T351" s="306"/>
      <c r="U351" s="314"/>
      <c r="V351" s="314"/>
      <c r="W351" s="314"/>
      <c r="X351" s="306"/>
    </row>
    <row r="352" spans="1:24" s="8" customFormat="1" ht="16.5" customHeight="1">
      <c r="A352" s="1101" t="s">
        <v>1489</v>
      </c>
      <c r="B352" s="1101" t="s">
        <v>1999</v>
      </c>
      <c r="C352" s="1104" t="s">
        <v>52</v>
      </c>
      <c r="D352" s="1105">
        <v>7</v>
      </c>
      <c r="E352" s="1106">
        <v>4289.3</v>
      </c>
      <c r="F352" s="841">
        <f t="shared" si="126"/>
        <v>30025.100000000002</v>
      </c>
      <c r="G352" s="1049">
        <v>0</v>
      </c>
      <c r="H352" s="306">
        <v>0</v>
      </c>
      <c r="I352" s="307">
        <v>0</v>
      </c>
      <c r="J352" s="1046"/>
      <c r="K352" s="306">
        <f t="shared" si="119"/>
        <v>0</v>
      </c>
      <c r="L352" s="307">
        <f t="shared" si="120"/>
        <v>0</v>
      </c>
      <c r="M352" s="1047">
        <f t="shared" si="121"/>
        <v>0</v>
      </c>
      <c r="N352" s="306">
        <f t="shared" si="122"/>
        <v>0</v>
      </c>
      <c r="O352" s="307">
        <f t="shared" si="123"/>
        <v>0</v>
      </c>
      <c r="P352" s="1047">
        <f t="shared" si="124"/>
        <v>7</v>
      </c>
      <c r="Q352" s="306">
        <f t="shared" si="127"/>
        <v>30025.100000000002</v>
      </c>
      <c r="R352" s="307">
        <f t="shared" si="125"/>
        <v>1</v>
      </c>
      <c r="S352" s="314" t="str">
        <f t="shared" si="128"/>
        <v>ok</v>
      </c>
      <c r="T352" s="306"/>
      <c r="U352" s="314"/>
      <c r="V352" s="314"/>
      <c r="W352" s="314"/>
      <c r="X352" s="306"/>
    </row>
    <row r="353" spans="1:24" s="8" customFormat="1" ht="16.5" customHeight="1">
      <c r="A353" s="1101" t="s">
        <v>1490</v>
      </c>
      <c r="B353" s="1101" t="s">
        <v>2000</v>
      </c>
      <c r="C353" s="1104" t="s">
        <v>52</v>
      </c>
      <c r="D353" s="1105">
        <v>78</v>
      </c>
      <c r="E353" s="1106">
        <v>885</v>
      </c>
      <c r="F353" s="841">
        <f t="shared" si="126"/>
        <v>69030</v>
      </c>
      <c r="G353" s="1049">
        <v>0</v>
      </c>
      <c r="H353" s="306">
        <v>0</v>
      </c>
      <c r="I353" s="307">
        <v>0</v>
      </c>
      <c r="J353" s="1046"/>
      <c r="K353" s="306">
        <f t="shared" si="119"/>
        <v>0</v>
      </c>
      <c r="L353" s="307">
        <f t="shared" si="120"/>
        <v>0</v>
      </c>
      <c r="M353" s="1047">
        <f t="shared" si="121"/>
        <v>0</v>
      </c>
      <c r="N353" s="306">
        <f t="shared" si="122"/>
        <v>0</v>
      </c>
      <c r="O353" s="307">
        <f t="shared" si="123"/>
        <v>0</v>
      </c>
      <c r="P353" s="1047">
        <f t="shared" si="124"/>
        <v>78</v>
      </c>
      <c r="Q353" s="306">
        <f t="shared" si="127"/>
        <v>69030</v>
      </c>
      <c r="R353" s="307">
        <f t="shared" si="125"/>
        <v>1</v>
      </c>
      <c r="S353" s="314" t="str">
        <f t="shared" si="128"/>
        <v>ok</v>
      </c>
      <c r="T353" s="306"/>
      <c r="U353" s="314"/>
      <c r="V353" s="314"/>
      <c r="W353" s="314"/>
      <c r="X353" s="306"/>
    </row>
    <row r="354" spans="1:24" s="8" customFormat="1" ht="16.5" customHeight="1">
      <c r="A354" s="1101" t="s">
        <v>1491</v>
      </c>
      <c r="B354" s="1103" t="s">
        <v>2001</v>
      </c>
      <c r="C354" s="1103"/>
      <c r="D354" s="1105"/>
      <c r="E354" s="1107"/>
      <c r="F354" s="841"/>
      <c r="G354" s="1049"/>
      <c r="H354" s="306"/>
      <c r="I354" s="307"/>
      <c r="J354" s="1046"/>
      <c r="K354" s="306"/>
      <c r="L354" s="307"/>
      <c r="M354" s="1047"/>
      <c r="N354" s="306"/>
      <c r="O354" s="307"/>
      <c r="P354" s="1047"/>
      <c r="Q354" s="306">
        <f t="shared" si="127"/>
        <v>0</v>
      </c>
      <c r="R354" s="307"/>
      <c r="S354" s="314" t="str">
        <f t="shared" si="128"/>
        <v>ok</v>
      </c>
      <c r="T354" s="306"/>
      <c r="U354" s="314"/>
      <c r="V354" s="314"/>
      <c r="W354" s="314"/>
      <c r="X354" s="306"/>
    </row>
    <row r="355" spans="1:24" s="8" customFormat="1" ht="16.5" customHeight="1">
      <c r="A355" s="1101" t="s">
        <v>1492</v>
      </c>
      <c r="B355" s="1101" t="s">
        <v>2002</v>
      </c>
      <c r="C355" s="1104" t="s">
        <v>52</v>
      </c>
      <c r="D355" s="1105">
        <v>1</v>
      </c>
      <c r="E355" s="1106">
        <v>3250</v>
      </c>
      <c r="F355" s="841">
        <f t="shared" si="126"/>
        <v>3250</v>
      </c>
      <c r="G355" s="1049">
        <v>0</v>
      </c>
      <c r="H355" s="306">
        <v>0</v>
      </c>
      <c r="I355" s="307">
        <v>0</v>
      </c>
      <c r="J355" s="1046"/>
      <c r="K355" s="306">
        <f t="shared" si="119"/>
        <v>0</v>
      </c>
      <c r="L355" s="307">
        <f t="shared" si="120"/>
        <v>0</v>
      </c>
      <c r="M355" s="1047">
        <f t="shared" si="121"/>
        <v>0</v>
      </c>
      <c r="N355" s="306">
        <f t="shared" si="122"/>
        <v>0</v>
      </c>
      <c r="O355" s="307">
        <f t="shared" si="123"/>
        <v>0</v>
      </c>
      <c r="P355" s="1047">
        <f t="shared" si="124"/>
        <v>1</v>
      </c>
      <c r="Q355" s="306">
        <f t="shared" si="127"/>
        <v>3250</v>
      </c>
      <c r="R355" s="307">
        <f t="shared" si="125"/>
        <v>1</v>
      </c>
      <c r="S355" s="314" t="str">
        <f t="shared" si="128"/>
        <v>ok</v>
      </c>
      <c r="T355" s="306"/>
      <c r="U355" s="314"/>
      <c r="V355" s="314"/>
      <c r="W355" s="314"/>
      <c r="X355" s="306"/>
    </row>
    <row r="356" spans="1:24" s="8" customFormat="1" ht="16.5" customHeight="1">
      <c r="A356" s="1101" t="s">
        <v>1493</v>
      </c>
      <c r="B356" s="1101" t="s">
        <v>2003</v>
      </c>
      <c r="C356" s="1104" t="s">
        <v>52</v>
      </c>
      <c r="D356" s="1105">
        <v>1</v>
      </c>
      <c r="E356" s="1106">
        <v>1950.5</v>
      </c>
      <c r="F356" s="841">
        <f t="shared" si="126"/>
        <v>1950.5</v>
      </c>
      <c r="G356" s="1049">
        <v>0</v>
      </c>
      <c r="H356" s="306">
        <v>0</v>
      </c>
      <c r="I356" s="307">
        <v>0</v>
      </c>
      <c r="J356" s="1046"/>
      <c r="K356" s="306">
        <f t="shared" si="119"/>
        <v>0</v>
      </c>
      <c r="L356" s="307">
        <f t="shared" si="120"/>
        <v>0</v>
      </c>
      <c r="M356" s="1047">
        <f t="shared" si="121"/>
        <v>0</v>
      </c>
      <c r="N356" s="306">
        <f t="shared" si="122"/>
        <v>0</v>
      </c>
      <c r="O356" s="307">
        <f t="shared" si="123"/>
        <v>0</v>
      </c>
      <c r="P356" s="1047">
        <f t="shared" si="124"/>
        <v>1</v>
      </c>
      <c r="Q356" s="306">
        <f t="shared" si="127"/>
        <v>1950.5</v>
      </c>
      <c r="R356" s="307">
        <f t="shared" si="125"/>
        <v>1</v>
      </c>
      <c r="S356" s="314" t="str">
        <f t="shared" si="128"/>
        <v>ok</v>
      </c>
      <c r="T356" s="306"/>
      <c r="U356" s="314"/>
      <c r="V356" s="314"/>
      <c r="W356" s="314"/>
      <c r="X356" s="306"/>
    </row>
    <row r="357" spans="1:24" s="8" customFormat="1" ht="16.5" customHeight="1">
      <c r="A357" s="1101" t="s">
        <v>1494</v>
      </c>
      <c r="B357" s="1101" t="s">
        <v>2004</v>
      </c>
      <c r="C357" s="1104" t="s">
        <v>52</v>
      </c>
      <c r="D357" s="1105">
        <v>2</v>
      </c>
      <c r="E357" s="1106">
        <v>7250</v>
      </c>
      <c r="F357" s="841">
        <f t="shared" si="126"/>
        <v>14500</v>
      </c>
      <c r="G357" s="1049">
        <v>0</v>
      </c>
      <c r="H357" s="306">
        <v>0</v>
      </c>
      <c r="I357" s="307">
        <v>0</v>
      </c>
      <c r="J357" s="1046"/>
      <c r="K357" s="306">
        <f t="shared" si="119"/>
        <v>0</v>
      </c>
      <c r="L357" s="307">
        <f t="shared" si="120"/>
        <v>0</v>
      </c>
      <c r="M357" s="1047">
        <f t="shared" si="121"/>
        <v>0</v>
      </c>
      <c r="N357" s="306">
        <f t="shared" si="122"/>
        <v>0</v>
      </c>
      <c r="O357" s="307">
        <f t="shared" si="123"/>
        <v>0</v>
      </c>
      <c r="P357" s="1047">
        <f t="shared" si="124"/>
        <v>2</v>
      </c>
      <c r="Q357" s="306">
        <f t="shared" si="127"/>
        <v>14500</v>
      </c>
      <c r="R357" s="307">
        <f t="shared" si="125"/>
        <v>1</v>
      </c>
      <c r="S357" s="314" t="str">
        <f t="shared" si="128"/>
        <v>ok</v>
      </c>
      <c r="T357" s="306"/>
      <c r="U357" s="314"/>
      <c r="V357" s="314"/>
      <c r="W357" s="314"/>
      <c r="X357" s="306"/>
    </row>
    <row r="358" spans="1:24" s="8" customFormat="1" ht="16.5" customHeight="1">
      <c r="A358" s="1101" t="s">
        <v>1495</v>
      </c>
      <c r="B358" s="1101" t="s">
        <v>2005</v>
      </c>
      <c r="C358" s="1104" t="s">
        <v>52</v>
      </c>
      <c r="D358" s="1105">
        <v>1</v>
      </c>
      <c r="E358" s="1106">
        <v>2150</v>
      </c>
      <c r="F358" s="841">
        <f t="shared" si="126"/>
        <v>2150</v>
      </c>
      <c r="G358" s="1049">
        <v>0</v>
      </c>
      <c r="H358" s="306">
        <v>0</v>
      </c>
      <c r="I358" s="307">
        <v>0</v>
      </c>
      <c r="J358" s="1046"/>
      <c r="K358" s="306">
        <f t="shared" si="119"/>
        <v>0</v>
      </c>
      <c r="L358" s="307">
        <f t="shared" si="120"/>
        <v>0</v>
      </c>
      <c r="M358" s="1047">
        <f t="shared" si="121"/>
        <v>0</v>
      </c>
      <c r="N358" s="306">
        <f t="shared" si="122"/>
        <v>0</v>
      </c>
      <c r="O358" s="307">
        <f t="shared" si="123"/>
        <v>0</v>
      </c>
      <c r="P358" s="1047">
        <f t="shared" si="124"/>
        <v>1</v>
      </c>
      <c r="Q358" s="306">
        <f t="shared" si="127"/>
        <v>2150</v>
      </c>
      <c r="R358" s="307">
        <f t="shared" si="125"/>
        <v>1</v>
      </c>
      <c r="S358" s="314" t="str">
        <f t="shared" si="128"/>
        <v>ok</v>
      </c>
      <c r="T358" s="306"/>
      <c r="U358" s="314"/>
      <c r="V358" s="314"/>
      <c r="W358" s="314"/>
      <c r="X358" s="306"/>
    </row>
    <row r="359" spans="1:24" s="8" customFormat="1" ht="16.5" customHeight="1">
      <c r="A359" s="1101" t="s">
        <v>1496</v>
      </c>
      <c r="B359" s="1101" t="s">
        <v>2006</v>
      </c>
      <c r="C359" s="1104" t="s">
        <v>52</v>
      </c>
      <c r="D359" s="1105">
        <v>4</v>
      </c>
      <c r="E359" s="1106">
        <v>280</v>
      </c>
      <c r="F359" s="841">
        <f t="shared" si="126"/>
        <v>1120</v>
      </c>
      <c r="G359" s="1049">
        <v>0</v>
      </c>
      <c r="H359" s="306">
        <v>0</v>
      </c>
      <c r="I359" s="307">
        <v>0</v>
      </c>
      <c r="J359" s="1046"/>
      <c r="K359" s="306">
        <f t="shared" si="119"/>
        <v>0</v>
      </c>
      <c r="L359" s="307">
        <f t="shared" si="120"/>
        <v>0</v>
      </c>
      <c r="M359" s="1047">
        <f t="shared" si="121"/>
        <v>0</v>
      </c>
      <c r="N359" s="306">
        <f t="shared" si="122"/>
        <v>0</v>
      </c>
      <c r="O359" s="307">
        <f t="shared" si="123"/>
        <v>0</v>
      </c>
      <c r="P359" s="1047">
        <f t="shared" si="124"/>
        <v>4</v>
      </c>
      <c r="Q359" s="306">
        <f t="shared" si="127"/>
        <v>1120</v>
      </c>
      <c r="R359" s="307">
        <f t="shared" si="125"/>
        <v>1</v>
      </c>
      <c r="S359" s="314" t="str">
        <f t="shared" si="128"/>
        <v>ok</v>
      </c>
      <c r="T359" s="306"/>
      <c r="U359" s="314"/>
      <c r="V359" s="314"/>
      <c r="W359" s="314"/>
      <c r="X359" s="306"/>
    </row>
    <row r="360" spans="1:24" s="8" customFormat="1" ht="16.5" customHeight="1">
      <c r="A360" s="1101" t="s">
        <v>1497</v>
      </c>
      <c r="B360" s="1101" t="s">
        <v>2007</v>
      </c>
      <c r="C360" s="1104" t="s">
        <v>52</v>
      </c>
      <c r="D360" s="1105">
        <v>1</v>
      </c>
      <c r="E360" s="1106">
        <v>658</v>
      </c>
      <c r="F360" s="841">
        <f t="shared" si="126"/>
        <v>658</v>
      </c>
      <c r="G360" s="1049">
        <v>0</v>
      </c>
      <c r="H360" s="306">
        <v>0</v>
      </c>
      <c r="I360" s="307">
        <v>0</v>
      </c>
      <c r="J360" s="1046"/>
      <c r="K360" s="306">
        <f t="shared" si="119"/>
        <v>0</v>
      </c>
      <c r="L360" s="307">
        <f t="shared" si="120"/>
        <v>0</v>
      </c>
      <c r="M360" s="1047">
        <f t="shared" si="121"/>
        <v>0</v>
      </c>
      <c r="N360" s="306">
        <f t="shared" si="122"/>
        <v>0</v>
      </c>
      <c r="O360" s="307">
        <f t="shared" si="123"/>
        <v>0</v>
      </c>
      <c r="P360" s="1047">
        <f t="shared" si="124"/>
        <v>1</v>
      </c>
      <c r="Q360" s="306">
        <f t="shared" si="127"/>
        <v>658</v>
      </c>
      <c r="R360" s="307">
        <f t="shared" si="125"/>
        <v>1</v>
      </c>
      <c r="S360" s="314" t="str">
        <f t="shared" si="128"/>
        <v>ok</v>
      </c>
      <c r="T360" s="306"/>
      <c r="U360" s="314"/>
      <c r="V360" s="314"/>
      <c r="W360" s="314"/>
      <c r="X360" s="306"/>
    </row>
    <row r="361" spans="1:24" s="8" customFormat="1" ht="16.149999999999999" customHeight="1">
      <c r="A361" s="1101" t="s">
        <v>1498</v>
      </c>
      <c r="B361" s="1101" t="s">
        <v>2008</v>
      </c>
      <c r="C361" s="1104" t="s">
        <v>52</v>
      </c>
      <c r="D361" s="1105">
        <v>2</v>
      </c>
      <c r="E361" s="1106">
        <v>220</v>
      </c>
      <c r="F361" s="841">
        <f t="shared" si="126"/>
        <v>440</v>
      </c>
      <c r="G361" s="1049">
        <v>0</v>
      </c>
      <c r="H361" s="306">
        <v>0</v>
      </c>
      <c r="I361" s="307">
        <v>0</v>
      </c>
      <c r="J361" s="1046"/>
      <c r="K361" s="306">
        <f t="shared" si="119"/>
        <v>0</v>
      </c>
      <c r="L361" s="307">
        <f t="shared" si="120"/>
        <v>0</v>
      </c>
      <c r="M361" s="1047">
        <f t="shared" si="121"/>
        <v>0</v>
      </c>
      <c r="N361" s="306">
        <f t="shared" si="122"/>
        <v>0</v>
      </c>
      <c r="O361" s="307">
        <f t="shared" si="123"/>
        <v>0</v>
      </c>
      <c r="P361" s="1047">
        <f t="shared" si="124"/>
        <v>2</v>
      </c>
      <c r="Q361" s="306">
        <f t="shared" si="127"/>
        <v>440</v>
      </c>
      <c r="R361" s="307">
        <f t="shared" si="125"/>
        <v>1</v>
      </c>
      <c r="S361" s="314" t="str">
        <f t="shared" si="128"/>
        <v>ok</v>
      </c>
      <c r="T361" s="306"/>
      <c r="U361" s="314"/>
      <c r="V361" s="314"/>
      <c r="W361" s="314"/>
      <c r="X361" s="306"/>
    </row>
    <row r="362" spans="1:24" s="8" customFormat="1" ht="16.5" customHeight="1">
      <c r="A362" s="1101" t="s">
        <v>1499</v>
      </c>
      <c r="B362" s="1101" t="s">
        <v>2009</v>
      </c>
      <c r="C362" s="1104" t="s">
        <v>52</v>
      </c>
      <c r="D362" s="1105">
        <v>1</v>
      </c>
      <c r="E362" s="1106">
        <v>2461.11</v>
      </c>
      <c r="F362" s="841">
        <f t="shared" si="126"/>
        <v>2461.11</v>
      </c>
      <c r="G362" s="1049">
        <v>0</v>
      </c>
      <c r="H362" s="306">
        <v>0</v>
      </c>
      <c r="I362" s="307">
        <v>0</v>
      </c>
      <c r="J362" s="1046"/>
      <c r="K362" s="306">
        <f t="shared" si="119"/>
        <v>0</v>
      </c>
      <c r="L362" s="307">
        <f t="shared" si="120"/>
        <v>0</v>
      </c>
      <c r="M362" s="1047">
        <f t="shared" si="121"/>
        <v>0</v>
      </c>
      <c r="N362" s="306">
        <f t="shared" si="122"/>
        <v>0</v>
      </c>
      <c r="O362" s="307">
        <f t="shared" si="123"/>
        <v>0</v>
      </c>
      <c r="P362" s="1047">
        <f t="shared" si="124"/>
        <v>1</v>
      </c>
      <c r="Q362" s="306">
        <f t="shared" si="127"/>
        <v>2461.11</v>
      </c>
      <c r="R362" s="307">
        <f t="shared" si="125"/>
        <v>1</v>
      </c>
      <c r="S362" s="314" t="str">
        <f t="shared" si="128"/>
        <v>ok</v>
      </c>
      <c r="T362" s="306"/>
      <c r="U362" s="314"/>
      <c r="V362" s="314"/>
      <c r="W362" s="314"/>
      <c r="X362" s="306"/>
    </row>
    <row r="363" spans="1:24" s="8" customFormat="1" ht="16.5" customHeight="1">
      <c r="A363" s="1101" t="s">
        <v>1500</v>
      </c>
      <c r="B363" s="1101" t="s">
        <v>2010</v>
      </c>
      <c r="C363" s="1104" t="s">
        <v>52</v>
      </c>
      <c r="D363" s="1105">
        <v>10</v>
      </c>
      <c r="E363" s="1106">
        <v>102.3</v>
      </c>
      <c r="F363" s="841">
        <f t="shared" si="126"/>
        <v>1023</v>
      </c>
      <c r="G363" s="1049">
        <v>0</v>
      </c>
      <c r="H363" s="306">
        <v>0</v>
      </c>
      <c r="I363" s="307">
        <v>0</v>
      </c>
      <c r="J363" s="1046"/>
      <c r="K363" s="306">
        <f t="shared" si="119"/>
        <v>0</v>
      </c>
      <c r="L363" s="307">
        <f t="shared" si="120"/>
        <v>0</v>
      </c>
      <c r="M363" s="1047">
        <f t="shared" si="121"/>
        <v>0</v>
      </c>
      <c r="N363" s="306">
        <f t="shared" si="122"/>
        <v>0</v>
      </c>
      <c r="O363" s="307">
        <f t="shared" si="123"/>
        <v>0</v>
      </c>
      <c r="P363" s="1047">
        <f t="shared" si="124"/>
        <v>10</v>
      </c>
      <c r="Q363" s="306">
        <f t="shared" si="127"/>
        <v>1023</v>
      </c>
      <c r="R363" s="307">
        <f t="shared" si="125"/>
        <v>1</v>
      </c>
      <c r="S363" s="314" t="str">
        <f t="shared" si="128"/>
        <v>ok</v>
      </c>
      <c r="T363" s="306"/>
      <c r="U363" s="314"/>
      <c r="V363" s="314"/>
      <c r="W363" s="314"/>
      <c r="X363" s="306"/>
    </row>
    <row r="364" spans="1:24" s="8" customFormat="1" ht="16.5" customHeight="1">
      <c r="A364" s="1101" t="s">
        <v>1501</v>
      </c>
      <c r="B364" s="1103" t="s">
        <v>2011</v>
      </c>
      <c r="C364" s="1103"/>
      <c r="D364" s="1105"/>
      <c r="E364" s="1107"/>
      <c r="F364" s="841"/>
      <c r="G364" s="1049"/>
      <c r="H364" s="306"/>
      <c r="I364" s="307"/>
      <c r="J364" s="1046"/>
      <c r="K364" s="306"/>
      <c r="L364" s="307"/>
      <c r="M364" s="1047"/>
      <c r="N364" s="306"/>
      <c r="O364" s="307"/>
      <c r="P364" s="1047"/>
      <c r="Q364" s="306">
        <f t="shared" si="127"/>
        <v>0</v>
      </c>
      <c r="R364" s="307"/>
      <c r="S364" s="314" t="str">
        <f t="shared" si="128"/>
        <v>ok</v>
      </c>
      <c r="T364" s="306"/>
      <c r="U364" s="314"/>
      <c r="V364" s="314"/>
      <c r="W364" s="314"/>
      <c r="X364" s="306"/>
    </row>
    <row r="365" spans="1:24" s="8" customFormat="1" ht="16.5" customHeight="1">
      <c r="A365" s="1101" t="s">
        <v>1502</v>
      </c>
      <c r="B365" s="1101" t="s">
        <v>2012</v>
      </c>
      <c r="C365" s="1104" t="s">
        <v>268</v>
      </c>
      <c r="D365" s="1105">
        <v>110</v>
      </c>
      <c r="E365" s="1106">
        <v>127.12</v>
      </c>
      <c r="F365" s="841">
        <f t="shared" si="126"/>
        <v>13983.2</v>
      </c>
      <c r="G365" s="1049">
        <v>0</v>
      </c>
      <c r="H365" s="306">
        <v>0</v>
      </c>
      <c r="I365" s="307">
        <v>0</v>
      </c>
      <c r="J365" s="1046"/>
      <c r="K365" s="306">
        <f t="shared" si="119"/>
        <v>0</v>
      </c>
      <c r="L365" s="307">
        <f t="shared" si="120"/>
        <v>0</v>
      </c>
      <c r="M365" s="1047">
        <f t="shared" si="121"/>
        <v>0</v>
      </c>
      <c r="N365" s="306">
        <f t="shared" si="122"/>
        <v>0</v>
      </c>
      <c r="O365" s="307">
        <f t="shared" si="123"/>
        <v>0</v>
      </c>
      <c r="P365" s="1047">
        <f t="shared" si="124"/>
        <v>110</v>
      </c>
      <c r="Q365" s="306">
        <f t="shared" si="127"/>
        <v>13983.2</v>
      </c>
      <c r="R365" s="307">
        <f t="shared" si="125"/>
        <v>1</v>
      </c>
      <c r="S365" s="314" t="str">
        <f t="shared" si="128"/>
        <v>ok</v>
      </c>
      <c r="T365" s="306"/>
      <c r="U365" s="314"/>
      <c r="V365" s="314"/>
      <c r="W365" s="314"/>
      <c r="X365" s="306"/>
    </row>
    <row r="366" spans="1:24" s="8" customFormat="1" ht="16.5" customHeight="1">
      <c r="A366" s="1101">
        <v>6.3</v>
      </c>
      <c r="B366" s="1102" t="s">
        <v>2013</v>
      </c>
      <c r="C366" s="1108"/>
      <c r="D366" s="1105"/>
      <c r="E366" s="1109"/>
      <c r="F366" s="841"/>
      <c r="G366" s="1049"/>
      <c r="H366" s="306"/>
      <c r="I366" s="307"/>
      <c r="J366" s="1046"/>
      <c r="K366" s="306"/>
      <c r="L366" s="307"/>
      <c r="M366" s="1047"/>
      <c r="N366" s="306"/>
      <c r="O366" s="307"/>
      <c r="P366" s="1047"/>
      <c r="Q366" s="306">
        <f t="shared" si="127"/>
        <v>0</v>
      </c>
      <c r="R366" s="307"/>
      <c r="S366" s="314" t="str">
        <f t="shared" si="128"/>
        <v>ok</v>
      </c>
      <c r="T366" s="306"/>
      <c r="U366" s="314"/>
      <c r="V366" s="314"/>
      <c r="W366" s="314"/>
      <c r="X366" s="306"/>
    </row>
    <row r="367" spans="1:24" s="8" customFormat="1" ht="16.5" customHeight="1">
      <c r="A367" s="1101" t="s">
        <v>1503</v>
      </c>
      <c r="B367" s="1103" t="s">
        <v>1977</v>
      </c>
      <c r="C367" s="1103"/>
      <c r="D367" s="1105"/>
      <c r="E367" s="1107"/>
      <c r="F367" s="841"/>
      <c r="G367" s="1049"/>
      <c r="H367" s="306"/>
      <c r="I367" s="307"/>
      <c r="J367" s="1046"/>
      <c r="K367" s="306"/>
      <c r="L367" s="307"/>
      <c r="M367" s="1047"/>
      <c r="N367" s="306"/>
      <c r="O367" s="307"/>
      <c r="P367" s="1047"/>
      <c r="Q367" s="306">
        <f t="shared" si="127"/>
        <v>0</v>
      </c>
      <c r="R367" s="307"/>
      <c r="S367" s="314" t="str">
        <f t="shared" si="128"/>
        <v>ok</v>
      </c>
      <c r="T367" s="306"/>
      <c r="U367" s="314"/>
      <c r="V367" s="314"/>
      <c r="W367" s="314"/>
      <c r="X367" s="306"/>
    </row>
    <row r="368" spans="1:24" s="8" customFormat="1" ht="16.5" customHeight="1">
      <c r="A368" s="1101" t="s">
        <v>1504</v>
      </c>
      <c r="B368" s="1101" t="s">
        <v>1978</v>
      </c>
      <c r="C368" s="1104" t="s">
        <v>51</v>
      </c>
      <c r="D368" s="1105">
        <v>35</v>
      </c>
      <c r="E368" s="1106">
        <v>8.33</v>
      </c>
      <c r="F368" s="841">
        <f t="shared" si="126"/>
        <v>291.55</v>
      </c>
      <c r="G368" s="1049">
        <v>0</v>
      </c>
      <c r="H368" s="306">
        <v>0</v>
      </c>
      <c r="I368" s="307">
        <v>0</v>
      </c>
      <c r="J368" s="1046"/>
      <c r="K368" s="306">
        <f t="shared" si="119"/>
        <v>0</v>
      </c>
      <c r="L368" s="307">
        <f t="shared" si="120"/>
        <v>0</v>
      </c>
      <c r="M368" s="1047">
        <f t="shared" si="121"/>
        <v>0</v>
      </c>
      <c r="N368" s="306">
        <f t="shared" si="122"/>
        <v>0</v>
      </c>
      <c r="O368" s="307">
        <f t="shared" si="123"/>
        <v>0</v>
      </c>
      <c r="P368" s="1047">
        <f t="shared" si="124"/>
        <v>35</v>
      </c>
      <c r="Q368" s="306">
        <f t="shared" si="127"/>
        <v>291.55</v>
      </c>
      <c r="R368" s="307">
        <f t="shared" si="125"/>
        <v>1</v>
      </c>
      <c r="S368" s="314" t="str">
        <f t="shared" si="128"/>
        <v>ok</v>
      </c>
      <c r="T368" s="306"/>
      <c r="U368" s="314"/>
      <c r="V368" s="314"/>
      <c r="W368" s="314"/>
      <c r="X368" s="306"/>
    </row>
    <row r="369" spans="1:24" s="8" customFormat="1" ht="16.5" customHeight="1">
      <c r="A369" s="1101" t="s">
        <v>1505</v>
      </c>
      <c r="B369" s="1103" t="s">
        <v>1980</v>
      </c>
      <c r="C369" s="1103"/>
      <c r="D369" s="1105"/>
      <c r="E369" s="1107"/>
      <c r="F369" s="841"/>
      <c r="G369" s="1049"/>
      <c r="H369" s="306"/>
      <c r="I369" s="307"/>
      <c r="J369" s="1046"/>
      <c r="K369" s="306"/>
      <c r="L369" s="307"/>
      <c r="M369" s="1047"/>
      <c r="N369" s="306"/>
      <c r="O369" s="307"/>
      <c r="P369" s="1047"/>
      <c r="Q369" s="306">
        <f t="shared" si="127"/>
        <v>0</v>
      </c>
      <c r="R369" s="307"/>
      <c r="S369" s="314" t="str">
        <f t="shared" si="128"/>
        <v>ok</v>
      </c>
      <c r="T369" s="306"/>
      <c r="U369" s="314"/>
      <c r="V369" s="314"/>
      <c r="W369" s="314"/>
      <c r="X369" s="306"/>
    </row>
    <row r="370" spans="1:24" s="8" customFormat="1" ht="16.5" customHeight="1">
      <c r="A370" s="1101" t="s">
        <v>1506</v>
      </c>
      <c r="B370" s="1101" t="s">
        <v>1981</v>
      </c>
      <c r="C370" s="1104" t="s">
        <v>51</v>
      </c>
      <c r="D370" s="1105">
        <v>10</v>
      </c>
      <c r="E370" s="1106">
        <v>9.43</v>
      </c>
      <c r="F370" s="841">
        <f t="shared" si="126"/>
        <v>94.3</v>
      </c>
      <c r="G370" s="1049">
        <v>0</v>
      </c>
      <c r="H370" s="306">
        <v>0</v>
      </c>
      <c r="I370" s="307">
        <v>0</v>
      </c>
      <c r="J370" s="1046"/>
      <c r="K370" s="306">
        <f t="shared" si="119"/>
        <v>0</v>
      </c>
      <c r="L370" s="307">
        <f t="shared" si="120"/>
        <v>0</v>
      </c>
      <c r="M370" s="1047">
        <f t="shared" si="121"/>
        <v>0</v>
      </c>
      <c r="N370" s="306">
        <f t="shared" si="122"/>
        <v>0</v>
      </c>
      <c r="O370" s="307">
        <f t="shared" si="123"/>
        <v>0</v>
      </c>
      <c r="P370" s="1047">
        <f t="shared" si="124"/>
        <v>10</v>
      </c>
      <c r="Q370" s="306">
        <f t="shared" si="127"/>
        <v>94.3</v>
      </c>
      <c r="R370" s="307">
        <f t="shared" si="125"/>
        <v>1</v>
      </c>
      <c r="S370" s="314" t="str">
        <f t="shared" si="128"/>
        <v>ok</v>
      </c>
      <c r="T370" s="306"/>
      <c r="U370" s="314"/>
      <c r="V370" s="314"/>
      <c r="W370" s="314"/>
      <c r="X370" s="306"/>
    </row>
    <row r="371" spans="1:24" s="8" customFormat="1" ht="16.5" customHeight="1">
      <c r="A371" s="1101" t="s">
        <v>1507</v>
      </c>
      <c r="B371" s="1101" t="s">
        <v>1982</v>
      </c>
      <c r="C371" s="1104" t="s">
        <v>52</v>
      </c>
      <c r="D371" s="1105">
        <v>2</v>
      </c>
      <c r="E371" s="1106">
        <v>8.2899999999999991</v>
      </c>
      <c r="F371" s="841">
        <f t="shared" si="126"/>
        <v>16.579999999999998</v>
      </c>
      <c r="G371" s="1049">
        <v>0</v>
      </c>
      <c r="H371" s="306">
        <v>0</v>
      </c>
      <c r="I371" s="307">
        <v>0</v>
      </c>
      <c r="J371" s="1046"/>
      <c r="K371" s="306">
        <f t="shared" si="119"/>
        <v>0</v>
      </c>
      <c r="L371" s="307">
        <f t="shared" si="120"/>
        <v>0</v>
      </c>
      <c r="M371" s="1047">
        <f t="shared" si="121"/>
        <v>0</v>
      </c>
      <c r="N371" s="306">
        <f t="shared" si="122"/>
        <v>0</v>
      </c>
      <c r="O371" s="307">
        <f t="shared" si="123"/>
        <v>0</v>
      </c>
      <c r="P371" s="1047">
        <f t="shared" si="124"/>
        <v>2</v>
      </c>
      <c r="Q371" s="306">
        <f t="shared" si="127"/>
        <v>16.579999999999998</v>
      </c>
      <c r="R371" s="307">
        <f t="shared" si="125"/>
        <v>1</v>
      </c>
      <c r="S371" s="314" t="str">
        <f t="shared" si="128"/>
        <v>ok</v>
      </c>
      <c r="T371" s="306"/>
      <c r="U371" s="314"/>
      <c r="V371" s="314"/>
      <c r="W371" s="314"/>
      <c r="X371" s="306"/>
    </row>
    <row r="372" spans="1:24" s="8" customFormat="1" ht="16.5" customHeight="1">
      <c r="A372" s="1101" t="s">
        <v>1508</v>
      </c>
      <c r="B372" s="1101" t="s">
        <v>1983</v>
      </c>
      <c r="C372" s="1104" t="s">
        <v>52</v>
      </c>
      <c r="D372" s="1105">
        <v>8</v>
      </c>
      <c r="E372" s="1106">
        <v>8.9600000000000009</v>
      </c>
      <c r="F372" s="841">
        <f t="shared" si="126"/>
        <v>71.680000000000007</v>
      </c>
      <c r="G372" s="1049">
        <v>0</v>
      </c>
      <c r="H372" s="306">
        <v>0</v>
      </c>
      <c r="I372" s="307">
        <v>0</v>
      </c>
      <c r="J372" s="1046"/>
      <c r="K372" s="306">
        <f t="shared" si="119"/>
        <v>0</v>
      </c>
      <c r="L372" s="307">
        <f t="shared" si="120"/>
        <v>0</v>
      </c>
      <c r="M372" s="1047">
        <f t="shared" si="121"/>
        <v>0</v>
      </c>
      <c r="N372" s="306">
        <f t="shared" si="122"/>
        <v>0</v>
      </c>
      <c r="O372" s="307">
        <f t="shared" si="123"/>
        <v>0</v>
      </c>
      <c r="P372" s="1047">
        <f t="shared" si="124"/>
        <v>8</v>
      </c>
      <c r="Q372" s="306">
        <f t="shared" si="127"/>
        <v>71.680000000000007</v>
      </c>
      <c r="R372" s="307">
        <f t="shared" si="125"/>
        <v>1</v>
      </c>
      <c r="S372" s="314" t="str">
        <f t="shared" si="128"/>
        <v>ok</v>
      </c>
      <c r="T372" s="306"/>
      <c r="U372" s="314"/>
      <c r="V372" s="314"/>
      <c r="W372" s="314"/>
      <c r="X372" s="306"/>
    </row>
    <row r="373" spans="1:24" s="8" customFormat="1" ht="16.5" customHeight="1">
      <c r="A373" s="1101" t="s">
        <v>1509</v>
      </c>
      <c r="B373" s="1101" t="s">
        <v>1984</v>
      </c>
      <c r="C373" s="1104" t="s">
        <v>51</v>
      </c>
      <c r="D373" s="1105">
        <v>2</v>
      </c>
      <c r="E373" s="1106">
        <v>40.46</v>
      </c>
      <c r="F373" s="841">
        <f t="shared" si="126"/>
        <v>80.92</v>
      </c>
      <c r="G373" s="1049">
        <v>2</v>
      </c>
      <c r="H373" s="306">
        <v>80.92</v>
      </c>
      <c r="I373" s="307">
        <v>1</v>
      </c>
      <c r="J373" s="1046"/>
      <c r="K373" s="306">
        <f t="shared" si="119"/>
        <v>0</v>
      </c>
      <c r="L373" s="307">
        <f t="shared" si="120"/>
        <v>0</v>
      </c>
      <c r="M373" s="1047">
        <f t="shared" si="121"/>
        <v>2</v>
      </c>
      <c r="N373" s="306">
        <f t="shared" si="122"/>
        <v>80.92</v>
      </c>
      <c r="O373" s="307">
        <f t="shared" si="123"/>
        <v>1</v>
      </c>
      <c r="P373" s="1047">
        <f t="shared" si="124"/>
        <v>0</v>
      </c>
      <c r="Q373" s="306">
        <f t="shared" si="127"/>
        <v>0</v>
      </c>
      <c r="R373" s="307">
        <f t="shared" si="125"/>
        <v>0</v>
      </c>
      <c r="S373" s="314" t="str">
        <f t="shared" si="128"/>
        <v>ok</v>
      </c>
      <c r="T373" s="306"/>
      <c r="U373" s="314"/>
      <c r="V373" s="314"/>
      <c r="W373" s="314"/>
      <c r="X373" s="306"/>
    </row>
    <row r="374" spans="1:24" s="8" customFormat="1" ht="16.5" customHeight="1">
      <c r="A374" s="1101" t="s">
        <v>1510</v>
      </c>
      <c r="B374" s="1101" t="s">
        <v>1985</v>
      </c>
      <c r="C374" s="1104" t="s">
        <v>52</v>
      </c>
      <c r="D374" s="1105">
        <v>1</v>
      </c>
      <c r="E374" s="1106">
        <v>20.45</v>
      </c>
      <c r="F374" s="841">
        <f t="shared" si="126"/>
        <v>20.45</v>
      </c>
      <c r="G374" s="1049">
        <v>1</v>
      </c>
      <c r="H374" s="306">
        <v>20.45</v>
      </c>
      <c r="I374" s="307">
        <v>1</v>
      </c>
      <c r="J374" s="1046"/>
      <c r="K374" s="306">
        <f t="shared" si="119"/>
        <v>0</v>
      </c>
      <c r="L374" s="307">
        <f t="shared" si="120"/>
        <v>0</v>
      </c>
      <c r="M374" s="1047">
        <f t="shared" si="121"/>
        <v>1</v>
      </c>
      <c r="N374" s="306">
        <f t="shared" si="122"/>
        <v>20.45</v>
      </c>
      <c r="O374" s="307">
        <f t="shared" si="123"/>
        <v>1</v>
      </c>
      <c r="P374" s="1047">
        <f t="shared" si="124"/>
        <v>0</v>
      </c>
      <c r="Q374" s="306">
        <f t="shared" si="127"/>
        <v>0</v>
      </c>
      <c r="R374" s="307">
        <f t="shared" si="125"/>
        <v>0</v>
      </c>
      <c r="S374" s="314" t="str">
        <f t="shared" si="128"/>
        <v>ok</v>
      </c>
      <c r="T374" s="306"/>
      <c r="U374" s="314"/>
      <c r="V374" s="314"/>
      <c r="W374" s="314"/>
      <c r="X374" s="306"/>
    </row>
    <row r="375" spans="1:24" s="8" customFormat="1" ht="16.5" customHeight="1">
      <c r="A375" s="1101" t="s">
        <v>1511</v>
      </c>
      <c r="B375" s="1101" t="s">
        <v>1986</v>
      </c>
      <c r="C375" s="1104" t="s">
        <v>52</v>
      </c>
      <c r="D375" s="1105">
        <v>4</v>
      </c>
      <c r="E375" s="1106">
        <v>20.45</v>
      </c>
      <c r="F375" s="841">
        <f t="shared" si="126"/>
        <v>81.8</v>
      </c>
      <c r="G375" s="1049">
        <v>4</v>
      </c>
      <c r="H375" s="306">
        <v>81.8</v>
      </c>
      <c r="I375" s="307">
        <v>1</v>
      </c>
      <c r="J375" s="1046"/>
      <c r="K375" s="306">
        <f t="shared" si="119"/>
        <v>0</v>
      </c>
      <c r="L375" s="307">
        <f t="shared" si="120"/>
        <v>0</v>
      </c>
      <c r="M375" s="1047">
        <f t="shared" si="121"/>
        <v>4</v>
      </c>
      <c r="N375" s="306">
        <f t="shared" si="122"/>
        <v>81.8</v>
      </c>
      <c r="O375" s="307">
        <f t="shared" si="123"/>
        <v>1</v>
      </c>
      <c r="P375" s="1047">
        <f t="shared" si="124"/>
        <v>0</v>
      </c>
      <c r="Q375" s="306">
        <f t="shared" si="127"/>
        <v>0</v>
      </c>
      <c r="R375" s="307">
        <f t="shared" si="125"/>
        <v>0</v>
      </c>
      <c r="S375" s="314" t="str">
        <f t="shared" si="128"/>
        <v>ok</v>
      </c>
      <c r="T375" s="306"/>
      <c r="U375" s="314"/>
      <c r="V375" s="314"/>
      <c r="W375" s="314"/>
      <c r="X375" s="306"/>
    </row>
    <row r="376" spans="1:24" s="8" customFormat="1" ht="16.5" customHeight="1">
      <c r="A376" s="1101" t="s">
        <v>1512</v>
      </c>
      <c r="B376" s="1103" t="s">
        <v>1987</v>
      </c>
      <c r="C376" s="1103"/>
      <c r="D376" s="1105"/>
      <c r="E376" s="1107"/>
      <c r="F376" s="841"/>
      <c r="G376" s="1049"/>
      <c r="H376" s="306"/>
      <c r="I376" s="307"/>
      <c r="J376" s="1046"/>
      <c r="K376" s="306"/>
      <c r="L376" s="307"/>
      <c r="M376" s="1047"/>
      <c r="N376" s="306"/>
      <c r="O376" s="307"/>
      <c r="P376" s="1047"/>
      <c r="Q376" s="306">
        <f t="shared" si="127"/>
        <v>0</v>
      </c>
      <c r="R376" s="307"/>
      <c r="S376" s="314" t="str">
        <f t="shared" si="128"/>
        <v>ok</v>
      </c>
      <c r="T376" s="306"/>
      <c r="U376" s="314"/>
      <c r="V376" s="314"/>
      <c r="W376" s="314"/>
      <c r="X376" s="306"/>
    </row>
    <row r="377" spans="1:24" s="8" customFormat="1" ht="16.5" customHeight="1">
      <c r="A377" s="1101" t="s">
        <v>1513</v>
      </c>
      <c r="B377" s="1101" t="s">
        <v>1988</v>
      </c>
      <c r="C377" s="1104" t="s">
        <v>2145</v>
      </c>
      <c r="D377" s="1105">
        <v>2</v>
      </c>
      <c r="E377" s="1106">
        <v>29.32</v>
      </c>
      <c r="F377" s="841">
        <f t="shared" si="126"/>
        <v>58.64</v>
      </c>
      <c r="G377" s="1049">
        <v>2</v>
      </c>
      <c r="H377" s="306">
        <v>58.64</v>
      </c>
      <c r="I377" s="307">
        <v>1</v>
      </c>
      <c r="J377" s="1046"/>
      <c r="K377" s="306">
        <f t="shared" si="119"/>
        <v>0</v>
      </c>
      <c r="L377" s="307">
        <f t="shared" si="120"/>
        <v>0</v>
      </c>
      <c r="M377" s="1047">
        <f t="shared" si="121"/>
        <v>2</v>
      </c>
      <c r="N377" s="306">
        <f t="shared" si="122"/>
        <v>58.64</v>
      </c>
      <c r="O377" s="307">
        <f t="shared" si="123"/>
        <v>1</v>
      </c>
      <c r="P377" s="1047">
        <f t="shared" si="124"/>
        <v>0</v>
      </c>
      <c r="Q377" s="306">
        <f t="shared" si="127"/>
        <v>0</v>
      </c>
      <c r="R377" s="307">
        <f t="shared" si="125"/>
        <v>0</v>
      </c>
      <c r="S377" s="314" t="str">
        <f t="shared" si="128"/>
        <v>ok</v>
      </c>
      <c r="T377" s="306"/>
      <c r="U377" s="314"/>
      <c r="V377" s="314"/>
      <c r="W377" s="314"/>
      <c r="X377" s="306"/>
    </row>
    <row r="378" spans="1:24" s="8" customFormat="1" ht="16.5" customHeight="1">
      <c r="A378" s="1101" t="s">
        <v>1514</v>
      </c>
      <c r="B378" s="1101" t="s">
        <v>1989</v>
      </c>
      <c r="C378" s="1104" t="s">
        <v>52</v>
      </c>
      <c r="D378" s="1105">
        <v>2</v>
      </c>
      <c r="E378" s="1106">
        <v>53.74</v>
      </c>
      <c r="F378" s="841">
        <f t="shared" si="126"/>
        <v>107.48</v>
      </c>
      <c r="G378" s="1049">
        <v>2</v>
      </c>
      <c r="H378" s="306">
        <v>107.48</v>
      </c>
      <c r="I378" s="307">
        <v>1</v>
      </c>
      <c r="J378" s="1046"/>
      <c r="K378" s="306">
        <f t="shared" si="119"/>
        <v>0</v>
      </c>
      <c r="L378" s="307">
        <f t="shared" si="120"/>
        <v>0</v>
      </c>
      <c r="M378" s="1047">
        <f t="shared" si="121"/>
        <v>2</v>
      </c>
      <c r="N378" s="306">
        <f t="shared" si="122"/>
        <v>107.48</v>
      </c>
      <c r="O378" s="307">
        <f t="shared" si="123"/>
        <v>1</v>
      </c>
      <c r="P378" s="1047">
        <f t="shared" si="124"/>
        <v>0</v>
      </c>
      <c r="Q378" s="306">
        <f t="shared" si="127"/>
        <v>0</v>
      </c>
      <c r="R378" s="307">
        <f t="shared" si="125"/>
        <v>0</v>
      </c>
      <c r="S378" s="314" t="str">
        <f t="shared" si="128"/>
        <v>ok</v>
      </c>
      <c r="T378" s="306"/>
      <c r="U378" s="314"/>
      <c r="V378" s="314"/>
      <c r="W378" s="314"/>
      <c r="X378" s="306"/>
    </row>
    <row r="379" spans="1:24" s="8" customFormat="1" ht="16.5" customHeight="1">
      <c r="A379" s="1101" t="s">
        <v>1515</v>
      </c>
      <c r="B379" s="1103" t="s">
        <v>2014</v>
      </c>
      <c r="C379" s="1103"/>
      <c r="D379" s="1105"/>
      <c r="E379" s="1107"/>
      <c r="F379" s="841"/>
      <c r="G379" s="1049"/>
      <c r="H379" s="306"/>
      <c r="I379" s="307"/>
      <c r="J379" s="1046"/>
      <c r="K379" s="306"/>
      <c r="L379" s="307"/>
      <c r="M379" s="1047"/>
      <c r="N379" s="306"/>
      <c r="O379" s="307"/>
      <c r="P379" s="1047"/>
      <c r="Q379" s="306">
        <f t="shared" si="127"/>
        <v>0</v>
      </c>
      <c r="R379" s="307"/>
      <c r="S379" s="314" t="str">
        <f t="shared" si="128"/>
        <v>ok</v>
      </c>
      <c r="T379" s="306"/>
      <c r="U379" s="314"/>
      <c r="V379" s="314"/>
      <c r="W379" s="314"/>
      <c r="X379" s="306"/>
    </row>
    <row r="380" spans="1:24" s="8" customFormat="1" ht="16.5" customHeight="1">
      <c r="A380" s="1101" t="s">
        <v>1516</v>
      </c>
      <c r="B380" s="1101" t="s">
        <v>2015</v>
      </c>
      <c r="C380" s="1104" t="s">
        <v>52</v>
      </c>
      <c r="D380" s="1105">
        <v>1</v>
      </c>
      <c r="E380" s="1106">
        <v>55.27</v>
      </c>
      <c r="F380" s="841">
        <f t="shared" si="126"/>
        <v>55.27</v>
      </c>
      <c r="G380" s="1049">
        <v>1</v>
      </c>
      <c r="H380" s="306">
        <v>55.27</v>
      </c>
      <c r="I380" s="307">
        <v>1</v>
      </c>
      <c r="J380" s="1046"/>
      <c r="K380" s="306">
        <f t="shared" si="119"/>
        <v>0</v>
      </c>
      <c r="L380" s="307">
        <f t="shared" si="120"/>
        <v>0</v>
      </c>
      <c r="M380" s="1047">
        <f t="shared" si="121"/>
        <v>1</v>
      </c>
      <c r="N380" s="306">
        <f t="shared" si="122"/>
        <v>55.27</v>
      </c>
      <c r="O380" s="307">
        <f t="shared" si="123"/>
        <v>1</v>
      </c>
      <c r="P380" s="1047">
        <f t="shared" si="124"/>
        <v>0</v>
      </c>
      <c r="Q380" s="306">
        <f t="shared" si="127"/>
        <v>0</v>
      </c>
      <c r="R380" s="307">
        <f t="shared" si="125"/>
        <v>0</v>
      </c>
      <c r="S380" s="314" t="str">
        <f t="shared" si="128"/>
        <v>ok</v>
      </c>
      <c r="T380" s="306"/>
      <c r="U380" s="314"/>
      <c r="V380" s="314"/>
      <c r="W380" s="314"/>
      <c r="X380" s="306"/>
    </row>
    <row r="381" spans="1:24" s="8" customFormat="1" ht="16.5" customHeight="1">
      <c r="A381" s="1101" t="s">
        <v>1517</v>
      </c>
      <c r="B381" s="1101" t="s">
        <v>2016</v>
      </c>
      <c r="C381" s="1104" t="s">
        <v>52</v>
      </c>
      <c r="D381" s="1105">
        <v>1</v>
      </c>
      <c r="E381" s="1106">
        <v>30.55</v>
      </c>
      <c r="F381" s="841">
        <f t="shared" si="126"/>
        <v>30.55</v>
      </c>
      <c r="G381" s="1049">
        <v>1</v>
      </c>
      <c r="H381" s="306">
        <v>30.55</v>
      </c>
      <c r="I381" s="307">
        <v>1</v>
      </c>
      <c r="J381" s="1046"/>
      <c r="K381" s="306">
        <f t="shared" si="119"/>
        <v>0</v>
      </c>
      <c r="L381" s="307">
        <f t="shared" si="120"/>
        <v>0</v>
      </c>
      <c r="M381" s="1047">
        <f t="shared" si="121"/>
        <v>1</v>
      </c>
      <c r="N381" s="306">
        <f t="shared" si="122"/>
        <v>30.55</v>
      </c>
      <c r="O381" s="307">
        <f t="shared" si="123"/>
        <v>1</v>
      </c>
      <c r="P381" s="1047">
        <f t="shared" si="124"/>
        <v>0</v>
      </c>
      <c r="Q381" s="306">
        <f t="shared" si="127"/>
        <v>0</v>
      </c>
      <c r="R381" s="307">
        <f t="shared" si="125"/>
        <v>0</v>
      </c>
      <c r="S381" s="314" t="str">
        <f t="shared" si="128"/>
        <v>ok</v>
      </c>
      <c r="T381" s="306"/>
      <c r="U381" s="314"/>
      <c r="V381" s="314"/>
      <c r="W381" s="314"/>
      <c r="X381" s="306"/>
    </row>
    <row r="382" spans="1:24" s="8" customFormat="1" ht="16.5" customHeight="1">
      <c r="A382" s="1101" t="s">
        <v>1518</v>
      </c>
      <c r="B382" s="1101" t="s">
        <v>2017</v>
      </c>
      <c r="C382" s="1104" t="s">
        <v>52</v>
      </c>
      <c r="D382" s="1105">
        <v>1</v>
      </c>
      <c r="E382" s="1106">
        <v>30.55</v>
      </c>
      <c r="F382" s="841">
        <f t="shared" si="126"/>
        <v>30.55</v>
      </c>
      <c r="G382" s="1049">
        <v>1</v>
      </c>
      <c r="H382" s="306">
        <v>30.55</v>
      </c>
      <c r="I382" s="307">
        <v>1</v>
      </c>
      <c r="J382" s="1046"/>
      <c r="K382" s="306">
        <f t="shared" si="119"/>
        <v>0</v>
      </c>
      <c r="L382" s="307">
        <f t="shared" si="120"/>
        <v>0</v>
      </c>
      <c r="M382" s="1047">
        <f t="shared" si="121"/>
        <v>1</v>
      </c>
      <c r="N382" s="306">
        <f t="shared" si="122"/>
        <v>30.55</v>
      </c>
      <c r="O382" s="307">
        <f t="shared" si="123"/>
        <v>1</v>
      </c>
      <c r="P382" s="1047">
        <f t="shared" si="124"/>
        <v>0</v>
      </c>
      <c r="Q382" s="306">
        <f t="shared" si="127"/>
        <v>0</v>
      </c>
      <c r="R382" s="307">
        <f t="shared" si="125"/>
        <v>0</v>
      </c>
      <c r="S382" s="314" t="str">
        <f t="shared" si="128"/>
        <v>ok</v>
      </c>
      <c r="T382" s="306"/>
      <c r="U382" s="314"/>
      <c r="V382" s="314"/>
      <c r="W382" s="314"/>
      <c r="X382" s="306"/>
    </row>
    <row r="383" spans="1:24" s="8" customFormat="1" ht="16.5" customHeight="1">
      <c r="A383" s="1101" t="s">
        <v>1519</v>
      </c>
      <c r="B383" s="1101" t="s">
        <v>2018</v>
      </c>
      <c r="C383" s="1104" t="s">
        <v>52</v>
      </c>
      <c r="D383" s="1105">
        <v>1</v>
      </c>
      <c r="E383" s="1106">
        <v>77.14</v>
      </c>
      <c r="F383" s="841">
        <f t="shared" si="126"/>
        <v>77.14</v>
      </c>
      <c r="G383" s="1049">
        <v>1</v>
      </c>
      <c r="H383" s="306">
        <v>77.14</v>
      </c>
      <c r="I383" s="307">
        <v>1</v>
      </c>
      <c r="J383" s="1046"/>
      <c r="K383" s="306">
        <f t="shared" si="119"/>
        <v>0</v>
      </c>
      <c r="L383" s="307">
        <f t="shared" si="120"/>
        <v>0</v>
      </c>
      <c r="M383" s="1047">
        <f t="shared" si="121"/>
        <v>1</v>
      </c>
      <c r="N383" s="306">
        <f t="shared" si="122"/>
        <v>77.14</v>
      </c>
      <c r="O383" s="307">
        <f t="shared" si="123"/>
        <v>1</v>
      </c>
      <c r="P383" s="1047">
        <f t="shared" si="124"/>
        <v>0</v>
      </c>
      <c r="Q383" s="306">
        <f t="shared" si="127"/>
        <v>0</v>
      </c>
      <c r="R383" s="307">
        <f t="shared" si="125"/>
        <v>0</v>
      </c>
      <c r="S383" s="314" t="str">
        <f t="shared" si="128"/>
        <v>ok</v>
      </c>
      <c r="T383" s="306"/>
      <c r="U383" s="314"/>
      <c r="V383" s="314"/>
      <c r="W383" s="314"/>
      <c r="X383" s="306"/>
    </row>
    <row r="384" spans="1:24" s="8" customFormat="1" ht="16.5" customHeight="1">
      <c r="A384" s="1101" t="s">
        <v>1520</v>
      </c>
      <c r="B384" s="1103" t="s">
        <v>2019</v>
      </c>
      <c r="C384" s="1103"/>
      <c r="D384" s="1105"/>
      <c r="E384" s="1107"/>
      <c r="F384" s="841"/>
      <c r="G384" s="1049"/>
      <c r="H384" s="306"/>
      <c r="I384" s="307"/>
      <c r="J384" s="1046"/>
      <c r="K384" s="306"/>
      <c r="L384" s="307"/>
      <c r="M384" s="1047"/>
      <c r="N384" s="306"/>
      <c r="O384" s="307"/>
      <c r="P384" s="1047"/>
      <c r="Q384" s="306">
        <f t="shared" si="127"/>
        <v>0</v>
      </c>
      <c r="R384" s="307"/>
      <c r="S384" s="314" t="str">
        <f t="shared" si="128"/>
        <v>ok</v>
      </c>
      <c r="T384" s="306"/>
      <c r="U384" s="314"/>
      <c r="V384" s="314"/>
      <c r="W384" s="314"/>
      <c r="X384" s="306"/>
    </row>
    <row r="385" spans="1:24" s="8" customFormat="1" ht="16.5" customHeight="1">
      <c r="A385" s="1101" t="s">
        <v>1521</v>
      </c>
      <c r="B385" s="1101" t="s">
        <v>2020</v>
      </c>
      <c r="C385" s="1104" t="s">
        <v>52</v>
      </c>
      <c r="D385" s="1105">
        <v>2</v>
      </c>
      <c r="E385" s="1106">
        <v>41.3</v>
      </c>
      <c r="F385" s="841">
        <f t="shared" si="126"/>
        <v>82.6</v>
      </c>
      <c r="G385" s="1049">
        <v>0</v>
      </c>
      <c r="H385" s="306">
        <v>0</v>
      </c>
      <c r="I385" s="307">
        <v>0</v>
      </c>
      <c r="J385" s="1046"/>
      <c r="K385" s="306">
        <f t="shared" ref="K385:K445" si="129">J385*E385</f>
        <v>0</v>
      </c>
      <c r="L385" s="307">
        <f t="shared" ref="L385:L445" si="130">K385/F385</f>
        <v>0</v>
      </c>
      <c r="M385" s="1047">
        <f t="shared" ref="M385:M445" si="131">G385+J385</f>
        <v>0</v>
      </c>
      <c r="N385" s="306">
        <f t="shared" ref="N385:N445" si="132">M385*E385</f>
        <v>0</v>
      </c>
      <c r="O385" s="307">
        <f t="shared" ref="O385:O445" si="133">N385/F385</f>
        <v>0</v>
      </c>
      <c r="P385" s="1047">
        <f t="shared" ref="P385:P445" si="134">D385-M385</f>
        <v>2</v>
      </c>
      <c r="Q385" s="306">
        <f t="shared" si="127"/>
        <v>82.6</v>
      </c>
      <c r="R385" s="307">
        <f t="shared" ref="R385:R445" si="135">Q385/F385</f>
        <v>1</v>
      </c>
      <c r="S385" s="314" t="str">
        <f t="shared" si="128"/>
        <v>ok</v>
      </c>
      <c r="T385" s="306"/>
      <c r="U385" s="314"/>
      <c r="V385" s="314"/>
      <c r="W385" s="314"/>
      <c r="X385" s="306"/>
    </row>
    <row r="386" spans="1:24" s="8" customFormat="1" ht="16.5" customHeight="1">
      <c r="A386" s="1101" t="s">
        <v>1522</v>
      </c>
      <c r="B386" s="1103" t="s">
        <v>2021</v>
      </c>
      <c r="C386" s="1103"/>
      <c r="D386" s="1105"/>
      <c r="E386" s="1107"/>
      <c r="F386" s="841"/>
      <c r="G386" s="1049"/>
      <c r="H386" s="306"/>
      <c r="I386" s="307"/>
      <c r="J386" s="1046"/>
      <c r="K386" s="306"/>
      <c r="L386" s="307"/>
      <c r="M386" s="1047"/>
      <c r="N386" s="306"/>
      <c r="O386" s="307"/>
      <c r="P386" s="1047"/>
      <c r="Q386" s="306">
        <f t="shared" si="127"/>
        <v>0</v>
      </c>
      <c r="R386" s="307"/>
      <c r="S386" s="314" t="str">
        <f t="shared" si="128"/>
        <v>ok</v>
      </c>
      <c r="T386" s="306"/>
      <c r="U386" s="314"/>
      <c r="V386" s="314"/>
      <c r="W386" s="314"/>
      <c r="X386" s="306"/>
    </row>
    <row r="387" spans="1:24" s="8" customFormat="1" ht="16.5" customHeight="1">
      <c r="A387" s="1101" t="s">
        <v>1523</v>
      </c>
      <c r="B387" s="1101" t="s">
        <v>2022</v>
      </c>
      <c r="C387" s="1104" t="s">
        <v>52</v>
      </c>
      <c r="D387" s="1105">
        <v>2</v>
      </c>
      <c r="E387" s="1106">
        <v>850</v>
      </c>
      <c r="F387" s="841">
        <f t="shared" si="126"/>
        <v>1700</v>
      </c>
      <c r="G387" s="1049">
        <v>0</v>
      </c>
      <c r="H387" s="306">
        <v>0</v>
      </c>
      <c r="I387" s="307">
        <v>0</v>
      </c>
      <c r="J387" s="1046"/>
      <c r="K387" s="306">
        <f t="shared" si="129"/>
        <v>0</v>
      </c>
      <c r="L387" s="307">
        <f t="shared" si="130"/>
        <v>0</v>
      </c>
      <c r="M387" s="1047">
        <f t="shared" si="131"/>
        <v>0</v>
      </c>
      <c r="N387" s="306">
        <f t="shared" si="132"/>
        <v>0</v>
      </c>
      <c r="O387" s="307">
        <f t="shared" si="133"/>
        <v>0</v>
      </c>
      <c r="P387" s="1047">
        <f t="shared" si="134"/>
        <v>2</v>
      </c>
      <c r="Q387" s="306">
        <f t="shared" si="127"/>
        <v>1700</v>
      </c>
      <c r="R387" s="307">
        <f t="shared" si="135"/>
        <v>1</v>
      </c>
      <c r="S387" s="314" t="str">
        <f t="shared" si="128"/>
        <v>ok</v>
      </c>
      <c r="T387" s="306"/>
      <c r="U387" s="314"/>
      <c r="V387" s="314"/>
      <c r="W387" s="314"/>
      <c r="X387" s="306"/>
    </row>
    <row r="388" spans="1:24" s="8" customFormat="1" ht="16.5" customHeight="1">
      <c r="A388" s="1101" t="s">
        <v>1524</v>
      </c>
      <c r="B388" s="1101" t="s">
        <v>2023</v>
      </c>
      <c r="C388" s="1104" t="s">
        <v>52</v>
      </c>
      <c r="D388" s="1105">
        <v>1</v>
      </c>
      <c r="E388" s="1106">
        <v>472</v>
      </c>
      <c r="F388" s="841">
        <f t="shared" si="126"/>
        <v>472</v>
      </c>
      <c r="G388" s="1049">
        <v>0</v>
      </c>
      <c r="H388" s="306">
        <v>0</v>
      </c>
      <c r="I388" s="307">
        <v>0</v>
      </c>
      <c r="J388" s="1046"/>
      <c r="K388" s="306">
        <f t="shared" si="129"/>
        <v>0</v>
      </c>
      <c r="L388" s="307">
        <f t="shared" si="130"/>
        <v>0</v>
      </c>
      <c r="M388" s="1047">
        <f t="shared" si="131"/>
        <v>0</v>
      </c>
      <c r="N388" s="306">
        <f t="shared" si="132"/>
        <v>0</v>
      </c>
      <c r="O388" s="307">
        <f t="shared" si="133"/>
        <v>0</v>
      </c>
      <c r="P388" s="1047">
        <f t="shared" si="134"/>
        <v>1</v>
      </c>
      <c r="Q388" s="306">
        <f t="shared" si="127"/>
        <v>472</v>
      </c>
      <c r="R388" s="307">
        <f t="shared" si="135"/>
        <v>1</v>
      </c>
      <c r="S388" s="314" t="str">
        <f t="shared" si="128"/>
        <v>ok</v>
      </c>
      <c r="T388" s="306"/>
      <c r="U388" s="314"/>
      <c r="V388" s="314"/>
      <c r="W388" s="314"/>
      <c r="X388" s="306"/>
    </row>
    <row r="389" spans="1:24" s="8" customFormat="1" ht="16.5" customHeight="1">
      <c r="A389" s="1101" t="s">
        <v>1525</v>
      </c>
      <c r="B389" s="1101" t="s">
        <v>2024</v>
      </c>
      <c r="C389" s="1104" t="s">
        <v>52</v>
      </c>
      <c r="D389" s="1105">
        <v>1</v>
      </c>
      <c r="E389" s="1106">
        <v>129.80000000000001</v>
      </c>
      <c r="F389" s="841">
        <f t="shared" si="126"/>
        <v>129.80000000000001</v>
      </c>
      <c r="G389" s="1049">
        <v>0</v>
      </c>
      <c r="H389" s="306">
        <v>0</v>
      </c>
      <c r="I389" s="307">
        <v>0</v>
      </c>
      <c r="J389" s="1046"/>
      <c r="K389" s="306">
        <f t="shared" si="129"/>
        <v>0</v>
      </c>
      <c r="L389" s="307">
        <f t="shared" si="130"/>
        <v>0</v>
      </c>
      <c r="M389" s="1047">
        <f t="shared" si="131"/>
        <v>0</v>
      </c>
      <c r="N389" s="306">
        <f t="shared" si="132"/>
        <v>0</v>
      </c>
      <c r="O389" s="307">
        <f t="shared" si="133"/>
        <v>0</v>
      </c>
      <c r="P389" s="1047">
        <f t="shared" si="134"/>
        <v>1</v>
      </c>
      <c r="Q389" s="306">
        <f t="shared" si="127"/>
        <v>129.80000000000001</v>
      </c>
      <c r="R389" s="307">
        <f t="shared" si="135"/>
        <v>1</v>
      </c>
      <c r="S389" s="314" t="str">
        <f t="shared" si="128"/>
        <v>ok</v>
      </c>
      <c r="T389" s="306"/>
      <c r="U389" s="314"/>
      <c r="V389" s="314"/>
      <c r="W389" s="314"/>
      <c r="X389" s="306"/>
    </row>
    <row r="390" spans="1:24" s="8" customFormat="1" ht="16.5" customHeight="1">
      <c r="A390" s="1101" t="s">
        <v>1526</v>
      </c>
      <c r="B390" s="1101" t="s">
        <v>2025</v>
      </c>
      <c r="C390" s="1104" t="s">
        <v>52</v>
      </c>
      <c r="D390" s="1105">
        <v>1</v>
      </c>
      <c r="E390" s="1106">
        <v>57.82</v>
      </c>
      <c r="F390" s="841">
        <f t="shared" si="126"/>
        <v>57.82</v>
      </c>
      <c r="G390" s="1049">
        <v>0</v>
      </c>
      <c r="H390" s="306">
        <v>0</v>
      </c>
      <c r="I390" s="307">
        <v>0</v>
      </c>
      <c r="J390" s="1046"/>
      <c r="K390" s="306">
        <f t="shared" si="129"/>
        <v>0</v>
      </c>
      <c r="L390" s="307">
        <f t="shared" si="130"/>
        <v>0</v>
      </c>
      <c r="M390" s="1047">
        <f t="shared" si="131"/>
        <v>0</v>
      </c>
      <c r="N390" s="306">
        <f t="shared" si="132"/>
        <v>0</v>
      </c>
      <c r="O390" s="307">
        <f t="shared" si="133"/>
        <v>0</v>
      </c>
      <c r="P390" s="1047">
        <f t="shared" si="134"/>
        <v>1</v>
      </c>
      <c r="Q390" s="306">
        <f t="shared" si="127"/>
        <v>57.82</v>
      </c>
      <c r="R390" s="307">
        <f t="shared" si="135"/>
        <v>1</v>
      </c>
      <c r="S390" s="314" t="str">
        <f t="shared" si="128"/>
        <v>ok</v>
      </c>
      <c r="T390" s="306"/>
      <c r="U390" s="314"/>
      <c r="V390" s="314"/>
      <c r="W390" s="314"/>
      <c r="X390" s="306"/>
    </row>
    <row r="391" spans="1:24" s="8" customFormat="1" ht="16.5" customHeight="1">
      <c r="A391" s="1101" t="s">
        <v>1527</v>
      </c>
      <c r="B391" s="1101" t="s">
        <v>2026</v>
      </c>
      <c r="C391" s="1104" t="s">
        <v>52</v>
      </c>
      <c r="D391" s="1105">
        <v>1</v>
      </c>
      <c r="E391" s="1106">
        <v>2950</v>
      </c>
      <c r="F391" s="841">
        <f t="shared" si="126"/>
        <v>2950</v>
      </c>
      <c r="G391" s="1049">
        <v>0</v>
      </c>
      <c r="H391" s="306">
        <v>0</v>
      </c>
      <c r="I391" s="307">
        <v>0</v>
      </c>
      <c r="J391" s="1046"/>
      <c r="K391" s="306">
        <f t="shared" si="129"/>
        <v>0</v>
      </c>
      <c r="L391" s="307">
        <f t="shared" si="130"/>
        <v>0</v>
      </c>
      <c r="M391" s="1047">
        <f t="shared" si="131"/>
        <v>0</v>
      </c>
      <c r="N391" s="306">
        <f t="shared" si="132"/>
        <v>0</v>
      </c>
      <c r="O391" s="307">
        <f t="shared" si="133"/>
        <v>0</v>
      </c>
      <c r="P391" s="1047">
        <f t="shared" si="134"/>
        <v>1</v>
      </c>
      <c r="Q391" s="306">
        <f t="shared" si="127"/>
        <v>2950</v>
      </c>
      <c r="R391" s="307">
        <f t="shared" si="135"/>
        <v>1</v>
      </c>
      <c r="S391" s="314" t="str">
        <f t="shared" si="128"/>
        <v>ok</v>
      </c>
      <c r="T391" s="306"/>
      <c r="U391" s="314"/>
      <c r="V391" s="314"/>
      <c r="W391" s="314"/>
      <c r="X391" s="306"/>
    </row>
    <row r="392" spans="1:24" s="8" customFormat="1" ht="16.5" customHeight="1">
      <c r="A392" s="1101" t="s">
        <v>1528</v>
      </c>
      <c r="B392" s="1103" t="s">
        <v>2027</v>
      </c>
      <c r="C392" s="1103"/>
      <c r="D392" s="1105"/>
      <c r="E392" s="1107"/>
      <c r="F392" s="841"/>
      <c r="G392" s="1049"/>
      <c r="H392" s="306"/>
      <c r="I392" s="307"/>
      <c r="J392" s="1046"/>
      <c r="K392" s="306"/>
      <c r="L392" s="307"/>
      <c r="M392" s="1047"/>
      <c r="N392" s="306"/>
      <c r="O392" s="307"/>
      <c r="P392" s="1047"/>
      <c r="Q392" s="306">
        <f t="shared" si="127"/>
        <v>0</v>
      </c>
      <c r="R392" s="307"/>
      <c r="S392" s="314" t="str">
        <f t="shared" si="128"/>
        <v>ok</v>
      </c>
      <c r="T392" s="306"/>
      <c r="U392" s="314"/>
      <c r="V392" s="314"/>
      <c r="W392" s="314"/>
      <c r="X392" s="306"/>
    </row>
    <row r="393" spans="1:24" s="8" customFormat="1" ht="16.5" customHeight="1">
      <c r="A393" s="1101" t="s">
        <v>1529</v>
      </c>
      <c r="B393" s="1101" t="s">
        <v>2028</v>
      </c>
      <c r="C393" s="1104" t="s">
        <v>52</v>
      </c>
      <c r="D393" s="1105">
        <v>2</v>
      </c>
      <c r="E393" s="1106">
        <v>34.22</v>
      </c>
      <c r="F393" s="841">
        <f t="shared" si="126"/>
        <v>68.44</v>
      </c>
      <c r="G393" s="1049">
        <v>2</v>
      </c>
      <c r="H393" s="306">
        <v>68.44</v>
      </c>
      <c r="I393" s="307">
        <v>1</v>
      </c>
      <c r="J393" s="1046"/>
      <c r="K393" s="306">
        <f t="shared" si="129"/>
        <v>0</v>
      </c>
      <c r="L393" s="307">
        <f t="shared" si="130"/>
        <v>0</v>
      </c>
      <c r="M393" s="1047">
        <f t="shared" si="131"/>
        <v>2</v>
      </c>
      <c r="N393" s="306">
        <f t="shared" si="132"/>
        <v>68.44</v>
      </c>
      <c r="O393" s="307">
        <f t="shared" si="133"/>
        <v>1</v>
      </c>
      <c r="P393" s="1047">
        <f t="shared" si="134"/>
        <v>0</v>
      </c>
      <c r="Q393" s="306">
        <f t="shared" si="127"/>
        <v>0</v>
      </c>
      <c r="R393" s="307">
        <f t="shared" si="135"/>
        <v>0</v>
      </c>
      <c r="S393" s="314" t="str">
        <f t="shared" si="128"/>
        <v>ok</v>
      </c>
      <c r="T393" s="306"/>
      <c r="U393" s="314"/>
      <c r="V393" s="314"/>
      <c r="W393" s="314"/>
      <c r="X393" s="306"/>
    </row>
    <row r="394" spans="1:24" s="8" customFormat="1" ht="16.5" customHeight="1">
      <c r="A394" s="1101" t="s">
        <v>1530</v>
      </c>
      <c r="B394" s="1103" t="s">
        <v>2029</v>
      </c>
      <c r="C394" s="1103"/>
      <c r="D394" s="1105"/>
      <c r="E394" s="1107"/>
      <c r="F394" s="841"/>
      <c r="G394" s="1049"/>
      <c r="H394" s="306"/>
      <c r="I394" s="307"/>
      <c r="J394" s="1046"/>
      <c r="K394" s="306"/>
      <c r="L394" s="307"/>
      <c r="M394" s="1047"/>
      <c r="N394" s="306"/>
      <c r="O394" s="307"/>
      <c r="P394" s="1047"/>
      <c r="Q394" s="306">
        <f t="shared" si="127"/>
        <v>0</v>
      </c>
      <c r="R394" s="307"/>
      <c r="S394" s="314" t="str">
        <f t="shared" si="128"/>
        <v>ok</v>
      </c>
      <c r="T394" s="306"/>
      <c r="U394" s="314"/>
      <c r="V394" s="314"/>
      <c r="W394" s="314"/>
      <c r="X394" s="306"/>
    </row>
    <row r="395" spans="1:24" s="8" customFormat="1" ht="16.5" customHeight="1">
      <c r="A395" s="1101" t="s">
        <v>1531</v>
      </c>
      <c r="B395" s="1101" t="s">
        <v>2030</v>
      </c>
      <c r="C395" s="1104" t="s">
        <v>268</v>
      </c>
      <c r="D395" s="1105">
        <v>1</v>
      </c>
      <c r="E395" s="1106">
        <v>1000</v>
      </c>
      <c r="F395" s="841">
        <f t="shared" si="126"/>
        <v>1000</v>
      </c>
      <c r="G395" s="1049">
        <v>0</v>
      </c>
      <c r="H395" s="306">
        <v>0</v>
      </c>
      <c r="I395" s="307">
        <v>0</v>
      </c>
      <c r="J395" s="1046"/>
      <c r="K395" s="306">
        <f t="shared" si="129"/>
        <v>0</v>
      </c>
      <c r="L395" s="307">
        <f t="shared" si="130"/>
        <v>0</v>
      </c>
      <c r="M395" s="1047">
        <f t="shared" si="131"/>
        <v>0</v>
      </c>
      <c r="N395" s="306">
        <f t="shared" si="132"/>
        <v>0</v>
      </c>
      <c r="O395" s="307">
        <f t="shared" si="133"/>
        <v>0</v>
      </c>
      <c r="P395" s="1047">
        <f t="shared" si="134"/>
        <v>1</v>
      </c>
      <c r="Q395" s="306">
        <f t="shared" si="127"/>
        <v>1000</v>
      </c>
      <c r="R395" s="307">
        <f t="shared" si="135"/>
        <v>1</v>
      </c>
      <c r="S395" s="314" t="str">
        <f t="shared" si="128"/>
        <v>ok</v>
      </c>
      <c r="T395" s="306"/>
      <c r="U395" s="314"/>
      <c r="V395" s="314"/>
      <c r="W395" s="314"/>
      <c r="X395" s="306"/>
    </row>
    <row r="396" spans="1:24" s="8" customFormat="1" ht="16.5" customHeight="1">
      <c r="A396" s="1101">
        <v>6.4</v>
      </c>
      <c r="B396" s="1102" t="s">
        <v>2031</v>
      </c>
      <c r="C396" s="1108"/>
      <c r="D396" s="1105"/>
      <c r="E396" s="1109"/>
      <c r="F396" s="841"/>
      <c r="G396" s="1049"/>
      <c r="H396" s="306"/>
      <c r="I396" s="307"/>
      <c r="J396" s="1046"/>
      <c r="K396" s="306"/>
      <c r="L396" s="307"/>
      <c r="M396" s="1047"/>
      <c r="N396" s="306"/>
      <c r="O396" s="307"/>
      <c r="P396" s="1047"/>
      <c r="Q396" s="306">
        <f t="shared" si="127"/>
        <v>0</v>
      </c>
      <c r="R396" s="307"/>
      <c r="S396" s="314" t="str">
        <f t="shared" si="128"/>
        <v>ok</v>
      </c>
      <c r="T396" s="306"/>
      <c r="U396" s="314"/>
      <c r="V396" s="314"/>
      <c r="W396" s="314"/>
      <c r="X396" s="306"/>
    </row>
    <row r="397" spans="1:24" s="8" customFormat="1" ht="16.5" customHeight="1">
      <c r="A397" s="1101" t="s">
        <v>1532</v>
      </c>
      <c r="B397" s="1103" t="s">
        <v>1977</v>
      </c>
      <c r="C397" s="1103"/>
      <c r="D397" s="1105"/>
      <c r="E397" s="1107"/>
      <c r="F397" s="841"/>
      <c r="G397" s="1049"/>
      <c r="H397" s="306"/>
      <c r="I397" s="307"/>
      <c r="J397" s="1046"/>
      <c r="K397" s="306"/>
      <c r="L397" s="307"/>
      <c r="M397" s="1047"/>
      <c r="N397" s="306"/>
      <c r="O397" s="307"/>
      <c r="P397" s="1047"/>
      <c r="Q397" s="306">
        <f t="shared" si="127"/>
        <v>0</v>
      </c>
      <c r="R397" s="307"/>
      <c r="S397" s="314" t="str">
        <f t="shared" si="128"/>
        <v>ok</v>
      </c>
      <c r="T397" s="306"/>
      <c r="U397" s="314"/>
      <c r="V397" s="314"/>
      <c r="W397" s="314"/>
      <c r="X397" s="306"/>
    </row>
    <row r="398" spans="1:24" s="8" customFormat="1" ht="16.5" customHeight="1">
      <c r="A398" s="1101" t="s">
        <v>1533</v>
      </c>
      <c r="B398" s="1101" t="s">
        <v>2032</v>
      </c>
      <c r="C398" s="1104" t="s">
        <v>51</v>
      </c>
      <c r="D398" s="1105">
        <v>2539</v>
      </c>
      <c r="E398" s="1106">
        <v>3.15</v>
      </c>
      <c r="F398" s="841">
        <f t="shared" si="126"/>
        <v>7997.8499999999995</v>
      </c>
      <c r="G398" s="1049">
        <v>0</v>
      </c>
      <c r="H398" s="306">
        <v>0</v>
      </c>
      <c r="I398" s="307">
        <v>0</v>
      </c>
      <c r="J398" s="1046"/>
      <c r="K398" s="306">
        <f t="shared" si="129"/>
        <v>0</v>
      </c>
      <c r="L398" s="307">
        <f t="shared" si="130"/>
        <v>0</v>
      </c>
      <c r="M398" s="1047">
        <f t="shared" si="131"/>
        <v>0</v>
      </c>
      <c r="N398" s="306">
        <f t="shared" si="132"/>
        <v>0</v>
      </c>
      <c r="O398" s="307">
        <f t="shared" si="133"/>
        <v>0</v>
      </c>
      <c r="P398" s="1047">
        <f t="shared" si="134"/>
        <v>2539</v>
      </c>
      <c r="Q398" s="306">
        <f t="shared" si="127"/>
        <v>7997.8499999999995</v>
      </c>
      <c r="R398" s="307">
        <f t="shared" si="135"/>
        <v>1</v>
      </c>
      <c r="S398" s="314" t="str">
        <f t="shared" si="128"/>
        <v>ok</v>
      </c>
      <c r="T398" s="306"/>
      <c r="U398" s="314"/>
      <c r="V398" s="314"/>
      <c r="W398" s="314"/>
      <c r="X398" s="306"/>
    </row>
    <row r="399" spans="1:24" s="8" customFormat="1" ht="16.5" customHeight="1">
      <c r="A399" s="1101" t="s">
        <v>1534</v>
      </c>
      <c r="B399" s="1101" t="s">
        <v>2033</v>
      </c>
      <c r="C399" s="1104" t="s">
        <v>51</v>
      </c>
      <c r="D399" s="1105">
        <v>901</v>
      </c>
      <c r="E399" s="1106">
        <v>3.36</v>
      </c>
      <c r="F399" s="841">
        <f t="shared" si="126"/>
        <v>3027.3599999999997</v>
      </c>
      <c r="G399" s="1049">
        <v>0</v>
      </c>
      <c r="H399" s="306">
        <v>0</v>
      </c>
      <c r="I399" s="307">
        <v>0</v>
      </c>
      <c r="J399" s="1046"/>
      <c r="K399" s="306">
        <f t="shared" si="129"/>
        <v>0</v>
      </c>
      <c r="L399" s="307">
        <f t="shared" si="130"/>
        <v>0</v>
      </c>
      <c r="M399" s="1047">
        <f t="shared" si="131"/>
        <v>0</v>
      </c>
      <c r="N399" s="306">
        <f t="shared" si="132"/>
        <v>0</v>
      </c>
      <c r="O399" s="307">
        <f t="shared" si="133"/>
        <v>0</v>
      </c>
      <c r="P399" s="1047">
        <f t="shared" si="134"/>
        <v>901</v>
      </c>
      <c r="Q399" s="306">
        <f t="shared" si="127"/>
        <v>3027.3599999999997</v>
      </c>
      <c r="R399" s="307">
        <f t="shared" si="135"/>
        <v>1</v>
      </c>
      <c r="S399" s="314" t="str">
        <f t="shared" si="128"/>
        <v>ok</v>
      </c>
      <c r="T399" s="306"/>
      <c r="U399" s="314"/>
      <c r="V399" s="314"/>
      <c r="W399" s="314"/>
      <c r="X399" s="306"/>
    </row>
    <row r="400" spans="1:24" s="8" customFormat="1" ht="16.5" customHeight="1">
      <c r="A400" s="1101" t="s">
        <v>1535</v>
      </c>
      <c r="B400" s="1103" t="s">
        <v>1980</v>
      </c>
      <c r="C400" s="1103"/>
      <c r="D400" s="1105"/>
      <c r="E400" s="1107"/>
      <c r="F400" s="841"/>
      <c r="G400" s="1049"/>
      <c r="H400" s="306"/>
      <c r="I400" s="307"/>
      <c r="J400" s="1046"/>
      <c r="K400" s="306"/>
      <c r="L400" s="307"/>
      <c r="M400" s="1047"/>
      <c r="N400" s="306"/>
      <c r="O400" s="307"/>
      <c r="P400" s="1047"/>
      <c r="Q400" s="306">
        <f t="shared" si="127"/>
        <v>0</v>
      </c>
      <c r="R400" s="307"/>
      <c r="S400" s="314" t="str">
        <f t="shared" si="128"/>
        <v>ok</v>
      </c>
      <c r="T400" s="306"/>
      <c r="U400" s="314"/>
      <c r="V400" s="314"/>
      <c r="W400" s="314"/>
      <c r="X400" s="306"/>
    </row>
    <row r="401" spans="1:24" s="8" customFormat="1" ht="16.5" customHeight="1">
      <c r="A401" s="1101" t="s">
        <v>1536</v>
      </c>
      <c r="B401" s="1101" t="s">
        <v>1981</v>
      </c>
      <c r="C401" s="1104" t="s">
        <v>51</v>
      </c>
      <c r="D401" s="1105">
        <v>183</v>
      </c>
      <c r="E401" s="1106">
        <v>9.43</v>
      </c>
      <c r="F401" s="841">
        <f t="shared" si="126"/>
        <v>1725.69</v>
      </c>
      <c r="G401" s="1049">
        <v>0</v>
      </c>
      <c r="H401" s="306">
        <v>0</v>
      </c>
      <c r="I401" s="307">
        <v>0</v>
      </c>
      <c r="J401" s="1046"/>
      <c r="K401" s="306">
        <f t="shared" si="129"/>
        <v>0</v>
      </c>
      <c r="L401" s="307">
        <f t="shared" si="130"/>
        <v>0</v>
      </c>
      <c r="M401" s="1047">
        <f t="shared" si="131"/>
        <v>0</v>
      </c>
      <c r="N401" s="306">
        <f t="shared" si="132"/>
        <v>0</v>
      </c>
      <c r="O401" s="307">
        <f t="shared" si="133"/>
        <v>0</v>
      </c>
      <c r="P401" s="1047">
        <f t="shared" si="134"/>
        <v>183</v>
      </c>
      <c r="Q401" s="306">
        <f t="shared" si="127"/>
        <v>1725.69</v>
      </c>
      <c r="R401" s="307">
        <f t="shared" si="135"/>
        <v>1</v>
      </c>
      <c r="S401" s="314" t="str">
        <f t="shared" si="128"/>
        <v>ok</v>
      </c>
      <c r="T401" s="306"/>
      <c r="U401" s="314"/>
      <c r="V401" s="314"/>
      <c r="W401" s="314"/>
      <c r="X401" s="306"/>
    </row>
    <row r="402" spans="1:24" s="8" customFormat="1" ht="16.5" customHeight="1">
      <c r="A402" s="1101" t="s">
        <v>1537</v>
      </c>
      <c r="B402" s="1101" t="s">
        <v>1982</v>
      </c>
      <c r="C402" s="1104" t="s">
        <v>52</v>
      </c>
      <c r="D402" s="1105">
        <v>69</v>
      </c>
      <c r="E402" s="1106">
        <v>8.2899999999999991</v>
      </c>
      <c r="F402" s="841">
        <f t="shared" si="126"/>
        <v>572.01</v>
      </c>
      <c r="G402" s="1049">
        <v>0</v>
      </c>
      <c r="H402" s="306">
        <v>0</v>
      </c>
      <c r="I402" s="307">
        <v>0</v>
      </c>
      <c r="J402" s="1046"/>
      <c r="K402" s="306">
        <f t="shared" si="129"/>
        <v>0</v>
      </c>
      <c r="L402" s="307">
        <f t="shared" si="130"/>
        <v>0</v>
      </c>
      <c r="M402" s="1047">
        <f t="shared" si="131"/>
        <v>0</v>
      </c>
      <c r="N402" s="306">
        <f t="shared" si="132"/>
        <v>0</v>
      </c>
      <c r="O402" s="307">
        <f t="shared" si="133"/>
        <v>0</v>
      </c>
      <c r="P402" s="1047">
        <f t="shared" si="134"/>
        <v>69</v>
      </c>
      <c r="Q402" s="306">
        <f t="shared" si="127"/>
        <v>572.01</v>
      </c>
      <c r="R402" s="307">
        <f t="shared" si="135"/>
        <v>1</v>
      </c>
      <c r="S402" s="314" t="str">
        <f t="shared" si="128"/>
        <v>ok</v>
      </c>
      <c r="T402" s="306"/>
      <c r="U402" s="314"/>
      <c r="V402" s="314"/>
      <c r="W402" s="314"/>
      <c r="X402" s="306"/>
    </row>
    <row r="403" spans="1:24" s="8" customFormat="1" ht="16.5" customHeight="1">
      <c r="A403" s="1101" t="s">
        <v>1538</v>
      </c>
      <c r="B403" s="1101" t="s">
        <v>1983</v>
      </c>
      <c r="C403" s="1104" t="s">
        <v>52</v>
      </c>
      <c r="D403" s="1105">
        <v>177</v>
      </c>
      <c r="E403" s="1106">
        <v>8.9600000000000009</v>
      </c>
      <c r="F403" s="841">
        <f t="shared" ref="F403:F466" si="136">+D403*E403</f>
        <v>1585.92</v>
      </c>
      <c r="G403" s="1049">
        <v>0</v>
      </c>
      <c r="H403" s="306">
        <v>0</v>
      </c>
      <c r="I403" s="307">
        <v>0</v>
      </c>
      <c r="J403" s="1046"/>
      <c r="K403" s="306">
        <f t="shared" si="129"/>
        <v>0</v>
      </c>
      <c r="L403" s="307">
        <f t="shared" si="130"/>
        <v>0</v>
      </c>
      <c r="M403" s="1047">
        <f t="shared" si="131"/>
        <v>0</v>
      </c>
      <c r="N403" s="306">
        <f t="shared" si="132"/>
        <v>0</v>
      </c>
      <c r="O403" s="307">
        <f t="shared" si="133"/>
        <v>0</v>
      </c>
      <c r="P403" s="1047">
        <f t="shared" si="134"/>
        <v>177</v>
      </c>
      <c r="Q403" s="306">
        <f t="shared" si="127"/>
        <v>1585.92</v>
      </c>
      <c r="R403" s="307">
        <f t="shared" si="135"/>
        <v>1</v>
      </c>
      <c r="S403" s="314" t="str">
        <f t="shared" si="128"/>
        <v>ok</v>
      </c>
      <c r="T403" s="306"/>
      <c r="U403" s="314"/>
      <c r="V403" s="314"/>
      <c r="W403" s="314"/>
      <c r="X403" s="306"/>
    </row>
    <row r="404" spans="1:24" s="8" customFormat="1" ht="16.5" customHeight="1">
      <c r="A404" s="1101" t="s">
        <v>1539</v>
      </c>
      <c r="B404" s="1101" t="s">
        <v>2034</v>
      </c>
      <c r="C404" s="1104" t="s">
        <v>51</v>
      </c>
      <c r="D404" s="1105">
        <v>4</v>
      </c>
      <c r="E404" s="1106">
        <v>39.090000000000003</v>
      </c>
      <c r="F404" s="841">
        <f t="shared" si="136"/>
        <v>156.36000000000001</v>
      </c>
      <c r="G404" s="1049">
        <v>0</v>
      </c>
      <c r="H404" s="306">
        <v>0</v>
      </c>
      <c r="I404" s="307">
        <v>0</v>
      </c>
      <c r="J404" s="1046"/>
      <c r="K404" s="306">
        <f t="shared" si="129"/>
        <v>0</v>
      </c>
      <c r="L404" s="307">
        <f t="shared" si="130"/>
        <v>0</v>
      </c>
      <c r="M404" s="1047">
        <f t="shared" si="131"/>
        <v>0</v>
      </c>
      <c r="N404" s="306">
        <f t="shared" si="132"/>
        <v>0</v>
      </c>
      <c r="O404" s="307">
        <f t="shared" si="133"/>
        <v>0</v>
      </c>
      <c r="P404" s="1047">
        <f t="shared" si="134"/>
        <v>4</v>
      </c>
      <c r="Q404" s="306">
        <f t="shared" si="127"/>
        <v>156.36000000000001</v>
      </c>
      <c r="R404" s="307">
        <f t="shared" si="135"/>
        <v>1</v>
      </c>
      <c r="S404" s="314" t="str">
        <f t="shared" si="128"/>
        <v>ok</v>
      </c>
      <c r="T404" s="306"/>
      <c r="U404" s="314"/>
      <c r="V404" s="314"/>
      <c r="W404" s="314"/>
      <c r="X404" s="306"/>
    </row>
    <row r="405" spans="1:24" s="8" customFormat="1" ht="16.5" customHeight="1">
      <c r="A405" s="1101" t="s">
        <v>1540</v>
      </c>
      <c r="B405" s="1401" t="s">
        <v>2035</v>
      </c>
      <c r="C405" s="1104" t="s">
        <v>52</v>
      </c>
      <c r="D405" s="1105">
        <v>4</v>
      </c>
      <c r="E405" s="1106">
        <v>9.1300000000000008</v>
      </c>
      <c r="F405" s="841">
        <f t="shared" si="136"/>
        <v>36.520000000000003</v>
      </c>
      <c r="G405" s="1049">
        <v>0</v>
      </c>
      <c r="H405" s="306">
        <v>0</v>
      </c>
      <c r="I405" s="307">
        <v>0</v>
      </c>
      <c r="J405" s="1046"/>
      <c r="K405" s="306">
        <f t="shared" si="129"/>
        <v>0</v>
      </c>
      <c r="L405" s="307">
        <f t="shared" si="130"/>
        <v>0</v>
      </c>
      <c r="M405" s="1047">
        <f t="shared" si="131"/>
        <v>0</v>
      </c>
      <c r="N405" s="306">
        <f t="shared" si="132"/>
        <v>0</v>
      </c>
      <c r="O405" s="307">
        <f t="shared" si="133"/>
        <v>0</v>
      </c>
      <c r="P405" s="1047">
        <f t="shared" si="134"/>
        <v>4</v>
      </c>
      <c r="Q405" s="306">
        <f t="shared" ref="Q405:Q468" si="137">F405-N405</f>
        <v>36.520000000000003</v>
      </c>
      <c r="R405" s="307">
        <f t="shared" si="135"/>
        <v>1</v>
      </c>
      <c r="S405" s="314" t="str">
        <f t="shared" ref="S405:S468" si="138">IF(M405&gt;D405,"mayormetrado","ok")</f>
        <v>ok</v>
      </c>
      <c r="T405" s="306"/>
      <c r="U405" s="314"/>
      <c r="V405" s="314"/>
      <c r="W405" s="314"/>
      <c r="X405" s="306"/>
    </row>
    <row r="406" spans="1:24" s="8" customFormat="1" ht="16.5" customHeight="1">
      <c r="A406" s="1101" t="s">
        <v>1541</v>
      </c>
      <c r="B406" s="1401" t="s">
        <v>1984</v>
      </c>
      <c r="C406" s="1104" t="s">
        <v>51</v>
      </c>
      <c r="D406" s="1105">
        <v>736</v>
      </c>
      <c r="E406" s="1106">
        <v>40.46</v>
      </c>
      <c r="F406" s="841">
        <f t="shared" si="136"/>
        <v>29778.560000000001</v>
      </c>
      <c r="G406" s="1049">
        <v>672</v>
      </c>
      <c r="H406" s="306">
        <v>27189.119999999999</v>
      </c>
      <c r="I406" s="307">
        <v>0.91304347826086951</v>
      </c>
      <c r="J406" s="1046"/>
      <c r="K406" s="306">
        <f t="shared" si="129"/>
        <v>0</v>
      </c>
      <c r="L406" s="307">
        <f t="shared" si="130"/>
        <v>0</v>
      </c>
      <c r="M406" s="1047">
        <f t="shared" si="131"/>
        <v>672</v>
      </c>
      <c r="N406" s="306">
        <f t="shared" si="132"/>
        <v>27189.119999999999</v>
      </c>
      <c r="O406" s="307">
        <f t="shared" si="133"/>
        <v>0.91304347826086951</v>
      </c>
      <c r="P406" s="1047">
        <f t="shared" si="134"/>
        <v>64</v>
      </c>
      <c r="Q406" s="306">
        <f t="shared" si="137"/>
        <v>2589.4400000000023</v>
      </c>
      <c r="R406" s="307">
        <f t="shared" si="135"/>
        <v>8.6956521739130516E-2</v>
      </c>
      <c r="S406" s="314" t="str">
        <f t="shared" si="138"/>
        <v>ok</v>
      </c>
      <c r="T406" s="306"/>
      <c r="U406" s="314"/>
      <c r="V406" s="314"/>
      <c r="W406" s="314"/>
      <c r="X406" s="306"/>
    </row>
    <row r="407" spans="1:24" s="8" customFormat="1" ht="16.5" customHeight="1">
      <c r="A407" s="1101" t="s">
        <v>1542</v>
      </c>
      <c r="B407" s="1401" t="s">
        <v>1985</v>
      </c>
      <c r="C407" s="1104" t="s">
        <v>52</v>
      </c>
      <c r="D407" s="1105">
        <v>158</v>
      </c>
      <c r="E407" s="1106">
        <v>20.45</v>
      </c>
      <c r="F407" s="841">
        <f t="shared" si="136"/>
        <v>3231.1</v>
      </c>
      <c r="G407" s="1049">
        <v>157</v>
      </c>
      <c r="H407" s="306">
        <v>3210.65</v>
      </c>
      <c r="I407" s="307">
        <v>0.99367088607594944</v>
      </c>
      <c r="J407" s="1046"/>
      <c r="K407" s="306">
        <f t="shared" si="129"/>
        <v>0</v>
      </c>
      <c r="L407" s="307">
        <f t="shared" si="130"/>
        <v>0</v>
      </c>
      <c r="M407" s="1047">
        <f t="shared" si="131"/>
        <v>157</v>
      </c>
      <c r="N407" s="306">
        <f t="shared" si="132"/>
        <v>3210.65</v>
      </c>
      <c r="O407" s="307">
        <f t="shared" si="133"/>
        <v>0.99367088607594944</v>
      </c>
      <c r="P407" s="1047">
        <f t="shared" si="134"/>
        <v>1</v>
      </c>
      <c r="Q407" s="306">
        <f t="shared" si="137"/>
        <v>20.449999999999818</v>
      </c>
      <c r="R407" s="307">
        <f t="shared" si="135"/>
        <v>6.3291139240505764E-3</v>
      </c>
      <c r="S407" s="314" t="str">
        <f t="shared" si="138"/>
        <v>ok</v>
      </c>
      <c r="T407" s="306"/>
      <c r="U407" s="314"/>
      <c r="V407" s="314"/>
      <c r="W407" s="314"/>
      <c r="X407" s="306"/>
    </row>
    <row r="408" spans="1:24" s="8" customFormat="1" ht="16.5" customHeight="1">
      <c r="A408" s="1101" t="s">
        <v>1543</v>
      </c>
      <c r="B408" s="1401" t="s">
        <v>1986</v>
      </c>
      <c r="C408" s="1104" t="s">
        <v>52</v>
      </c>
      <c r="D408" s="1105">
        <v>449</v>
      </c>
      <c r="E408" s="1106">
        <v>20.45</v>
      </c>
      <c r="F408" s="841">
        <f t="shared" si="136"/>
        <v>9182.0499999999993</v>
      </c>
      <c r="G408" s="1049">
        <v>314</v>
      </c>
      <c r="H408" s="306">
        <v>6421.3</v>
      </c>
      <c r="I408" s="307">
        <v>0.69933184855233865</v>
      </c>
      <c r="J408" s="1046"/>
      <c r="K408" s="306">
        <f t="shared" si="129"/>
        <v>0</v>
      </c>
      <c r="L408" s="307">
        <f t="shared" si="130"/>
        <v>0</v>
      </c>
      <c r="M408" s="1047">
        <f t="shared" si="131"/>
        <v>314</v>
      </c>
      <c r="N408" s="306">
        <f t="shared" si="132"/>
        <v>6421.3</v>
      </c>
      <c r="O408" s="307">
        <f t="shared" si="133"/>
        <v>0.69933184855233865</v>
      </c>
      <c r="P408" s="1047">
        <f t="shared" si="134"/>
        <v>135</v>
      </c>
      <c r="Q408" s="306">
        <f t="shared" si="137"/>
        <v>2760.7499999999991</v>
      </c>
      <c r="R408" s="307">
        <f t="shared" si="135"/>
        <v>0.3006681514476614</v>
      </c>
      <c r="S408" s="314" t="str">
        <f t="shared" si="138"/>
        <v>ok</v>
      </c>
      <c r="T408" s="306"/>
      <c r="U408" s="314"/>
      <c r="V408" s="314"/>
      <c r="W408" s="314"/>
      <c r="X408" s="306"/>
    </row>
    <row r="409" spans="1:24" s="8" customFormat="1" ht="16.5" customHeight="1">
      <c r="A409" s="1101" t="s">
        <v>1544</v>
      </c>
      <c r="B409" s="1103" t="s">
        <v>1987</v>
      </c>
      <c r="C409" s="1103"/>
      <c r="D409" s="1105"/>
      <c r="E409" s="1107"/>
      <c r="F409" s="841"/>
      <c r="G409" s="1049"/>
      <c r="H409" s="306"/>
      <c r="I409" s="307"/>
      <c r="J409" s="1046"/>
      <c r="K409" s="306"/>
      <c r="L409" s="307"/>
      <c r="M409" s="1047"/>
      <c r="N409" s="306"/>
      <c r="O409" s="307"/>
      <c r="P409" s="1047"/>
      <c r="Q409" s="306">
        <f t="shared" si="137"/>
        <v>0</v>
      </c>
      <c r="R409" s="307"/>
      <c r="S409" s="314" t="str">
        <f t="shared" si="138"/>
        <v>ok</v>
      </c>
      <c r="T409" s="306"/>
      <c r="U409" s="314"/>
      <c r="V409" s="314"/>
      <c r="W409" s="314"/>
      <c r="X409" s="306"/>
    </row>
    <row r="410" spans="1:24" s="8" customFormat="1" ht="16.5" customHeight="1">
      <c r="A410" s="1101" t="s">
        <v>1545</v>
      </c>
      <c r="B410" s="1101" t="s">
        <v>1988</v>
      </c>
      <c r="C410" s="1104" t="s">
        <v>2145</v>
      </c>
      <c r="D410" s="1105">
        <v>34</v>
      </c>
      <c r="E410" s="1106">
        <v>29.32</v>
      </c>
      <c r="F410" s="841">
        <f t="shared" si="136"/>
        <v>996.88</v>
      </c>
      <c r="G410" s="1049">
        <v>34</v>
      </c>
      <c r="H410" s="306">
        <v>996.88</v>
      </c>
      <c r="I410" s="307">
        <v>1</v>
      </c>
      <c r="J410" s="1046"/>
      <c r="K410" s="306">
        <f t="shared" si="129"/>
        <v>0</v>
      </c>
      <c r="L410" s="307">
        <f t="shared" si="130"/>
        <v>0</v>
      </c>
      <c r="M410" s="1047">
        <f t="shared" si="131"/>
        <v>34</v>
      </c>
      <c r="N410" s="306">
        <f t="shared" si="132"/>
        <v>996.88</v>
      </c>
      <c r="O410" s="307">
        <f t="shared" si="133"/>
        <v>1</v>
      </c>
      <c r="P410" s="1047">
        <f t="shared" si="134"/>
        <v>0</v>
      </c>
      <c r="Q410" s="306">
        <f t="shared" si="137"/>
        <v>0</v>
      </c>
      <c r="R410" s="307">
        <f t="shared" si="135"/>
        <v>0</v>
      </c>
      <c r="S410" s="314" t="str">
        <f t="shared" si="138"/>
        <v>ok</v>
      </c>
      <c r="T410" s="306"/>
      <c r="U410" s="314"/>
      <c r="V410" s="314"/>
      <c r="W410" s="314"/>
      <c r="X410" s="306"/>
    </row>
    <row r="411" spans="1:24" s="8" customFormat="1" ht="16.5" customHeight="1">
      <c r="A411" s="1101" t="s">
        <v>1546</v>
      </c>
      <c r="B411" s="1101" t="s">
        <v>2036</v>
      </c>
      <c r="C411" s="1104" t="s">
        <v>2145</v>
      </c>
      <c r="D411" s="1105">
        <v>3</v>
      </c>
      <c r="E411" s="1106">
        <v>33.57</v>
      </c>
      <c r="F411" s="841">
        <f t="shared" si="136"/>
        <v>100.71000000000001</v>
      </c>
      <c r="G411" s="1049">
        <v>3</v>
      </c>
      <c r="H411" s="306">
        <v>100.71000000000001</v>
      </c>
      <c r="I411" s="307">
        <v>1</v>
      </c>
      <c r="J411" s="1046"/>
      <c r="K411" s="306">
        <f t="shared" si="129"/>
        <v>0</v>
      </c>
      <c r="L411" s="307">
        <f t="shared" si="130"/>
        <v>0</v>
      </c>
      <c r="M411" s="1047">
        <f t="shared" si="131"/>
        <v>3</v>
      </c>
      <c r="N411" s="306">
        <f t="shared" si="132"/>
        <v>100.71000000000001</v>
      </c>
      <c r="O411" s="307">
        <f t="shared" si="133"/>
        <v>1</v>
      </c>
      <c r="P411" s="1047">
        <f t="shared" si="134"/>
        <v>0</v>
      </c>
      <c r="Q411" s="306">
        <f t="shared" si="137"/>
        <v>0</v>
      </c>
      <c r="R411" s="307">
        <f t="shared" si="135"/>
        <v>0</v>
      </c>
      <c r="S411" s="314" t="str">
        <f t="shared" si="138"/>
        <v>ok</v>
      </c>
      <c r="T411" s="306"/>
      <c r="U411" s="314"/>
      <c r="V411" s="314"/>
      <c r="W411" s="314"/>
      <c r="X411" s="306"/>
    </row>
    <row r="412" spans="1:24" s="8" customFormat="1" ht="16.5" customHeight="1">
      <c r="A412" s="1101" t="s">
        <v>1547</v>
      </c>
      <c r="B412" s="1101" t="s">
        <v>1989</v>
      </c>
      <c r="C412" s="1104" t="s">
        <v>52</v>
      </c>
      <c r="D412" s="1105">
        <v>147</v>
      </c>
      <c r="E412" s="1106">
        <v>53.74</v>
      </c>
      <c r="F412" s="841">
        <f t="shared" si="136"/>
        <v>7899.7800000000007</v>
      </c>
      <c r="G412" s="1049">
        <v>147</v>
      </c>
      <c r="H412" s="306">
        <v>7899.7800000000007</v>
      </c>
      <c r="I412" s="307">
        <v>1</v>
      </c>
      <c r="J412" s="1046"/>
      <c r="K412" s="306">
        <f t="shared" si="129"/>
        <v>0</v>
      </c>
      <c r="L412" s="307">
        <f t="shared" si="130"/>
        <v>0</v>
      </c>
      <c r="M412" s="1047">
        <f t="shared" si="131"/>
        <v>147</v>
      </c>
      <c r="N412" s="306">
        <f t="shared" si="132"/>
        <v>7899.7800000000007</v>
      </c>
      <c r="O412" s="307">
        <f t="shared" si="133"/>
        <v>1</v>
      </c>
      <c r="P412" s="1047">
        <f t="shared" si="134"/>
        <v>0</v>
      </c>
      <c r="Q412" s="306">
        <f t="shared" si="137"/>
        <v>0</v>
      </c>
      <c r="R412" s="307">
        <f t="shared" si="135"/>
        <v>0</v>
      </c>
      <c r="S412" s="314" t="str">
        <f t="shared" si="138"/>
        <v>ok</v>
      </c>
      <c r="T412" s="306"/>
      <c r="U412" s="314"/>
      <c r="V412" s="314"/>
      <c r="W412" s="314"/>
      <c r="X412" s="306"/>
    </row>
    <row r="413" spans="1:24" s="8" customFormat="1" ht="16.5" customHeight="1">
      <c r="A413" s="1101" t="s">
        <v>1548</v>
      </c>
      <c r="B413" s="1103" t="s">
        <v>2037</v>
      </c>
      <c r="C413" s="1103"/>
      <c r="D413" s="1105"/>
      <c r="E413" s="1107"/>
      <c r="F413" s="841"/>
      <c r="G413" s="1049"/>
      <c r="H413" s="306"/>
      <c r="I413" s="307"/>
      <c r="J413" s="1046"/>
      <c r="K413" s="306"/>
      <c r="L413" s="307"/>
      <c r="M413" s="1047"/>
      <c r="N413" s="306"/>
      <c r="O413" s="307"/>
      <c r="P413" s="1047"/>
      <c r="Q413" s="306">
        <f t="shared" si="137"/>
        <v>0</v>
      </c>
      <c r="R413" s="307"/>
      <c r="S413" s="314" t="str">
        <f t="shared" si="138"/>
        <v>ok</v>
      </c>
      <c r="T413" s="306"/>
      <c r="U413" s="314"/>
      <c r="V413" s="314"/>
      <c r="W413" s="314"/>
      <c r="X413" s="306"/>
    </row>
    <row r="414" spans="1:24" s="8" customFormat="1" ht="16.5" customHeight="1">
      <c r="A414" s="1101" t="s">
        <v>1549</v>
      </c>
      <c r="B414" s="1101" t="s">
        <v>2038</v>
      </c>
      <c r="C414" s="1104" t="s">
        <v>1145</v>
      </c>
      <c r="D414" s="1105">
        <v>48</v>
      </c>
      <c r="E414" s="1106">
        <v>20.86</v>
      </c>
      <c r="F414" s="841">
        <f t="shared" si="136"/>
        <v>1001.28</v>
      </c>
      <c r="G414" s="1049">
        <v>40</v>
      </c>
      <c r="H414" s="306">
        <v>834.4</v>
      </c>
      <c r="I414" s="307">
        <v>0.83333333333333337</v>
      </c>
      <c r="J414" s="1046"/>
      <c r="K414" s="306">
        <f t="shared" si="129"/>
        <v>0</v>
      </c>
      <c r="L414" s="307">
        <f t="shared" si="130"/>
        <v>0</v>
      </c>
      <c r="M414" s="1047">
        <f t="shared" si="131"/>
        <v>40</v>
      </c>
      <c r="N414" s="306">
        <f t="shared" si="132"/>
        <v>834.4</v>
      </c>
      <c r="O414" s="307">
        <f t="shared" si="133"/>
        <v>0.83333333333333337</v>
      </c>
      <c r="P414" s="1047">
        <f t="shared" si="134"/>
        <v>8</v>
      </c>
      <c r="Q414" s="306">
        <f t="shared" si="137"/>
        <v>166.88</v>
      </c>
      <c r="R414" s="307">
        <f t="shared" si="135"/>
        <v>0.16666666666666666</v>
      </c>
      <c r="S414" s="314" t="str">
        <f t="shared" si="138"/>
        <v>ok</v>
      </c>
      <c r="T414" s="306"/>
      <c r="U414" s="314"/>
      <c r="V414" s="314"/>
      <c r="W414" s="314"/>
      <c r="X414" s="306"/>
    </row>
    <row r="415" spans="1:24" s="8" customFormat="1" ht="16.5" customHeight="1">
      <c r="A415" s="1101" t="s">
        <v>1550</v>
      </c>
      <c r="B415" s="1101" t="s">
        <v>2039</v>
      </c>
      <c r="C415" s="1104" t="s">
        <v>1145</v>
      </c>
      <c r="D415" s="1105">
        <v>24</v>
      </c>
      <c r="E415" s="1106">
        <v>22.4</v>
      </c>
      <c r="F415" s="841">
        <f t="shared" si="136"/>
        <v>537.59999999999991</v>
      </c>
      <c r="G415" s="1049">
        <v>24</v>
      </c>
      <c r="H415" s="306">
        <v>537.59999999999991</v>
      </c>
      <c r="I415" s="307">
        <v>1</v>
      </c>
      <c r="J415" s="1046"/>
      <c r="K415" s="306">
        <f t="shared" si="129"/>
        <v>0</v>
      </c>
      <c r="L415" s="307">
        <f t="shared" si="130"/>
        <v>0</v>
      </c>
      <c r="M415" s="1047">
        <f t="shared" si="131"/>
        <v>24</v>
      </c>
      <c r="N415" s="306">
        <f t="shared" si="132"/>
        <v>537.59999999999991</v>
      </c>
      <c r="O415" s="307">
        <f t="shared" si="133"/>
        <v>1</v>
      </c>
      <c r="P415" s="1047">
        <f t="shared" si="134"/>
        <v>0</v>
      </c>
      <c r="Q415" s="306">
        <f t="shared" si="137"/>
        <v>0</v>
      </c>
      <c r="R415" s="307">
        <f t="shared" si="135"/>
        <v>0</v>
      </c>
      <c r="S415" s="314" t="str">
        <f t="shared" si="138"/>
        <v>ok</v>
      </c>
      <c r="T415" s="306"/>
      <c r="U415" s="314"/>
      <c r="V415" s="314"/>
      <c r="W415" s="314"/>
      <c r="X415" s="306"/>
    </row>
    <row r="416" spans="1:24" s="8" customFormat="1" ht="16.5" customHeight="1">
      <c r="A416" s="1101" t="s">
        <v>1551</v>
      </c>
      <c r="B416" s="1101" t="s">
        <v>2040</v>
      </c>
      <c r="C416" s="1104" t="s">
        <v>1145</v>
      </c>
      <c r="D416" s="1105">
        <v>126</v>
      </c>
      <c r="E416" s="1106">
        <v>62.22</v>
      </c>
      <c r="F416" s="841">
        <f t="shared" si="136"/>
        <v>7839.72</v>
      </c>
      <c r="G416" s="1049">
        <v>109</v>
      </c>
      <c r="H416" s="306">
        <v>6781.98</v>
      </c>
      <c r="I416" s="307">
        <v>0.865079365079365</v>
      </c>
      <c r="J416" s="1046"/>
      <c r="K416" s="306">
        <f t="shared" si="129"/>
        <v>0</v>
      </c>
      <c r="L416" s="307">
        <f t="shared" si="130"/>
        <v>0</v>
      </c>
      <c r="M416" s="1047">
        <f t="shared" si="131"/>
        <v>109</v>
      </c>
      <c r="N416" s="306">
        <f t="shared" si="132"/>
        <v>6781.98</v>
      </c>
      <c r="O416" s="307">
        <f t="shared" si="133"/>
        <v>0.865079365079365</v>
      </c>
      <c r="P416" s="1047">
        <f t="shared" si="134"/>
        <v>17</v>
      </c>
      <c r="Q416" s="306">
        <f t="shared" si="137"/>
        <v>1057.7400000000007</v>
      </c>
      <c r="R416" s="307">
        <f t="shared" si="135"/>
        <v>0.134920634920635</v>
      </c>
      <c r="S416" s="314" t="str">
        <f t="shared" si="138"/>
        <v>ok</v>
      </c>
      <c r="T416" s="306"/>
      <c r="U416" s="314"/>
      <c r="V416" s="314"/>
      <c r="W416" s="314"/>
      <c r="X416" s="306"/>
    </row>
    <row r="417" spans="1:24" s="8" customFormat="1" ht="16.5" customHeight="1">
      <c r="A417" s="1101" t="s">
        <v>1552</v>
      </c>
      <c r="B417" s="1101" t="s">
        <v>2041</v>
      </c>
      <c r="C417" s="1104" t="s">
        <v>1145</v>
      </c>
      <c r="D417" s="1105">
        <v>1</v>
      </c>
      <c r="E417" s="1106">
        <v>29.69</v>
      </c>
      <c r="F417" s="841">
        <f t="shared" si="136"/>
        <v>29.69</v>
      </c>
      <c r="G417" s="1049">
        <v>1</v>
      </c>
      <c r="H417" s="306">
        <v>29.69</v>
      </c>
      <c r="I417" s="307">
        <v>1</v>
      </c>
      <c r="J417" s="1046"/>
      <c r="K417" s="306">
        <f t="shared" si="129"/>
        <v>0</v>
      </c>
      <c r="L417" s="307">
        <f t="shared" si="130"/>
        <v>0</v>
      </c>
      <c r="M417" s="1047">
        <f t="shared" si="131"/>
        <v>1</v>
      </c>
      <c r="N417" s="306">
        <f t="shared" si="132"/>
        <v>29.69</v>
      </c>
      <c r="O417" s="307">
        <f t="shared" si="133"/>
        <v>1</v>
      </c>
      <c r="P417" s="1047">
        <f t="shared" si="134"/>
        <v>0</v>
      </c>
      <c r="Q417" s="306">
        <f t="shared" si="137"/>
        <v>0</v>
      </c>
      <c r="R417" s="307">
        <f t="shared" si="135"/>
        <v>0</v>
      </c>
      <c r="S417" s="314" t="str">
        <f t="shared" si="138"/>
        <v>ok</v>
      </c>
      <c r="T417" s="306"/>
      <c r="U417" s="314"/>
      <c r="V417" s="314"/>
      <c r="W417" s="314"/>
      <c r="X417" s="306"/>
    </row>
    <row r="418" spans="1:24" s="8" customFormat="1" ht="16.5" customHeight="1">
      <c r="A418" s="1101" t="s">
        <v>1553</v>
      </c>
      <c r="B418" s="1101" t="s">
        <v>2042</v>
      </c>
      <c r="C418" s="1104" t="s">
        <v>1145</v>
      </c>
      <c r="D418" s="1105">
        <v>9</v>
      </c>
      <c r="E418" s="1106">
        <v>31.07</v>
      </c>
      <c r="F418" s="841">
        <f t="shared" si="136"/>
        <v>279.63</v>
      </c>
      <c r="G418" s="1049">
        <v>9</v>
      </c>
      <c r="H418" s="306">
        <v>279.63</v>
      </c>
      <c r="I418" s="307">
        <v>1</v>
      </c>
      <c r="J418" s="1046"/>
      <c r="K418" s="306">
        <f t="shared" si="129"/>
        <v>0</v>
      </c>
      <c r="L418" s="307">
        <f t="shared" si="130"/>
        <v>0</v>
      </c>
      <c r="M418" s="1047">
        <f t="shared" si="131"/>
        <v>9</v>
      </c>
      <c r="N418" s="306">
        <f t="shared" si="132"/>
        <v>279.63</v>
      </c>
      <c r="O418" s="307">
        <f t="shared" si="133"/>
        <v>1</v>
      </c>
      <c r="P418" s="1047">
        <f t="shared" si="134"/>
        <v>0</v>
      </c>
      <c r="Q418" s="306">
        <f t="shared" si="137"/>
        <v>0</v>
      </c>
      <c r="R418" s="307">
        <f t="shared" si="135"/>
        <v>0</v>
      </c>
      <c r="S418" s="314" t="str">
        <f t="shared" si="138"/>
        <v>ok</v>
      </c>
      <c r="T418" s="306"/>
      <c r="U418" s="314"/>
      <c r="V418" s="314"/>
      <c r="W418" s="314"/>
      <c r="X418" s="306"/>
    </row>
    <row r="419" spans="1:24" s="8" customFormat="1" ht="16.5" customHeight="1">
      <c r="A419" s="1101" t="s">
        <v>1554</v>
      </c>
      <c r="B419" s="1103" t="s">
        <v>2043</v>
      </c>
      <c r="C419" s="1103"/>
      <c r="D419" s="1105"/>
      <c r="E419" s="1107"/>
      <c r="F419" s="841"/>
      <c r="G419" s="1049"/>
      <c r="H419" s="306"/>
      <c r="I419" s="307"/>
      <c r="J419" s="1046"/>
      <c r="K419" s="306"/>
      <c r="L419" s="307"/>
      <c r="M419" s="1047"/>
      <c r="N419" s="306"/>
      <c r="O419" s="307"/>
      <c r="P419" s="1047"/>
      <c r="Q419" s="306">
        <f t="shared" si="137"/>
        <v>0</v>
      </c>
      <c r="R419" s="307"/>
      <c r="S419" s="314" t="str">
        <f t="shared" si="138"/>
        <v>ok</v>
      </c>
      <c r="T419" s="306"/>
      <c r="U419" s="314"/>
      <c r="V419" s="314"/>
      <c r="W419" s="314"/>
      <c r="X419" s="306"/>
    </row>
    <row r="420" spans="1:24" s="8" customFormat="1" ht="16.5" customHeight="1">
      <c r="A420" s="1101" t="s">
        <v>1555</v>
      </c>
      <c r="B420" s="1103" t="s">
        <v>2044</v>
      </c>
      <c r="C420" s="1103"/>
      <c r="D420" s="1105"/>
      <c r="E420" s="1107"/>
      <c r="F420" s="841"/>
      <c r="G420" s="1049"/>
      <c r="H420" s="306"/>
      <c r="I420" s="307"/>
      <c r="J420" s="1046"/>
      <c r="K420" s="306"/>
      <c r="L420" s="307"/>
      <c r="M420" s="1047"/>
      <c r="N420" s="306"/>
      <c r="O420" s="307"/>
      <c r="P420" s="1047"/>
      <c r="Q420" s="306">
        <f t="shared" si="137"/>
        <v>0</v>
      </c>
      <c r="R420" s="307"/>
      <c r="S420" s="314" t="str">
        <f t="shared" si="138"/>
        <v>ok</v>
      </c>
      <c r="T420" s="306"/>
      <c r="U420" s="314"/>
      <c r="V420" s="314"/>
      <c r="W420" s="314"/>
      <c r="X420" s="306"/>
    </row>
    <row r="421" spans="1:24" s="8" customFormat="1" ht="16.5" customHeight="1">
      <c r="A421" s="1101" t="s">
        <v>1556</v>
      </c>
      <c r="B421" s="1101" t="s">
        <v>2045</v>
      </c>
      <c r="C421" s="1104" t="s">
        <v>52</v>
      </c>
      <c r="D421" s="1105">
        <v>1</v>
      </c>
      <c r="E421" s="1106">
        <v>5963.96</v>
      </c>
      <c r="F421" s="841">
        <f t="shared" si="136"/>
        <v>5963.96</v>
      </c>
      <c r="G421" s="1049">
        <v>0</v>
      </c>
      <c r="H421" s="306">
        <v>0</v>
      </c>
      <c r="I421" s="307">
        <v>0</v>
      </c>
      <c r="J421" s="1046"/>
      <c r="K421" s="306">
        <f t="shared" si="129"/>
        <v>0</v>
      </c>
      <c r="L421" s="307">
        <f t="shared" si="130"/>
        <v>0</v>
      </c>
      <c r="M421" s="1047">
        <f t="shared" si="131"/>
        <v>0</v>
      </c>
      <c r="N421" s="306">
        <f t="shared" si="132"/>
        <v>0</v>
      </c>
      <c r="O421" s="307">
        <f t="shared" si="133"/>
        <v>0</v>
      </c>
      <c r="P421" s="1047">
        <f t="shared" si="134"/>
        <v>1</v>
      </c>
      <c r="Q421" s="306">
        <f t="shared" si="137"/>
        <v>5963.96</v>
      </c>
      <c r="R421" s="307">
        <f t="shared" si="135"/>
        <v>1</v>
      </c>
      <c r="S421" s="314" t="str">
        <f t="shared" si="138"/>
        <v>ok</v>
      </c>
      <c r="T421" s="306"/>
      <c r="U421" s="314"/>
      <c r="V421" s="314"/>
      <c r="W421" s="314"/>
      <c r="X421" s="306"/>
    </row>
    <row r="422" spans="1:24" s="8" customFormat="1" ht="16.5" customHeight="1">
      <c r="A422" s="1101" t="s">
        <v>1557</v>
      </c>
      <c r="B422" s="1103" t="s">
        <v>2046</v>
      </c>
      <c r="C422" s="1103"/>
      <c r="D422" s="1105"/>
      <c r="E422" s="1107"/>
      <c r="F422" s="841"/>
      <c r="G422" s="1049"/>
      <c r="H422" s="306"/>
      <c r="I422" s="307"/>
      <c r="J422" s="1046"/>
      <c r="K422" s="306"/>
      <c r="L422" s="307"/>
      <c r="M422" s="1047"/>
      <c r="N422" s="306"/>
      <c r="O422" s="307"/>
      <c r="P422" s="1047"/>
      <c r="Q422" s="306">
        <f t="shared" si="137"/>
        <v>0</v>
      </c>
      <c r="R422" s="307"/>
      <c r="S422" s="314" t="str">
        <f t="shared" si="138"/>
        <v>ok</v>
      </c>
      <c r="T422" s="306"/>
      <c r="U422" s="314"/>
      <c r="V422" s="314"/>
      <c r="W422" s="314"/>
      <c r="X422" s="306"/>
    </row>
    <row r="423" spans="1:24" s="8" customFormat="1" ht="16.5" customHeight="1">
      <c r="A423" s="1101" t="s">
        <v>1558</v>
      </c>
      <c r="B423" s="1101" t="s">
        <v>2047</v>
      </c>
      <c r="C423" s="1104" t="s">
        <v>52</v>
      </c>
      <c r="D423" s="1105">
        <v>1</v>
      </c>
      <c r="E423" s="1106">
        <v>1350.59</v>
      </c>
      <c r="F423" s="841">
        <f t="shared" si="136"/>
        <v>1350.59</v>
      </c>
      <c r="G423" s="1049">
        <v>0</v>
      </c>
      <c r="H423" s="306">
        <v>0</v>
      </c>
      <c r="I423" s="307">
        <v>0</v>
      </c>
      <c r="J423" s="1046"/>
      <c r="K423" s="306">
        <f t="shared" si="129"/>
        <v>0</v>
      </c>
      <c r="L423" s="307">
        <f t="shared" si="130"/>
        <v>0</v>
      </c>
      <c r="M423" s="1047">
        <f t="shared" si="131"/>
        <v>0</v>
      </c>
      <c r="N423" s="306">
        <f t="shared" si="132"/>
        <v>0</v>
      </c>
      <c r="O423" s="307">
        <f t="shared" si="133"/>
        <v>0</v>
      </c>
      <c r="P423" s="1047">
        <f t="shared" si="134"/>
        <v>1</v>
      </c>
      <c r="Q423" s="306">
        <f t="shared" si="137"/>
        <v>1350.59</v>
      </c>
      <c r="R423" s="307">
        <f t="shared" si="135"/>
        <v>1</v>
      </c>
      <c r="S423" s="314" t="str">
        <f t="shared" si="138"/>
        <v>ok</v>
      </c>
      <c r="T423" s="306"/>
      <c r="U423" s="314"/>
      <c r="V423" s="314"/>
      <c r="W423" s="314"/>
      <c r="X423" s="306"/>
    </row>
    <row r="424" spans="1:24" s="8" customFormat="1" ht="16.5" customHeight="1">
      <c r="A424" s="1101" t="s">
        <v>1559</v>
      </c>
      <c r="B424" s="1103" t="s">
        <v>2048</v>
      </c>
      <c r="C424" s="1103"/>
      <c r="D424" s="1105"/>
      <c r="E424" s="1107"/>
      <c r="F424" s="841"/>
      <c r="G424" s="1049"/>
      <c r="H424" s="306"/>
      <c r="I424" s="307"/>
      <c r="J424" s="1046"/>
      <c r="K424" s="306"/>
      <c r="L424" s="307"/>
      <c r="M424" s="1047"/>
      <c r="N424" s="306"/>
      <c r="O424" s="307"/>
      <c r="P424" s="1047"/>
      <c r="Q424" s="306">
        <f t="shared" si="137"/>
        <v>0</v>
      </c>
      <c r="R424" s="307"/>
      <c r="S424" s="314" t="str">
        <f t="shared" si="138"/>
        <v>ok</v>
      </c>
      <c r="T424" s="306"/>
      <c r="U424" s="314"/>
      <c r="V424" s="314"/>
      <c r="W424" s="314"/>
      <c r="X424" s="306"/>
    </row>
    <row r="425" spans="1:24" s="8" customFormat="1" ht="16.5" customHeight="1">
      <c r="A425" s="1101" t="s">
        <v>1560</v>
      </c>
      <c r="B425" s="1101" t="s">
        <v>2049</v>
      </c>
      <c r="C425" s="1104" t="s">
        <v>52</v>
      </c>
      <c r="D425" s="1105">
        <v>115</v>
      </c>
      <c r="E425" s="1106">
        <v>194.11</v>
      </c>
      <c r="F425" s="841">
        <f t="shared" si="136"/>
        <v>22322.65</v>
      </c>
      <c r="G425" s="1049">
        <v>0</v>
      </c>
      <c r="H425" s="306">
        <v>0</v>
      </c>
      <c r="I425" s="307">
        <v>0</v>
      </c>
      <c r="J425" s="1046"/>
      <c r="K425" s="306">
        <f t="shared" si="129"/>
        <v>0</v>
      </c>
      <c r="L425" s="307">
        <f t="shared" si="130"/>
        <v>0</v>
      </c>
      <c r="M425" s="1047">
        <f t="shared" si="131"/>
        <v>0</v>
      </c>
      <c r="N425" s="306">
        <f t="shared" si="132"/>
        <v>0</v>
      </c>
      <c r="O425" s="307">
        <f t="shared" si="133"/>
        <v>0</v>
      </c>
      <c r="P425" s="1047">
        <f t="shared" si="134"/>
        <v>115</v>
      </c>
      <c r="Q425" s="306">
        <f t="shared" si="137"/>
        <v>22322.65</v>
      </c>
      <c r="R425" s="307">
        <f t="shared" si="135"/>
        <v>1</v>
      </c>
      <c r="S425" s="314" t="str">
        <f t="shared" si="138"/>
        <v>ok</v>
      </c>
      <c r="T425" s="306"/>
      <c r="U425" s="314"/>
      <c r="V425" s="314"/>
      <c r="W425" s="314"/>
      <c r="X425" s="306"/>
    </row>
    <row r="426" spans="1:24" s="8" customFormat="1" ht="16.5" customHeight="1">
      <c r="A426" s="1101" t="s">
        <v>1561</v>
      </c>
      <c r="B426" s="1101" t="s">
        <v>2050</v>
      </c>
      <c r="C426" s="1104" t="s">
        <v>52</v>
      </c>
      <c r="D426" s="1105">
        <v>12</v>
      </c>
      <c r="E426" s="1106">
        <v>272.86</v>
      </c>
      <c r="F426" s="841">
        <f t="shared" si="136"/>
        <v>3274.32</v>
      </c>
      <c r="G426" s="1049">
        <v>0</v>
      </c>
      <c r="H426" s="306">
        <v>0</v>
      </c>
      <c r="I426" s="307">
        <v>0</v>
      </c>
      <c r="J426" s="1046"/>
      <c r="K426" s="306">
        <f t="shared" si="129"/>
        <v>0</v>
      </c>
      <c r="L426" s="307">
        <f t="shared" si="130"/>
        <v>0</v>
      </c>
      <c r="M426" s="1047">
        <f t="shared" si="131"/>
        <v>0</v>
      </c>
      <c r="N426" s="306">
        <f t="shared" si="132"/>
        <v>0</v>
      </c>
      <c r="O426" s="307">
        <f t="shared" si="133"/>
        <v>0</v>
      </c>
      <c r="P426" s="1047">
        <f t="shared" si="134"/>
        <v>12</v>
      </c>
      <c r="Q426" s="306">
        <f t="shared" si="137"/>
        <v>3274.32</v>
      </c>
      <c r="R426" s="307">
        <f t="shared" si="135"/>
        <v>1</v>
      </c>
      <c r="S426" s="314" t="str">
        <f t="shared" si="138"/>
        <v>ok</v>
      </c>
      <c r="T426" s="306"/>
      <c r="U426" s="314"/>
      <c r="V426" s="314"/>
      <c r="W426" s="314"/>
      <c r="X426" s="306"/>
    </row>
    <row r="427" spans="1:24" s="8" customFormat="1" ht="16.5" customHeight="1">
      <c r="A427" s="1101" t="s">
        <v>1562</v>
      </c>
      <c r="B427" s="1101" t="s">
        <v>2051</v>
      </c>
      <c r="C427" s="1104" t="s">
        <v>52</v>
      </c>
      <c r="D427" s="1105">
        <v>9</v>
      </c>
      <c r="E427" s="1106">
        <v>377.6</v>
      </c>
      <c r="F427" s="841">
        <f t="shared" si="136"/>
        <v>3398.4</v>
      </c>
      <c r="G427" s="1049">
        <v>0</v>
      </c>
      <c r="H427" s="306">
        <v>0</v>
      </c>
      <c r="I427" s="307">
        <v>0</v>
      </c>
      <c r="J427" s="1046"/>
      <c r="K427" s="306">
        <f t="shared" si="129"/>
        <v>0</v>
      </c>
      <c r="L427" s="307">
        <f t="shared" si="130"/>
        <v>0</v>
      </c>
      <c r="M427" s="1047">
        <f t="shared" si="131"/>
        <v>0</v>
      </c>
      <c r="N427" s="306">
        <f t="shared" si="132"/>
        <v>0</v>
      </c>
      <c r="O427" s="307">
        <f t="shared" si="133"/>
        <v>0</v>
      </c>
      <c r="P427" s="1047">
        <f t="shared" si="134"/>
        <v>9</v>
      </c>
      <c r="Q427" s="306">
        <f t="shared" si="137"/>
        <v>3398.4</v>
      </c>
      <c r="R427" s="307">
        <f t="shared" si="135"/>
        <v>1</v>
      </c>
      <c r="S427" s="314" t="str">
        <f t="shared" si="138"/>
        <v>ok</v>
      </c>
      <c r="T427" s="306"/>
      <c r="U427" s="314"/>
      <c r="V427" s="314"/>
      <c r="W427" s="314"/>
      <c r="X427" s="306"/>
    </row>
    <row r="428" spans="1:24" s="8" customFormat="1" ht="16.5" customHeight="1">
      <c r="A428" s="1101" t="s">
        <v>1563</v>
      </c>
      <c r="B428" s="1101" t="s">
        <v>2052</v>
      </c>
      <c r="C428" s="1104" t="s">
        <v>52</v>
      </c>
      <c r="D428" s="1105">
        <v>24</v>
      </c>
      <c r="E428" s="1106">
        <v>329.14</v>
      </c>
      <c r="F428" s="841">
        <f t="shared" si="136"/>
        <v>7899.36</v>
      </c>
      <c r="G428" s="1049">
        <v>0</v>
      </c>
      <c r="H428" s="306">
        <v>0</v>
      </c>
      <c r="I428" s="307">
        <v>0</v>
      </c>
      <c r="J428" s="1046"/>
      <c r="K428" s="306">
        <f t="shared" si="129"/>
        <v>0</v>
      </c>
      <c r="L428" s="307">
        <f t="shared" si="130"/>
        <v>0</v>
      </c>
      <c r="M428" s="1047">
        <f t="shared" si="131"/>
        <v>0</v>
      </c>
      <c r="N428" s="306">
        <f t="shared" si="132"/>
        <v>0</v>
      </c>
      <c r="O428" s="307">
        <f t="shared" si="133"/>
        <v>0</v>
      </c>
      <c r="P428" s="1047">
        <f t="shared" si="134"/>
        <v>24</v>
      </c>
      <c r="Q428" s="306">
        <f t="shared" si="137"/>
        <v>7899.36</v>
      </c>
      <c r="R428" s="307">
        <f t="shared" si="135"/>
        <v>1</v>
      </c>
      <c r="S428" s="314" t="str">
        <f t="shared" si="138"/>
        <v>ok</v>
      </c>
      <c r="T428" s="306"/>
      <c r="U428" s="314"/>
      <c r="V428" s="314"/>
      <c r="W428" s="314"/>
      <c r="X428" s="306"/>
    </row>
    <row r="429" spans="1:24" s="8" customFormat="1" ht="16.5" customHeight="1">
      <c r="A429" s="1101" t="s">
        <v>1564</v>
      </c>
      <c r="B429" s="1101" t="s">
        <v>2053</v>
      </c>
      <c r="C429" s="1104" t="s">
        <v>52</v>
      </c>
      <c r="D429" s="1105">
        <v>24</v>
      </c>
      <c r="E429" s="1106">
        <v>182.86</v>
      </c>
      <c r="F429" s="841">
        <f t="shared" si="136"/>
        <v>4388.6400000000003</v>
      </c>
      <c r="G429" s="1049">
        <v>0</v>
      </c>
      <c r="H429" s="306">
        <v>0</v>
      </c>
      <c r="I429" s="307">
        <v>0</v>
      </c>
      <c r="J429" s="1046"/>
      <c r="K429" s="306">
        <f t="shared" si="129"/>
        <v>0</v>
      </c>
      <c r="L429" s="307">
        <f t="shared" si="130"/>
        <v>0</v>
      </c>
      <c r="M429" s="1047">
        <f t="shared" si="131"/>
        <v>0</v>
      </c>
      <c r="N429" s="306">
        <f t="shared" si="132"/>
        <v>0</v>
      </c>
      <c r="O429" s="307">
        <f t="shared" si="133"/>
        <v>0</v>
      </c>
      <c r="P429" s="1047">
        <f t="shared" si="134"/>
        <v>24</v>
      </c>
      <c r="Q429" s="306">
        <f t="shared" si="137"/>
        <v>4388.6400000000003</v>
      </c>
      <c r="R429" s="307">
        <f t="shared" si="135"/>
        <v>1</v>
      </c>
      <c r="S429" s="314" t="str">
        <f t="shared" si="138"/>
        <v>ok</v>
      </c>
      <c r="T429" s="306"/>
      <c r="U429" s="314"/>
      <c r="V429" s="314"/>
      <c r="W429" s="314"/>
      <c r="X429" s="306"/>
    </row>
    <row r="430" spans="1:24" s="8" customFormat="1" ht="16.5" customHeight="1">
      <c r="A430" s="1101" t="s">
        <v>1565</v>
      </c>
      <c r="B430" s="1101" t="s">
        <v>2054</v>
      </c>
      <c r="C430" s="1104" t="s">
        <v>52</v>
      </c>
      <c r="D430" s="1105">
        <v>7</v>
      </c>
      <c r="E430" s="1106">
        <v>195.87</v>
      </c>
      <c r="F430" s="841">
        <f t="shared" si="136"/>
        <v>1371.0900000000001</v>
      </c>
      <c r="G430" s="1049">
        <v>0</v>
      </c>
      <c r="H430" s="306">
        <v>0</v>
      </c>
      <c r="I430" s="307">
        <v>0</v>
      </c>
      <c r="J430" s="1046"/>
      <c r="K430" s="306">
        <f t="shared" si="129"/>
        <v>0</v>
      </c>
      <c r="L430" s="307">
        <f t="shared" si="130"/>
        <v>0</v>
      </c>
      <c r="M430" s="1047">
        <f t="shared" si="131"/>
        <v>0</v>
      </c>
      <c r="N430" s="306">
        <f t="shared" si="132"/>
        <v>0</v>
      </c>
      <c r="O430" s="307">
        <f t="shared" si="133"/>
        <v>0</v>
      </c>
      <c r="P430" s="1047">
        <f t="shared" si="134"/>
        <v>7</v>
      </c>
      <c r="Q430" s="306">
        <f t="shared" si="137"/>
        <v>1371.0900000000001</v>
      </c>
      <c r="R430" s="307">
        <f t="shared" si="135"/>
        <v>1</v>
      </c>
      <c r="S430" s="314" t="str">
        <f t="shared" si="138"/>
        <v>ok</v>
      </c>
      <c r="T430" s="306"/>
      <c r="U430" s="314"/>
      <c r="V430" s="314"/>
      <c r="W430" s="314"/>
      <c r="X430" s="306"/>
    </row>
    <row r="431" spans="1:24" s="8" customFormat="1" ht="16.5" customHeight="1">
      <c r="A431" s="1101" t="s">
        <v>1566</v>
      </c>
      <c r="B431" s="1101" t="s">
        <v>2055</v>
      </c>
      <c r="C431" s="1104" t="s">
        <v>52</v>
      </c>
      <c r="D431" s="1105">
        <v>16</v>
      </c>
      <c r="E431" s="1106">
        <v>288.79000000000002</v>
      </c>
      <c r="F431" s="841">
        <f t="shared" si="136"/>
        <v>4620.6400000000003</v>
      </c>
      <c r="G431" s="1049">
        <v>0</v>
      </c>
      <c r="H431" s="306">
        <v>0</v>
      </c>
      <c r="I431" s="307">
        <v>0</v>
      </c>
      <c r="J431" s="1046"/>
      <c r="K431" s="306">
        <f t="shared" si="129"/>
        <v>0</v>
      </c>
      <c r="L431" s="307">
        <f t="shared" si="130"/>
        <v>0</v>
      </c>
      <c r="M431" s="1047">
        <f t="shared" si="131"/>
        <v>0</v>
      </c>
      <c r="N431" s="306">
        <f t="shared" si="132"/>
        <v>0</v>
      </c>
      <c r="O431" s="307">
        <f t="shared" si="133"/>
        <v>0</v>
      </c>
      <c r="P431" s="1047">
        <f t="shared" si="134"/>
        <v>16</v>
      </c>
      <c r="Q431" s="306">
        <f t="shared" si="137"/>
        <v>4620.6400000000003</v>
      </c>
      <c r="R431" s="307">
        <f t="shared" si="135"/>
        <v>1</v>
      </c>
      <c r="S431" s="314" t="str">
        <f t="shared" si="138"/>
        <v>ok</v>
      </c>
      <c r="T431" s="306"/>
      <c r="U431" s="314"/>
      <c r="V431" s="314"/>
      <c r="W431" s="314"/>
      <c r="X431" s="306"/>
    </row>
    <row r="432" spans="1:24" s="8" customFormat="1" ht="16.5" customHeight="1">
      <c r="A432" s="1101" t="s">
        <v>1567</v>
      </c>
      <c r="B432" s="1101" t="s">
        <v>2056</v>
      </c>
      <c r="C432" s="1104" t="s">
        <v>52</v>
      </c>
      <c r="D432" s="1105">
        <v>1</v>
      </c>
      <c r="E432" s="1106">
        <v>275.52</v>
      </c>
      <c r="F432" s="841">
        <f t="shared" si="136"/>
        <v>275.52</v>
      </c>
      <c r="G432" s="1049">
        <v>0</v>
      </c>
      <c r="H432" s="306">
        <v>0</v>
      </c>
      <c r="I432" s="307">
        <v>0</v>
      </c>
      <c r="J432" s="1046"/>
      <c r="K432" s="306">
        <f t="shared" si="129"/>
        <v>0</v>
      </c>
      <c r="L432" s="307">
        <f t="shared" si="130"/>
        <v>0</v>
      </c>
      <c r="M432" s="1047">
        <f t="shared" si="131"/>
        <v>0</v>
      </c>
      <c r="N432" s="306">
        <f t="shared" si="132"/>
        <v>0</v>
      </c>
      <c r="O432" s="307">
        <f t="shared" si="133"/>
        <v>0</v>
      </c>
      <c r="P432" s="1047">
        <f t="shared" si="134"/>
        <v>1</v>
      </c>
      <c r="Q432" s="306">
        <f t="shared" si="137"/>
        <v>275.52</v>
      </c>
      <c r="R432" s="307">
        <f t="shared" si="135"/>
        <v>1</v>
      </c>
      <c r="S432" s="314" t="str">
        <f t="shared" si="138"/>
        <v>ok</v>
      </c>
      <c r="T432" s="306"/>
      <c r="U432" s="314"/>
      <c r="V432" s="314"/>
      <c r="W432" s="314"/>
      <c r="X432" s="306"/>
    </row>
    <row r="433" spans="1:24" s="8" customFormat="1" ht="16.5" customHeight="1">
      <c r="A433" s="1101" t="s">
        <v>1568</v>
      </c>
      <c r="B433" s="1103" t="s">
        <v>2057</v>
      </c>
      <c r="C433" s="1103"/>
      <c r="D433" s="1105"/>
      <c r="E433" s="1107"/>
      <c r="F433" s="841"/>
      <c r="G433" s="1049"/>
      <c r="H433" s="306"/>
      <c r="I433" s="307"/>
      <c r="J433" s="1046"/>
      <c r="K433" s="306"/>
      <c r="L433" s="307"/>
      <c r="M433" s="1047"/>
      <c r="N433" s="306"/>
      <c r="O433" s="307"/>
      <c r="P433" s="1047"/>
      <c r="Q433" s="306">
        <f t="shared" si="137"/>
        <v>0</v>
      </c>
      <c r="R433" s="307"/>
      <c r="S433" s="314" t="str">
        <f t="shared" si="138"/>
        <v>ok</v>
      </c>
      <c r="T433" s="306"/>
      <c r="U433" s="314"/>
      <c r="V433" s="314"/>
      <c r="W433" s="314"/>
      <c r="X433" s="306"/>
    </row>
    <row r="434" spans="1:24" s="8" customFormat="1" ht="16.5" customHeight="1">
      <c r="A434" s="1101" t="s">
        <v>1569</v>
      </c>
      <c r="B434" s="1101" t="s">
        <v>2058</v>
      </c>
      <c r="C434" s="1104" t="s">
        <v>268</v>
      </c>
      <c r="D434" s="1105">
        <v>209</v>
      </c>
      <c r="E434" s="1106">
        <v>84.75</v>
      </c>
      <c r="F434" s="841">
        <f t="shared" si="136"/>
        <v>17712.75</v>
      </c>
      <c r="G434" s="1049">
        <v>0</v>
      </c>
      <c r="H434" s="306">
        <v>0</v>
      </c>
      <c r="I434" s="307">
        <v>0</v>
      </c>
      <c r="J434" s="1046"/>
      <c r="K434" s="306">
        <f t="shared" si="129"/>
        <v>0</v>
      </c>
      <c r="L434" s="307">
        <f t="shared" si="130"/>
        <v>0</v>
      </c>
      <c r="M434" s="1047">
        <f t="shared" si="131"/>
        <v>0</v>
      </c>
      <c r="N434" s="306">
        <f t="shared" si="132"/>
        <v>0</v>
      </c>
      <c r="O434" s="307">
        <f t="shared" si="133"/>
        <v>0</v>
      </c>
      <c r="P434" s="1047">
        <f t="shared" si="134"/>
        <v>209</v>
      </c>
      <c r="Q434" s="306">
        <f t="shared" si="137"/>
        <v>17712.75</v>
      </c>
      <c r="R434" s="307">
        <f t="shared" si="135"/>
        <v>1</v>
      </c>
      <c r="S434" s="314" t="str">
        <f t="shared" si="138"/>
        <v>ok</v>
      </c>
      <c r="T434" s="306"/>
      <c r="U434" s="314"/>
      <c r="V434" s="314"/>
      <c r="W434" s="314"/>
      <c r="X434" s="306"/>
    </row>
    <row r="435" spans="1:24" s="8" customFormat="1" ht="16.5" customHeight="1">
      <c r="A435" s="1101">
        <v>6.5</v>
      </c>
      <c r="B435" s="1102" t="s">
        <v>2059</v>
      </c>
      <c r="C435" s="1108"/>
      <c r="D435" s="1105"/>
      <c r="E435" s="1109"/>
      <c r="F435" s="841"/>
      <c r="G435" s="1049"/>
      <c r="H435" s="306"/>
      <c r="I435" s="307"/>
      <c r="J435" s="1046"/>
      <c r="K435" s="306"/>
      <c r="L435" s="307"/>
      <c r="M435" s="1047"/>
      <c r="N435" s="306"/>
      <c r="O435" s="307"/>
      <c r="P435" s="1047"/>
      <c r="Q435" s="306">
        <f t="shared" si="137"/>
        <v>0</v>
      </c>
      <c r="R435" s="307"/>
      <c r="S435" s="314" t="str">
        <f t="shared" si="138"/>
        <v>ok</v>
      </c>
      <c r="T435" s="306"/>
      <c r="U435" s="314"/>
      <c r="V435" s="314"/>
      <c r="W435" s="314"/>
      <c r="X435" s="306"/>
    </row>
    <row r="436" spans="1:24" s="8" customFormat="1" ht="16.5" customHeight="1">
      <c r="A436" s="1101" t="s">
        <v>1570</v>
      </c>
      <c r="B436" s="1101" t="s">
        <v>2060</v>
      </c>
      <c r="C436" s="1104" t="s">
        <v>52</v>
      </c>
      <c r="D436" s="1105">
        <v>2</v>
      </c>
      <c r="E436" s="1106">
        <v>22850</v>
      </c>
      <c r="F436" s="841">
        <f t="shared" si="136"/>
        <v>45700</v>
      </c>
      <c r="G436" s="1049">
        <v>0</v>
      </c>
      <c r="H436" s="306">
        <v>0</v>
      </c>
      <c r="I436" s="307">
        <v>0</v>
      </c>
      <c r="J436" s="1046"/>
      <c r="K436" s="306">
        <f t="shared" si="129"/>
        <v>0</v>
      </c>
      <c r="L436" s="307">
        <f t="shared" si="130"/>
        <v>0</v>
      </c>
      <c r="M436" s="1047">
        <f t="shared" si="131"/>
        <v>0</v>
      </c>
      <c r="N436" s="306">
        <f t="shared" si="132"/>
        <v>0</v>
      </c>
      <c r="O436" s="307">
        <f t="shared" si="133"/>
        <v>0</v>
      </c>
      <c r="P436" s="1047">
        <f t="shared" si="134"/>
        <v>2</v>
      </c>
      <c r="Q436" s="306">
        <f t="shared" si="137"/>
        <v>45700</v>
      </c>
      <c r="R436" s="307">
        <f t="shared" si="135"/>
        <v>1</v>
      </c>
      <c r="S436" s="314" t="str">
        <f t="shared" si="138"/>
        <v>ok</v>
      </c>
      <c r="T436" s="306"/>
      <c r="U436" s="314"/>
      <c r="V436" s="314"/>
      <c r="W436" s="314"/>
      <c r="X436" s="306"/>
    </row>
    <row r="437" spans="1:24" s="8" customFormat="1" ht="16.5" customHeight="1">
      <c r="A437" s="1101" t="s">
        <v>1571</v>
      </c>
      <c r="B437" s="1101" t="s">
        <v>2061</v>
      </c>
      <c r="C437" s="1104" t="s">
        <v>268</v>
      </c>
      <c r="D437" s="1105">
        <v>1</v>
      </c>
      <c r="E437" s="1106">
        <v>1500</v>
      </c>
      <c r="F437" s="841">
        <f t="shared" si="136"/>
        <v>1500</v>
      </c>
      <c r="G437" s="1049">
        <v>0</v>
      </c>
      <c r="H437" s="306">
        <v>0</v>
      </c>
      <c r="I437" s="307">
        <v>0</v>
      </c>
      <c r="J437" s="1046"/>
      <c r="K437" s="306">
        <f t="shared" si="129"/>
        <v>0</v>
      </c>
      <c r="L437" s="307">
        <f t="shared" si="130"/>
        <v>0</v>
      </c>
      <c r="M437" s="1047">
        <f t="shared" si="131"/>
        <v>0</v>
      </c>
      <c r="N437" s="306">
        <f t="shared" si="132"/>
        <v>0</v>
      </c>
      <c r="O437" s="307">
        <f t="shared" si="133"/>
        <v>0</v>
      </c>
      <c r="P437" s="1047">
        <f t="shared" si="134"/>
        <v>1</v>
      </c>
      <c r="Q437" s="306">
        <f t="shared" si="137"/>
        <v>1500</v>
      </c>
      <c r="R437" s="307">
        <f t="shared" si="135"/>
        <v>1</v>
      </c>
      <c r="S437" s="314" t="str">
        <f t="shared" si="138"/>
        <v>ok</v>
      </c>
      <c r="T437" s="306"/>
      <c r="U437" s="314"/>
      <c r="V437" s="314"/>
      <c r="W437" s="314"/>
      <c r="X437" s="306"/>
    </row>
    <row r="438" spans="1:24" s="8" customFormat="1" ht="16.5" customHeight="1">
      <c r="A438" s="1101">
        <v>6.6</v>
      </c>
      <c r="B438" s="1102" t="s">
        <v>2062</v>
      </c>
      <c r="C438" s="1108"/>
      <c r="D438" s="1105"/>
      <c r="E438" s="1109"/>
      <c r="F438" s="841"/>
      <c r="G438" s="1049"/>
      <c r="H438" s="306"/>
      <c r="I438" s="307"/>
      <c r="J438" s="1046"/>
      <c r="K438" s="306"/>
      <c r="L438" s="307"/>
      <c r="M438" s="1047"/>
      <c r="N438" s="306"/>
      <c r="O438" s="307"/>
      <c r="P438" s="1047"/>
      <c r="Q438" s="306">
        <f t="shared" si="137"/>
        <v>0</v>
      </c>
      <c r="R438" s="307"/>
      <c r="S438" s="314" t="str">
        <f t="shared" si="138"/>
        <v>ok</v>
      </c>
      <c r="T438" s="306"/>
      <c r="U438" s="314"/>
      <c r="V438" s="314"/>
      <c r="W438" s="314"/>
      <c r="X438" s="306"/>
    </row>
    <row r="439" spans="1:24" s="8" customFormat="1" ht="16.5" customHeight="1">
      <c r="A439" s="1101" t="s">
        <v>1572</v>
      </c>
      <c r="B439" s="1101" t="s">
        <v>2063</v>
      </c>
      <c r="C439" s="1104" t="s">
        <v>52</v>
      </c>
      <c r="D439" s="1105">
        <v>1</v>
      </c>
      <c r="E439" s="1106">
        <v>21611.89</v>
      </c>
      <c r="F439" s="841">
        <f t="shared" si="136"/>
        <v>21611.89</v>
      </c>
      <c r="G439" s="1049">
        <v>0</v>
      </c>
      <c r="H439" s="306">
        <v>0</v>
      </c>
      <c r="I439" s="307">
        <v>0</v>
      </c>
      <c r="J439" s="1046"/>
      <c r="K439" s="306">
        <f t="shared" si="129"/>
        <v>0</v>
      </c>
      <c r="L439" s="307">
        <f t="shared" si="130"/>
        <v>0</v>
      </c>
      <c r="M439" s="1047">
        <f t="shared" si="131"/>
        <v>0</v>
      </c>
      <c r="N439" s="306">
        <f t="shared" si="132"/>
        <v>0</v>
      </c>
      <c r="O439" s="307">
        <f t="shared" si="133"/>
        <v>0</v>
      </c>
      <c r="P439" s="1047">
        <f t="shared" si="134"/>
        <v>1</v>
      </c>
      <c r="Q439" s="306">
        <f t="shared" si="137"/>
        <v>21611.89</v>
      </c>
      <c r="R439" s="307">
        <f t="shared" si="135"/>
        <v>1</v>
      </c>
      <c r="S439" s="314" t="str">
        <f t="shared" si="138"/>
        <v>ok</v>
      </c>
      <c r="T439" s="306"/>
      <c r="U439" s="314"/>
      <c r="V439" s="314"/>
      <c r="W439" s="314"/>
      <c r="X439" s="306"/>
    </row>
    <row r="440" spans="1:24" s="8" customFormat="1" ht="16.5" customHeight="1">
      <c r="A440" s="1101" t="s">
        <v>1573</v>
      </c>
      <c r="B440" s="1101" t="s">
        <v>2064</v>
      </c>
      <c r="C440" s="1104" t="s">
        <v>52</v>
      </c>
      <c r="D440" s="1105">
        <v>2</v>
      </c>
      <c r="E440" s="1106">
        <v>8980</v>
      </c>
      <c r="F440" s="841">
        <f t="shared" si="136"/>
        <v>17960</v>
      </c>
      <c r="G440" s="1049">
        <v>0</v>
      </c>
      <c r="H440" s="306">
        <v>0</v>
      </c>
      <c r="I440" s="307">
        <v>0</v>
      </c>
      <c r="J440" s="1046"/>
      <c r="K440" s="306">
        <f t="shared" si="129"/>
        <v>0</v>
      </c>
      <c r="L440" s="307">
        <f t="shared" si="130"/>
        <v>0</v>
      </c>
      <c r="M440" s="1047">
        <f t="shared" si="131"/>
        <v>0</v>
      </c>
      <c r="N440" s="306">
        <f t="shared" si="132"/>
        <v>0</v>
      </c>
      <c r="O440" s="307">
        <f t="shared" si="133"/>
        <v>0</v>
      </c>
      <c r="P440" s="1047">
        <f t="shared" si="134"/>
        <v>2</v>
      </c>
      <c r="Q440" s="306">
        <f t="shared" si="137"/>
        <v>17960</v>
      </c>
      <c r="R440" s="307">
        <f t="shared" si="135"/>
        <v>1</v>
      </c>
      <c r="S440" s="314" t="str">
        <f t="shared" si="138"/>
        <v>ok</v>
      </c>
      <c r="T440" s="306"/>
      <c r="U440" s="314"/>
      <c r="V440" s="314"/>
      <c r="W440" s="314"/>
      <c r="X440" s="306"/>
    </row>
    <row r="441" spans="1:24" s="8" customFormat="1" ht="16.5" customHeight="1">
      <c r="A441" s="1101" t="s">
        <v>1574</v>
      </c>
      <c r="B441" s="1101" t="s">
        <v>2065</v>
      </c>
      <c r="C441" s="1104" t="s">
        <v>52</v>
      </c>
      <c r="D441" s="1105">
        <v>12</v>
      </c>
      <c r="E441" s="1106">
        <v>11980</v>
      </c>
      <c r="F441" s="841">
        <f t="shared" si="136"/>
        <v>143760</v>
      </c>
      <c r="G441" s="1049">
        <v>0</v>
      </c>
      <c r="H441" s="306">
        <v>0</v>
      </c>
      <c r="I441" s="307">
        <v>0</v>
      </c>
      <c r="J441" s="1046"/>
      <c r="K441" s="306">
        <f t="shared" si="129"/>
        <v>0</v>
      </c>
      <c r="L441" s="307">
        <f t="shared" si="130"/>
        <v>0</v>
      </c>
      <c r="M441" s="1047">
        <f t="shared" si="131"/>
        <v>0</v>
      </c>
      <c r="N441" s="306">
        <f t="shared" si="132"/>
        <v>0</v>
      </c>
      <c r="O441" s="307">
        <f t="shared" si="133"/>
        <v>0</v>
      </c>
      <c r="P441" s="1047">
        <f t="shared" si="134"/>
        <v>12</v>
      </c>
      <c r="Q441" s="306">
        <f t="shared" si="137"/>
        <v>143760</v>
      </c>
      <c r="R441" s="307">
        <f t="shared" si="135"/>
        <v>1</v>
      </c>
      <c r="S441" s="314" t="str">
        <f t="shared" si="138"/>
        <v>ok</v>
      </c>
      <c r="T441" s="306"/>
      <c r="U441" s="314"/>
      <c r="V441" s="314"/>
      <c r="W441" s="314"/>
      <c r="X441" s="306"/>
    </row>
    <row r="442" spans="1:24" s="8" customFormat="1" ht="16.5" customHeight="1">
      <c r="A442" s="1101" t="s">
        <v>1575</v>
      </c>
      <c r="B442" s="1101" t="s">
        <v>2066</v>
      </c>
      <c r="C442" s="1104" t="s">
        <v>52</v>
      </c>
      <c r="D442" s="1105">
        <v>4</v>
      </c>
      <c r="E442" s="1106">
        <v>947.55</v>
      </c>
      <c r="F442" s="841">
        <f t="shared" si="136"/>
        <v>3790.2</v>
      </c>
      <c r="G442" s="1049">
        <v>0</v>
      </c>
      <c r="H442" s="306">
        <v>0</v>
      </c>
      <c r="I442" s="307">
        <v>0</v>
      </c>
      <c r="J442" s="1046"/>
      <c r="K442" s="306">
        <f t="shared" si="129"/>
        <v>0</v>
      </c>
      <c r="L442" s="307">
        <f t="shared" si="130"/>
        <v>0</v>
      </c>
      <c r="M442" s="1047">
        <f t="shared" si="131"/>
        <v>0</v>
      </c>
      <c r="N442" s="306">
        <f t="shared" si="132"/>
        <v>0</v>
      </c>
      <c r="O442" s="307">
        <f t="shared" si="133"/>
        <v>0</v>
      </c>
      <c r="P442" s="1047">
        <f t="shared" si="134"/>
        <v>4</v>
      </c>
      <c r="Q442" s="306">
        <f t="shared" si="137"/>
        <v>3790.2</v>
      </c>
      <c r="R442" s="307">
        <f t="shared" si="135"/>
        <v>1</v>
      </c>
      <c r="S442" s="314" t="str">
        <f t="shared" si="138"/>
        <v>ok</v>
      </c>
      <c r="T442" s="306"/>
      <c r="U442" s="314"/>
      <c r="V442" s="314"/>
      <c r="W442" s="314"/>
      <c r="X442" s="306"/>
    </row>
    <row r="443" spans="1:24" s="8" customFormat="1" ht="16.5" customHeight="1">
      <c r="A443" s="1101" t="s">
        <v>1576</v>
      </c>
      <c r="B443" s="1101" t="s">
        <v>2067</v>
      </c>
      <c r="C443" s="1104" t="s">
        <v>52</v>
      </c>
      <c r="D443" s="1105">
        <v>48</v>
      </c>
      <c r="E443" s="1106">
        <v>1650</v>
      </c>
      <c r="F443" s="841">
        <f t="shared" si="136"/>
        <v>79200</v>
      </c>
      <c r="G443" s="1049">
        <v>0</v>
      </c>
      <c r="H443" s="306">
        <v>0</v>
      </c>
      <c r="I443" s="307">
        <v>0</v>
      </c>
      <c r="J443" s="1046"/>
      <c r="K443" s="306">
        <f t="shared" si="129"/>
        <v>0</v>
      </c>
      <c r="L443" s="307">
        <f t="shared" si="130"/>
        <v>0</v>
      </c>
      <c r="M443" s="1047">
        <f t="shared" si="131"/>
        <v>0</v>
      </c>
      <c r="N443" s="306">
        <f t="shared" si="132"/>
        <v>0</v>
      </c>
      <c r="O443" s="307">
        <f t="shared" si="133"/>
        <v>0</v>
      </c>
      <c r="P443" s="1047">
        <f t="shared" si="134"/>
        <v>48</v>
      </c>
      <c r="Q443" s="306">
        <f t="shared" si="137"/>
        <v>79200</v>
      </c>
      <c r="R443" s="307">
        <f t="shared" si="135"/>
        <v>1</v>
      </c>
      <c r="S443" s="314" t="str">
        <f t="shared" si="138"/>
        <v>ok</v>
      </c>
      <c r="T443" s="306"/>
      <c r="U443" s="314"/>
      <c r="V443" s="314"/>
      <c r="W443" s="314"/>
      <c r="X443" s="306"/>
    </row>
    <row r="444" spans="1:24" s="8" customFormat="1" ht="16.5" customHeight="1">
      <c r="A444" s="1101" t="s">
        <v>1577</v>
      </c>
      <c r="B444" s="1101" t="s">
        <v>2068</v>
      </c>
      <c r="C444" s="1104" t="s">
        <v>52</v>
      </c>
      <c r="D444" s="1105">
        <v>24</v>
      </c>
      <c r="E444" s="1106">
        <v>823</v>
      </c>
      <c r="F444" s="841">
        <f t="shared" si="136"/>
        <v>19752</v>
      </c>
      <c r="G444" s="1049">
        <v>0</v>
      </c>
      <c r="H444" s="306">
        <v>0</v>
      </c>
      <c r="I444" s="307">
        <v>0</v>
      </c>
      <c r="J444" s="1046"/>
      <c r="K444" s="306">
        <f t="shared" si="129"/>
        <v>0</v>
      </c>
      <c r="L444" s="307">
        <f t="shared" si="130"/>
        <v>0</v>
      </c>
      <c r="M444" s="1047">
        <f t="shared" si="131"/>
        <v>0</v>
      </c>
      <c r="N444" s="306">
        <f t="shared" si="132"/>
        <v>0</v>
      </c>
      <c r="O444" s="307">
        <f t="shared" si="133"/>
        <v>0</v>
      </c>
      <c r="P444" s="1047">
        <f t="shared" si="134"/>
        <v>24</v>
      </c>
      <c r="Q444" s="306">
        <f t="shared" si="137"/>
        <v>19752</v>
      </c>
      <c r="R444" s="307">
        <f t="shared" si="135"/>
        <v>1</v>
      </c>
      <c r="S444" s="314" t="str">
        <f t="shared" si="138"/>
        <v>ok</v>
      </c>
      <c r="T444" s="306"/>
      <c r="U444" s="314"/>
      <c r="V444" s="314"/>
      <c r="W444" s="314"/>
      <c r="X444" s="306"/>
    </row>
    <row r="445" spans="1:24" s="8" customFormat="1" ht="16.5" customHeight="1">
      <c r="A445" s="1101" t="s">
        <v>1578</v>
      </c>
      <c r="B445" s="1101" t="s">
        <v>2069</v>
      </c>
      <c r="C445" s="1104" t="s">
        <v>268</v>
      </c>
      <c r="D445" s="1105">
        <v>19</v>
      </c>
      <c r="E445" s="1106">
        <v>865.23</v>
      </c>
      <c r="F445" s="841">
        <f t="shared" si="136"/>
        <v>16439.37</v>
      </c>
      <c r="G445" s="1049">
        <v>0</v>
      </c>
      <c r="H445" s="306">
        <v>0</v>
      </c>
      <c r="I445" s="307">
        <v>0</v>
      </c>
      <c r="J445" s="1046"/>
      <c r="K445" s="306">
        <f t="shared" si="129"/>
        <v>0</v>
      </c>
      <c r="L445" s="307">
        <f t="shared" si="130"/>
        <v>0</v>
      </c>
      <c r="M445" s="1047">
        <f t="shared" si="131"/>
        <v>0</v>
      </c>
      <c r="N445" s="306">
        <f t="shared" si="132"/>
        <v>0</v>
      </c>
      <c r="O445" s="307">
        <f t="shared" si="133"/>
        <v>0</v>
      </c>
      <c r="P445" s="1047">
        <f t="shared" si="134"/>
        <v>19</v>
      </c>
      <c r="Q445" s="306">
        <f t="shared" si="137"/>
        <v>16439.37</v>
      </c>
      <c r="R445" s="307">
        <f t="shared" si="135"/>
        <v>1</v>
      </c>
      <c r="S445" s="314" t="str">
        <f t="shared" si="138"/>
        <v>ok</v>
      </c>
      <c r="T445" s="306"/>
      <c r="U445" s="314"/>
      <c r="V445" s="314"/>
      <c r="W445" s="314"/>
      <c r="X445" s="306"/>
    </row>
    <row r="446" spans="1:24" s="8" customFormat="1" ht="16.5" customHeight="1">
      <c r="A446" s="1101">
        <v>6.7</v>
      </c>
      <c r="B446" s="1102" t="s">
        <v>2070</v>
      </c>
      <c r="C446" s="1108"/>
      <c r="D446" s="1105"/>
      <c r="E446" s="1109"/>
      <c r="F446" s="841"/>
      <c r="G446" s="1049"/>
      <c r="H446" s="306"/>
      <c r="I446" s="307"/>
      <c r="J446" s="1046"/>
      <c r="K446" s="306"/>
      <c r="L446" s="307"/>
      <c r="M446" s="1047"/>
      <c r="N446" s="306"/>
      <c r="O446" s="307"/>
      <c r="P446" s="1047"/>
      <c r="Q446" s="306">
        <f t="shared" si="137"/>
        <v>0</v>
      </c>
      <c r="R446" s="307"/>
      <c r="S446" s="314" t="str">
        <f t="shared" si="138"/>
        <v>ok</v>
      </c>
      <c r="T446" s="306"/>
      <c r="U446" s="314"/>
      <c r="V446" s="314"/>
      <c r="W446" s="314"/>
      <c r="X446" s="306"/>
    </row>
    <row r="447" spans="1:24" s="8" customFormat="1" ht="16.5" customHeight="1">
      <c r="A447" s="1101" t="s">
        <v>1579</v>
      </c>
      <c r="B447" s="1103" t="s">
        <v>2071</v>
      </c>
      <c r="C447" s="1103"/>
      <c r="D447" s="1105"/>
      <c r="E447" s="1107"/>
      <c r="F447" s="841"/>
      <c r="G447" s="1049"/>
      <c r="H447" s="306"/>
      <c r="I447" s="307"/>
      <c r="J447" s="1046"/>
      <c r="K447" s="306"/>
      <c r="L447" s="307"/>
      <c r="M447" s="1047"/>
      <c r="N447" s="306"/>
      <c r="O447" s="307"/>
      <c r="P447" s="1047"/>
      <c r="Q447" s="306">
        <f t="shared" si="137"/>
        <v>0</v>
      </c>
      <c r="R447" s="307"/>
      <c r="S447" s="314" t="str">
        <f t="shared" si="138"/>
        <v>ok</v>
      </c>
      <c r="T447" s="306"/>
      <c r="U447" s="314"/>
      <c r="V447" s="314"/>
      <c r="W447" s="314"/>
      <c r="X447" s="306"/>
    </row>
    <row r="448" spans="1:24" s="8" customFormat="1" ht="16.5" customHeight="1">
      <c r="A448" s="1101" t="s">
        <v>1580</v>
      </c>
      <c r="B448" s="1103" t="s">
        <v>2072</v>
      </c>
      <c r="C448" s="1103"/>
      <c r="D448" s="1105"/>
      <c r="E448" s="1107"/>
      <c r="F448" s="841"/>
      <c r="G448" s="1049"/>
      <c r="H448" s="306"/>
      <c r="I448" s="307"/>
      <c r="J448" s="1046"/>
      <c r="K448" s="306"/>
      <c r="L448" s="307"/>
      <c r="M448" s="1047"/>
      <c r="N448" s="306"/>
      <c r="O448" s="307"/>
      <c r="P448" s="1047"/>
      <c r="Q448" s="306">
        <f t="shared" si="137"/>
        <v>0</v>
      </c>
      <c r="R448" s="307"/>
      <c r="S448" s="314" t="str">
        <f t="shared" si="138"/>
        <v>ok</v>
      </c>
      <c r="T448" s="306"/>
      <c r="U448" s="314"/>
      <c r="V448" s="314"/>
      <c r="W448" s="314"/>
      <c r="X448" s="306"/>
    </row>
    <row r="449" spans="1:24" s="8" customFormat="1" ht="16.5" customHeight="1">
      <c r="A449" s="1101" t="s">
        <v>1581</v>
      </c>
      <c r="B449" s="1103" t="s">
        <v>1980</v>
      </c>
      <c r="C449" s="1103"/>
      <c r="D449" s="1105"/>
      <c r="E449" s="1107"/>
      <c r="F449" s="841"/>
      <c r="G449" s="1049"/>
      <c r="H449" s="306"/>
      <c r="I449" s="307"/>
      <c r="J449" s="1046"/>
      <c r="K449" s="306"/>
      <c r="L449" s="307"/>
      <c r="M449" s="1047"/>
      <c r="N449" s="306"/>
      <c r="O449" s="307"/>
      <c r="P449" s="1047"/>
      <c r="Q449" s="306">
        <f t="shared" si="137"/>
        <v>0</v>
      </c>
      <c r="R449" s="307"/>
      <c r="S449" s="314" t="str">
        <f t="shared" si="138"/>
        <v>ok</v>
      </c>
      <c r="T449" s="306"/>
      <c r="U449" s="314"/>
      <c r="V449" s="314"/>
      <c r="W449" s="314"/>
      <c r="X449" s="306"/>
    </row>
    <row r="450" spans="1:24" s="8" customFormat="1" ht="16.5" customHeight="1">
      <c r="A450" s="1101" t="s">
        <v>1582</v>
      </c>
      <c r="B450" s="1101" t="s">
        <v>2073</v>
      </c>
      <c r="C450" s="1104" t="s">
        <v>51</v>
      </c>
      <c r="D450" s="1105">
        <v>24</v>
      </c>
      <c r="E450" s="1106">
        <v>59.28</v>
      </c>
      <c r="F450" s="841">
        <f t="shared" si="136"/>
        <v>1422.72</v>
      </c>
      <c r="G450" s="1049">
        <v>0</v>
      </c>
      <c r="H450" s="306">
        <v>0</v>
      </c>
      <c r="I450" s="307">
        <v>0</v>
      </c>
      <c r="J450" s="1046"/>
      <c r="K450" s="306">
        <f t="shared" ref="K450:K512" si="139">J450*E450</f>
        <v>0</v>
      </c>
      <c r="L450" s="307">
        <f t="shared" ref="L450:L512" si="140">K450/F450</f>
        <v>0</v>
      </c>
      <c r="M450" s="1047">
        <f t="shared" ref="M450:M512" si="141">G450+J450</f>
        <v>0</v>
      </c>
      <c r="N450" s="306">
        <f t="shared" ref="N450:N512" si="142">M450*E450</f>
        <v>0</v>
      </c>
      <c r="O450" s="307">
        <f t="shared" ref="O450:O512" si="143">N450/F450</f>
        <v>0</v>
      </c>
      <c r="P450" s="1047">
        <f t="shared" ref="P450:P512" si="144">D450-M450</f>
        <v>24</v>
      </c>
      <c r="Q450" s="306">
        <f t="shared" si="137"/>
        <v>1422.72</v>
      </c>
      <c r="R450" s="307">
        <f t="shared" ref="R450:R512" si="145">Q450/F450</f>
        <v>1</v>
      </c>
      <c r="S450" s="314" t="str">
        <f t="shared" si="138"/>
        <v>ok</v>
      </c>
      <c r="T450" s="306"/>
      <c r="U450" s="314"/>
      <c r="V450" s="314"/>
      <c r="W450" s="314"/>
      <c r="X450" s="306"/>
    </row>
    <row r="451" spans="1:24" s="8" customFormat="1" ht="16.5" customHeight="1">
      <c r="A451" s="1101" t="s">
        <v>1583</v>
      </c>
      <c r="B451" s="1101" t="s">
        <v>2074</v>
      </c>
      <c r="C451" s="1104" t="s">
        <v>52</v>
      </c>
      <c r="D451" s="1105">
        <v>4</v>
      </c>
      <c r="E451" s="1106">
        <v>25.67</v>
      </c>
      <c r="F451" s="841">
        <f t="shared" si="136"/>
        <v>102.68</v>
      </c>
      <c r="G451" s="1049">
        <v>0</v>
      </c>
      <c r="H451" s="306">
        <v>0</v>
      </c>
      <c r="I451" s="307">
        <v>0</v>
      </c>
      <c r="J451" s="1046"/>
      <c r="K451" s="306">
        <f t="shared" si="139"/>
        <v>0</v>
      </c>
      <c r="L451" s="307">
        <f t="shared" si="140"/>
        <v>0</v>
      </c>
      <c r="M451" s="1047">
        <f t="shared" si="141"/>
        <v>0</v>
      </c>
      <c r="N451" s="306">
        <f t="shared" si="142"/>
        <v>0</v>
      </c>
      <c r="O451" s="307">
        <f t="shared" si="143"/>
        <v>0</v>
      </c>
      <c r="P451" s="1047">
        <f t="shared" si="144"/>
        <v>4</v>
      </c>
      <c r="Q451" s="306">
        <f t="shared" si="137"/>
        <v>102.68</v>
      </c>
      <c r="R451" s="307">
        <f t="shared" si="145"/>
        <v>1</v>
      </c>
      <c r="S451" s="314" t="str">
        <f t="shared" si="138"/>
        <v>ok</v>
      </c>
      <c r="T451" s="306"/>
      <c r="U451" s="314"/>
      <c r="V451" s="314"/>
      <c r="W451" s="314"/>
      <c r="X451" s="306"/>
    </row>
    <row r="452" spans="1:24" s="8" customFormat="1" ht="16.5" customHeight="1">
      <c r="A452" s="1101" t="s">
        <v>1584</v>
      </c>
      <c r="B452" s="1103" t="s">
        <v>1987</v>
      </c>
      <c r="C452" s="1103"/>
      <c r="D452" s="1105"/>
      <c r="E452" s="1107"/>
      <c r="F452" s="841"/>
      <c r="G452" s="1049"/>
      <c r="H452" s="306"/>
      <c r="I452" s="307"/>
      <c r="J452" s="1046"/>
      <c r="K452" s="306"/>
      <c r="L452" s="307"/>
      <c r="M452" s="1047"/>
      <c r="N452" s="306"/>
      <c r="O452" s="307"/>
      <c r="P452" s="1047"/>
      <c r="Q452" s="306">
        <f t="shared" si="137"/>
        <v>0</v>
      </c>
      <c r="R452" s="307"/>
      <c r="S452" s="314" t="str">
        <f t="shared" si="138"/>
        <v>ok</v>
      </c>
      <c r="T452" s="306"/>
      <c r="U452" s="314"/>
      <c r="V452" s="314"/>
      <c r="W452" s="314"/>
      <c r="X452" s="306"/>
    </row>
    <row r="453" spans="1:24" s="8" customFormat="1" ht="16.5" customHeight="1">
      <c r="A453" s="1101" t="s">
        <v>1585</v>
      </c>
      <c r="B453" s="1101" t="s">
        <v>2075</v>
      </c>
      <c r="C453" s="1104" t="s">
        <v>2145</v>
      </c>
      <c r="D453" s="1105">
        <v>2</v>
      </c>
      <c r="E453" s="1106">
        <v>52.22</v>
      </c>
      <c r="F453" s="841">
        <f t="shared" si="136"/>
        <v>104.44</v>
      </c>
      <c r="G453" s="1049">
        <v>0</v>
      </c>
      <c r="H453" s="306">
        <v>0</v>
      </c>
      <c r="I453" s="307">
        <v>0</v>
      </c>
      <c r="J453" s="1046"/>
      <c r="K453" s="306">
        <f t="shared" si="139"/>
        <v>0</v>
      </c>
      <c r="L453" s="307">
        <f t="shared" si="140"/>
        <v>0</v>
      </c>
      <c r="M453" s="1047">
        <f t="shared" si="141"/>
        <v>0</v>
      </c>
      <c r="N453" s="306">
        <f t="shared" si="142"/>
        <v>0</v>
      </c>
      <c r="O453" s="307">
        <f t="shared" si="143"/>
        <v>0</v>
      </c>
      <c r="P453" s="1047">
        <f t="shared" si="144"/>
        <v>2</v>
      </c>
      <c r="Q453" s="306">
        <f t="shared" si="137"/>
        <v>104.44</v>
      </c>
      <c r="R453" s="307">
        <f t="shared" si="145"/>
        <v>1</v>
      </c>
      <c r="S453" s="314" t="str">
        <f t="shared" si="138"/>
        <v>ok</v>
      </c>
      <c r="T453" s="306"/>
      <c r="U453" s="314"/>
      <c r="V453" s="314"/>
      <c r="W453" s="314"/>
      <c r="X453" s="306"/>
    </row>
    <row r="454" spans="1:24" s="8" customFormat="1" ht="16.5" customHeight="1">
      <c r="A454" s="1101">
        <v>6.8</v>
      </c>
      <c r="B454" s="1102" t="s">
        <v>2076</v>
      </c>
      <c r="C454" s="1108"/>
      <c r="D454" s="1105"/>
      <c r="E454" s="1109"/>
      <c r="F454" s="841"/>
      <c r="G454" s="1049"/>
      <c r="H454" s="306"/>
      <c r="I454" s="307"/>
      <c r="J454" s="1046"/>
      <c r="K454" s="306"/>
      <c r="L454" s="307"/>
      <c r="M454" s="1047"/>
      <c r="N454" s="306"/>
      <c r="O454" s="307"/>
      <c r="P454" s="1047"/>
      <c r="Q454" s="306">
        <f t="shared" si="137"/>
        <v>0</v>
      </c>
      <c r="R454" s="307"/>
      <c r="S454" s="314" t="str">
        <f t="shared" si="138"/>
        <v>ok</v>
      </c>
      <c r="T454" s="306"/>
      <c r="U454" s="314"/>
      <c r="V454" s="314"/>
      <c r="W454" s="314"/>
      <c r="X454" s="306"/>
    </row>
    <row r="455" spans="1:24" s="8" customFormat="1" ht="16.5" customHeight="1">
      <c r="A455" s="1101" t="s">
        <v>1586</v>
      </c>
      <c r="B455" s="1101" t="s">
        <v>2077</v>
      </c>
      <c r="C455" s="1104" t="s">
        <v>52</v>
      </c>
      <c r="D455" s="1105">
        <v>1</v>
      </c>
      <c r="E455" s="1106">
        <v>5440</v>
      </c>
      <c r="F455" s="841">
        <f t="shared" si="136"/>
        <v>5440</v>
      </c>
      <c r="G455" s="1049">
        <v>0</v>
      </c>
      <c r="H455" s="306">
        <v>0</v>
      </c>
      <c r="I455" s="307">
        <v>0</v>
      </c>
      <c r="J455" s="1046"/>
      <c r="K455" s="306">
        <f t="shared" si="139"/>
        <v>0</v>
      </c>
      <c r="L455" s="307">
        <f t="shared" si="140"/>
        <v>0</v>
      </c>
      <c r="M455" s="1047">
        <f t="shared" si="141"/>
        <v>0</v>
      </c>
      <c r="N455" s="306">
        <f t="shared" si="142"/>
        <v>0</v>
      </c>
      <c r="O455" s="307">
        <f t="shared" si="143"/>
        <v>0</v>
      </c>
      <c r="P455" s="1047">
        <f t="shared" si="144"/>
        <v>1</v>
      </c>
      <c r="Q455" s="306">
        <f t="shared" si="137"/>
        <v>5440</v>
      </c>
      <c r="R455" s="307">
        <f t="shared" si="145"/>
        <v>1</v>
      </c>
      <c r="S455" s="314" t="str">
        <f t="shared" si="138"/>
        <v>ok</v>
      </c>
      <c r="T455" s="306"/>
      <c r="U455" s="314"/>
      <c r="V455" s="314"/>
      <c r="W455" s="314"/>
      <c r="X455" s="306"/>
    </row>
    <row r="456" spans="1:24" s="8" customFormat="1" ht="16.5" customHeight="1">
      <c r="A456" s="1101" t="s">
        <v>1587</v>
      </c>
      <c r="B456" s="1101" t="s">
        <v>2078</v>
      </c>
      <c r="C456" s="1104" t="s">
        <v>52</v>
      </c>
      <c r="D456" s="1105">
        <v>2</v>
      </c>
      <c r="E456" s="1106">
        <v>4158</v>
      </c>
      <c r="F456" s="841">
        <f t="shared" si="136"/>
        <v>8316</v>
      </c>
      <c r="G456" s="1049">
        <v>0</v>
      </c>
      <c r="H456" s="306">
        <v>0</v>
      </c>
      <c r="I456" s="307">
        <v>0</v>
      </c>
      <c r="J456" s="1046"/>
      <c r="K456" s="306">
        <f t="shared" si="139"/>
        <v>0</v>
      </c>
      <c r="L456" s="307">
        <f t="shared" si="140"/>
        <v>0</v>
      </c>
      <c r="M456" s="1047">
        <f t="shared" si="141"/>
        <v>0</v>
      </c>
      <c r="N456" s="306">
        <f t="shared" si="142"/>
        <v>0</v>
      </c>
      <c r="O456" s="307">
        <f t="shared" si="143"/>
        <v>0</v>
      </c>
      <c r="P456" s="1047">
        <f t="shared" si="144"/>
        <v>2</v>
      </c>
      <c r="Q456" s="306">
        <f t="shared" si="137"/>
        <v>8316</v>
      </c>
      <c r="R456" s="307">
        <f t="shared" si="145"/>
        <v>1</v>
      </c>
      <c r="S456" s="314" t="str">
        <f t="shared" si="138"/>
        <v>ok</v>
      </c>
      <c r="T456" s="306"/>
      <c r="U456" s="314"/>
      <c r="V456" s="314"/>
      <c r="W456" s="314"/>
      <c r="X456" s="306"/>
    </row>
    <row r="457" spans="1:24" s="8" customFormat="1" ht="16.5" customHeight="1">
      <c r="A457" s="1101" t="s">
        <v>1588</v>
      </c>
      <c r="B457" s="1101" t="s">
        <v>2079</v>
      </c>
      <c r="C457" s="1104" t="s">
        <v>52</v>
      </c>
      <c r="D457" s="1105">
        <v>1</v>
      </c>
      <c r="E457" s="1106">
        <v>6850</v>
      </c>
      <c r="F457" s="841">
        <f t="shared" si="136"/>
        <v>6850</v>
      </c>
      <c r="G457" s="1049">
        <v>0</v>
      </c>
      <c r="H457" s="306">
        <v>0</v>
      </c>
      <c r="I457" s="307">
        <v>0</v>
      </c>
      <c r="J457" s="1046"/>
      <c r="K457" s="306">
        <f t="shared" si="139"/>
        <v>0</v>
      </c>
      <c r="L457" s="307">
        <f t="shared" si="140"/>
        <v>0</v>
      </c>
      <c r="M457" s="1047">
        <f t="shared" si="141"/>
        <v>0</v>
      </c>
      <c r="N457" s="306">
        <f t="shared" si="142"/>
        <v>0</v>
      </c>
      <c r="O457" s="307">
        <f t="shared" si="143"/>
        <v>0</v>
      </c>
      <c r="P457" s="1047">
        <f t="shared" si="144"/>
        <v>1</v>
      </c>
      <c r="Q457" s="306">
        <f t="shared" si="137"/>
        <v>6850</v>
      </c>
      <c r="R457" s="307">
        <f t="shared" si="145"/>
        <v>1</v>
      </c>
      <c r="S457" s="314" t="str">
        <f t="shared" si="138"/>
        <v>ok</v>
      </c>
      <c r="T457" s="306"/>
      <c r="U457" s="314"/>
      <c r="V457" s="314"/>
      <c r="W457" s="314"/>
      <c r="X457" s="306"/>
    </row>
    <row r="458" spans="1:24" s="8" customFormat="1" ht="16.5" customHeight="1">
      <c r="A458" s="1101" t="s">
        <v>1589</v>
      </c>
      <c r="B458" s="1101" t="s">
        <v>2080</v>
      </c>
      <c r="C458" s="1104" t="s">
        <v>52</v>
      </c>
      <c r="D458" s="1105">
        <v>6</v>
      </c>
      <c r="E458" s="1106">
        <v>4322.03</v>
      </c>
      <c r="F458" s="841">
        <f t="shared" si="136"/>
        <v>25932.18</v>
      </c>
      <c r="G458" s="1049">
        <v>0</v>
      </c>
      <c r="H458" s="306">
        <v>0</v>
      </c>
      <c r="I458" s="307">
        <v>0</v>
      </c>
      <c r="J458" s="1046"/>
      <c r="K458" s="306">
        <f t="shared" si="139"/>
        <v>0</v>
      </c>
      <c r="L458" s="307">
        <f t="shared" si="140"/>
        <v>0</v>
      </c>
      <c r="M458" s="1047">
        <f t="shared" si="141"/>
        <v>0</v>
      </c>
      <c r="N458" s="306">
        <f t="shared" si="142"/>
        <v>0</v>
      </c>
      <c r="O458" s="307">
        <f t="shared" si="143"/>
        <v>0</v>
      </c>
      <c r="P458" s="1047">
        <f t="shared" si="144"/>
        <v>6</v>
      </c>
      <c r="Q458" s="306">
        <f t="shared" si="137"/>
        <v>25932.18</v>
      </c>
      <c r="R458" s="307">
        <f t="shared" si="145"/>
        <v>1</v>
      </c>
      <c r="S458" s="314" t="str">
        <f t="shared" si="138"/>
        <v>ok</v>
      </c>
      <c r="T458" s="306"/>
      <c r="U458" s="314"/>
      <c r="V458" s="314"/>
      <c r="W458" s="314"/>
      <c r="X458" s="306"/>
    </row>
    <row r="459" spans="1:24" s="8" customFormat="1" ht="16.5" customHeight="1">
      <c r="A459" s="1101" t="s">
        <v>1590</v>
      </c>
      <c r="B459" s="1101" t="s">
        <v>2081</v>
      </c>
      <c r="C459" s="1104" t="s">
        <v>52</v>
      </c>
      <c r="D459" s="1105">
        <v>1</v>
      </c>
      <c r="E459" s="1106">
        <v>2356</v>
      </c>
      <c r="F459" s="841">
        <f t="shared" si="136"/>
        <v>2356</v>
      </c>
      <c r="G459" s="1049">
        <v>0</v>
      </c>
      <c r="H459" s="306">
        <v>0</v>
      </c>
      <c r="I459" s="307">
        <v>0</v>
      </c>
      <c r="J459" s="1046"/>
      <c r="K459" s="306">
        <f t="shared" si="139"/>
        <v>0</v>
      </c>
      <c r="L459" s="307">
        <f t="shared" si="140"/>
        <v>0</v>
      </c>
      <c r="M459" s="1047">
        <f t="shared" si="141"/>
        <v>0</v>
      </c>
      <c r="N459" s="306">
        <f t="shared" si="142"/>
        <v>0</v>
      </c>
      <c r="O459" s="307">
        <f t="shared" si="143"/>
        <v>0</v>
      </c>
      <c r="P459" s="1047">
        <f t="shared" si="144"/>
        <v>1</v>
      </c>
      <c r="Q459" s="306">
        <f t="shared" si="137"/>
        <v>2356</v>
      </c>
      <c r="R459" s="307">
        <f t="shared" si="145"/>
        <v>1</v>
      </c>
      <c r="S459" s="314" t="str">
        <f t="shared" si="138"/>
        <v>ok</v>
      </c>
      <c r="T459" s="306"/>
      <c r="U459" s="314"/>
      <c r="V459" s="314"/>
      <c r="W459" s="314"/>
      <c r="X459" s="306"/>
    </row>
    <row r="460" spans="1:24" s="8" customFormat="1" ht="16.5" customHeight="1">
      <c r="A460" s="1101" t="s">
        <v>1591</v>
      </c>
      <c r="B460" s="1101" t="s">
        <v>2082</v>
      </c>
      <c r="C460" s="1104" t="s">
        <v>52</v>
      </c>
      <c r="D460" s="1105">
        <v>1</v>
      </c>
      <c r="E460" s="1106">
        <v>1156.99</v>
      </c>
      <c r="F460" s="841">
        <f t="shared" si="136"/>
        <v>1156.99</v>
      </c>
      <c r="G460" s="1049">
        <v>0</v>
      </c>
      <c r="H460" s="306">
        <v>0</v>
      </c>
      <c r="I460" s="307">
        <v>0</v>
      </c>
      <c r="J460" s="1046"/>
      <c r="K460" s="306">
        <f t="shared" si="139"/>
        <v>0</v>
      </c>
      <c r="L460" s="307">
        <f t="shared" si="140"/>
        <v>0</v>
      </c>
      <c r="M460" s="1047">
        <f t="shared" si="141"/>
        <v>0</v>
      </c>
      <c r="N460" s="306">
        <f t="shared" si="142"/>
        <v>0</v>
      </c>
      <c r="O460" s="307">
        <f t="shared" si="143"/>
        <v>0</v>
      </c>
      <c r="P460" s="1047">
        <f t="shared" si="144"/>
        <v>1</v>
      </c>
      <c r="Q460" s="306">
        <f t="shared" si="137"/>
        <v>1156.99</v>
      </c>
      <c r="R460" s="307">
        <f t="shared" si="145"/>
        <v>1</v>
      </c>
      <c r="S460" s="314" t="str">
        <f t="shared" si="138"/>
        <v>ok</v>
      </c>
      <c r="T460" s="306"/>
      <c r="U460" s="314"/>
      <c r="V460" s="314"/>
      <c r="W460" s="314"/>
      <c r="X460" s="306"/>
    </row>
    <row r="461" spans="1:24" s="8" customFormat="1" ht="16.5" customHeight="1">
      <c r="A461" s="1101">
        <v>6.9</v>
      </c>
      <c r="B461" s="1102" t="s">
        <v>2083</v>
      </c>
      <c r="C461" s="1108"/>
      <c r="D461" s="1105"/>
      <c r="E461" s="1109"/>
      <c r="F461" s="841"/>
      <c r="G461" s="1049"/>
      <c r="H461" s="306"/>
      <c r="I461" s="307"/>
      <c r="J461" s="1046"/>
      <c r="K461" s="306"/>
      <c r="L461" s="307"/>
      <c r="M461" s="1047"/>
      <c r="N461" s="306"/>
      <c r="O461" s="307"/>
      <c r="P461" s="1047"/>
      <c r="Q461" s="306">
        <f t="shared" si="137"/>
        <v>0</v>
      </c>
      <c r="R461" s="307"/>
      <c r="S461" s="314" t="str">
        <f t="shared" si="138"/>
        <v>ok</v>
      </c>
      <c r="T461" s="306"/>
      <c r="U461" s="314"/>
      <c r="V461" s="314"/>
      <c r="W461" s="314"/>
      <c r="X461" s="306"/>
    </row>
    <row r="462" spans="1:24" s="8" customFormat="1" ht="16.5" customHeight="1">
      <c r="A462" s="1101" t="s">
        <v>1592</v>
      </c>
      <c r="B462" s="1103" t="s">
        <v>1977</v>
      </c>
      <c r="C462" s="1103"/>
      <c r="D462" s="1105"/>
      <c r="E462" s="1107"/>
      <c r="F462" s="841"/>
      <c r="G462" s="1049"/>
      <c r="H462" s="306"/>
      <c r="I462" s="307"/>
      <c r="J462" s="1046"/>
      <c r="K462" s="306"/>
      <c r="L462" s="307"/>
      <c r="M462" s="1047"/>
      <c r="N462" s="306"/>
      <c r="O462" s="307"/>
      <c r="P462" s="1047"/>
      <c r="Q462" s="306">
        <f t="shared" si="137"/>
        <v>0</v>
      </c>
      <c r="R462" s="307"/>
      <c r="S462" s="314" t="str">
        <f t="shared" si="138"/>
        <v>ok</v>
      </c>
      <c r="T462" s="306"/>
      <c r="U462" s="314"/>
      <c r="V462" s="314"/>
      <c r="W462" s="314"/>
      <c r="X462" s="306"/>
    </row>
    <row r="463" spans="1:24" s="8" customFormat="1" ht="16.5" customHeight="1">
      <c r="A463" s="1101" t="s">
        <v>1593</v>
      </c>
      <c r="B463" s="1101" t="s">
        <v>2084</v>
      </c>
      <c r="C463" s="1104" t="s">
        <v>51</v>
      </c>
      <c r="D463" s="1105">
        <v>300</v>
      </c>
      <c r="E463" s="1106">
        <v>23.92</v>
      </c>
      <c r="F463" s="841">
        <f t="shared" si="136"/>
        <v>7176.0000000000009</v>
      </c>
      <c r="G463" s="1049">
        <v>0</v>
      </c>
      <c r="H463" s="306">
        <v>0</v>
      </c>
      <c r="I463" s="307">
        <v>0</v>
      </c>
      <c r="J463" s="1046"/>
      <c r="K463" s="306">
        <f t="shared" si="139"/>
        <v>0</v>
      </c>
      <c r="L463" s="307">
        <f t="shared" si="140"/>
        <v>0</v>
      </c>
      <c r="M463" s="1047">
        <f t="shared" si="141"/>
        <v>0</v>
      </c>
      <c r="N463" s="306">
        <f t="shared" si="142"/>
        <v>0</v>
      </c>
      <c r="O463" s="307">
        <f t="shared" si="143"/>
        <v>0</v>
      </c>
      <c r="P463" s="1047">
        <f t="shared" si="144"/>
        <v>300</v>
      </c>
      <c r="Q463" s="306">
        <f t="shared" si="137"/>
        <v>7176.0000000000009</v>
      </c>
      <c r="R463" s="307">
        <f t="shared" si="145"/>
        <v>1</v>
      </c>
      <c r="S463" s="314" t="str">
        <f t="shared" si="138"/>
        <v>ok</v>
      </c>
      <c r="T463" s="306"/>
      <c r="U463" s="314"/>
      <c r="V463" s="314"/>
      <c r="W463" s="314"/>
      <c r="X463" s="306"/>
    </row>
    <row r="464" spans="1:24" s="8" customFormat="1" ht="16.5" customHeight="1">
      <c r="A464" s="1101" t="s">
        <v>1594</v>
      </c>
      <c r="B464" s="1101" t="s">
        <v>1978</v>
      </c>
      <c r="C464" s="1104" t="s">
        <v>51</v>
      </c>
      <c r="D464" s="1105">
        <v>14346</v>
      </c>
      <c r="E464" s="1106">
        <v>8.33</v>
      </c>
      <c r="F464" s="841">
        <f t="shared" si="136"/>
        <v>119502.18000000001</v>
      </c>
      <c r="G464" s="1049">
        <v>0</v>
      </c>
      <c r="H464" s="306">
        <v>0</v>
      </c>
      <c r="I464" s="307">
        <v>0</v>
      </c>
      <c r="J464" s="1046"/>
      <c r="K464" s="306">
        <f t="shared" si="139"/>
        <v>0</v>
      </c>
      <c r="L464" s="307">
        <f t="shared" si="140"/>
        <v>0</v>
      </c>
      <c r="M464" s="1047">
        <f t="shared" si="141"/>
        <v>0</v>
      </c>
      <c r="N464" s="306">
        <f t="shared" si="142"/>
        <v>0</v>
      </c>
      <c r="O464" s="307">
        <f t="shared" si="143"/>
        <v>0</v>
      </c>
      <c r="P464" s="1047">
        <f t="shared" si="144"/>
        <v>14346</v>
      </c>
      <c r="Q464" s="306">
        <f t="shared" si="137"/>
        <v>119502.18000000001</v>
      </c>
      <c r="R464" s="307">
        <f t="shared" si="145"/>
        <v>1</v>
      </c>
      <c r="S464" s="314" t="str">
        <f t="shared" si="138"/>
        <v>ok</v>
      </c>
      <c r="T464" s="306"/>
      <c r="U464" s="314"/>
      <c r="V464" s="314"/>
      <c r="W464" s="314"/>
      <c r="X464" s="306"/>
    </row>
    <row r="465" spans="1:24" s="8" customFormat="1" ht="16.5" customHeight="1">
      <c r="A465" s="1101" t="s">
        <v>1595</v>
      </c>
      <c r="B465" s="1103" t="s">
        <v>1980</v>
      </c>
      <c r="C465" s="1103"/>
      <c r="D465" s="1105"/>
      <c r="E465" s="1107"/>
      <c r="F465" s="841"/>
      <c r="G465" s="1049"/>
      <c r="H465" s="306"/>
      <c r="I465" s="307"/>
      <c r="J465" s="1046"/>
      <c r="K465" s="306"/>
      <c r="L465" s="307"/>
      <c r="M465" s="1047"/>
      <c r="N465" s="306"/>
      <c r="O465" s="307"/>
      <c r="P465" s="1047"/>
      <c r="Q465" s="306">
        <f t="shared" si="137"/>
        <v>0</v>
      </c>
      <c r="R465" s="307"/>
      <c r="S465" s="314" t="str">
        <f t="shared" si="138"/>
        <v>ok</v>
      </c>
      <c r="T465" s="306"/>
      <c r="U465" s="314"/>
      <c r="V465" s="314"/>
      <c r="W465" s="314"/>
      <c r="X465" s="306"/>
    </row>
    <row r="466" spans="1:24" s="8" customFormat="1" ht="16.5" customHeight="1">
      <c r="A466" s="1101" t="s">
        <v>1596</v>
      </c>
      <c r="B466" s="1101" t="s">
        <v>1981</v>
      </c>
      <c r="C466" s="1104" t="s">
        <v>51</v>
      </c>
      <c r="D466" s="1105">
        <v>897</v>
      </c>
      <c r="E466" s="1106">
        <v>9.43</v>
      </c>
      <c r="F466" s="841">
        <f t="shared" si="136"/>
        <v>8458.7099999999991</v>
      </c>
      <c r="G466" s="1049">
        <v>0</v>
      </c>
      <c r="H466" s="306">
        <v>0</v>
      </c>
      <c r="I466" s="307">
        <v>0</v>
      </c>
      <c r="J466" s="1046"/>
      <c r="K466" s="306">
        <f t="shared" si="139"/>
        <v>0</v>
      </c>
      <c r="L466" s="307">
        <f t="shared" si="140"/>
        <v>0</v>
      </c>
      <c r="M466" s="1047">
        <f t="shared" si="141"/>
        <v>0</v>
      </c>
      <c r="N466" s="306">
        <f t="shared" si="142"/>
        <v>0</v>
      </c>
      <c r="O466" s="307">
        <f t="shared" si="143"/>
        <v>0</v>
      </c>
      <c r="P466" s="1047">
        <f t="shared" si="144"/>
        <v>897</v>
      </c>
      <c r="Q466" s="306">
        <f t="shared" si="137"/>
        <v>8458.7099999999991</v>
      </c>
      <c r="R466" s="307">
        <f t="shared" si="145"/>
        <v>1</v>
      </c>
      <c r="S466" s="314" t="str">
        <f t="shared" si="138"/>
        <v>ok</v>
      </c>
      <c r="T466" s="306"/>
      <c r="U466" s="314"/>
      <c r="V466" s="314"/>
      <c r="W466" s="314"/>
      <c r="X466" s="306"/>
    </row>
    <row r="467" spans="1:24" s="2113" customFormat="1" ht="16.5" customHeight="1">
      <c r="A467" s="1963" t="s">
        <v>1597</v>
      </c>
      <c r="B467" s="1963" t="s">
        <v>2034</v>
      </c>
      <c r="C467" s="1964" t="s">
        <v>51</v>
      </c>
      <c r="D467" s="1965">
        <v>135</v>
      </c>
      <c r="E467" s="1973">
        <v>39.090000000000003</v>
      </c>
      <c r="F467" s="1974">
        <f t="shared" ref="F467:F530" si="146">+D467*E467</f>
        <v>5277.1500000000005</v>
      </c>
      <c r="G467" s="1966">
        <v>24</v>
      </c>
      <c r="H467" s="1967">
        <v>938.16000000000008</v>
      </c>
      <c r="I467" s="1968">
        <v>0.17777777777777778</v>
      </c>
      <c r="J467" s="1975"/>
      <c r="K467" s="1967">
        <f t="shared" si="139"/>
        <v>0</v>
      </c>
      <c r="L467" s="1968">
        <f t="shared" si="140"/>
        <v>0</v>
      </c>
      <c r="M467" s="1970">
        <f t="shared" si="141"/>
        <v>24</v>
      </c>
      <c r="N467" s="1967">
        <f t="shared" si="142"/>
        <v>938.16000000000008</v>
      </c>
      <c r="O467" s="1968">
        <f t="shared" si="143"/>
        <v>0.17777777777777778</v>
      </c>
      <c r="P467" s="1970">
        <f t="shared" si="144"/>
        <v>111</v>
      </c>
      <c r="Q467" s="1967">
        <f t="shared" si="137"/>
        <v>4338.9900000000007</v>
      </c>
      <c r="R467" s="1968">
        <f t="shared" si="145"/>
        <v>0.8222222222222223</v>
      </c>
      <c r="S467" s="1971" t="str">
        <f t="shared" si="138"/>
        <v>ok</v>
      </c>
      <c r="T467" s="1967"/>
      <c r="U467" s="1971"/>
      <c r="V467" s="1971"/>
      <c r="W467" s="1971"/>
      <c r="X467" s="1967"/>
    </row>
    <row r="468" spans="1:24" s="8" customFormat="1" ht="16.5" customHeight="1">
      <c r="A468" s="1101" t="s">
        <v>1598</v>
      </c>
      <c r="B468" s="1101" t="s">
        <v>1982</v>
      </c>
      <c r="C468" s="1104" t="s">
        <v>52</v>
      </c>
      <c r="D468" s="1105">
        <v>222</v>
      </c>
      <c r="E468" s="1106">
        <v>8.2899999999999991</v>
      </c>
      <c r="F468" s="841">
        <f t="shared" si="146"/>
        <v>1840.3799999999999</v>
      </c>
      <c r="G468" s="1049">
        <v>0</v>
      </c>
      <c r="H468" s="306">
        <v>0</v>
      </c>
      <c r="I468" s="307">
        <v>0</v>
      </c>
      <c r="J468" s="1046"/>
      <c r="K468" s="306">
        <f t="shared" si="139"/>
        <v>0</v>
      </c>
      <c r="L468" s="307">
        <f t="shared" si="140"/>
        <v>0</v>
      </c>
      <c r="M468" s="1047">
        <f t="shared" si="141"/>
        <v>0</v>
      </c>
      <c r="N468" s="306">
        <f t="shared" si="142"/>
        <v>0</v>
      </c>
      <c r="O468" s="307">
        <f t="shared" si="143"/>
        <v>0</v>
      </c>
      <c r="P468" s="1047">
        <f t="shared" si="144"/>
        <v>222</v>
      </c>
      <c r="Q468" s="306">
        <f t="shared" si="137"/>
        <v>1840.3799999999999</v>
      </c>
      <c r="R468" s="307">
        <f t="shared" si="145"/>
        <v>1</v>
      </c>
      <c r="S468" s="314" t="str">
        <f t="shared" si="138"/>
        <v>ok</v>
      </c>
      <c r="T468" s="306"/>
      <c r="U468" s="314"/>
      <c r="V468" s="314"/>
      <c r="W468" s="314"/>
      <c r="X468" s="306"/>
    </row>
    <row r="469" spans="1:24" s="8" customFormat="1" ht="16.5" customHeight="1">
      <c r="A469" s="1101" t="s">
        <v>1599</v>
      </c>
      <c r="B469" s="1101" t="s">
        <v>1983</v>
      </c>
      <c r="C469" s="1104" t="s">
        <v>52</v>
      </c>
      <c r="D469" s="1105">
        <v>346</v>
      </c>
      <c r="E469" s="1106">
        <v>8.9600000000000009</v>
      </c>
      <c r="F469" s="841">
        <f t="shared" si="146"/>
        <v>3100.1600000000003</v>
      </c>
      <c r="G469" s="1049">
        <v>0</v>
      </c>
      <c r="H469" s="306">
        <v>0</v>
      </c>
      <c r="I469" s="307">
        <v>0</v>
      </c>
      <c r="J469" s="1046"/>
      <c r="K469" s="306">
        <f t="shared" si="139"/>
        <v>0</v>
      </c>
      <c r="L469" s="307">
        <f t="shared" si="140"/>
        <v>0</v>
      </c>
      <c r="M469" s="1047">
        <f t="shared" si="141"/>
        <v>0</v>
      </c>
      <c r="N469" s="306">
        <f t="shared" si="142"/>
        <v>0</v>
      </c>
      <c r="O469" s="307">
        <f t="shared" si="143"/>
        <v>0</v>
      </c>
      <c r="P469" s="1047">
        <f t="shared" si="144"/>
        <v>346</v>
      </c>
      <c r="Q469" s="306">
        <f t="shared" ref="Q469:Q532" si="147">F469-N469</f>
        <v>3100.1600000000003</v>
      </c>
      <c r="R469" s="307">
        <f t="shared" si="145"/>
        <v>1</v>
      </c>
      <c r="S469" s="314" t="str">
        <f t="shared" ref="S469:S532" si="148">IF(M469&gt;D469,"mayormetrado","ok")</f>
        <v>ok</v>
      </c>
      <c r="T469" s="306"/>
      <c r="U469" s="314"/>
      <c r="V469" s="314"/>
      <c r="W469" s="314"/>
      <c r="X469" s="306"/>
    </row>
    <row r="470" spans="1:24" s="8" customFormat="1" ht="16.5" customHeight="1">
      <c r="A470" s="1101" t="s">
        <v>1600</v>
      </c>
      <c r="B470" s="1101" t="s">
        <v>2035</v>
      </c>
      <c r="C470" s="1104" t="s">
        <v>52</v>
      </c>
      <c r="D470" s="1105">
        <v>90</v>
      </c>
      <c r="E470" s="1106">
        <v>9.1300000000000008</v>
      </c>
      <c r="F470" s="841">
        <f t="shared" si="146"/>
        <v>821.7</v>
      </c>
      <c r="G470" s="1049">
        <v>0</v>
      </c>
      <c r="H470" s="306">
        <v>0</v>
      </c>
      <c r="I470" s="307">
        <v>0</v>
      </c>
      <c r="J470" s="1046"/>
      <c r="K470" s="306">
        <f t="shared" si="139"/>
        <v>0</v>
      </c>
      <c r="L470" s="307">
        <f t="shared" si="140"/>
        <v>0</v>
      </c>
      <c r="M470" s="1047">
        <f t="shared" si="141"/>
        <v>0</v>
      </c>
      <c r="N470" s="306">
        <f t="shared" si="142"/>
        <v>0</v>
      </c>
      <c r="O470" s="307">
        <f t="shared" si="143"/>
        <v>0</v>
      </c>
      <c r="P470" s="1047">
        <f t="shared" si="144"/>
        <v>90</v>
      </c>
      <c r="Q470" s="306">
        <f t="shared" si="147"/>
        <v>821.7</v>
      </c>
      <c r="R470" s="307">
        <f t="shared" si="145"/>
        <v>1</v>
      </c>
      <c r="S470" s="314" t="str">
        <f t="shared" si="148"/>
        <v>ok</v>
      </c>
      <c r="T470" s="306"/>
      <c r="U470" s="314"/>
      <c r="V470" s="314"/>
      <c r="W470" s="314"/>
      <c r="X470" s="306"/>
    </row>
    <row r="471" spans="1:24" s="8" customFormat="1" ht="16.5" customHeight="1">
      <c r="A471" s="1101" t="s">
        <v>1601</v>
      </c>
      <c r="B471" s="1401" t="s">
        <v>1984</v>
      </c>
      <c r="C471" s="1104" t="s">
        <v>51</v>
      </c>
      <c r="D471" s="1105">
        <v>156</v>
      </c>
      <c r="E471" s="1106">
        <v>40.46</v>
      </c>
      <c r="F471" s="841">
        <f t="shared" si="146"/>
        <v>6311.76</v>
      </c>
      <c r="G471" s="1049">
        <v>156</v>
      </c>
      <c r="H471" s="306">
        <v>6311.76</v>
      </c>
      <c r="I471" s="307">
        <v>1</v>
      </c>
      <c r="J471" s="1046"/>
      <c r="K471" s="306">
        <f t="shared" si="139"/>
        <v>0</v>
      </c>
      <c r="L471" s="307">
        <f t="shared" si="140"/>
        <v>0</v>
      </c>
      <c r="M471" s="1047">
        <f t="shared" si="141"/>
        <v>156</v>
      </c>
      <c r="N471" s="306">
        <f t="shared" si="142"/>
        <v>6311.76</v>
      </c>
      <c r="O471" s="307">
        <f t="shared" si="143"/>
        <v>1</v>
      </c>
      <c r="P471" s="1047">
        <f t="shared" si="144"/>
        <v>0</v>
      </c>
      <c r="Q471" s="306">
        <f t="shared" si="147"/>
        <v>0</v>
      </c>
      <c r="R471" s="307">
        <f t="shared" si="145"/>
        <v>0</v>
      </c>
      <c r="S471" s="314" t="str">
        <f t="shared" si="148"/>
        <v>ok</v>
      </c>
      <c r="T471" s="306"/>
      <c r="U471" s="314"/>
      <c r="V471" s="314"/>
      <c r="W471" s="314"/>
      <c r="X471" s="306"/>
    </row>
    <row r="472" spans="1:24" s="8" customFormat="1" ht="16.5" customHeight="1">
      <c r="A472" s="1101" t="s">
        <v>1602</v>
      </c>
      <c r="B472" s="1401" t="s">
        <v>2073</v>
      </c>
      <c r="C472" s="1104" t="s">
        <v>51</v>
      </c>
      <c r="D472" s="1105">
        <v>164</v>
      </c>
      <c r="E472" s="1106">
        <v>59.28</v>
      </c>
      <c r="F472" s="841">
        <f t="shared" si="146"/>
        <v>9721.92</v>
      </c>
      <c r="G472" s="1049">
        <v>0</v>
      </c>
      <c r="H472" s="306">
        <v>0</v>
      </c>
      <c r="I472" s="307">
        <v>0</v>
      </c>
      <c r="J472" s="1046"/>
      <c r="K472" s="306">
        <f t="shared" si="139"/>
        <v>0</v>
      </c>
      <c r="L472" s="307">
        <f t="shared" si="140"/>
        <v>0</v>
      </c>
      <c r="M472" s="1047">
        <f t="shared" si="141"/>
        <v>0</v>
      </c>
      <c r="N472" s="306">
        <f t="shared" si="142"/>
        <v>0</v>
      </c>
      <c r="O472" s="307">
        <f t="shared" si="143"/>
        <v>0</v>
      </c>
      <c r="P472" s="1047">
        <f t="shared" si="144"/>
        <v>164</v>
      </c>
      <c r="Q472" s="306">
        <f t="shared" si="147"/>
        <v>9721.92</v>
      </c>
      <c r="R472" s="307">
        <f t="shared" si="145"/>
        <v>1</v>
      </c>
      <c r="S472" s="314" t="str">
        <f t="shared" si="148"/>
        <v>ok</v>
      </c>
      <c r="T472" s="306"/>
      <c r="U472" s="314"/>
      <c r="V472" s="314"/>
      <c r="W472" s="314"/>
      <c r="X472" s="306"/>
    </row>
    <row r="473" spans="1:24" s="8" customFormat="1" ht="16.5" customHeight="1">
      <c r="A473" s="1101" t="s">
        <v>1603</v>
      </c>
      <c r="B473" s="1401" t="s">
        <v>1985</v>
      </c>
      <c r="C473" s="1104" t="s">
        <v>52</v>
      </c>
      <c r="D473" s="1105">
        <v>45</v>
      </c>
      <c r="E473" s="1106">
        <v>20.45</v>
      </c>
      <c r="F473" s="841">
        <f t="shared" si="146"/>
        <v>920.25</v>
      </c>
      <c r="G473" s="1049">
        <v>45</v>
      </c>
      <c r="H473" s="306">
        <v>920.25</v>
      </c>
      <c r="I473" s="307">
        <v>1</v>
      </c>
      <c r="J473" s="1046"/>
      <c r="K473" s="306">
        <f t="shared" si="139"/>
        <v>0</v>
      </c>
      <c r="L473" s="307">
        <f t="shared" si="140"/>
        <v>0</v>
      </c>
      <c r="M473" s="1047">
        <f t="shared" si="141"/>
        <v>45</v>
      </c>
      <c r="N473" s="306">
        <f t="shared" si="142"/>
        <v>920.25</v>
      </c>
      <c r="O473" s="307">
        <f t="shared" si="143"/>
        <v>1</v>
      </c>
      <c r="P473" s="1047">
        <f t="shared" si="144"/>
        <v>0</v>
      </c>
      <c r="Q473" s="306">
        <f t="shared" si="147"/>
        <v>0</v>
      </c>
      <c r="R473" s="307">
        <f t="shared" si="145"/>
        <v>0</v>
      </c>
      <c r="S473" s="314" t="str">
        <f t="shared" si="148"/>
        <v>ok</v>
      </c>
      <c r="T473" s="306"/>
      <c r="U473" s="314"/>
      <c r="V473" s="314"/>
      <c r="W473" s="314"/>
      <c r="X473" s="306"/>
    </row>
    <row r="474" spans="1:24" s="8" customFormat="1" ht="16.5" customHeight="1">
      <c r="A474" s="1101" t="s">
        <v>1604</v>
      </c>
      <c r="B474" s="1401" t="s">
        <v>2085</v>
      </c>
      <c r="C474" s="1104" t="s">
        <v>52</v>
      </c>
      <c r="D474" s="1105">
        <v>45</v>
      </c>
      <c r="E474" s="1106">
        <v>66.69</v>
      </c>
      <c r="F474" s="841">
        <f t="shared" si="146"/>
        <v>3001.0499999999997</v>
      </c>
      <c r="G474" s="1049">
        <v>0</v>
      </c>
      <c r="H474" s="306">
        <v>0</v>
      </c>
      <c r="I474" s="307">
        <v>0</v>
      </c>
      <c r="J474" s="1046"/>
      <c r="K474" s="306">
        <f t="shared" si="139"/>
        <v>0</v>
      </c>
      <c r="L474" s="307">
        <f t="shared" si="140"/>
        <v>0</v>
      </c>
      <c r="M474" s="1047">
        <f t="shared" si="141"/>
        <v>0</v>
      </c>
      <c r="N474" s="306">
        <f t="shared" si="142"/>
        <v>0</v>
      </c>
      <c r="O474" s="307">
        <f t="shared" si="143"/>
        <v>0</v>
      </c>
      <c r="P474" s="1047">
        <f t="shared" si="144"/>
        <v>45</v>
      </c>
      <c r="Q474" s="306">
        <f t="shared" si="147"/>
        <v>3001.0499999999997</v>
      </c>
      <c r="R474" s="307">
        <f t="shared" si="145"/>
        <v>1</v>
      </c>
      <c r="S474" s="314" t="str">
        <f t="shared" si="148"/>
        <v>ok</v>
      </c>
      <c r="T474" s="306"/>
      <c r="U474" s="314"/>
      <c r="V474" s="314"/>
      <c r="W474" s="314"/>
      <c r="X474" s="306"/>
    </row>
    <row r="475" spans="1:24" s="8" customFormat="1" ht="16.5" customHeight="1">
      <c r="A475" s="1101" t="s">
        <v>1605</v>
      </c>
      <c r="B475" s="1401" t="s">
        <v>1986</v>
      </c>
      <c r="C475" s="1104" t="s">
        <v>52</v>
      </c>
      <c r="D475" s="1105">
        <v>133</v>
      </c>
      <c r="E475" s="1106">
        <v>20.45</v>
      </c>
      <c r="F475" s="841">
        <f t="shared" si="146"/>
        <v>2719.85</v>
      </c>
      <c r="G475" s="1049">
        <v>133</v>
      </c>
      <c r="H475" s="306">
        <v>2719.85</v>
      </c>
      <c r="I475" s="307">
        <v>1</v>
      </c>
      <c r="J475" s="1046"/>
      <c r="K475" s="306">
        <f t="shared" si="139"/>
        <v>0</v>
      </c>
      <c r="L475" s="307">
        <f t="shared" si="140"/>
        <v>0</v>
      </c>
      <c r="M475" s="1047">
        <f t="shared" si="141"/>
        <v>133</v>
      </c>
      <c r="N475" s="306">
        <f t="shared" si="142"/>
        <v>2719.85</v>
      </c>
      <c r="O475" s="307">
        <f t="shared" si="143"/>
        <v>1</v>
      </c>
      <c r="P475" s="1047">
        <f t="shared" si="144"/>
        <v>0</v>
      </c>
      <c r="Q475" s="306">
        <f t="shared" si="147"/>
        <v>0</v>
      </c>
      <c r="R475" s="307">
        <f t="shared" si="145"/>
        <v>0</v>
      </c>
      <c r="S475" s="314" t="str">
        <f t="shared" si="148"/>
        <v>ok</v>
      </c>
      <c r="T475" s="306"/>
      <c r="U475" s="314"/>
      <c r="V475" s="314"/>
      <c r="W475" s="314"/>
      <c r="X475" s="306"/>
    </row>
    <row r="476" spans="1:24" s="8" customFormat="1" ht="16.5" customHeight="1">
      <c r="A476" s="1101" t="s">
        <v>1606</v>
      </c>
      <c r="B476" s="1401" t="s">
        <v>2074</v>
      </c>
      <c r="C476" s="1104" t="s">
        <v>52</v>
      </c>
      <c r="D476" s="1105">
        <v>90</v>
      </c>
      <c r="E476" s="1106">
        <v>25.67</v>
      </c>
      <c r="F476" s="841">
        <f t="shared" si="146"/>
        <v>2310.3000000000002</v>
      </c>
      <c r="G476" s="1049">
        <v>0</v>
      </c>
      <c r="H476" s="306">
        <v>0</v>
      </c>
      <c r="I476" s="307">
        <v>0</v>
      </c>
      <c r="J476" s="1046"/>
      <c r="K476" s="306">
        <f t="shared" si="139"/>
        <v>0</v>
      </c>
      <c r="L476" s="307">
        <f t="shared" si="140"/>
        <v>0</v>
      </c>
      <c r="M476" s="1047">
        <f t="shared" si="141"/>
        <v>0</v>
      </c>
      <c r="N476" s="306">
        <f t="shared" si="142"/>
        <v>0</v>
      </c>
      <c r="O476" s="307">
        <f t="shared" si="143"/>
        <v>0</v>
      </c>
      <c r="P476" s="1047">
        <f t="shared" si="144"/>
        <v>90</v>
      </c>
      <c r="Q476" s="306">
        <f t="shared" si="147"/>
        <v>2310.3000000000002</v>
      </c>
      <c r="R476" s="307">
        <f t="shared" si="145"/>
        <v>1</v>
      </c>
      <c r="S476" s="314" t="str">
        <f t="shared" si="148"/>
        <v>ok</v>
      </c>
      <c r="T476" s="306"/>
      <c r="U476" s="314"/>
      <c r="V476" s="314"/>
      <c r="W476" s="314"/>
      <c r="X476" s="306"/>
    </row>
    <row r="477" spans="1:24" s="8" customFormat="1" ht="16.5" customHeight="1">
      <c r="A477" s="1101" t="s">
        <v>1607</v>
      </c>
      <c r="B477" s="1558" t="s">
        <v>2086</v>
      </c>
      <c r="C477" s="1103"/>
      <c r="D477" s="1105"/>
      <c r="E477" s="1107"/>
      <c r="F477" s="841"/>
      <c r="G477" s="1049"/>
      <c r="H477" s="306"/>
      <c r="I477" s="307"/>
      <c r="J477" s="1046"/>
      <c r="K477" s="306"/>
      <c r="L477" s="307"/>
      <c r="M477" s="1047"/>
      <c r="N477" s="306"/>
      <c r="O477" s="307"/>
      <c r="P477" s="1047"/>
      <c r="Q477" s="306">
        <f t="shared" si="147"/>
        <v>0</v>
      </c>
      <c r="R477" s="307"/>
      <c r="S477" s="314" t="str">
        <f t="shared" si="148"/>
        <v>ok</v>
      </c>
      <c r="T477" s="306"/>
      <c r="U477" s="314"/>
      <c r="V477" s="314"/>
      <c r="W477" s="314"/>
      <c r="X477" s="306"/>
    </row>
    <row r="478" spans="1:24" s="8" customFormat="1" ht="16.5" customHeight="1">
      <c r="A478" s="1101" t="s">
        <v>1608</v>
      </c>
      <c r="B478" s="1401" t="s">
        <v>2087</v>
      </c>
      <c r="C478" s="1104" t="s">
        <v>51</v>
      </c>
      <c r="D478" s="1105">
        <v>30</v>
      </c>
      <c r="E478" s="1106">
        <v>153.99</v>
      </c>
      <c r="F478" s="841">
        <f t="shared" si="146"/>
        <v>4619.7000000000007</v>
      </c>
      <c r="G478" s="1049">
        <v>30</v>
      </c>
      <c r="H478" s="306">
        <v>4619.7000000000007</v>
      </c>
      <c r="I478" s="307">
        <v>1</v>
      </c>
      <c r="J478" s="1046"/>
      <c r="K478" s="306">
        <f t="shared" si="139"/>
        <v>0</v>
      </c>
      <c r="L478" s="307">
        <f t="shared" si="140"/>
        <v>0</v>
      </c>
      <c r="M478" s="1047">
        <f t="shared" si="141"/>
        <v>30</v>
      </c>
      <c r="N478" s="306">
        <f t="shared" si="142"/>
        <v>4619.7000000000007</v>
      </c>
      <c r="O478" s="307">
        <f t="shared" si="143"/>
        <v>1</v>
      </c>
      <c r="P478" s="1047">
        <f t="shared" si="144"/>
        <v>0</v>
      </c>
      <c r="Q478" s="306">
        <f t="shared" si="147"/>
        <v>0</v>
      </c>
      <c r="R478" s="307">
        <f t="shared" si="145"/>
        <v>0</v>
      </c>
      <c r="S478" s="314" t="str">
        <f t="shared" si="148"/>
        <v>ok</v>
      </c>
      <c r="T478" s="306"/>
      <c r="U478" s="314"/>
      <c r="V478" s="314"/>
      <c r="W478" s="314"/>
      <c r="X478" s="306"/>
    </row>
    <row r="479" spans="1:24" s="8" customFormat="1" ht="16.5" customHeight="1">
      <c r="A479" s="1101" t="s">
        <v>1609</v>
      </c>
      <c r="B479" s="1401" t="s">
        <v>2088</v>
      </c>
      <c r="C479" s="1104" t="s">
        <v>52</v>
      </c>
      <c r="D479" s="1105">
        <v>30</v>
      </c>
      <c r="E479" s="1106">
        <v>43.61</v>
      </c>
      <c r="F479" s="841">
        <f t="shared" si="146"/>
        <v>1308.3</v>
      </c>
      <c r="G479" s="1049">
        <v>30</v>
      </c>
      <c r="H479" s="306">
        <v>1308.3</v>
      </c>
      <c r="I479" s="307">
        <v>1</v>
      </c>
      <c r="J479" s="1046"/>
      <c r="K479" s="306">
        <f t="shared" si="139"/>
        <v>0</v>
      </c>
      <c r="L479" s="307">
        <f t="shared" si="140"/>
        <v>0</v>
      </c>
      <c r="M479" s="1047">
        <f t="shared" si="141"/>
        <v>30</v>
      </c>
      <c r="N479" s="306">
        <f t="shared" si="142"/>
        <v>1308.3</v>
      </c>
      <c r="O479" s="307">
        <f t="shared" si="143"/>
        <v>1</v>
      </c>
      <c r="P479" s="1047">
        <f t="shared" si="144"/>
        <v>0</v>
      </c>
      <c r="Q479" s="306">
        <f t="shared" si="147"/>
        <v>0</v>
      </c>
      <c r="R479" s="307">
        <f t="shared" si="145"/>
        <v>0</v>
      </c>
      <c r="S479" s="314" t="str">
        <f t="shared" si="148"/>
        <v>ok</v>
      </c>
      <c r="T479" s="306"/>
      <c r="U479" s="314"/>
      <c r="V479" s="314"/>
      <c r="W479" s="314"/>
      <c r="X479" s="306"/>
    </row>
    <row r="480" spans="1:24" s="8" customFormat="1" ht="16.5" customHeight="1">
      <c r="A480" s="1101" t="s">
        <v>1610</v>
      </c>
      <c r="B480" s="1401" t="s">
        <v>2089</v>
      </c>
      <c r="C480" s="1104" t="s">
        <v>52</v>
      </c>
      <c r="D480" s="1105">
        <v>7</v>
      </c>
      <c r="E480" s="1106">
        <v>96.67</v>
      </c>
      <c r="F480" s="841">
        <f t="shared" si="146"/>
        <v>676.69</v>
      </c>
      <c r="G480" s="1049">
        <v>7</v>
      </c>
      <c r="H480" s="306">
        <v>676.69</v>
      </c>
      <c r="I480" s="307">
        <v>1</v>
      </c>
      <c r="J480" s="1046"/>
      <c r="K480" s="306">
        <f t="shared" si="139"/>
        <v>0</v>
      </c>
      <c r="L480" s="307">
        <f t="shared" si="140"/>
        <v>0</v>
      </c>
      <c r="M480" s="1047">
        <f t="shared" si="141"/>
        <v>7</v>
      </c>
      <c r="N480" s="306">
        <f t="shared" si="142"/>
        <v>676.69</v>
      </c>
      <c r="O480" s="307">
        <f t="shared" si="143"/>
        <v>1</v>
      </c>
      <c r="P480" s="1047">
        <f t="shared" si="144"/>
        <v>0</v>
      </c>
      <c r="Q480" s="306">
        <f t="shared" si="147"/>
        <v>0</v>
      </c>
      <c r="R480" s="307">
        <f t="shared" si="145"/>
        <v>0</v>
      </c>
      <c r="S480" s="314" t="str">
        <f t="shared" si="148"/>
        <v>ok</v>
      </c>
      <c r="T480" s="306"/>
      <c r="U480" s="314"/>
      <c r="V480" s="314"/>
      <c r="W480" s="314"/>
      <c r="X480" s="306"/>
    </row>
    <row r="481" spans="1:24" s="8" customFormat="1" ht="16.5" customHeight="1">
      <c r="A481" s="1101" t="s">
        <v>1611</v>
      </c>
      <c r="B481" s="1401" t="s">
        <v>2090</v>
      </c>
      <c r="C481" s="1104" t="s">
        <v>51</v>
      </c>
      <c r="D481" s="1105">
        <v>314</v>
      </c>
      <c r="E481" s="1106">
        <v>151.46</v>
      </c>
      <c r="F481" s="841">
        <f t="shared" si="146"/>
        <v>47558.44</v>
      </c>
      <c r="G481" s="1049">
        <v>314</v>
      </c>
      <c r="H481" s="306">
        <v>47558.44</v>
      </c>
      <c r="I481" s="307">
        <v>1</v>
      </c>
      <c r="J481" s="1046"/>
      <c r="K481" s="306">
        <f t="shared" si="139"/>
        <v>0</v>
      </c>
      <c r="L481" s="307">
        <f t="shared" si="140"/>
        <v>0</v>
      </c>
      <c r="M481" s="1047">
        <f t="shared" si="141"/>
        <v>314</v>
      </c>
      <c r="N481" s="306">
        <f t="shared" si="142"/>
        <v>47558.44</v>
      </c>
      <c r="O481" s="307">
        <f t="shared" si="143"/>
        <v>1</v>
      </c>
      <c r="P481" s="1047">
        <f t="shared" si="144"/>
        <v>0</v>
      </c>
      <c r="Q481" s="306">
        <f t="shared" si="147"/>
        <v>0</v>
      </c>
      <c r="R481" s="307">
        <f t="shared" si="145"/>
        <v>0</v>
      </c>
      <c r="S481" s="314" t="str">
        <f t="shared" si="148"/>
        <v>ok</v>
      </c>
      <c r="T481" s="306"/>
      <c r="U481" s="314"/>
      <c r="V481" s="314"/>
      <c r="W481" s="314"/>
      <c r="X481" s="306"/>
    </row>
    <row r="482" spans="1:24" s="8" customFormat="1" ht="16.5" customHeight="1">
      <c r="A482" s="1101" t="s">
        <v>1612</v>
      </c>
      <c r="B482" s="1101" t="s">
        <v>2091</v>
      </c>
      <c r="C482" s="1104" t="s">
        <v>52</v>
      </c>
      <c r="D482" s="1105">
        <v>278</v>
      </c>
      <c r="E482" s="1106">
        <v>43.61</v>
      </c>
      <c r="F482" s="841">
        <f t="shared" si="146"/>
        <v>12123.58</v>
      </c>
      <c r="G482" s="1049">
        <v>278</v>
      </c>
      <c r="H482" s="306">
        <v>12123.58</v>
      </c>
      <c r="I482" s="307">
        <v>1</v>
      </c>
      <c r="J482" s="1046"/>
      <c r="K482" s="306">
        <f t="shared" si="139"/>
        <v>0</v>
      </c>
      <c r="L482" s="307">
        <f t="shared" si="140"/>
        <v>0</v>
      </c>
      <c r="M482" s="1047">
        <f t="shared" si="141"/>
        <v>278</v>
      </c>
      <c r="N482" s="306">
        <f t="shared" si="142"/>
        <v>12123.58</v>
      </c>
      <c r="O482" s="307">
        <f t="shared" si="143"/>
        <v>1</v>
      </c>
      <c r="P482" s="1047">
        <f t="shared" si="144"/>
        <v>0</v>
      </c>
      <c r="Q482" s="306">
        <f t="shared" si="147"/>
        <v>0</v>
      </c>
      <c r="R482" s="307">
        <f t="shared" si="145"/>
        <v>0</v>
      </c>
      <c r="S482" s="314" t="str">
        <f t="shared" si="148"/>
        <v>ok</v>
      </c>
      <c r="T482" s="306"/>
      <c r="U482" s="314"/>
      <c r="V482" s="314"/>
      <c r="W482" s="314"/>
      <c r="X482" s="306"/>
    </row>
    <row r="483" spans="1:24" s="8" customFormat="1" ht="16.5" customHeight="1">
      <c r="A483" s="1101" t="s">
        <v>1613</v>
      </c>
      <c r="B483" s="1101" t="s">
        <v>2092</v>
      </c>
      <c r="C483" s="1104" t="s">
        <v>52</v>
      </c>
      <c r="D483" s="1105">
        <v>40</v>
      </c>
      <c r="E483" s="1106">
        <v>81.069999999999993</v>
      </c>
      <c r="F483" s="841">
        <f t="shared" si="146"/>
        <v>3242.7999999999997</v>
      </c>
      <c r="G483" s="1049">
        <v>40</v>
      </c>
      <c r="H483" s="306">
        <v>3242.7999999999997</v>
      </c>
      <c r="I483" s="307">
        <v>1</v>
      </c>
      <c r="J483" s="1046"/>
      <c r="K483" s="306">
        <f t="shared" si="139"/>
        <v>0</v>
      </c>
      <c r="L483" s="307">
        <f t="shared" si="140"/>
        <v>0</v>
      </c>
      <c r="M483" s="1047">
        <f t="shared" si="141"/>
        <v>40</v>
      </c>
      <c r="N483" s="306">
        <f>M483*E483</f>
        <v>3242.7999999999997</v>
      </c>
      <c r="O483" s="307">
        <f t="shared" si="143"/>
        <v>1</v>
      </c>
      <c r="P483" s="1047">
        <f t="shared" si="144"/>
        <v>0</v>
      </c>
      <c r="Q483" s="306">
        <f t="shared" si="147"/>
        <v>0</v>
      </c>
      <c r="R483" s="307">
        <f t="shared" si="145"/>
        <v>0</v>
      </c>
      <c r="S483" s="314" t="str">
        <f t="shared" si="148"/>
        <v>ok</v>
      </c>
      <c r="T483" s="306"/>
      <c r="U483" s="314"/>
      <c r="V483" s="314"/>
      <c r="W483" s="314"/>
      <c r="X483" s="306"/>
    </row>
    <row r="484" spans="1:24" s="8" customFormat="1" ht="16.5" customHeight="1">
      <c r="A484" s="1101" t="s">
        <v>1614</v>
      </c>
      <c r="B484" s="1101" t="s">
        <v>2073</v>
      </c>
      <c r="C484" s="1104" t="s">
        <v>51</v>
      </c>
      <c r="D484" s="1105">
        <v>4</v>
      </c>
      <c r="E484" s="1106">
        <v>59.28</v>
      </c>
      <c r="F484" s="841">
        <f t="shared" si="146"/>
        <v>237.12</v>
      </c>
      <c r="G484" s="1049">
        <v>4</v>
      </c>
      <c r="H484" s="306">
        <v>237.12</v>
      </c>
      <c r="I484" s="307">
        <v>1</v>
      </c>
      <c r="J484" s="1046"/>
      <c r="K484" s="306">
        <f t="shared" si="139"/>
        <v>0</v>
      </c>
      <c r="L484" s="307">
        <f t="shared" si="140"/>
        <v>0</v>
      </c>
      <c r="M484" s="1047">
        <f t="shared" si="141"/>
        <v>4</v>
      </c>
      <c r="N484" s="306">
        <f t="shared" si="142"/>
        <v>237.12</v>
      </c>
      <c r="O484" s="307">
        <f t="shared" si="143"/>
        <v>1</v>
      </c>
      <c r="P484" s="1047">
        <f t="shared" si="144"/>
        <v>0</v>
      </c>
      <c r="Q484" s="306">
        <f t="shared" si="147"/>
        <v>0</v>
      </c>
      <c r="R484" s="307">
        <f t="shared" si="145"/>
        <v>0</v>
      </c>
      <c r="S484" s="314" t="str">
        <f t="shared" si="148"/>
        <v>ok</v>
      </c>
      <c r="T484" s="306"/>
      <c r="U484" s="314"/>
      <c r="V484" s="314"/>
      <c r="W484" s="314"/>
      <c r="X484" s="306"/>
    </row>
    <row r="485" spans="1:24" s="8" customFormat="1" ht="16.5" customHeight="1">
      <c r="A485" s="1101" t="s">
        <v>1615</v>
      </c>
      <c r="B485" s="1101" t="s">
        <v>2093</v>
      </c>
      <c r="C485" s="1104" t="s">
        <v>52</v>
      </c>
      <c r="D485" s="1105">
        <v>2</v>
      </c>
      <c r="E485" s="1106">
        <v>19.420000000000002</v>
      </c>
      <c r="F485" s="841">
        <f t="shared" si="146"/>
        <v>38.840000000000003</v>
      </c>
      <c r="G485" s="1049">
        <v>0</v>
      </c>
      <c r="H485" s="306">
        <v>0</v>
      </c>
      <c r="I485" s="307">
        <v>0</v>
      </c>
      <c r="J485" s="1046"/>
      <c r="K485" s="306">
        <f t="shared" si="139"/>
        <v>0</v>
      </c>
      <c r="L485" s="307">
        <f t="shared" si="140"/>
        <v>0</v>
      </c>
      <c r="M485" s="1047">
        <f t="shared" si="141"/>
        <v>0</v>
      </c>
      <c r="N485" s="306">
        <f t="shared" si="142"/>
        <v>0</v>
      </c>
      <c r="O485" s="307">
        <f t="shared" si="143"/>
        <v>0</v>
      </c>
      <c r="P485" s="1047">
        <f t="shared" si="144"/>
        <v>2</v>
      </c>
      <c r="Q485" s="306">
        <f t="shared" si="147"/>
        <v>38.840000000000003</v>
      </c>
      <c r="R485" s="307">
        <f t="shared" si="145"/>
        <v>1</v>
      </c>
      <c r="S485" s="314" t="str">
        <f t="shared" si="148"/>
        <v>ok</v>
      </c>
      <c r="T485" s="306"/>
      <c r="U485" s="314"/>
      <c r="V485" s="314"/>
      <c r="W485" s="314"/>
      <c r="X485" s="306"/>
    </row>
    <row r="486" spans="1:24" s="8" customFormat="1" ht="16.5" customHeight="1">
      <c r="A486" s="1101" t="s">
        <v>1616</v>
      </c>
      <c r="B486" s="1103" t="s">
        <v>1987</v>
      </c>
      <c r="C486" s="1103"/>
      <c r="D486" s="1105"/>
      <c r="E486" s="1107"/>
      <c r="F486" s="841"/>
      <c r="G486" s="1049"/>
      <c r="H486" s="306"/>
      <c r="I486" s="307"/>
      <c r="J486" s="1046"/>
      <c r="K486" s="306"/>
      <c r="L486" s="307"/>
      <c r="M486" s="1047"/>
      <c r="N486" s="306"/>
      <c r="O486" s="307"/>
      <c r="P486" s="1047"/>
      <c r="Q486" s="306">
        <f t="shared" si="147"/>
        <v>0</v>
      </c>
      <c r="R486" s="307"/>
      <c r="S486" s="314" t="str">
        <f t="shared" si="148"/>
        <v>ok</v>
      </c>
      <c r="T486" s="306"/>
      <c r="U486" s="314"/>
      <c r="V486" s="314"/>
      <c r="W486" s="314"/>
      <c r="X486" s="306"/>
    </row>
    <row r="487" spans="1:24" s="8" customFormat="1" ht="16.5" customHeight="1">
      <c r="A487" s="1101" t="s">
        <v>1617</v>
      </c>
      <c r="B487" s="1101" t="s">
        <v>1988</v>
      </c>
      <c r="C487" s="1104" t="s">
        <v>2145</v>
      </c>
      <c r="D487" s="1105">
        <v>72</v>
      </c>
      <c r="E487" s="1106">
        <v>29.32</v>
      </c>
      <c r="F487" s="841">
        <f t="shared" si="146"/>
        <v>2111.04</v>
      </c>
      <c r="G487" s="1049">
        <v>0</v>
      </c>
      <c r="H487" s="306">
        <v>0</v>
      </c>
      <c r="I487" s="307">
        <v>0</v>
      </c>
      <c r="J487" s="1046"/>
      <c r="K487" s="306">
        <f t="shared" si="139"/>
        <v>0</v>
      </c>
      <c r="L487" s="307">
        <f t="shared" si="140"/>
        <v>0</v>
      </c>
      <c r="M487" s="1047">
        <f t="shared" si="141"/>
        <v>0</v>
      </c>
      <c r="N487" s="306">
        <f t="shared" si="142"/>
        <v>0</v>
      </c>
      <c r="O487" s="307">
        <f t="shared" si="143"/>
        <v>0</v>
      </c>
      <c r="P487" s="1047">
        <f t="shared" si="144"/>
        <v>72</v>
      </c>
      <c r="Q487" s="306">
        <f t="shared" si="147"/>
        <v>2111.04</v>
      </c>
      <c r="R487" s="307">
        <f t="shared" si="145"/>
        <v>1</v>
      </c>
      <c r="S487" s="314" t="str">
        <f t="shared" si="148"/>
        <v>ok</v>
      </c>
      <c r="T487" s="306"/>
      <c r="U487" s="314"/>
      <c r="V487" s="314"/>
      <c r="W487" s="314"/>
      <c r="X487" s="306"/>
    </row>
    <row r="488" spans="1:24" s="8" customFormat="1" ht="16.5" customHeight="1">
      <c r="A488" s="1101" t="s">
        <v>1618</v>
      </c>
      <c r="B488" s="1101" t="s">
        <v>2036</v>
      </c>
      <c r="C488" s="1104" t="s">
        <v>2145</v>
      </c>
      <c r="D488" s="1105">
        <v>20</v>
      </c>
      <c r="E488" s="1106">
        <v>33.57</v>
      </c>
      <c r="F488" s="841">
        <f t="shared" si="146"/>
        <v>671.4</v>
      </c>
      <c r="G488" s="1049">
        <v>0</v>
      </c>
      <c r="H488" s="306">
        <v>0</v>
      </c>
      <c r="I488" s="307">
        <v>0</v>
      </c>
      <c r="J488" s="1046"/>
      <c r="K488" s="306">
        <f t="shared" si="139"/>
        <v>0</v>
      </c>
      <c r="L488" s="307">
        <f t="shared" si="140"/>
        <v>0</v>
      </c>
      <c r="M488" s="1047">
        <f t="shared" si="141"/>
        <v>0</v>
      </c>
      <c r="N488" s="306">
        <f t="shared" si="142"/>
        <v>0</v>
      </c>
      <c r="O488" s="307">
        <f t="shared" si="143"/>
        <v>0</v>
      </c>
      <c r="P488" s="1047">
        <f t="shared" si="144"/>
        <v>20</v>
      </c>
      <c r="Q488" s="306">
        <f t="shared" si="147"/>
        <v>671.4</v>
      </c>
      <c r="R488" s="307">
        <f t="shared" si="145"/>
        <v>1</v>
      </c>
      <c r="S488" s="314" t="str">
        <f t="shared" si="148"/>
        <v>ok</v>
      </c>
      <c r="T488" s="306"/>
      <c r="U488" s="314"/>
      <c r="V488" s="314"/>
      <c r="W488" s="314"/>
      <c r="X488" s="306"/>
    </row>
    <row r="489" spans="1:24" s="8" customFormat="1" ht="16.5" customHeight="1">
      <c r="A489" s="1101" t="s">
        <v>1619</v>
      </c>
      <c r="B489" s="1101" t="s">
        <v>1989</v>
      </c>
      <c r="C489" s="1104" t="s">
        <v>52</v>
      </c>
      <c r="D489" s="1105">
        <v>90</v>
      </c>
      <c r="E489" s="1106">
        <v>53.74</v>
      </c>
      <c r="F489" s="841">
        <f t="shared" si="146"/>
        <v>4836.6000000000004</v>
      </c>
      <c r="G489" s="1049">
        <v>0</v>
      </c>
      <c r="H489" s="306">
        <v>0</v>
      </c>
      <c r="I489" s="307">
        <v>0</v>
      </c>
      <c r="J489" s="1046"/>
      <c r="K489" s="306">
        <f t="shared" si="139"/>
        <v>0</v>
      </c>
      <c r="L489" s="307">
        <f t="shared" si="140"/>
        <v>0</v>
      </c>
      <c r="M489" s="1047">
        <f t="shared" si="141"/>
        <v>0</v>
      </c>
      <c r="N489" s="306">
        <f t="shared" si="142"/>
        <v>0</v>
      </c>
      <c r="O489" s="307">
        <f t="shared" si="143"/>
        <v>0</v>
      </c>
      <c r="P489" s="1047">
        <f t="shared" si="144"/>
        <v>90</v>
      </c>
      <c r="Q489" s="306">
        <f t="shared" si="147"/>
        <v>4836.6000000000004</v>
      </c>
      <c r="R489" s="307">
        <f t="shared" si="145"/>
        <v>1</v>
      </c>
      <c r="S489" s="314" t="str">
        <f t="shared" si="148"/>
        <v>ok</v>
      </c>
      <c r="T489" s="306"/>
      <c r="U489" s="314"/>
      <c r="V489" s="314"/>
      <c r="W489" s="314"/>
      <c r="X489" s="306"/>
    </row>
    <row r="490" spans="1:24" s="8" customFormat="1" ht="16.5" customHeight="1">
      <c r="A490" s="1101" t="s">
        <v>1620</v>
      </c>
      <c r="B490" s="1103" t="s">
        <v>2037</v>
      </c>
      <c r="C490" s="1103"/>
      <c r="D490" s="1105"/>
      <c r="E490" s="1107"/>
      <c r="F490" s="841"/>
      <c r="G490" s="1049"/>
      <c r="H490" s="306"/>
      <c r="I490" s="307"/>
      <c r="J490" s="1046"/>
      <c r="K490" s="306"/>
      <c r="L490" s="307"/>
      <c r="M490" s="1047"/>
      <c r="N490" s="306"/>
      <c r="O490" s="307"/>
      <c r="P490" s="1047"/>
      <c r="Q490" s="306">
        <f t="shared" si="147"/>
        <v>0</v>
      </c>
      <c r="R490" s="307"/>
      <c r="S490" s="314" t="str">
        <f t="shared" si="148"/>
        <v>ok</v>
      </c>
      <c r="T490" s="306"/>
      <c r="U490" s="314"/>
      <c r="V490" s="314"/>
      <c r="W490" s="314"/>
      <c r="X490" s="306"/>
    </row>
    <row r="491" spans="1:24" s="8" customFormat="1" ht="16.5" customHeight="1">
      <c r="A491" s="1101" t="s">
        <v>1621</v>
      </c>
      <c r="B491" s="1101" t="s">
        <v>2094</v>
      </c>
      <c r="C491" s="1104" t="s">
        <v>1145</v>
      </c>
      <c r="D491" s="1105">
        <v>101</v>
      </c>
      <c r="E491" s="1106">
        <v>23.82</v>
      </c>
      <c r="F491" s="841">
        <f t="shared" si="146"/>
        <v>2405.8200000000002</v>
      </c>
      <c r="G491" s="1049">
        <v>101</v>
      </c>
      <c r="H491" s="306">
        <v>2405.8200000000002</v>
      </c>
      <c r="I491" s="307">
        <v>1</v>
      </c>
      <c r="J491" s="1046"/>
      <c r="K491" s="306">
        <f t="shared" si="139"/>
        <v>0</v>
      </c>
      <c r="L491" s="307">
        <f t="shared" si="140"/>
        <v>0</v>
      </c>
      <c r="M491" s="1047">
        <f t="shared" si="141"/>
        <v>101</v>
      </c>
      <c r="N491" s="306">
        <f t="shared" si="142"/>
        <v>2405.8200000000002</v>
      </c>
      <c r="O491" s="307">
        <f t="shared" si="143"/>
        <v>1</v>
      </c>
      <c r="P491" s="1047">
        <f t="shared" si="144"/>
        <v>0</v>
      </c>
      <c r="Q491" s="306">
        <f t="shared" si="147"/>
        <v>0</v>
      </c>
      <c r="R491" s="307">
        <f t="shared" si="145"/>
        <v>0</v>
      </c>
      <c r="S491" s="314" t="str">
        <f t="shared" si="148"/>
        <v>ok</v>
      </c>
      <c r="T491" s="306"/>
      <c r="U491" s="314"/>
      <c r="V491" s="314"/>
      <c r="W491" s="314"/>
      <c r="X491" s="306"/>
    </row>
    <row r="492" spans="1:24" s="8" customFormat="1" ht="16.5" customHeight="1">
      <c r="A492" s="1101" t="s">
        <v>1622</v>
      </c>
      <c r="B492" s="1101" t="s">
        <v>2095</v>
      </c>
      <c r="C492" s="1104" t="s">
        <v>1145</v>
      </c>
      <c r="D492" s="1105">
        <v>72</v>
      </c>
      <c r="E492" s="1106">
        <v>98.32</v>
      </c>
      <c r="F492" s="841">
        <f t="shared" si="146"/>
        <v>7079.0399999999991</v>
      </c>
      <c r="G492" s="1049">
        <v>72</v>
      </c>
      <c r="H492" s="306">
        <v>7079.0399999999991</v>
      </c>
      <c r="I492" s="307">
        <v>1</v>
      </c>
      <c r="J492" s="1046"/>
      <c r="K492" s="306">
        <f t="shared" si="139"/>
        <v>0</v>
      </c>
      <c r="L492" s="307">
        <f t="shared" si="140"/>
        <v>0</v>
      </c>
      <c r="M492" s="1047">
        <f t="shared" si="141"/>
        <v>72</v>
      </c>
      <c r="N492" s="306">
        <f t="shared" si="142"/>
        <v>7079.0399999999991</v>
      </c>
      <c r="O492" s="307">
        <f t="shared" si="143"/>
        <v>1</v>
      </c>
      <c r="P492" s="1047">
        <f t="shared" si="144"/>
        <v>0</v>
      </c>
      <c r="Q492" s="306">
        <f t="shared" si="147"/>
        <v>0</v>
      </c>
      <c r="R492" s="307">
        <f t="shared" si="145"/>
        <v>0</v>
      </c>
      <c r="S492" s="314" t="str">
        <f t="shared" si="148"/>
        <v>ok</v>
      </c>
      <c r="T492" s="306"/>
      <c r="U492" s="314"/>
      <c r="V492" s="314"/>
      <c r="W492" s="314"/>
      <c r="X492" s="306"/>
    </row>
    <row r="493" spans="1:24" s="8" customFormat="1" ht="16.5" customHeight="1">
      <c r="A493" s="1101" t="s">
        <v>1623</v>
      </c>
      <c r="B493" s="1101" t="s">
        <v>2096</v>
      </c>
      <c r="C493" s="1104" t="s">
        <v>1145</v>
      </c>
      <c r="D493" s="1105">
        <v>43</v>
      </c>
      <c r="E493" s="1106">
        <v>60.62</v>
      </c>
      <c r="F493" s="841">
        <f t="shared" si="146"/>
        <v>2606.66</v>
      </c>
      <c r="G493" s="1049">
        <v>43</v>
      </c>
      <c r="H493" s="306">
        <v>2606.66</v>
      </c>
      <c r="I493" s="307">
        <v>1</v>
      </c>
      <c r="J493" s="1046"/>
      <c r="K493" s="306">
        <f t="shared" si="139"/>
        <v>0</v>
      </c>
      <c r="L493" s="307">
        <f t="shared" si="140"/>
        <v>0</v>
      </c>
      <c r="M493" s="1047">
        <f t="shared" si="141"/>
        <v>43</v>
      </c>
      <c r="N493" s="306">
        <f t="shared" si="142"/>
        <v>2606.66</v>
      </c>
      <c r="O493" s="307">
        <f t="shared" si="143"/>
        <v>1</v>
      </c>
      <c r="P493" s="1047">
        <f t="shared" si="144"/>
        <v>0</v>
      </c>
      <c r="Q493" s="306">
        <f t="shared" si="147"/>
        <v>0</v>
      </c>
      <c r="R493" s="307">
        <f t="shared" si="145"/>
        <v>0</v>
      </c>
      <c r="S493" s="314" t="str">
        <f t="shared" si="148"/>
        <v>ok</v>
      </c>
      <c r="T493" s="306"/>
      <c r="U493" s="314"/>
      <c r="V493" s="314"/>
      <c r="W493" s="314"/>
      <c r="X493" s="306"/>
    </row>
    <row r="494" spans="1:24" s="8" customFormat="1" ht="16.5" customHeight="1">
      <c r="A494" s="1101" t="s">
        <v>1624</v>
      </c>
      <c r="B494" s="1103" t="s">
        <v>2097</v>
      </c>
      <c r="C494" s="1103"/>
      <c r="D494" s="1105"/>
      <c r="E494" s="1107"/>
      <c r="F494" s="841"/>
      <c r="G494" s="1049"/>
      <c r="H494" s="306"/>
      <c r="I494" s="307"/>
      <c r="J494" s="1046"/>
      <c r="K494" s="306"/>
      <c r="L494" s="307"/>
      <c r="M494" s="1047"/>
      <c r="N494" s="306"/>
      <c r="O494" s="307"/>
      <c r="P494" s="1047"/>
      <c r="Q494" s="306">
        <f t="shared" si="147"/>
        <v>0</v>
      </c>
      <c r="R494" s="307"/>
      <c r="S494" s="314" t="str">
        <f t="shared" si="148"/>
        <v>ok</v>
      </c>
      <c r="T494" s="306"/>
      <c r="U494" s="314"/>
      <c r="V494" s="314"/>
      <c r="W494" s="314"/>
      <c r="X494" s="306"/>
    </row>
    <row r="495" spans="1:24" s="8" customFormat="1" ht="16.5" customHeight="1">
      <c r="A495" s="1101" t="s">
        <v>1625</v>
      </c>
      <c r="B495" s="1101" t="s">
        <v>2098</v>
      </c>
      <c r="C495" s="1104" t="s">
        <v>1145</v>
      </c>
      <c r="D495" s="1105">
        <v>10</v>
      </c>
      <c r="E495" s="1106">
        <v>61.56</v>
      </c>
      <c r="F495" s="841">
        <f t="shared" si="146"/>
        <v>615.6</v>
      </c>
      <c r="G495" s="1049">
        <v>10</v>
      </c>
      <c r="H495" s="306">
        <v>615.6</v>
      </c>
      <c r="I495" s="307">
        <v>1</v>
      </c>
      <c r="J495" s="1046"/>
      <c r="K495" s="306">
        <f t="shared" si="139"/>
        <v>0</v>
      </c>
      <c r="L495" s="307">
        <f t="shared" si="140"/>
        <v>0</v>
      </c>
      <c r="M495" s="1047">
        <f t="shared" si="141"/>
        <v>10</v>
      </c>
      <c r="N495" s="306">
        <f t="shared" si="142"/>
        <v>615.6</v>
      </c>
      <c r="O495" s="307">
        <f t="shared" si="143"/>
        <v>1</v>
      </c>
      <c r="P495" s="1047">
        <f t="shared" si="144"/>
        <v>0</v>
      </c>
      <c r="Q495" s="306">
        <f t="shared" si="147"/>
        <v>0</v>
      </c>
      <c r="R495" s="307">
        <f t="shared" si="145"/>
        <v>0</v>
      </c>
      <c r="S495" s="314" t="str">
        <f t="shared" si="148"/>
        <v>ok</v>
      </c>
      <c r="T495" s="306"/>
      <c r="U495" s="314"/>
      <c r="V495" s="314"/>
      <c r="W495" s="314"/>
      <c r="X495" s="306"/>
    </row>
    <row r="496" spans="1:24" s="8" customFormat="1" ht="16.5" customHeight="1">
      <c r="A496" s="1101" t="s">
        <v>1626</v>
      </c>
      <c r="B496" s="1101" t="s">
        <v>2099</v>
      </c>
      <c r="C496" s="1104" t="s">
        <v>1145</v>
      </c>
      <c r="D496" s="1105">
        <v>91</v>
      </c>
      <c r="E496" s="1106">
        <v>65.5</v>
      </c>
      <c r="F496" s="841">
        <f t="shared" si="146"/>
        <v>5960.5</v>
      </c>
      <c r="G496" s="1049">
        <v>91</v>
      </c>
      <c r="H496" s="306">
        <v>5960.5</v>
      </c>
      <c r="I496" s="307">
        <v>1</v>
      </c>
      <c r="J496" s="1046"/>
      <c r="K496" s="306">
        <f t="shared" si="139"/>
        <v>0</v>
      </c>
      <c r="L496" s="307">
        <f t="shared" si="140"/>
        <v>0</v>
      </c>
      <c r="M496" s="1047">
        <f t="shared" si="141"/>
        <v>91</v>
      </c>
      <c r="N496" s="306">
        <f t="shared" si="142"/>
        <v>5960.5</v>
      </c>
      <c r="O496" s="307">
        <f t="shared" si="143"/>
        <v>1</v>
      </c>
      <c r="P496" s="1047">
        <f t="shared" si="144"/>
        <v>0</v>
      </c>
      <c r="Q496" s="306">
        <f t="shared" si="147"/>
        <v>0</v>
      </c>
      <c r="R496" s="307">
        <f t="shared" si="145"/>
        <v>0</v>
      </c>
      <c r="S496" s="314" t="str">
        <f t="shared" si="148"/>
        <v>ok</v>
      </c>
      <c r="T496" s="306"/>
      <c r="U496" s="314"/>
      <c r="V496" s="314"/>
      <c r="W496" s="314"/>
      <c r="X496" s="306"/>
    </row>
    <row r="497" spans="1:24" s="8" customFormat="1" ht="16.5" customHeight="1">
      <c r="A497" s="1101" t="s">
        <v>1627</v>
      </c>
      <c r="B497" s="1101" t="s">
        <v>2100</v>
      </c>
      <c r="C497" s="1104" t="s">
        <v>1145</v>
      </c>
      <c r="D497" s="1105">
        <v>1</v>
      </c>
      <c r="E497" s="1106">
        <v>183.18</v>
      </c>
      <c r="F497" s="841">
        <f t="shared" si="146"/>
        <v>183.18</v>
      </c>
      <c r="G497" s="1049">
        <v>0</v>
      </c>
      <c r="H497" s="306">
        <v>0</v>
      </c>
      <c r="I497" s="307">
        <v>0</v>
      </c>
      <c r="J497" s="1046"/>
      <c r="K497" s="306">
        <f t="shared" si="139"/>
        <v>0</v>
      </c>
      <c r="L497" s="307">
        <f t="shared" si="140"/>
        <v>0</v>
      </c>
      <c r="M497" s="1047">
        <f t="shared" si="141"/>
        <v>0</v>
      </c>
      <c r="N497" s="306">
        <f t="shared" si="142"/>
        <v>0</v>
      </c>
      <c r="O497" s="307">
        <f t="shared" si="143"/>
        <v>0</v>
      </c>
      <c r="P497" s="1047">
        <f t="shared" si="144"/>
        <v>1</v>
      </c>
      <c r="Q497" s="306">
        <f t="shared" si="147"/>
        <v>183.18</v>
      </c>
      <c r="R497" s="307">
        <f t="shared" si="145"/>
        <v>1</v>
      </c>
      <c r="S497" s="314" t="str">
        <f t="shared" si="148"/>
        <v>ok</v>
      </c>
      <c r="T497" s="306"/>
      <c r="U497" s="314"/>
      <c r="V497" s="314"/>
      <c r="W497" s="314"/>
      <c r="X497" s="306"/>
    </row>
    <row r="498" spans="1:24" s="8" customFormat="1" ht="16.5" customHeight="1">
      <c r="A498" s="1101" t="s">
        <v>1628</v>
      </c>
      <c r="B498" s="1101" t="s">
        <v>2101</v>
      </c>
      <c r="C498" s="1104" t="s">
        <v>1145</v>
      </c>
      <c r="D498" s="1105">
        <v>71</v>
      </c>
      <c r="E498" s="1106">
        <v>218.3</v>
      </c>
      <c r="F498" s="841">
        <f t="shared" si="146"/>
        <v>15499.300000000001</v>
      </c>
      <c r="G498" s="1049">
        <v>0</v>
      </c>
      <c r="H498" s="306">
        <v>0</v>
      </c>
      <c r="I498" s="307">
        <v>0</v>
      </c>
      <c r="J498" s="1046"/>
      <c r="K498" s="306">
        <f t="shared" si="139"/>
        <v>0</v>
      </c>
      <c r="L498" s="307">
        <f t="shared" si="140"/>
        <v>0</v>
      </c>
      <c r="M498" s="1047">
        <f t="shared" si="141"/>
        <v>0</v>
      </c>
      <c r="N498" s="306">
        <f t="shared" si="142"/>
        <v>0</v>
      </c>
      <c r="O498" s="307">
        <f t="shared" si="143"/>
        <v>0</v>
      </c>
      <c r="P498" s="1047">
        <f t="shared" si="144"/>
        <v>71</v>
      </c>
      <c r="Q498" s="306">
        <f t="shared" si="147"/>
        <v>15499.300000000001</v>
      </c>
      <c r="R498" s="307">
        <f t="shared" si="145"/>
        <v>1</v>
      </c>
      <c r="S498" s="314" t="str">
        <f t="shared" si="148"/>
        <v>ok</v>
      </c>
      <c r="T498" s="306"/>
      <c r="U498" s="314"/>
      <c r="V498" s="314"/>
      <c r="W498" s="314"/>
      <c r="X498" s="306"/>
    </row>
    <row r="499" spans="1:24" s="8" customFormat="1" ht="16.5" customHeight="1">
      <c r="A499" s="1101" t="s">
        <v>1629</v>
      </c>
      <c r="B499" s="1103" t="s">
        <v>2102</v>
      </c>
      <c r="C499" s="1103"/>
      <c r="D499" s="1105"/>
      <c r="E499" s="1107"/>
      <c r="F499" s="841"/>
      <c r="G499" s="1049"/>
      <c r="H499" s="306"/>
      <c r="I499" s="307"/>
      <c r="J499" s="1046"/>
      <c r="K499" s="306"/>
      <c r="L499" s="307"/>
      <c r="M499" s="1047"/>
      <c r="N499" s="306"/>
      <c r="O499" s="307"/>
      <c r="P499" s="1047"/>
      <c r="Q499" s="306">
        <f t="shared" si="147"/>
        <v>0</v>
      </c>
      <c r="R499" s="307"/>
      <c r="S499" s="314" t="str">
        <f t="shared" si="148"/>
        <v>ok</v>
      </c>
      <c r="T499" s="306"/>
      <c r="U499" s="314"/>
      <c r="V499" s="314"/>
      <c r="W499" s="314"/>
      <c r="X499" s="306"/>
    </row>
    <row r="500" spans="1:24" s="8" customFormat="1" ht="16.5" customHeight="1">
      <c r="A500" s="1101" t="s">
        <v>1630</v>
      </c>
      <c r="B500" s="1101" t="s">
        <v>2103</v>
      </c>
      <c r="C500" s="1104" t="s">
        <v>52</v>
      </c>
      <c r="D500" s="1105">
        <v>2</v>
      </c>
      <c r="E500" s="1106">
        <v>38906</v>
      </c>
      <c r="F500" s="841">
        <f t="shared" si="146"/>
        <v>77812</v>
      </c>
      <c r="G500" s="1049">
        <v>0</v>
      </c>
      <c r="H500" s="306">
        <v>0</v>
      </c>
      <c r="I500" s="307">
        <v>0</v>
      </c>
      <c r="J500" s="1046"/>
      <c r="K500" s="306">
        <f t="shared" si="139"/>
        <v>0</v>
      </c>
      <c r="L500" s="307">
        <f t="shared" si="140"/>
        <v>0</v>
      </c>
      <c r="M500" s="1047">
        <f t="shared" si="141"/>
        <v>0</v>
      </c>
      <c r="N500" s="306">
        <f t="shared" si="142"/>
        <v>0</v>
      </c>
      <c r="O500" s="307">
        <f t="shared" si="143"/>
        <v>0</v>
      </c>
      <c r="P500" s="1047">
        <f t="shared" si="144"/>
        <v>2</v>
      </c>
      <c r="Q500" s="306">
        <f t="shared" si="147"/>
        <v>77812</v>
      </c>
      <c r="R500" s="307">
        <f t="shared" si="145"/>
        <v>1</v>
      </c>
      <c r="S500" s="314" t="str">
        <f t="shared" si="148"/>
        <v>ok</v>
      </c>
      <c r="T500" s="306"/>
      <c r="U500" s="314"/>
      <c r="V500" s="314"/>
      <c r="W500" s="314"/>
      <c r="X500" s="306"/>
    </row>
    <row r="501" spans="1:24" s="8" customFormat="1" ht="16.5" customHeight="1">
      <c r="A501" s="1101" t="s">
        <v>1631</v>
      </c>
      <c r="B501" s="1101" t="s">
        <v>2104</v>
      </c>
      <c r="C501" s="1104" t="s">
        <v>52</v>
      </c>
      <c r="D501" s="1105">
        <v>7</v>
      </c>
      <c r="E501" s="1106">
        <v>12526.82</v>
      </c>
      <c r="F501" s="841">
        <f t="shared" si="146"/>
        <v>87687.739999999991</v>
      </c>
      <c r="G501" s="1049">
        <v>0</v>
      </c>
      <c r="H501" s="306">
        <v>0</v>
      </c>
      <c r="I501" s="307">
        <v>0</v>
      </c>
      <c r="J501" s="1046"/>
      <c r="K501" s="306">
        <f t="shared" si="139"/>
        <v>0</v>
      </c>
      <c r="L501" s="307">
        <f t="shared" si="140"/>
        <v>0</v>
      </c>
      <c r="M501" s="1047">
        <f t="shared" si="141"/>
        <v>0</v>
      </c>
      <c r="N501" s="306">
        <f t="shared" si="142"/>
        <v>0</v>
      </c>
      <c r="O501" s="307">
        <f t="shared" si="143"/>
        <v>0</v>
      </c>
      <c r="P501" s="1047">
        <f t="shared" si="144"/>
        <v>7</v>
      </c>
      <c r="Q501" s="306">
        <f t="shared" si="147"/>
        <v>87687.739999999991</v>
      </c>
      <c r="R501" s="307">
        <f t="shared" si="145"/>
        <v>1</v>
      </c>
      <c r="S501" s="314" t="str">
        <f t="shared" si="148"/>
        <v>ok</v>
      </c>
      <c r="T501" s="306"/>
      <c r="U501" s="314"/>
      <c r="V501" s="314"/>
      <c r="W501" s="314"/>
      <c r="X501" s="306"/>
    </row>
    <row r="502" spans="1:24" s="8" customFormat="1" ht="16.5" customHeight="1">
      <c r="A502" s="1101" t="s">
        <v>1632</v>
      </c>
      <c r="B502" s="1103" t="s">
        <v>2027</v>
      </c>
      <c r="C502" s="1103"/>
      <c r="D502" s="1105"/>
      <c r="E502" s="1107"/>
      <c r="F502" s="841"/>
      <c r="G502" s="1049"/>
      <c r="H502" s="306"/>
      <c r="I502" s="307"/>
      <c r="J502" s="1046"/>
      <c r="K502" s="306"/>
      <c r="L502" s="307"/>
      <c r="M502" s="1047"/>
      <c r="N502" s="306"/>
      <c r="O502" s="307"/>
      <c r="P502" s="1047"/>
      <c r="Q502" s="306">
        <f t="shared" si="147"/>
        <v>0</v>
      </c>
      <c r="R502" s="307"/>
      <c r="S502" s="314" t="str">
        <f t="shared" si="148"/>
        <v>ok</v>
      </c>
      <c r="T502" s="306"/>
      <c r="U502" s="314"/>
      <c r="V502" s="314"/>
      <c r="W502" s="314"/>
      <c r="X502" s="306"/>
    </row>
    <row r="503" spans="1:24" s="8" customFormat="1" ht="16.5" customHeight="1">
      <c r="A503" s="1101" t="s">
        <v>1633</v>
      </c>
      <c r="B503" s="1101" t="s">
        <v>2105</v>
      </c>
      <c r="C503" s="1104" t="s">
        <v>52</v>
      </c>
      <c r="D503" s="1105">
        <v>1</v>
      </c>
      <c r="E503" s="1106">
        <v>225.5</v>
      </c>
      <c r="F503" s="841">
        <f t="shared" si="146"/>
        <v>225.5</v>
      </c>
      <c r="G503" s="1049">
        <v>0</v>
      </c>
      <c r="H503" s="306">
        <v>0</v>
      </c>
      <c r="I503" s="307">
        <v>0</v>
      </c>
      <c r="J503" s="1046"/>
      <c r="K503" s="306">
        <f t="shared" si="139"/>
        <v>0</v>
      </c>
      <c r="L503" s="307">
        <f t="shared" si="140"/>
        <v>0</v>
      </c>
      <c r="M503" s="1047">
        <f t="shared" si="141"/>
        <v>0</v>
      </c>
      <c r="N503" s="306">
        <f t="shared" si="142"/>
        <v>0</v>
      </c>
      <c r="O503" s="307">
        <f t="shared" si="143"/>
        <v>0</v>
      </c>
      <c r="P503" s="1047">
        <f t="shared" si="144"/>
        <v>1</v>
      </c>
      <c r="Q503" s="306">
        <f t="shared" si="147"/>
        <v>225.5</v>
      </c>
      <c r="R503" s="307">
        <f t="shared" si="145"/>
        <v>1</v>
      </c>
      <c r="S503" s="314" t="str">
        <f t="shared" si="148"/>
        <v>ok</v>
      </c>
      <c r="T503" s="306"/>
      <c r="U503" s="314"/>
      <c r="V503" s="314"/>
      <c r="W503" s="314"/>
      <c r="X503" s="306"/>
    </row>
    <row r="504" spans="1:24" s="8" customFormat="1" ht="16.5" customHeight="1">
      <c r="A504" s="1101" t="s">
        <v>1634</v>
      </c>
      <c r="B504" s="1101" t="s">
        <v>2106</v>
      </c>
      <c r="C504" s="1104" t="s">
        <v>52</v>
      </c>
      <c r="D504" s="1105">
        <v>7</v>
      </c>
      <c r="E504" s="1106">
        <v>185.4</v>
      </c>
      <c r="F504" s="841">
        <f t="shared" si="146"/>
        <v>1297.8</v>
      </c>
      <c r="G504" s="1049">
        <v>0</v>
      </c>
      <c r="H504" s="306">
        <v>0</v>
      </c>
      <c r="I504" s="307">
        <v>0</v>
      </c>
      <c r="J504" s="1046"/>
      <c r="K504" s="306">
        <f t="shared" si="139"/>
        <v>0</v>
      </c>
      <c r="L504" s="307">
        <f t="shared" si="140"/>
        <v>0</v>
      </c>
      <c r="M504" s="1047">
        <f t="shared" si="141"/>
        <v>0</v>
      </c>
      <c r="N504" s="306">
        <f t="shared" si="142"/>
        <v>0</v>
      </c>
      <c r="O504" s="307">
        <f t="shared" si="143"/>
        <v>0</v>
      </c>
      <c r="P504" s="1047">
        <f t="shared" si="144"/>
        <v>7</v>
      </c>
      <c r="Q504" s="306">
        <f t="shared" si="147"/>
        <v>1297.8</v>
      </c>
      <c r="R504" s="307">
        <f t="shared" si="145"/>
        <v>1</v>
      </c>
      <c r="S504" s="314" t="str">
        <f t="shared" si="148"/>
        <v>ok</v>
      </c>
      <c r="T504" s="306"/>
      <c r="U504" s="314"/>
      <c r="V504" s="314"/>
      <c r="W504" s="314"/>
      <c r="X504" s="306"/>
    </row>
    <row r="505" spans="1:24" s="8" customFormat="1" ht="16.5" customHeight="1">
      <c r="A505" s="1101" t="s">
        <v>1635</v>
      </c>
      <c r="B505" s="1101" t="s">
        <v>2107</v>
      </c>
      <c r="C505" s="1104" t="s">
        <v>52</v>
      </c>
      <c r="D505" s="1105">
        <v>8</v>
      </c>
      <c r="E505" s="1106">
        <v>442.5</v>
      </c>
      <c r="F505" s="841">
        <f t="shared" si="146"/>
        <v>3540</v>
      </c>
      <c r="G505" s="1049">
        <v>0</v>
      </c>
      <c r="H505" s="306">
        <v>0</v>
      </c>
      <c r="I505" s="307">
        <v>0</v>
      </c>
      <c r="J505" s="1046"/>
      <c r="K505" s="306">
        <f t="shared" si="139"/>
        <v>0</v>
      </c>
      <c r="L505" s="307">
        <f t="shared" si="140"/>
        <v>0</v>
      </c>
      <c r="M505" s="1047">
        <f t="shared" si="141"/>
        <v>0</v>
      </c>
      <c r="N505" s="306">
        <f t="shared" si="142"/>
        <v>0</v>
      </c>
      <c r="O505" s="307">
        <f t="shared" si="143"/>
        <v>0</v>
      </c>
      <c r="P505" s="1047">
        <f t="shared" si="144"/>
        <v>8</v>
      </c>
      <c r="Q505" s="306">
        <f t="shared" si="147"/>
        <v>3540</v>
      </c>
      <c r="R505" s="307">
        <f t="shared" si="145"/>
        <v>1</v>
      </c>
      <c r="S505" s="314" t="str">
        <f t="shared" si="148"/>
        <v>ok</v>
      </c>
      <c r="T505" s="306"/>
      <c r="U505" s="314"/>
      <c r="V505" s="314"/>
      <c r="W505" s="314"/>
      <c r="X505" s="306"/>
    </row>
    <row r="506" spans="1:24" s="8" customFormat="1" ht="16.5" customHeight="1">
      <c r="A506" s="1101" t="s">
        <v>1636</v>
      </c>
      <c r="B506" s="1101" t="s">
        <v>2108</v>
      </c>
      <c r="C506" s="1104" t="s">
        <v>52</v>
      </c>
      <c r="D506" s="1105">
        <v>12</v>
      </c>
      <c r="E506" s="1106">
        <v>567.41</v>
      </c>
      <c r="F506" s="841">
        <f t="shared" si="146"/>
        <v>6808.92</v>
      </c>
      <c r="G506" s="1049">
        <v>12</v>
      </c>
      <c r="H506" s="306">
        <v>6808.92</v>
      </c>
      <c r="I506" s="307">
        <v>1</v>
      </c>
      <c r="J506" s="1046"/>
      <c r="K506" s="306">
        <f t="shared" si="139"/>
        <v>0</v>
      </c>
      <c r="L506" s="307">
        <f t="shared" si="140"/>
        <v>0</v>
      </c>
      <c r="M506" s="1047">
        <f t="shared" si="141"/>
        <v>12</v>
      </c>
      <c r="N506" s="306">
        <f t="shared" si="142"/>
        <v>6808.92</v>
      </c>
      <c r="O506" s="307">
        <f t="shared" si="143"/>
        <v>1</v>
      </c>
      <c r="P506" s="1047">
        <f t="shared" si="144"/>
        <v>0</v>
      </c>
      <c r="Q506" s="306">
        <f t="shared" si="147"/>
        <v>0</v>
      </c>
      <c r="R506" s="307">
        <f t="shared" si="145"/>
        <v>0</v>
      </c>
      <c r="S506" s="314" t="str">
        <f t="shared" si="148"/>
        <v>ok</v>
      </c>
      <c r="T506" s="306"/>
      <c r="U506" s="314"/>
      <c r="V506" s="314"/>
      <c r="W506" s="314"/>
      <c r="X506" s="306"/>
    </row>
    <row r="507" spans="1:24" s="8" customFormat="1" ht="16.5" customHeight="1">
      <c r="A507" s="1101" t="s">
        <v>1637</v>
      </c>
      <c r="B507" s="1101" t="s">
        <v>2109</v>
      </c>
      <c r="C507" s="1104" t="s">
        <v>52</v>
      </c>
      <c r="D507" s="1105">
        <v>20</v>
      </c>
      <c r="E507" s="1106">
        <v>443.75</v>
      </c>
      <c r="F507" s="841">
        <f t="shared" si="146"/>
        <v>8875</v>
      </c>
      <c r="G507" s="1049">
        <v>20</v>
      </c>
      <c r="H507" s="306">
        <v>8875</v>
      </c>
      <c r="I507" s="307">
        <v>1</v>
      </c>
      <c r="J507" s="1046"/>
      <c r="K507" s="306">
        <f t="shared" si="139"/>
        <v>0</v>
      </c>
      <c r="L507" s="307">
        <f t="shared" si="140"/>
        <v>0</v>
      </c>
      <c r="M507" s="1047">
        <f t="shared" si="141"/>
        <v>20</v>
      </c>
      <c r="N507" s="306">
        <f t="shared" si="142"/>
        <v>8875</v>
      </c>
      <c r="O507" s="307">
        <f t="shared" si="143"/>
        <v>1</v>
      </c>
      <c r="P507" s="1047">
        <f t="shared" si="144"/>
        <v>0</v>
      </c>
      <c r="Q507" s="306">
        <f t="shared" si="147"/>
        <v>0</v>
      </c>
      <c r="R507" s="307">
        <f t="shared" si="145"/>
        <v>0</v>
      </c>
      <c r="S507" s="314" t="str">
        <f t="shared" si="148"/>
        <v>ok</v>
      </c>
      <c r="T507" s="306"/>
      <c r="U507" s="314"/>
      <c r="V507" s="314"/>
      <c r="W507" s="314"/>
      <c r="X507" s="306"/>
    </row>
    <row r="508" spans="1:24" s="8" customFormat="1" ht="16.899999999999999" customHeight="1">
      <c r="A508" s="1101" t="s">
        <v>1638</v>
      </c>
      <c r="B508" s="1101" t="s">
        <v>2028</v>
      </c>
      <c r="C508" s="1104" t="s">
        <v>52</v>
      </c>
      <c r="D508" s="1105">
        <v>378</v>
      </c>
      <c r="E508" s="1106">
        <v>34.22</v>
      </c>
      <c r="F508" s="841">
        <f t="shared" si="146"/>
        <v>12935.16</v>
      </c>
      <c r="G508" s="1049">
        <v>378</v>
      </c>
      <c r="H508" s="306">
        <v>12935.16</v>
      </c>
      <c r="I508" s="307">
        <v>1</v>
      </c>
      <c r="J508" s="1046"/>
      <c r="K508" s="306">
        <f t="shared" si="139"/>
        <v>0</v>
      </c>
      <c r="L508" s="307">
        <f t="shared" si="140"/>
        <v>0</v>
      </c>
      <c r="M508" s="1047">
        <f t="shared" si="141"/>
        <v>378</v>
      </c>
      <c r="N508" s="306">
        <f t="shared" si="142"/>
        <v>12935.16</v>
      </c>
      <c r="O508" s="307">
        <f t="shared" si="143"/>
        <v>1</v>
      </c>
      <c r="P508" s="1047">
        <f t="shared" si="144"/>
        <v>0</v>
      </c>
      <c r="Q508" s="306">
        <f t="shared" si="147"/>
        <v>0</v>
      </c>
      <c r="R508" s="307">
        <f t="shared" si="145"/>
        <v>0</v>
      </c>
      <c r="S508" s="314" t="str">
        <f t="shared" si="148"/>
        <v>ok</v>
      </c>
      <c r="T508" s="306"/>
      <c r="U508" s="314"/>
      <c r="V508" s="314"/>
      <c r="W508" s="314"/>
      <c r="X508" s="306"/>
    </row>
    <row r="509" spans="1:24" s="8" customFormat="1" ht="16.5" customHeight="1">
      <c r="A509" s="1101" t="s">
        <v>1639</v>
      </c>
      <c r="B509" s="1101" t="s">
        <v>2110</v>
      </c>
      <c r="C509" s="1104" t="s">
        <v>52</v>
      </c>
      <c r="D509" s="1105">
        <v>378</v>
      </c>
      <c r="E509" s="1106">
        <v>38</v>
      </c>
      <c r="F509" s="841">
        <f t="shared" si="146"/>
        <v>14364</v>
      </c>
      <c r="G509" s="1049">
        <v>378</v>
      </c>
      <c r="H509" s="306">
        <v>14364</v>
      </c>
      <c r="I509" s="307">
        <v>1</v>
      </c>
      <c r="J509" s="1046"/>
      <c r="K509" s="306">
        <f t="shared" si="139"/>
        <v>0</v>
      </c>
      <c r="L509" s="307">
        <f t="shared" si="140"/>
        <v>0</v>
      </c>
      <c r="M509" s="1047">
        <f t="shared" si="141"/>
        <v>378</v>
      </c>
      <c r="N509" s="306">
        <f t="shared" si="142"/>
        <v>14364</v>
      </c>
      <c r="O509" s="307">
        <f t="shared" si="143"/>
        <v>1</v>
      </c>
      <c r="P509" s="1047">
        <f t="shared" si="144"/>
        <v>0</v>
      </c>
      <c r="Q509" s="306">
        <f t="shared" si="147"/>
        <v>0</v>
      </c>
      <c r="R509" s="307">
        <f t="shared" si="145"/>
        <v>0</v>
      </c>
      <c r="S509" s="314" t="str">
        <f t="shared" si="148"/>
        <v>ok</v>
      </c>
      <c r="T509" s="306"/>
      <c r="U509" s="314"/>
      <c r="V509" s="314"/>
      <c r="W509" s="314"/>
      <c r="X509" s="306"/>
    </row>
    <row r="510" spans="1:24" s="8" customFormat="1" ht="16.5" customHeight="1">
      <c r="A510" s="1101" t="s">
        <v>1640</v>
      </c>
      <c r="B510" s="1101" t="s">
        <v>2111</v>
      </c>
      <c r="C510" s="1104" t="s">
        <v>52</v>
      </c>
      <c r="D510" s="1105">
        <v>24</v>
      </c>
      <c r="E510" s="1106">
        <v>261.89</v>
      </c>
      <c r="F510" s="841">
        <f t="shared" si="146"/>
        <v>6285.36</v>
      </c>
      <c r="G510" s="1049">
        <v>19.8</v>
      </c>
      <c r="H510" s="306">
        <v>5185.4219999999996</v>
      </c>
      <c r="I510" s="307">
        <v>0.82499999999999996</v>
      </c>
      <c r="J510" s="1046"/>
      <c r="K510" s="306">
        <f t="shared" si="139"/>
        <v>0</v>
      </c>
      <c r="L510" s="307">
        <f t="shared" si="140"/>
        <v>0</v>
      </c>
      <c r="M510" s="1047">
        <f t="shared" si="141"/>
        <v>19.8</v>
      </c>
      <c r="N510" s="306">
        <f t="shared" si="142"/>
        <v>5185.4219999999996</v>
      </c>
      <c r="O510" s="307">
        <f t="shared" si="143"/>
        <v>0.82499999999999996</v>
      </c>
      <c r="P510" s="1047">
        <f t="shared" si="144"/>
        <v>4.1999999999999993</v>
      </c>
      <c r="Q510" s="306">
        <f t="shared" si="147"/>
        <v>1099.9380000000001</v>
      </c>
      <c r="R510" s="307">
        <f t="shared" si="145"/>
        <v>0.17500000000000002</v>
      </c>
      <c r="S510" s="314" t="str">
        <f t="shared" si="148"/>
        <v>ok</v>
      </c>
      <c r="T510" s="306"/>
      <c r="U510" s="314"/>
      <c r="V510" s="314"/>
      <c r="W510" s="314"/>
      <c r="X510" s="306"/>
    </row>
    <row r="511" spans="1:24" s="8" customFormat="1" ht="16.5" customHeight="1">
      <c r="A511" s="1101" t="s">
        <v>1641</v>
      </c>
      <c r="B511" s="1116" t="s">
        <v>2112</v>
      </c>
      <c r="C511" s="1104" t="s">
        <v>52</v>
      </c>
      <c r="D511" s="1105">
        <v>19.8005</v>
      </c>
      <c r="E511" s="1106">
        <v>36.64</v>
      </c>
      <c r="F511" s="841">
        <f t="shared" si="146"/>
        <v>725.49032</v>
      </c>
      <c r="G511" s="1049">
        <v>0</v>
      </c>
      <c r="H511" s="306">
        <v>0</v>
      </c>
      <c r="I511" s="307">
        <v>0</v>
      </c>
      <c r="J511" s="1046"/>
      <c r="K511" s="306">
        <f t="shared" si="139"/>
        <v>0</v>
      </c>
      <c r="L511" s="307">
        <f t="shared" si="140"/>
        <v>0</v>
      </c>
      <c r="M511" s="1047">
        <f t="shared" si="141"/>
        <v>0</v>
      </c>
      <c r="N511" s="306">
        <f t="shared" si="142"/>
        <v>0</v>
      </c>
      <c r="O511" s="307">
        <f t="shared" si="143"/>
        <v>0</v>
      </c>
      <c r="P511" s="1047">
        <f t="shared" si="144"/>
        <v>19.8005</v>
      </c>
      <c r="Q511" s="306">
        <f t="shared" si="147"/>
        <v>725.49032</v>
      </c>
      <c r="R511" s="307">
        <f t="shared" si="145"/>
        <v>1</v>
      </c>
      <c r="S511" s="314" t="str">
        <f t="shared" si="148"/>
        <v>ok</v>
      </c>
      <c r="T511" s="306"/>
      <c r="U511" s="314"/>
      <c r="V511" s="314"/>
      <c r="W511" s="314"/>
      <c r="X511" s="306"/>
    </row>
    <row r="512" spans="1:24" s="8" customFormat="1" ht="16.5" customHeight="1">
      <c r="A512" s="1101" t="s">
        <v>1642</v>
      </c>
      <c r="B512" s="1101" t="s">
        <v>2113</v>
      </c>
      <c r="C512" s="1104" t="s">
        <v>52</v>
      </c>
      <c r="D512" s="1105">
        <v>45</v>
      </c>
      <c r="E512" s="1106">
        <v>290.99</v>
      </c>
      <c r="F512" s="841">
        <f t="shared" si="146"/>
        <v>13094.550000000001</v>
      </c>
      <c r="G512" s="1049">
        <v>45</v>
      </c>
      <c r="H512" s="306">
        <v>13094.550000000001</v>
      </c>
      <c r="I512" s="307">
        <v>1</v>
      </c>
      <c r="J512" s="1046"/>
      <c r="K512" s="306">
        <f t="shared" si="139"/>
        <v>0</v>
      </c>
      <c r="L512" s="307">
        <f t="shared" si="140"/>
        <v>0</v>
      </c>
      <c r="M512" s="1047">
        <f t="shared" si="141"/>
        <v>45</v>
      </c>
      <c r="N512" s="306">
        <f t="shared" si="142"/>
        <v>13094.550000000001</v>
      </c>
      <c r="O512" s="307">
        <f t="shared" si="143"/>
        <v>1</v>
      </c>
      <c r="P512" s="1047">
        <f t="shared" si="144"/>
        <v>0</v>
      </c>
      <c r="Q512" s="306">
        <f t="shared" si="147"/>
        <v>0</v>
      </c>
      <c r="R512" s="307">
        <f t="shared" si="145"/>
        <v>0</v>
      </c>
      <c r="S512" s="314" t="str">
        <f t="shared" si="148"/>
        <v>ok</v>
      </c>
      <c r="T512" s="306"/>
      <c r="U512" s="314"/>
      <c r="V512" s="314"/>
      <c r="W512" s="314"/>
      <c r="X512" s="306"/>
    </row>
    <row r="513" spans="1:24" s="8" customFormat="1" ht="16.5" customHeight="1">
      <c r="A513" s="1101" t="s">
        <v>1643</v>
      </c>
      <c r="B513" s="1101" t="s">
        <v>2114</v>
      </c>
      <c r="C513" s="1104" t="s">
        <v>52</v>
      </c>
      <c r="D513" s="1105">
        <v>1</v>
      </c>
      <c r="E513" s="1106">
        <v>727.46</v>
      </c>
      <c r="F513" s="841">
        <f t="shared" si="146"/>
        <v>727.46</v>
      </c>
      <c r="G513" s="1049">
        <v>0</v>
      </c>
      <c r="H513" s="306">
        <v>0</v>
      </c>
      <c r="I513" s="307">
        <v>0</v>
      </c>
      <c r="J513" s="1046"/>
      <c r="K513" s="306">
        <f t="shared" ref="K513:K543" si="149">J513*E513</f>
        <v>0</v>
      </c>
      <c r="L513" s="307">
        <f t="shared" ref="L513:L543" si="150">K513/F513</f>
        <v>0</v>
      </c>
      <c r="M513" s="1047">
        <f t="shared" ref="M513:M543" si="151">G513+J513</f>
        <v>0</v>
      </c>
      <c r="N513" s="306">
        <f t="shared" ref="N513:N543" si="152">M513*E513</f>
        <v>0</v>
      </c>
      <c r="O513" s="307">
        <f t="shared" ref="O513:O543" si="153">N513/F513</f>
        <v>0</v>
      </c>
      <c r="P513" s="1047">
        <f t="shared" ref="P513:P543" si="154">D513-M513</f>
        <v>1</v>
      </c>
      <c r="Q513" s="306">
        <f t="shared" si="147"/>
        <v>727.46</v>
      </c>
      <c r="R513" s="307">
        <f t="shared" ref="R513:R543" si="155">Q513/F513</f>
        <v>1</v>
      </c>
      <c r="S513" s="314" t="str">
        <f t="shared" si="148"/>
        <v>ok</v>
      </c>
      <c r="T513" s="306"/>
      <c r="U513" s="314"/>
      <c r="V513" s="314"/>
      <c r="W513" s="314"/>
      <c r="X513" s="306"/>
    </row>
    <row r="514" spans="1:24" s="8" customFormat="1" ht="16.5" customHeight="1">
      <c r="A514" s="1101" t="s">
        <v>1644</v>
      </c>
      <c r="B514" s="1101" t="s">
        <v>2115</v>
      </c>
      <c r="C514" s="1104" t="s">
        <v>52</v>
      </c>
      <c r="D514" s="1105">
        <v>48</v>
      </c>
      <c r="E514" s="1106">
        <v>65.47</v>
      </c>
      <c r="F514" s="841">
        <f t="shared" si="146"/>
        <v>3142.56</v>
      </c>
      <c r="G514" s="1049">
        <v>0</v>
      </c>
      <c r="H514" s="306">
        <v>0</v>
      </c>
      <c r="I514" s="307">
        <v>0</v>
      </c>
      <c r="J514" s="1046"/>
      <c r="K514" s="306">
        <f t="shared" si="149"/>
        <v>0</v>
      </c>
      <c r="L514" s="307">
        <f t="shared" si="150"/>
        <v>0</v>
      </c>
      <c r="M514" s="1047">
        <f t="shared" si="151"/>
        <v>0</v>
      </c>
      <c r="N514" s="306">
        <f t="shared" si="152"/>
        <v>0</v>
      </c>
      <c r="O514" s="307">
        <f t="shared" si="153"/>
        <v>0</v>
      </c>
      <c r="P514" s="1047">
        <f t="shared" si="154"/>
        <v>48</v>
      </c>
      <c r="Q514" s="306">
        <f t="shared" si="147"/>
        <v>3142.56</v>
      </c>
      <c r="R514" s="307">
        <f t="shared" si="155"/>
        <v>1</v>
      </c>
      <c r="S514" s="314" t="str">
        <f t="shared" si="148"/>
        <v>ok</v>
      </c>
      <c r="T514" s="306"/>
      <c r="U514" s="314"/>
      <c r="V514" s="314"/>
      <c r="W514" s="314"/>
      <c r="X514" s="306"/>
    </row>
    <row r="515" spans="1:24" s="8" customFormat="1" ht="16.5" customHeight="1">
      <c r="A515" s="1101" t="s">
        <v>1645</v>
      </c>
      <c r="B515" s="1103" t="s">
        <v>2116</v>
      </c>
      <c r="C515" s="1103"/>
      <c r="D515" s="1105"/>
      <c r="E515" s="1107"/>
      <c r="F515" s="841"/>
      <c r="G515" s="1049"/>
      <c r="H515" s="306"/>
      <c r="I515" s="307"/>
      <c r="J515" s="1046"/>
      <c r="K515" s="306"/>
      <c r="L515" s="307"/>
      <c r="M515" s="1047"/>
      <c r="N515" s="306"/>
      <c r="O515" s="307"/>
      <c r="P515" s="1047"/>
      <c r="Q515" s="306">
        <f t="shared" si="147"/>
        <v>0</v>
      </c>
      <c r="R515" s="307"/>
      <c r="S515" s="314" t="str">
        <f t="shared" si="148"/>
        <v>ok</v>
      </c>
      <c r="T515" s="306"/>
      <c r="U515" s="314"/>
      <c r="V515" s="314"/>
      <c r="W515" s="314"/>
      <c r="X515" s="306"/>
    </row>
    <row r="516" spans="1:24" s="8" customFormat="1" ht="16.5" customHeight="1">
      <c r="A516" s="1101" t="s">
        <v>1646</v>
      </c>
      <c r="B516" s="1101" t="s">
        <v>2117</v>
      </c>
      <c r="C516" s="1104" t="s">
        <v>268</v>
      </c>
      <c r="D516" s="1105">
        <v>378</v>
      </c>
      <c r="E516" s="1106">
        <v>38.590000000000003</v>
      </c>
      <c r="F516" s="841">
        <f t="shared" si="146"/>
        <v>14587.02</v>
      </c>
      <c r="G516" s="1049">
        <v>0</v>
      </c>
      <c r="H516" s="306">
        <v>0</v>
      </c>
      <c r="I516" s="307">
        <v>0</v>
      </c>
      <c r="J516" s="1046"/>
      <c r="K516" s="306">
        <f t="shared" si="149"/>
        <v>0</v>
      </c>
      <c r="L516" s="307">
        <f t="shared" si="150"/>
        <v>0</v>
      </c>
      <c r="M516" s="1047">
        <f t="shared" si="151"/>
        <v>0</v>
      </c>
      <c r="N516" s="306">
        <f t="shared" si="152"/>
        <v>0</v>
      </c>
      <c r="O516" s="307">
        <f t="shared" si="153"/>
        <v>0</v>
      </c>
      <c r="P516" s="1047">
        <f t="shared" si="154"/>
        <v>378</v>
      </c>
      <c r="Q516" s="306">
        <f t="shared" si="147"/>
        <v>14587.02</v>
      </c>
      <c r="R516" s="307">
        <f t="shared" si="155"/>
        <v>1</v>
      </c>
      <c r="S516" s="314" t="str">
        <f t="shared" si="148"/>
        <v>ok</v>
      </c>
      <c r="T516" s="306"/>
      <c r="U516" s="314"/>
      <c r="V516" s="314"/>
      <c r="W516" s="314"/>
      <c r="X516" s="306"/>
    </row>
    <row r="517" spans="1:24" s="8" customFormat="1" ht="16.5" customHeight="1">
      <c r="A517" s="1101" t="s">
        <v>1647</v>
      </c>
      <c r="B517" s="1101" t="s">
        <v>2118</v>
      </c>
      <c r="C517" s="1104" t="s">
        <v>52</v>
      </c>
      <c r="D517" s="1105">
        <v>378</v>
      </c>
      <c r="E517" s="1106">
        <v>38.590000000000003</v>
      </c>
      <c r="F517" s="841">
        <f t="shared" si="146"/>
        <v>14587.02</v>
      </c>
      <c r="G517" s="1049">
        <v>0</v>
      </c>
      <c r="H517" s="306">
        <v>0</v>
      </c>
      <c r="I517" s="307">
        <v>0</v>
      </c>
      <c r="J517" s="1046"/>
      <c r="K517" s="306">
        <f t="shared" si="149"/>
        <v>0</v>
      </c>
      <c r="L517" s="307">
        <f t="shared" si="150"/>
        <v>0</v>
      </c>
      <c r="M517" s="1047">
        <f t="shared" si="151"/>
        <v>0</v>
      </c>
      <c r="N517" s="306">
        <f t="shared" si="152"/>
        <v>0</v>
      </c>
      <c r="O517" s="307">
        <f t="shared" si="153"/>
        <v>0</v>
      </c>
      <c r="P517" s="1047">
        <f t="shared" si="154"/>
        <v>378</v>
      </c>
      <c r="Q517" s="306">
        <f t="shared" si="147"/>
        <v>14587.02</v>
      </c>
      <c r="R517" s="307">
        <f t="shared" si="155"/>
        <v>1</v>
      </c>
      <c r="S517" s="314" t="str">
        <f t="shared" si="148"/>
        <v>ok</v>
      </c>
      <c r="T517" s="306"/>
      <c r="U517" s="314"/>
      <c r="V517" s="314"/>
      <c r="W517" s="314"/>
      <c r="X517" s="306"/>
    </row>
    <row r="518" spans="1:24" s="8" customFormat="1" ht="16.5" customHeight="1">
      <c r="A518" s="1101" t="s">
        <v>1648</v>
      </c>
      <c r="B518" s="1101" t="s">
        <v>2119</v>
      </c>
      <c r="C518" s="1104" t="s">
        <v>52</v>
      </c>
      <c r="D518" s="1105">
        <v>48</v>
      </c>
      <c r="E518" s="1106">
        <v>91.92</v>
      </c>
      <c r="F518" s="841">
        <f t="shared" si="146"/>
        <v>4412.16</v>
      </c>
      <c r="G518" s="1049">
        <v>0</v>
      </c>
      <c r="H518" s="306">
        <v>0</v>
      </c>
      <c r="I518" s="307">
        <v>0</v>
      </c>
      <c r="J518" s="1046"/>
      <c r="K518" s="306">
        <f t="shared" si="149"/>
        <v>0</v>
      </c>
      <c r="L518" s="307">
        <f t="shared" si="150"/>
        <v>0</v>
      </c>
      <c r="M518" s="1047">
        <f t="shared" si="151"/>
        <v>0</v>
      </c>
      <c r="N518" s="306">
        <f t="shared" si="152"/>
        <v>0</v>
      </c>
      <c r="O518" s="307">
        <f t="shared" si="153"/>
        <v>0</v>
      </c>
      <c r="P518" s="1047">
        <f t="shared" si="154"/>
        <v>48</v>
      </c>
      <c r="Q518" s="306">
        <f t="shared" si="147"/>
        <v>4412.16</v>
      </c>
      <c r="R518" s="307">
        <f t="shared" si="155"/>
        <v>1</v>
      </c>
      <c r="S518" s="314" t="str">
        <f t="shared" si="148"/>
        <v>ok</v>
      </c>
      <c r="T518" s="306"/>
      <c r="U518" s="314"/>
      <c r="V518" s="314"/>
      <c r="W518" s="314"/>
      <c r="X518" s="306"/>
    </row>
    <row r="519" spans="1:24" s="8" customFormat="1" ht="16.5" customHeight="1">
      <c r="A519" s="1101" t="s">
        <v>1649</v>
      </c>
      <c r="B519" s="1101" t="s">
        <v>2120</v>
      </c>
      <c r="C519" s="1104" t="s">
        <v>52</v>
      </c>
      <c r="D519" s="1105">
        <v>24</v>
      </c>
      <c r="E519" s="1106">
        <v>123.48</v>
      </c>
      <c r="F519" s="841">
        <f t="shared" si="146"/>
        <v>2963.52</v>
      </c>
      <c r="G519" s="1049">
        <v>0</v>
      </c>
      <c r="H519" s="306">
        <v>0</v>
      </c>
      <c r="I519" s="307">
        <v>0</v>
      </c>
      <c r="J519" s="1046"/>
      <c r="K519" s="306">
        <f t="shared" si="149"/>
        <v>0</v>
      </c>
      <c r="L519" s="307">
        <f t="shared" si="150"/>
        <v>0</v>
      </c>
      <c r="M519" s="1047">
        <f t="shared" si="151"/>
        <v>0</v>
      </c>
      <c r="N519" s="306">
        <f t="shared" si="152"/>
        <v>0</v>
      </c>
      <c r="O519" s="307">
        <f t="shared" si="153"/>
        <v>0</v>
      </c>
      <c r="P519" s="1047">
        <f t="shared" si="154"/>
        <v>24</v>
      </c>
      <c r="Q519" s="306">
        <f t="shared" si="147"/>
        <v>2963.52</v>
      </c>
      <c r="R519" s="307">
        <f t="shared" si="155"/>
        <v>1</v>
      </c>
      <c r="S519" s="314" t="str">
        <f t="shared" si="148"/>
        <v>ok</v>
      </c>
      <c r="T519" s="306"/>
      <c r="U519" s="314"/>
      <c r="V519" s="314"/>
      <c r="W519" s="314"/>
      <c r="X519" s="306"/>
    </row>
    <row r="520" spans="1:24" s="8" customFormat="1" ht="16.5" customHeight="1">
      <c r="A520" s="1101" t="s">
        <v>1650</v>
      </c>
      <c r="B520" s="1101" t="s">
        <v>2121</v>
      </c>
      <c r="C520" s="1104" t="s">
        <v>52</v>
      </c>
      <c r="D520" s="1105">
        <v>13</v>
      </c>
      <c r="E520" s="1106">
        <v>1271.18</v>
      </c>
      <c r="F520" s="841">
        <f t="shared" si="146"/>
        <v>16525.34</v>
      </c>
      <c r="G520" s="1049">
        <v>0</v>
      </c>
      <c r="H520" s="306">
        <v>0</v>
      </c>
      <c r="I520" s="307">
        <v>0</v>
      </c>
      <c r="J520" s="1046"/>
      <c r="K520" s="306">
        <f t="shared" si="149"/>
        <v>0</v>
      </c>
      <c r="L520" s="307">
        <f t="shared" si="150"/>
        <v>0</v>
      </c>
      <c r="M520" s="1047">
        <f t="shared" si="151"/>
        <v>0</v>
      </c>
      <c r="N520" s="306">
        <f t="shared" si="152"/>
        <v>0</v>
      </c>
      <c r="O520" s="307">
        <f t="shared" si="153"/>
        <v>0</v>
      </c>
      <c r="P520" s="1047">
        <f t="shared" si="154"/>
        <v>13</v>
      </c>
      <c r="Q520" s="306">
        <f t="shared" si="147"/>
        <v>16525.34</v>
      </c>
      <c r="R520" s="307">
        <f t="shared" si="155"/>
        <v>1</v>
      </c>
      <c r="S520" s="314" t="str">
        <f t="shared" si="148"/>
        <v>ok</v>
      </c>
      <c r="T520" s="306"/>
      <c r="U520" s="314"/>
      <c r="V520" s="314"/>
      <c r="W520" s="314"/>
      <c r="X520" s="306"/>
    </row>
    <row r="521" spans="1:24" s="8" customFormat="1" ht="16.5" customHeight="1">
      <c r="A521" s="1101">
        <v>7</v>
      </c>
      <c r="B521" s="1110" t="s">
        <v>2122</v>
      </c>
      <c r="C521" s="1111"/>
      <c r="D521" s="1105"/>
      <c r="E521" s="1111"/>
      <c r="F521" s="841"/>
      <c r="G521" s="1049"/>
      <c r="H521" s="306"/>
      <c r="I521" s="307"/>
      <c r="J521" s="1046"/>
      <c r="K521" s="306"/>
      <c r="L521" s="307"/>
      <c r="M521" s="1047"/>
      <c r="N521" s="306"/>
      <c r="O521" s="307"/>
      <c r="P521" s="1047"/>
      <c r="Q521" s="306">
        <f t="shared" si="147"/>
        <v>0</v>
      </c>
      <c r="R521" s="307"/>
      <c r="S521" s="314" t="str">
        <f t="shared" si="148"/>
        <v>ok</v>
      </c>
      <c r="T521" s="306"/>
      <c r="U521" s="314"/>
      <c r="V521" s="314"/>
      <c r="W521" s="314"/>
      <c r="X521" s="306"/>
    </row>
    <row r="522" spans="1:24" s="8" customFormat="1" ht="16.5" customHeight="1">
      <c r="A522" s="1101">
        <v>7.1</v>
      </c>
      <c r="B522" s="1102" t="s">
        <v>2123</v>
      </c>
      <c r="C522" s="1108"/>
      <c r="D522" s="1105"/>
      <c r="E522" s="1109"/>
      <c r="F522" s="841"/>
      <c r="G522" s="1049"/>
      <c r="H522" s="306"/>
      <c r="I522" s="307"/>
      <c r="J522" s="1046"/>
      <c r="K522" s="306"/>
      <c r="L522" s="307"/>
      <c r="M522" s="1047"/>
      <c r="N522" s="306"/>
      <c r="O522" s="307"/>
      <c r="P522" s="1047"/>
      <c r="Q522" s="306">
        <f t="shared" si="147"/>
        <v>0</v>
      </c>
      <c r="R522" s="307"/>
      <c r="S522" s="314" t="str">
        <f t="shared" si="148"/>
        <v>ok</v>
      </c>
      <c r="T522" s="306"/>
      <c r="U522" s="314"/>
      <c r="V522" s="314"/>
      <c r="W522" s="314"/>
      <c r="X522" s="306"/>
    </row>
    <row r="523" spans="1:24" s="8" customFormat="1" ht="16.5" customHeight="1">
      <c r="A523" s="1101" t="s">
        <v>1651</v>
      </c>
      <c r="B523" s="1101" t="s">
        <v>2124</v>
      </c>
      <c r="C523" s="1104" t="s">
        <v>52</v>
      </c>
      <c r="D523" s="1105">
        <v>12</v>
      </c>
      <c r="E523" s="1106">
        <v>5250</v>
      </c>
      <c r="F523" s="841">
        <f t="shared" si="146"/>
        <v>63000</v>
      </c>
      <c r="G523" s="1049">
        <v>0</v>
      </c>
      <c r="H523" s="306">
        <v>0</v>
      </c>
      <c r="I523" s="307">
        <v>0</v>
      </c>
      <c r="J523" s="1046"/>
      <c r="K523" s="306">
        <f t="shared" si="149"/>
        <v>0</v>
      </c>
      <c r="L523" s="307">
        <f t="shared" si="150"/>
        <v>0</v>
      </c>
      <c r="M523" s="1047">
        <f t="shared" si="151"/>
        <v>0</v>
      </c>
      <c r="N523" s="306">
        <f t="shared" si="152"/>
        <v>0</v>
      </c>
      <c r="O523" s="307">
        <f t="shared" si="153"/>
        <v>0</v>
      </c>
      <c r="P523" s="1047">
        <f t="shared" si="154"/>
        <v>12</v>
      </c>
      <c r="Q523" s="306">
        <f t="shared" si="147"/>
        <v>63000</v>
      </c>
      <c r="R523" s="307">
        <f t="shared" si="155"/>
        <v>1</v>
      </c>
      <c r="S523" s="314" t="str">
        <f t="shared" si="148"/>
        <v>ok</v>
      </c>
      <c r="T523" s="306"/>
      <c r="U523" s="314"/>
      <c r="V523" s="314"/>
      <c r="W523" s="314"/>
      <c r="X523" s="306"/>
    </row>
    <row r="524" spans="1:24" s="8" customFormat="1" ht="16.5" customHeight="1">
      <c r="A524" s="1101" t="s">
        <v>1652</v>
      </c>
      <c r="B524" s="1101" t="s">
        <v>2125</v>
      </c>
      <c r="C524" s="1104" t="s">
        <v>52</v>
      </c>
      <c r="D524" s="1105">
        <v>48</v>
      </c>
      <c r="E524" s="1106">
        <v>3800</v>
      </c>
      <c r="F524" s="841">
        <f t="shared" si="146"/>
        <v>182400</v>
      </c>
      <c r="G524" s="1049">
        <v>0</v>
      </c>
      <c r="H524" s="306">
        <v>0</v>
      </c>
      <c r="I524" s="307">
        <v>0</v>
      </c>
      <c r="J524" s="1046"/>
      <c r="K524" s="306">
        <f t="shared" si="149"/>
        <v>0</v>
      </c>
      <c r="L524" s="307">
        <f t="shared" si="150"/>
        <v>0</v>
      </c>
      <c r="M524" s="1047">
        <f t="shared" si="151"/>
        <v>0</v>
      </c>
      <c r="N524" s="306">
        <f t="shared" si="152"/>
        <v>0</v>
      </c>
      <c r="O524" s="307">
        <f t="shared" si="153"/>
        <v>0</v>
      </c>
      <c r="P524" s="1047">
        <f t="shared" si="154"/>
        <v>48</v>
      </c>
      <c r="Q524" s="306">
        <f t="shared" si="147"/>
        <v>182400</v>
      </c>
      <c r="R524" s="307">
        <f t="shared" si="155"/>
        <v>1</v>
      </c>
      <c r="S524" s="314" t="str">
        <f t="shared" si="148"/>
        <v>ok</v>
      </c>
      <c r="T524" s="306"/>
      <c r="U524" s="314"/>
      <c r="V524" s="314"/>
      <c r="W524" s="314"/>
      <c r="X524" s="306"/>
    </row>
    <row r="525" spans="1:24" s="8" customFormat="1" ht="16.5" customHeight="1">
      <c r="A525" s="1101" t="s">
        <v>1653</v>
      </c>
      <c r="B525" s="1101" t="s">
        <v>2126</v>
      </c>
      <c r="C525" s="1104" t="s">
        <v>52</v>
      </c>
      <c r="D525" s="1105">
        <v>49</v>
      </c>
      <c r="E525" s="1106">
        <v>700</v>
      </c>
      <c r="F525" s="841">
        <f t="shared" si="146"/>
        <v>34300</v>
      </c>
      <c r="G525" s="1049">
        <v>0</v>
      </c>
      <c r="H525" s="306">
        <v>0</v>
      </c>
      <c r="I525" s="307">
        <v>0</v>
      </c>
      <c r="J525" s="1046"/>
      <c r="K525" s="306">
        <f t="shared" si="149"/>
        <v>0</v>
      </c>
      <c r="L525" s="307">
        <f t="shared" si="150"/>
        <v>0</v>
      </c>
      <c r="M525" s="1047">
        <f t="shared" si="151"/>
        <v>0</v>
      </c>
      <c r="N525" s="306">
        <f t="shared" si="152"/>
        <v>0</v>
      </c>
      <c r="O525" s="307">
        <f t="shared" si="153"/>
        <v>0</v>
      </c>
      <c r="P525" s="1047">
        <f t="shared" si="154"/>
        <v>49</v>
      </c>
      <c r="Q525" s="306">
        <f t="shared" si="147"/>
        <v>34300</v>
      </c>
      <c r="R525" s="307">
        <f t="shared" si="155"/>
        <v>1</v>
      </c>
      <c r="S525" s="314" t="str">
        <f t="shared" si="148"/>
        <v>ok</v>
      </c>
      <c r="T525" s="306"/>
      <c r="U525" s="314"/>
      <c r="V525" s="314"/>
      <c r="W525" s="314"/>
      <c r="X525" s="306"/>
    </row>
    <row r="526" spans="1:24" s="8" customFormat="1" ht="16.5" customHeight="1">
      <c r="A526" s="1101" t="s">
        <v>1654</v>
      </c>
      <c r="B526" s="1101" t="s">
        <v>2127</v>
      </c>
      <c r="C526" s="1104" t="s">
        <v>52</v>
      </c>
      <c r="D526" s="1105">
        <v>83</v>
      </c>
      <c r="E526" s="1106">
        <v>60</v>
      </c>
      <c r="F526" s="841">
        <f t="shared" si="146"/>
        <v>4980</v>
      </c>
      <c r="G526" s="1049">
        <v>0</v>
      </c>
      <c r="H526" s="306">
        <v>0</v>
      </c>
      <c r="I526" s="307">
        <v>0</v>
      </c>
      <c r="J526" s="1046"/>
      <c r="K526" s="306">
        <f t="shared" si="149"/>
        <v>0</v>
      </c>
      <c r="L526" s="307">
        <f t="shared" si="150"/>
        <v>0</v>
      </c>
      <c r="M526" s="1047">
        <f t="shared" si="151"/>
        <v>0</v>
      </c>
      <c r="N526" s="306">
        <f t="shared" si="152"/>
        <v>0</v>
      </c>
      <c r="O526" s="307">
        <f t="shared" si="153"/>
        <v>0</v>
      </c>
      <c r="P526" s="1047">
        <f t="shared" si="154"/>
        <v>83</v>
      </c>
      <c r="Q526" s="306">
        <f t="shared" si="147"/>
        <v>4980</v>
      </c>
      <c r="R526" s="307">
        <f t="shared" si="155"/>
        <v>1</v>
      </c>
      <c r="S526" s="314" t="str">
        <f t="shared" si="148"/>
        <v>ok</v>
      </c>
      <c r="T526" s="306"/>
      <c r="U526" s="314"/>
      <c r="V526" s="314"/>
      <c r="W526" s="314"/>
      <c r="X526" s="306"/>
    </row>
    <row r="527" spans="1:24" s="8" customFormat="1" ht="16.5" customHeight="1">
      <c r="A527" s="1101" t="s">
        <v>1655</v>
      </c>
      <c r="B527" s="1101" t="s">
        <v>2128</v>
      </c>
      <c r="C527" s="1104" t="s">
        <v>52</v>
      </c>
      <c r="D527" s="1105">
        <v>7</v>
      </c>
      <c r="E527" s="1106">
        <v>600</v>
      </c>
      <c r="F527" s="841">
        <f t="shared" si="146"/>
        <v>4200</v>
      </c>
      <c r="G527" s="1049">
        <v>0</v>
      </c>
      <c r="H527" s="306">
        <v>0</v>
      </c>
      <c r="I527" s="307">
        <v>0</v>
      </c>
      <c r="J527" s="1046"/>
      <c r="K527" s="306">
        <f t="shared" si="149"/>
        <v>0</v>
      </c>
      <c r="L527" s="307">
        <f t="shared" si="150"/>
        <v>0</v>
      </c>
      <c r="M527" s="1047">
        <f t="shared" si="151"/>
        <v>0</v>
      </c>
      <c r="N527" s="306">
        <f t="shared" si="152"/>
        <v>0</v>
      </c>
      <c r="O527" s="307">
        <f t="shared" si="153"/>
        <v>0</v>
      </c>
      <c r="P527" s="1047">
        <f t="shared" si="154"/>
        <v>7</v>
      </c>
      <c r="Q527" s="306">
        <f t="shared" si="147"/>
        <v>4200</v>
      </c>
      <c r="R527" s="307">
        <f t="shared" si="155"/>
        <v>1</v>
      </c>
      <c r="S527" s="314" t="str">
        <f t="shared" si="148"/>
        <v>ok</v>
      </c>
      <c r="T527" s="306"/>
      <c r="U527" s="314"/>
      <c r="V527" s="314"/>
      <c r="W527" s="314"/>
      <c r="X527" s="306"/>
    </row>
    <row r="528" spans="1:24" s="8" customFormat="1" ht="16.5" customHeight="1">
      <c r="A528" s="1101" t="s">
        <v>1656</v>
      </c>
      <c r="B528" s="1101" t="s">
        <v>2129</v>
      </c>
      <c r="C528" s="1104" t="s">
        <v>52</v>
      </c>
      <c r="D528" s="1105">
        <v>239</v>
      </c>
      <c r="E528" s="1106">
        <v>300</v>
      </c>
      <c r="F528" s="841">
        <f t="shared" si="146"/>
        <v>71700</v>
      </c>
      <c r="G528" s="1049">
        <v>0</v>
      </c>
      <c r="H528" s="306">
        <v>0</v>
      </c>
      <c r="I528" s="307">
        <v>0</v>
      </c>
      <c r="J528" s="1046"/>
      <c r="K528" s="306">
        <f t="shared" si="149"/>
        <v>0</v>
      </c>
      <c r="L528" s="307">
        <f t="shared" si="150"/>
        <v>0</v>
      </c>
      <c r="M528" s="1047">
        <f t="shared" si="151"/>
        <v>0</v>
      </c>
      <c r="N528" s="306">
        <f t="shared" si="152"/>
        <v>0</v>
      </c>
      <c r="O528" s="307">
        <f t="shared" si="153"/>
        <v>0</v>
      </c>
      <c r="P528" s="1047">
        <f t="shared" si="154"/>
        <v>239</v>
      </c>
      <c r="Q528" s="306">
        <f t="shared" si="147"/>
        <v>71700</v>
      </c>
      <c r="R528" s="307">
        <f t="shared" si="155"/>
        <v>1</v>
      </c>
      <c r="S528" s="314" t="str">
        <f t="shared" si="148"/>
        <v>ok</v>
      </c>
      <c r="T528" s="306"/>
      <c r="U528" s="314"/>
      <c r="V528" s="314"/>
      <c r="W528" s="314"/>
      <c r="X528" s="306"/>
    </row>
    <row r="529" spans="1:24" s="8" customFormat="1" ht="16.5" customHeight="1">
      <c r="A529" s="1101" t="s">
        <v>1657</v>
      </c>
      <c r="B529" s="1101" t="s">
        <v>2130</v>
      </c>
      <c r="C529" s="1104" t="s">
        <v>52</v>
      </c>
      <c r="D529" s="1105">
        <v>47</v>
      </c>
      <c r="E529" s="1106">
        <v>3350</v>
      </c>
      <c r="F529" s="841">
        <f t="shared" si="146"/>
        <v>157450</v>
      </c>
      <c r="G529" s="1049">
        <v>0</v>
      </c>
      <c r="H529" s="306">
        <v>0</v>
      </c>
      <c r="I529" s="307">
        <v>0</v>
      </c>
      <c r="J529" s="1046"/>
      <c r="K529" s="306">
        <f t="shared" si="149"/>
        <v>0</v>
      </c>
      <c r="L529" s="307">
        <f t="shared" si="150"/>
        <v>0</v>
      </c>
      <c r="M529" s="1047">
        <f t="shared" si="151"/>
        <v>0</v>
      </c>
      <c r="N529" s="306">
        <f t="shared" si="152"/>
        <v>0</v>
      </c>
      <c r="O529" s="307">
        <f t="shared" si="153"/>
        <v>0</v>
      </c>
      <c r="P529" s="1047">
        <f t="shared" si="154"/>
        <v>47</v>
      </c>
      <c r="Q529" s="306">
        <f t="shared" si="147"/>
        <v>157450</v>
      </c>
      <c r="R529" s="307">
        <f t="shared" si="155"/>
        <v>1</v>
      </c>
      <c r="S529" s="314" t="str">
        <f t="shared" si="148"/>
        <v>ok</v>
      </c>
      <c r="T529" s="306"/>
      <c r="U529" s="314"/>
      <c r="V529" s="314"/>
      <c r="W529" s="314"/>
      <c r="X529" s="306"/>
    </row>
    <row r="530" spans="1:24" s="8" customFormat="1" ht="16.5" customHeight="1">
      <c r="A530" s="1101" t="s">
        <v>1658</v>
      </c>
      <c r="B530" s="1101" t="s">
        <v>2131</v>
      </c>
      <c r="C530" s="1104" t="s">
        <v>52</v>
      </c>
      <c r="D530" s="1105">
        <v>192</v>
      </c>
      <c r="E530" s="1106">
        <v>2280</v>
      </c>
      <c r="F530" s="841">
        <f t="shared" si="146"/>
        <v>437760</v>
      </c>
      <c r="G530" s="1049">
        <v>0</v>
      </c>
      <c r="H530" s="306">
        <v>0</v>
      </c>
      <c r="I530" s="307">
        <v>0</v>
      </c>
      <c r="J530" s="1046"/>
      <c r="K530" s="306">
        <f t="shared" si="149"/>
        <v>0</v>
      </c>
      <c r="L530" s="307">
        <f t="shared" si="150"/>
        <v>0</v>
      </c>
      <c r="M530" s="1047">
        <f t="shared" si="151"/>
        <v>0</v>
      </c>
      <c r="N530" s="306">
        <f t="shared" si="152"/>
        <v>0</v>
      </c>
      <c r="O530" s="307">
        <f t="shared" si="153"/>
        <v>0</v>
      </c>
      <c r="P530" s="1047">
        <f t="shared" si="154"/>
        <v>192</v>
      </c>
      <c r="Q530" s="306">
        <f t="shared" si="147"/>
        <v>437760</v>
      </c>
      <c r="R530" s="307">
        <f t="shared" si="155"/>
        <v>1</v>
      </c>
      <c r="S530" s="314" t="str">
        <f t="shared" si="148"/>
        <v>ok</v>
      </c>
      <c r="T530" s="306"/>
      <c r="U530" s="314"/>
      <c r="V530" s="314"/>
      <c r="W530" s="314"/>
      <c r="X530" s="306"/>
    </row>
    <row r="531" spans="1:24" s="8" customFormat="1" ht="16.5" customHeight="1">
      <c r="A531" s="1101" t="s">
        <v>1659</v>
      </c>
      <c r="B531" s="1101" t="s">
        <v>2132</v>
      </c>
      <c r="C531" s="1104" t="s">
        <v>52</v>
      </c>
      <c r="D531" s="1105">
        <v>9</v>
      </c>
      <c r="E531" s="1106">
        <v>400</v>
      </c>
      <c r="F531" s="841">
        <f t="shared" ref="F531:F543" si="156">+D531*E531</f>
        <v>3600</v>
      </c>
      <c r="G531" s="1049">
        <v>0</v>
      </c>
      <c r="H531" s="306">
        <v>0</v>
      </c>
      <c r="I531" s="307">
        <v>0</v>
      </c>
      <c r="J531" s="1046"/>
      <c r="K531" s="306">
        <f t="shared" si="149"/>
        <v>0</v>
      </c>
      <c r="L531" s="307">
        <f t="shared" si="150"/>
        <v>0</v>
      </c>
      <c r="M531" s="1047">
        <f t="shared" si="151"/>
        <v>0</v>
      </c>
      <c r="N531" s="306">
        <f t="shared" si="152"/>
        <v>0</v>
      </c>
      <c r="O531" s="307">
        <f t="shared" si="153"/>
        <v>0</v>
      </c>
      <c r="P531" s="1047">
        <f t="shared" si="154"/>
        <v>9</v>
      </c>
      <c r="Q531" s="306">
        <f t="shared" si="147"/>
        <v>3600</v>
      </c>
      <c r="R531" s="307">
        <f t="shared" si="155"/>
        <v>1</v>
      </c>
      <c r="S531" s="314" t="str">
        <f t="shared" si="148"/>
        <v>ok</v>
      </c>
      <c r="T531" s="306"/>
      <c r="U531" s="314"/>
      <c r="V531" s="314"/>
      <c r="W531" s="314"/>
      <c r="X531" s="306"/>
    </row>
    <row r="532" spans="1:24" s="8" customFormat="1" ht="16.5" customHeight="1">
      <c r="A532" s="1101" t="s">
        <v>1660</v>
      </c>
      <c r="B532" s="1101" t="s">
        <v>2133</v>
      </c>
      <c r="C532" s="1104" t="s">
        <v>52</v>
      </c>
      <c r="D532" s="1105">
        <v>9</v>
      </c>
      <c r="E532" s="1106">
        <v>500</v>
      </c>
      <c r="F532" s="841">
        <f t="shared" si="156"/>
        <v>4500</v>
      </c>
      <c r="G532" s="1049">
        <v>0</v>
      </c>
      <c r="H532" s="306">
        <v>0</v>
      </c>
      <c r="I532" s="307">
        <v>0</v>
      </c>
      <c r="J532" s="1046"/>
      <c r="K532" s="306">
        <f t="shared" si="149"/>
        <v>0</v>
      </c>
      <c r="L532" s="307">
        <f t="shared" si="150"/>
        <v>0</v>
      </c>
      <c r="M532" s="1047">
        <f t="shared" si="151"/>
        <v>0</v>
      </c>
      <c r="N532" s="306">
        <f t="shared" si="152"/>
        <v>0</v>
      </c>
      <c r="O532" s="307">
        <f t="shared" si="153"/>
        <v>0</v>
      </c>
      <c r="P532" s="1047">
        <f t="shared" si="154"/>
        <v>9</v>
      </c>
      <c r="Q532" s="306">
        <f t="shared" si="147"/>
        <v>4500</v>
      </c>
      <c r="R532" s="307">
        <f t="shared" si="155"/>
        <v>1</v>
      </c>
      <c r="S532" s="314" t="str">
        <f t="shared" si="148"/>
        <v>ok</v>
      </c>
      <c r="T532" s="306"/>
      <c r="U532" s="314"/>
      <c r="V532" s="314"/>
      <c r="W532" s="314"/>
      <c r="X532" s="306"/>
    </row>
    <row r="533" spans="1:24" s="8" customFormat="1" ht="16.5" customHeight="1">
      <c r="A533" s="1101">
        <v>7.2</v>
      </c>
      <c r="B533" s="1102" t="s">
        <v>2134</v>
      </c>
      <c r="C533" s="1108"/>
      <c r="D533" s="1105"/>
      <c r="E533" s="1109"/>
      <c r="F533" s="841"/>
      <c r="G533" s="1049"/>
      <c r="H533" s="306"/>
      <c r="I533" s="307"/>
      <c r="J533" s="1046"/>
      <c r="K533" s="306"/>
      <c r="L533" s="307"/>
      <c r="M533" s="1047"/>
      <c r="N533" s="306"/>
      <c r="O533" s="307"/>
      <c r="P533" s="1047"/>
      <c r="Q533" s="306">
        <f t="shared" ref="Q533:Q543" si="157">F533-N533</f>
        <v>0</v>
      </c>
      <c r="R533" s="307"/>
      <c r="S533" s="314" t="str">
        <f t="shared" ref="S533:S543" si="158">IF(M533&gt;D533,"mayormetrado","ok")</f>
        <v>ok</v>
      </c>
      <c r="T533" s="306"/>
      <c r="U533" s="314"/>
      <c r="V533" s="314"/>
      <c r="W533" s="314"/>
      <c r="X533" s="306"/>
    </row>
    <row r="534" spans="1:24" s="8" customFormat="1" ht="16.5" customHeight="1">
      <c r="A534" s="1101" t="s">
        <v>1661</v>
      </c>
      <c r="B534" s="1101" t="s">
        <v>2135</v>
      </c>
      <c r="C534" s="1104" t="s">
        <v>52</v>
      </c>
      <c r="D534" s="1105">
        <v>14</v>
      </c>
      <c r="E534" s="1106">
        <v>500</v>
      </c>
      <c r="F534" s="841">
        <f t="shared" si="156"/>
        <v>7000</v>
      </c>
      <c r="G534" s="1049">
        <v>0</v>
      </c>
      <c r="H534" s="306">
        <v>0</v>
      </c>
      <c r="I534" s="307">
        <v>0</v>
      </c>
      <c r="J534" s="1046"/>
      <c r="K534" s="306">
        <f t="shared" si="149"/>
        <v>0</v>
      </c>
      <c r="L534" s="307">
        <f t="shared" si="150"/>
        <v>0</v>
      </c>
      <c r="M534" s="1047">
        <f t="shared" si="151"/>
        <v>0</v>
      </c>
      <c r="N534" s="306">
        <f t="shared" si="152"/>
        <v>0</v>
      </c>
      <c r="O534" s="307">
        <f t="shared" si="153"/>
        <v>0</v>
      </c>
      <c r="P534" s="1047">
        <f t="shared" si="154"/>
        <v>14</v>
      </c>
      <c r="Q534" s="306">
        <f t="shared" si="157"/>
        <v>7000</v>
      </c>
      <c r="R534" s="307">
        <f t="shared" si="155"/>
        <v>1</v>
      </c>
      <c r="S534" s="314" t="str">
        <f t="shared" si="158"/>
        <v>ok</v>
      </c>
      <c r="T534" s="306"/>
      <c r="U534" s="314"/>
      <c r="V534" s="314"/>
      <c r="W534" s="314"/>
      <c r="X534" s="306"/>
    </row>
    <row r="535" spans="1:24" s="8" customFormat="1" ht="16.5" customHeight="1">
      <c r="A535" s="1101" t="s">
        <v>1662</v>
      </c>
      <c r="B535" s="1101" t="s">
        <v>2136</v>
      </c>
      <c r="C535" s="1104" t="s">
        <v>52</v>
      </c>
      <c r="D535" s="1105">
        <v>35</v>
      </c>
      <c r="E535" s="1106">
        <v>850</v>
      </c>
      <c r="F535" s="841">
        <f t="shared" si="156"/>
        <v>29750</v>
      </c>
      <c r="G535" s="1049">
        <v>0</v>
      </c>
      <c r="H535" s="306">
        <v>0</v>
      </c>
      <c r="I535" s="307">
        <v>0</v>
      </c>
      <c r="J535" s="1046"/>
      <c r="K535" s="306">
        <f t="shared" si="149"/>
        <v>0</v>
      </c>
      <c r="L535" s="307">
        <f t="shared" si="150"/>
        <v>0</v>
      </c>
      <c r="M535" s="1047">
        <f t="shared" si="151"/>
        <v>0</v>
      </c>
      <c r="N535" s="306">
        <f t="shared" si="152"/>
        <v>0</v>
      </c>
      <c r="O535" s="307">
        <f t="shared" si="153"/>
        <v>0</v>
      </c>
      <c r="P535" s="1047">
        <f t="shared" si="154"/>
        <v>35</v>
      </c>
      <c r="Q535" s="306">
        <f t="shared" si="157"/>
        <v>29750</v>
      </c>
      <c r="R535" s="307">
        <f t="shared" si="155"/>
        <v>1</v>
      </c>
      <c r="S535" s="314" t="str">
        <f t="shared" si="158"/>
        <v>ok</v>
      </c>
      <c r="T535" s="306"/>
      <c r="U535" s="314"/>
      <c r="V535" s="314"/>
      <c r="W535" s="314"/>
      <c r="X535" s="306"/>
    </row>
    <row r="536" spans="1:24" s="8" customFormat="1" ht="16.5" customHeight="1">
      <c r="A536" s="1101" t="s">
        <v>1663</v>
      </c>
      <c r="B536" s="1101" t="s">
        <v>2137</v>
      </c>
      <c r="C536" s="1104" t="s">
        <v>52</v>
      </c>
      <c r="D536" s="1105">
        <v>14</v>
      </c>
      <c r="E536" s="1106">
        <v>500</v>
      </c>
      <c r="F536" s="841">
        <f t="shared" si="156"/>
        <v>7000</v>
      </c>
      <c r="G536" s="1049">
        <v>0</v>
      </c>
      <c r="H536" s="306">
        <v>0</v>
      </c>
      <c r="I536" s="307">
        <v>0</v>
      </c>
      <c r="J536" s="1046"/>
      <c r="K536" s="306">
        <f t="shared" si="149"/>
        <v>0</v>
      </c>
      <c r="L536" s="307">
        <f t="shared" si="150"/>
        <v>0</v>
      </c>
      <c r="M536" s="1047">
        <f t="shared" si="151"/>
        <v>0</v>
      </c>
      <c r="N536" s="306">
        <f t="shared" si="152"/>
        <v>0</v>
      </c>
      <c r="O536" s="307">
        <f t="shared" si="153"/>
        <v>0</v>
      </c>
      <c r="P536" s="1047">
        <f t="shared" si="154"/>
        <v>14</v>
      </c>
      <c r="Q536" s="306">
        <f t="shared" si="157"/>
        <v>7000</v>
      </c>
      <c r="R536" s="307">
        <f t="shared" si="155"/>
        <v>1</v>
      </c>
      <c r="S536" s="314" t="str">
        <f t="shared" si="158"/>
        <v>ok</v>
      </c>
      <c r="T536" s="306"/>
      <c r="U536" s="314"/>
      <c r="V536" s="314"/>
      <c r="W536" s="314"/>
      <c r="X536" s="306"/>
    </row>
    <row r="537" spans="1:24" s="8" customFormat="1" ht="16.5" customHeight="1">
      <c r="A537" s="1101" t="s">
        <v>1664</v>
      </c>
      <c r="B537" s="1101" t="s">
        <v>2138</v>
      </c>
      <c r="C537" s="1104" t="s">
        <v>52</v>
      </c>
      <c r="D537" s="1105">
        <v>14</v>
      </c>
      <c r="E537" s="1106">
        <v>5845</v>
      </c>
      <c r="F537" s="841">
        <f t="shared" si="156"/>
        <v>81830</v>
      </c>
      <c r="G537" s="1049">
        <v>0</v>
      </c>
      <c r="H537" s="306">
        <v>0</v>
      </c>
      <c r="I537" s="307">
        <v>0</v>
      </c>
      <c r="J537" s="1046"/>
      <c r="K537" s="306">
        <f t="shared" si="149"/>
        <v>0</v>
      </c>
      <c r="L537" s="307">
        <f t="shared" si="150"/>
        <v>0</v>
      </c>
      <c r="M537" s="1047">
        <f t="shared" si="151"/>
        <v>0</v>
      </c>
      <c r="N537" s="306">
        <f t="shared" si="152"/>
        <v>0</v>
      </c>
      <c r="O537" s="307">
        <f t="shared" si="153"/>
        <v>0</v>
      </c>
      <c r="P537" s="1047">
        <f t="shared" si="154"/>
        <v>14</v>
      </c>
      <c r="Q537" s="306">
        <f t="shared" si="157"/>
        <v>81830</v>
      </c>
      <c r="R537" s="307">
        <f t="shared" si="155"/>
        <v>1</v>
      </c>
      <c r="S537" s="314" t="str">
        <f t="shared" si="158"/>
        <v>ok</v>
      </c>
      <c r="T537" s="306"/>
      <c r="U537" s="314"/>
      <c r="V537" s="314"/>
      <c r="W537" s="314"/>
      <c r="X537" s="306"/>
    </row>
    <row r="538" spans="1:24" s="8" customFormat="1" ht="16.5" customHeight="1">
      <c r="A538" s="1101" t="s">
        <v>1665</v>
      </c>
      <c r="B538" s="1101" t="s">
        <v>2139</v>
      </c>
      <c r="C538" s="1104" t="s">
        <v>52</v>
      </c>
      <c r="D538" s="1105">
        <v>246</v>
      </c>
      <c r="E538" s="1106">
        <v>400</v>
      </c>
      <c r="F538" s="841">
        <f t="shared" si="156"/>
        <v>98400</v>
      </c>
      <c r="G538" s="1049">
        <v>0</v>
      </c>
      <c r="H538" s="306">
        <v>0</v>
      </c>
      <c r="I538" s="307">
        <v>0</v>
      </c>
      <c r="J538" s="1046"/>
      <c r="K538" s="306">
        <f t="shared" si="149"/>
        <v>0</v>
      </c>
      <c r="L538" s="307">
        <f t="shared" si="150"/>
        <v>0</v>
      </c>
      <c r="M538" s="1047">
        <f t="shared" si="151"/>
        <v>0</v>
      </c>
      <c r="N538" s="306">
        <f t="shared" si="152"/>
        <v>0</v>
      </c>
      <c r="O538" s="307">
        <f t="shared" si="153"/>
        <v>0</v>
      </c>
      <c r="P538" s="1047">
        <f t="shared" si="154"/>
        <v>246</v>
      </c>
      <c r="Q538" s="306">
        <f t="shared" si="157"/>
        <v>98400</v>
      </c>
      <c r="R538" s="307">
        <f t="shared" si="155"/>
        <v>1</v>
      </c>
      <c r="S538" s="314" t="str">
        <f t="shared" si="158"/>
        <v>ok</v>
      </c>
      <c r="T538" s="306"/>
      <c r="U538" s="314"/>
      <c r="V538" s="314"/>
      <c r="W538" s="314"/>
      <c r="X538" s="306"/>
    </row>
    <row r="539" spans="1:24" s="8" customFormat="1" ht="16.5" customHeight="1">
      <c r="A539" s="1101" t="s">
        <v>1666</v>
      </c>
      <c r="B539" s="1101" t="s">
        <v>2140</v>
      </c>
      <c r="C539" s="1104" t="s">
        <v>52</v>
      </c>
      <c r="D539" s="1105">
        <v>19</v>
      </c>
      <c r="E539" s="1106">
        <v>1850</v>
      </c>
      <c r="F539" s="841">
        <f t="shared" si="156"/>
        <v>35150</v>
      </c>
      <c r="G539" s="1049">
        <v>0</v>
      </c>
      <c r="H539" s="306">
        <v>0</v>
      </c>
      <c r="I539" s="307">
        <v>0</v>
      </c>
      <c r="J539" s="1046"/>
      <c r="K539" s="306">
        <f t="shared" si="149"/>
        <v>0</v>
      </c>
      <c r="L539" s="307">
        <f t="shared" si="150"/>
        <v>0</v>
      </c>
      <c r="M539" s="1047">
        <f t="shared" si="151"/>
        <v>0</v>
      </c>
      <c r="N539" s="306">
        <f t="shared" si="152"/>
        <v>0</v>
      </c>
      <c r="O539" s="307">
        <f t="shared" si="153"/>
        <v>0</v>
      </c>
      <c r="P539" s="1047">
        <f t="shared" si="154"/>
        <v>19</v>
      </c>
      <c r="Q539" s="306">
        <f t="shared" si="157"/>
        <v>35150</v>
      </c>
      <c r="R539" s="307">
        <f t="shared" si="155"/>
        <v>1</v>
      </c>
      <c r="S539" s="314" t="str">
        <f t="shared" si="158"/>
        <v>ok</v>
      </c>
      <c r="T539" s="306"/>
      <c r="U539" s="314"/>
      <c r="V539" s="314"/>
      <c r="W539" s="314"/>
      <c r="X539" s="306"/>
    </row>
    <row r="540" spans="1:24" s="8" customFormat="1" ht="16.5" customHeight="1">
      <c r="A540" s="1101" t="s">
        <v>1667</v>
      </c>
      <c r="B540" s="1101" t="s">
        <v>2141</v>
      </c>
      <c r="C540" s="1104" t="s">
        <v>52</v>
      </c>
      <c r="D540" s="1105">
        <v>246</v>
      </c>
      <c r="E540" s="1106">
        <v>120</v>
      </c>
      <c r="F540" s="841">
        <f t="shared" si="156"/>
        <v>29520</v>
      </c>
      <c r="G540" s="1049">
        <v>0</v>
      </c>
      <c r="H540" s="306">
        <v>0</v>
      </c>
      <c r="I540" s="307">
        <v>0</v>
      </c>
      <c r="J540" s="1046"/>
      <c r="K540" s="306">
        <f t="shared" si="149"/>
        <v>0</v>
      </c>
      <c r="L540" s="307">
        <f t="shared" si="150"/>
        <v>0</v>
      </c>
      <c r="M540" s="1047">
        <f t="shared" si="151"/>
        <v>0</v>
      </c>
      <c r="N540" s="306">
        <f t="shared" si="152"/>
        <v>0</v>
      </c>
      <c r="O540" s="307">
        <f t="shared" si="153"/>
        <v>0</v>
      </c>
      <c r="P540" s="1047">
        <f t="shared" si="154"/>
        <v>246</v>
      </c>
      <c r="Q540" s="306">
        <f t="shared" si="157"/>
        <v>29520</v>
      </c>
      <c r="R540" s="307">
        <f t="shared" si="155"/>
        <v>1</v>
      </c>
      <c r="S540" s="314" t="str">
        <f t="shared" si="158"/>
        <v>ok</v>
      </c>
      <c r="T540" s="306"/>
      <c r="U540" s="314"/>
      <c r="V540" s="314"/>
      <c r="W540" s="314"/>
      <c r="X540" s="306"/>
    </row>
    <row r="541" spans="1:24" s="8" customFormat="1" ht="16.5" customHeight="1">
      <c r="A541" s="1101" t="s">
        <v>1668</v>
      </c>
      <c r="B541" s="1101" t="s">
        <v>2142</v>
      </c>
      <c r="C541" s="1104" t="s">
        <v>52</v>
      </c>
      <c r="D541" s="1105">
        <v>19</v>
      </c>
      <c r="E541" s="1106">
        <v>450</v>
      </c>
      <c r="F541" s="841">
        <f t="shared" si="156"/>
        <v>8550</v>
      </c>
      <c r="G541" s="1049">
        <v>0</v>
      </c>
      <c r="H541" s="306">
        <v>0</v>
      </c>
      <c r="I541" s="307">
        <v>0</v>
      </c>
      <c r="J541" s="1046"/>
      <c r="K541" s="306">
        <f t="shared" si="149"/>
        <v>0</v>
      </c>
      <c r="L541" s="307">
        <f t="shared" si="150"/>
        <v>0</v>
      </c>
      <c r="M541" s="1047">
        <f t="shared" si="151"/>
        <v>0</v>
      </c>
      <c r="N541" s="306">
        <f t="shared" si="152"/>
        <v>0</v>
      </c>
      <c r="O541" s="307">
        <f t="shared" si="153"/>
        <v>0</v>
      </c>
      <c r="P541" s="1047">
        <f t="shared" si="154"/>
        <v>19</v>
      </c>
      <c r="Q541" s="306">
        <f t="shared" si="157"/>
        <v>8550</v>
      </c>
      <c r="R541" s="307">
        <f t="shared" si="155"/>
        <v>1</v>
      </c>
      <c r="S541" s="314" t="str">
        <f t="shared" si="158"/>
        <v>ok</v>
      </c>
      <c r="T541" s="306"/>
      <c r="U541" s="314"/>
      <c r="V541" s="314"/>
      <c r="W541" s="314"/>
      <c r="X541" s="306"/>
    </row>
    <row r="542" spans="1:24" s="8" customFormat="1" ht="16.5" customHeight="1">
      <c r="A542" s="1101" t="s">
        <v>1669</v>
      </c>
      <c r="B542" s="1101" t="s">
        <v>2143</v>
      </c>
      <c r="C542" s="1104" t="s">
        <v>52</v>
      </c>
      <c r="D542" s="1105">
        <v>4</v>
      </c>
      <c r="E542" s="1106">
        <v>3000</v>
      </c>
      <c r="F542" s="841">
        <f t="shared" si="156"/>
        <v>12000</v>
      </c>
      <c r="G542" s="1049">
        <v>0</v>
      </c>
      <c r="H542" s="306">
        <v>0</v>
      </c>
      <c r="I542" s="307">
        <v>0</v>
      </c>
      <c r="J542" s="1046"/>
      <c r="K542" s="306">
        <f t="shared" si="149"/>
        <v>0</v>
      </c>
      <c r="L542" s="307">
        <f t="shared" si="150"/>
        <v>0</v>
      </c>
      <c r="M542" s="1047">
        <f t="shared" si="151"/>
        <v>0</v>
      </c>
      <c r="N542" s="306">
        <f t="shared" si="152"/>
        <v>0</v>
      </c>
      <c r="O542" s="307">
        <f t="shared" si="153"/>
        <v>0</v>
      </c>
      <c r="P542" s="1047">
        <f t="shared" si="154"/>
        <v>4</v>
      </c>
      <c r="Q542" s="306">
        <f t="shared" si="157"/>
        <v>12000</v>
      </c>
      <c r="R542" s="307">
        <f t="shared" si="155"/>
        <v>1</v>
      </c>
      <c r="S542" s="314" t="str">
        <f t="shared" si="158"/>
        <v>ok</v>
      </c>
      <c r="T542" s="306"/>
      <c r="U542" s="314"/>
      <c r="V542" s="314"/>
      <c r="W542" s="314"/>
      <c r="X542" s="306"/>
    </row>
    <row r="543" spans="1:24" s="8" customFormat="1" ht="16.5" customHeight="1" thickBot="1">
      <c r="A543" s="1101" t="s">
        <v>1670</v>
      </c>
      <c r="B543" s="1112" t="s">
        <v>2144</v>
      </c>
      <c r="C543" s="1113" t="s">
        <v>52</v>
      </c>
      <c r="D543" s="1114">
        <v>80</v>
      </c>
      <c r="E543" s="1115">
        <v>100</v>
      </c>
      <c r="F543" s="1098">
        <f t="shared" si="156"/>
        <v>8000</v>
      </c>
      <c r="G543" s="1049">
        <v>0</v>
      </c>
      <c r="H543" s="306">
        <v>0</v>
      </c>
      <c r="I543" s="307">
        <v>0</v>
      </c>
      <c r="J543" s="1046"/>
      <c r="K543" s="306">
        <f t="shared" si="149"/>
        <v>0</v>
      </c>
      <c r="L543" s="307">
        <f t="shared" si="150"/>
        <v>0</v>
      </c>
      <c r="M543" s="1047">
        <f t="shared" si="151"/>
        <v>0</v>
      </c>
      <c r="N543" s="306">
        <f t="shared" si="152"/>
        <v>0</v>
      </c>
      <c r="O543" s="307">
        <f t="shared" si="153"/>
        <v>0</v>
      </c>
      <c r="P543" s="1047">
        <f t="shared" si="154"/>
        <v>80</v>
      </c>
      <c r="Q543" s="306">
        <f t="shared" si="157"/>
        <v>8000</v>
      </c>
      <c r="R543" s="307">
        <f t="shared" si="155"/>
        <v>1</v>
      </c>
      <c r="S543" s="314" t="str">
        <f t="shared" si="158"/>
        <v>ok</v>
      </c>
      <c r="T543" s="306"/>
      <c r="U543" s="314"/>
      <c r="V543" s="314"/>
      <c r="W543" s="314"/>
      <c r="X543" s="1876"/>
    </row>
    <row r="544" spans="1:24" s="304" customFormat="1" ht="15" customHeight="1" thickBot="1">
      <c r="A544" s="933"/>
      <c r="B544" s="2498" t="s">
        <v>18</v>
      </c>
      <c r="C544" s="2499"/>
      <c r="D544" s="2499"/>
      <c r="E544" s="2500"/>
      <c r="F544" s="1050">
        <v>13550641.68</v>
      </c>
      <c r="G544" s="1051"/>
      <c r="H544" s="1050">
        <f>SUM(H17:H543)-0.01</f>
        <v>6667211.2373413714</v>
      </c>
      <c r="I544" s="1052">
        <f>+H544/$F544</f>
        <v>0.49202180935695522</v>
      </c>
      <c r="J544" s="1053"/>
      <c r="K544" s="1050">
        <f>SUM(K20:K543)</f>
        <v>1092.9000000000001</v>
      </c>
      <c r="L544" s="1052">
        <f>+K544/$F544</f>
        <v>8.0653007127556197E-5</v>
      </c>
      <c r="M544" s="1054"/>
      <c r="N544" s="1050">
        <f>SUM(N17:N543)-0.01</f>
        <v>6668304.1373413717</v>
      </c>
      <c r="O544" s="1052">
        <f>+N544/$F544</f>
        <v>0.49210246236408284</v>
      </c>
      <c r="P544" s="1054"/>
      <c r="Q544" s="1050">
        <f>F544-N544</f>
        <v>6882337.542658628</v>
      </c>
      <c r="R544" s="1055">
        <f>+Q544/$F544</f>
        <v>0.50789753763591716</v>
      </c>
      <c r="S544" s="1886">
        <f>SUM(Q20:Q543)</f>
        <v>6882337.5383146666</v>
      </c>
      <c r="T544" s="1885"/>
      <c r="U544" s="1885"/>
      <c r="V544" s="1885"/>
      <c r="W544" s="1885"/>
      <c r="X544" s="1885"/>
    </row>
    <row r="545" spans="1:24" s="304" customFormat="1" ht="15" customHeight="1">
      <c r="A545" s="933"/>
      <c r="B545" s="1056" t="s">
        <v>708</v>
      </c>
      <c r="C545" s="1057"/>
      <c r="D545" s="1058">
        <f>100*F545/$F$544</f>
        <v>6.6528214769383522</v>
      </c>
      <c r="E545" s="1124" t="s">
        <v>30</v>
      </c>
      <c r="F545" s="1060">
        <v>901499.99994999997</v>
      </c>
      <c r="G545" s="1059"/>
      <c r="H545" s="1061">
        <v>565354.49</v>
      </c>
      <c r="I545" s="1170">
        <f t="shared" ref="I545:I550" si="159">+H545/$F545</f>
        <v>0.62712644484898095</v>
      </c>
      <c r="J545" s="1059"/>
      <c r="K545" s="1062">
        <v>53156.37</v>
      </c>
      <c r="L545" s="1170">
        <f>+K545/$F545</f>
        <v>5.8964359404268689E-2</v>
      </c>
      <c r="M545" s="1059"/>
      <c r="N545" s="1061">
        <f t="shared" ref="N545:N550" si="160">H545+K545</f>
        <v>618510.86</v>
      </c>
      <c r="O545" s="1082">
        <f t="shared" ref="O545:O550" si="161">N545/F545</f>
        <v>0.68609080425324964</v>
      </c>
      <c r="P545" s="1059"/>
      <c r="Q545" s="1061">
        <f t="shared" ref="Q545:Q551" si="162">F545-N545</f>
        <v>282989.13994999998</v>
      </c>
      <c r="R545" s="1083">
        <f t="shared" ref="R545:R550" si="163">Q545/F545</f>
        <v>0.31390919574675036</v>
      </c>
      <c r="S545" s="1133">
        <f>F544-N544</f>
        <v>6882337.542658628</v>
      </c>
      <c r="T545" s="314"/>
      <c r="U545" s="314"/>
      <c r="V545" s="314"/>
      <c r="W545" s="314"/>
      <c r="X545" s="314"/>
    </row>
    <row r="546" spans="1:24" s="304" customFormat="1" ht="15" customHeight="1">
      <c r="A546" s="933"/>
      <c r="B546" s="1063" t="s">
        <v>119</v>
      </c>
      <c r="C546" s="1064"/>
      <c r="D546" s="1065">
        <f t="shared" ref="D546" si="164">100*F546/$F$544</f>
        <v>2.8832582930493369</v>
      </c>
      <c r="E546" s="1125" t="s">
        <v>30</v>
      </c>
      <c r="F546" s="1067">
        <v>390700</v>
      </c>
      <c r="G546" s="1068"/>
      <c r="H546" s="1061">
        <v>79047.38</v>
      </c>
      <c r="I546" s="1073">
        <f t="shared" si="159"/>
        <v>0.2023224468901971</v>
      </c>
      <c r="J546" s="1069"/>
      <c r="K546" s="1062">
        <v>13625</v>
      </c>
      <c r="L546" s="1073">
        <f>+K546/$F546</f>
        <v>3.4873304325569489E-2</v>
      </c>
      <c r="M546" s="1072"/>
      <c r="N546" s="1061">
        <f t="shared" si="160"/>
        <v>92672.38</v>
      </c>
      <c r="O546" s="1082">
        <f t="shared" si="161"/>
        <v>0.23719575121576658</v>
      </c>
      <c r="P546" s="1072"/>
      <c r="Q546" s="1061">
        <f t="shared" si="162"/>
        <v>298027.62</v>
      </c>
      <c r="R546" s="1083">
        <f t="shared" si="163"/>
        <v>0.76280424878423336</v>
      </c>
      <c r="S546" s="1386"/>
      <c r="T546" s="1471"/>
      <c r="U546" s="314"/>
      <c r="W546" s="314"/>
      <c r="X546" s="314"/>
    </row>
    <row r="547" spans="1:24" s="304" customFormat="1" ht="15" customHeight="1">
      <c r="A547" s="933"/>
      <c r="B547" s="1063" t="s">
        <v>1131</v>
      </c>
      <c r="C547" s="1064"/>
      <c r="D547" s="1065">
        <f>100*F547/$F$544</f>
        <v>0.5261743442396154</v>
      </c>
      <c r="E547" s="1125" t="s">
        <v>30</v>
      </c>
      <c r="F547" s="1067">
        <v>71300</v>
      </c>
      <c r="G547" s="1068"/>
      <c r="H547" s="1061">
        <v>0</v>
      </c>
      <c r="I547" s="1073">
        <f t="shared" si="159"/>
        <v>0</v>
      </c>
      <c r="J547" s="1069"/>
      <c r="K547" s="1070">
        <v>0</v>
      </c>
      <c r="L547" s="1073">
        <f t="shared" ref="L547:L550" si="165">+K547/$F547</f>
        <v>0</v>
      </c>
      <c r="M547" s="1072"/>
      <c r="N547" s="1061">
        <f t="shared" si="160"/>
        <v>0</v>
      </c>
      <c r="O547" s="1082">
        <f t="shared" si="161"/>
        <v>0</v>
      </c>
      <c r="P547" s="1072"/>
      <c r="Q547" s="1061">
        <f t="shared" si="162"/>
        <v>71300</v>
      </c>
      <c r="R547" s="1083">
        <f t="shared" si="163"/>
        <v>1</v>
      </c>
      <c r="S547" s="1386"/>
      <c r="T547" s="314"/>
      <c r="U547" s="314"/>
      <c r="V547" s="314"/>
      <c r="W547" s="314"/>
      <c r="X547" s="314"/>
    </row>
    <row r="548" spans="1:24" s="304" customFormat="1" ht="15" customHeight="1">
      <c r="A548" s="934"/>
      <c r="B548" s="1063" t="s">
        <v>1128</v>
      </c>
      <c r="C548" s="1064"/>
      <c r="D548" s="1065">
        <f t="shared" ref="D548:D550" si="166">100*F548/$F$544</f>
        <v>1.5534024511228903</v>
      </c>
      <c r="E548" s="1125" t="s">
        <v>30</v>
      </c>
      <c r="F548" s="1067">
        <v>210496</v>
      </c>
      <c r="G548" s="1066"/>
      <c r="H548" s="1061">
        <v>0</v>
      </c>
      <c r="I548" s="1073">
        <f t="shared" si="159"/>
        <v>0</v>
      </c>
      <c r="J548" s="1066"/>
      <c r="K548" s="1070">
        <v>0</v>
      </c>
      <c r="L548" s="1073">
        <f t="shared" si="165"/>
        <v>0</v>
      </c>
      <c r="M548" s="1066"/>
      <c r="N548" s="1061">
        <f t="shared" si="160"/>
        <v>0</v>
      </c>
      <c r="O548" s="1082">
        <f t="shared" si="161"/>
        <v>0</v>
      </c>
      <c r="P548" s="1066"/>
      <c r="Q548" s="1061">
        <f t="shared" si="162"/>
        <v>210496</v>
      </c>
      <c r="R548" s="1083">
        <f t="shared" si="163"/>
        <v>1</v>
      </c>
      <c r="T548" s="314"/>
      <c r="U548" s="314"/>
      <c r="V548" s="314"/>
      <c r="W548" s="314"/>
      <c r="X548" s="314"/>
    </row>
    <row r="549" spans="1:24" s="304" customFormat="1" ht="15" customHeight="1">
      <c r="A549" s="934"/>
      <c r="B549" s="1074" t="s">
        <v>2151</v>
      </c>
      <c r="C549" s="1075"/>
      <c r="D549" s="1065">
        <f t="shared" si="166"/>
        <v>3.1880409075948646</v>
      </c>
      <c r="E549" s="1126" t="s">
        <v>30</v>
      </c>
      <c r="F549" s="1067">
        <v>432000</v>
      </c>
      <c r="G549" s="1076"/>
      <c r="H549" s="1061">
        <v>118430.13</v>
      </c>
      <c r="I549" s="1073">
        <f t="shared" si="159"/>
        <v>0.27414381944444444</v>
      </c>
      <c r="J549" s="1076"/>
      <c r="K549" s="1070">
        <v>8969.23</v>
      </c>
      <c r="L549" s="1073">
        <f t="shared" si="165"/>
        <v>2.0762106481481482E-2</v>
      </c>
      <c r="M549" s="1076"/>
      <c r="N549" s="1061">
        <f t="shared" si="160"/>
        <v>127399.36</v>
      </c>
      <c r="O549" s="1082">
        <f t="shared" si="161"/>
        <v>0.2949059259259259</v>
      </c>
      <c r="P549" s="1076"/>
      <c r="Q549" s="1061">
        <f t="shared" si="162"/>
        <v>304600.64</v>
      </c>
      <c r="R549" s="1083">
        <f t="shared" si="163"/>
        <v>0.7050940740740741</v>
      </c>
      <c r="S549" s="1386"/>
      <c r="T549" s="314"/>
      <c r="U549" s="314"/>
      <c r="V549" s="314"/>
      <c r="W549" s="314"/>
      <c r="X549" s="314"/>
    </row>
    <row r="550" spans="1:24" s="304" customFormat="1" ht="15" customHeight="1" thickBot="1">
      <c r="A550" s="934"/>
      <c r="B550" s="1074" t="s">
        <v>2152</v>
      </c>
      <c r="C550" s="1075"/>
      <c r="D550" s="1065">
        <f t="shared" si="166"/>
        <v>0.19630251192650533</v>
      </c>
      <c r="E550" s="1126" t="s">
        <v>30</v>
      </c>
      <c r="F550" s="1067">
        <v>26600.25</v>
      </c>
      <c r="G550" s="1076"/>
      <c r="H550" s="1061">
        <v>36127.06</v>
      </c>
      <c r="I550" s="1073">
        <f t="shared" si="159"/>
        <v>1.3581473858328399</v>
      </c>
      <c r="J550" s="1076"/>
      <c r="K550" s="1070">
        <v>0</v>
      </c>
      <c r="L550" s="1073">
        <f t="shared" si="165"/>
        <v>0</v>
      </c>
      <c r="M550" s="1076"/>
      <c r="N550" s="1061">
        <f t="shared" si="160"/>
        <v>36127.06</v>
      </c>
      <c r="O550" s="1082">
        <f t="shared" si="161"/>
        <v>1.3581473858328399</v>
      </c>
      <c r="P550" s="1076"/>
      <c r="Q550" s="1061">
        <f t="shared" si="162"/>
        <v>-9526.8099999999977</v>
      </c>
      <c r="R550" s="1083">
        <f t="shared" si="163"/>
        <v>-0.35814738583283984</v>
      </c>
      <c r="S550" s="1386"/>
      <c r="T550" s="314"/>
      <c r="U550" s="314"/>
      <c r="V550" s="314"/>
      <c r="W550" s="314"/>
      <c r="X550" s="314"/>
    </row>
    <row r="551" spans="1:24" s="304" customFormat="1" ht="15" customHeight="1" thickBot="1">
      <c r="A551" s="935"/>
      <c r="B551" s="2494" t="s">
        <v>707</v>
      </c>
      <c r="C551" s="2495"/>
      <c r="D551" s="2495"/>
      <c r="E551" s="2496"/>
      <c r="F551" s="1077">
        <f>SUM(F544:F550)</f>
        <v>15583237.929949999</v>
      </c>
      <c r="G551" s="1051"/>
      <c r="H551" s="1077">
        <f>SUM(H544:H550)</f>
        <v>7466170.297341371</v>
      </c>
      <c r="I551" s="1052">
        <f>+H551/$F551</f>
        <v>0.47911546566274671</v>
      </c>
      <c r="J551" s="1053"/>
      <c r="K551" s="1077">
        <f>SUM(K544:K550)</f>
        <v>76843.5</v>
      </c>
      <c r="L551" s="1052">
        <f>+K551/F551</f>
        <v>4.9311638791262793E-3</v>
      </c>
      <c r="M551" s="1054"/>
      <c r="N551" s="1077">
        <f>SUM(N544:N550)</f>
        <v>7543013.7973413719</v>
      </c>
      <c r="O551" s="1052">
        <f>+N551/F551</f>
        <v>0.48404662954187305</v>
      </c>
      <c r="P551" s="1054"/>
      <c r="Q551" s="1077">
        <f t="shared" si="162"/>
        <v>8040224.132608627</v>
      </c>
      <c r="R551" s="1055">
        <f>+Q551/F551</f>
        <v>0.51595337045812695</v>
      </c>
      <c r="S551" s="1386"/>
      <c r="T551" s="314"/>
      <c r="U551" s="314"/>
      <c r="V551" s="314"/>
      <c r="W551" s="314"/>
      <c r="X551" s="314"/>
    </row>
    <row r="552" spans="1:24" ht="15.75">
      <c r="S552" s="1386"/>
    </row>
    <row r="553" spans="1:24" ht="15.75">
      <c r="K553" s="230">
        <v>102713.735</v>
      </c>
      <c r="N553" s="1141" t="e">
        <f>N544/F553</f>
        <v>#DIV/0!</v>
      </c>
      <c r="O553" s="1191"/>
      <c r="S553" s="1386"/>
    </row>
    <row r="554" spans="1:24" ht="15.75">
      <c r="S554" s="1386"/>
    </row>
    <row r="555" spans="1:24">
      <c r="B555" s="230" t="s">
        <v>708</v>
      </c>
      <c r="K555" s="230">
        <v>111320.735</v>
      </c>
      <c r="N555" s="1191">
        <f>+H544+K544</f>
        <v>6668304.1373413717</v>
      </c>
    </row>
    <row r="556" spans="1:24">
      <c r="B556" s="230" t="s">
        <v>119</v>
      </c>
      <c r="H556" s="230">
        <v>2793550.9499999997</v>
      </c>
      <c r="I556" s="230">
        <v>0.20615635888736553</v>
      </c>
      <c r="J556" s="230">
        <v>769761.1825391968</v>
      </c>
      <c r="K556" s="230">
        <v>5.6806253204407658E-2</v>
      </c>
      <c r="L556" s="230">
        <v>3563312.1325392001</v>
      </c>
      <c r="M556" s="230">
        <v>0.26296261209177318</v>
      </c>
    </row>
    <row r="557" spans="1:24">
      <c r="B557" s="230" t="s">
        <v>1131</v>
      </c>
    </row>
    <row r="558" spans="1:24">
      <c r="B558" s="230" t="s">
        <v>1128</v>
      </c>
    </row>
    <row r="559" spans="1:24">
      <c r="B559" s="230" t="s">
        <v>2151</v>
      </c>
    </row>
    <row r="560" spans="1:24">
      <c r="B560" s="230" t="s">
        <v>2152</v>
      </c>
    </row>
    <row r="565" spans="2:18">
      <c r="B565" s="230" t="s">
        <v>18</v>
      </c>
      <c r="F565" s="1208">
        <v>13550641.683220012</v>
      </c>
      <c r="G565" s="1208"/>
      <c r="H565" s="1208">
        <v>2011711.9000000006</v>
      </c>
      <c r="I565" s="230">
        <v>0.14845879236044868</v>
      </c>
      <c r="K565" s="1208">
        <v>781839.06169999996</v>
      </c>
      <c r="L565" s="230">
        <v>5.7697567390344651E-2</v>
      </c>
      <c r="N565" s="1208">
        <v>2793550.9560739989</v>
      </c>
      <c r="O565" s="230">
        <v>0.20615635933560991</v>
      </c>
      <c r="Q565" s="1208">
        <v>10757090.727146</v>
      </c>
      <c r="R565" s="230">
        <v>0.79384364066438895</v>
      </c>
    </row>
    <row r="566" spans="2:18">
      <c r="B566" s="230" t="s">
        <v>708</v>
      </c>
      <c r="D566" s="230">
        <v>6.652821475357455</v>
      </c>
      <c r="E566" s="230" t="s">
        <v>30</v>
      </c>
      <c r="F566" s="1208">
        <v>901499.99994999997</v>
      </c>
      <c r="G566" s="1208"/>
      <c r="H566" s="1208">
        <v>122880.43</v>
      </c>
      <c r="I566" s="230">
        <v>0.13630663339635643</v>
      </c>
      <c r="K566" s="1208">
        <v>51229.34</v>
      </c>
      <c r="L566" s="230">
        <v>5.6826777596052508E-2</v>
      </c>
      <c r="N566" s="1208">
        <v>174109.77</v>
      </c>
      <c r="O566" s="230">
        <v>0.19313341099240894</v>
      </c>
      <c r="Q566" s="1208">
        <v>727390.22994999995</v>
      </c>
      <c r="R566" s="230">
        <v>0.80686658900759101</v>
      </c>
    </row>
    <row r="567" spans="2:18">
      <c r="B567" s="230" t="s">
        <v>119</v>
      </c>
      <c r="D567" s="230">
        <v>2.8832582923641938</v>
      </c>
      <c r="E567" s="230" t="s">
        <v>30</v>
      </c>
      <c r="F567" s="1208">
        <v>390700</v>
      </c>
      <c r="G567" s="1208"/>
      <c r="H567" s="1208">
        <v>22500</v>
      </c>
      <c r="I567" s="230">
        <v>5.758894292295879E-2</v>
      </c>
      <c r="K567" s="1208">
        <v>6500</v>
      </c>
      <c r="L567" s="230">
        <v>1.6636805733299207E-2</v>
      </c>
      <c r="N567" s="1208">
        <v>29000</v>
      </c>
      <c r="O567" s="230">
        <v>7.4225748656258E-2</v>
      </c>
      <c r="Q567" s="1208">
        <v>361700</v>
      </c>
      <c r="R567" s="230">
        <v>0.92577425134374203</v>
      </c>
    </row>
    <row r="568" spans="2:18">
      <c r="B568" s="230" t="s">
        <v>1131</v>
      </c>
      <c r="D568" s="230">
        <v>0.52617434411458164</v>
      </c>
      <c r="E568" s="230" t="s">
        <v>30</v>
      </c>
      <c r="F568" s="1208">
        <v>71300</v>
      </c>
      <c r="G568" s="1208"/>
      <c r="H568" s="1208">
        <v>0</v>
      </c>
      <c r="I568" s="230">
        <v>0</v>
      </c>
      <c r="K568" s="1208"/>
      <c r="L568" s="230">
        <v>0</v>
      </c>
      <c r="N568" s="1208">
        <v>0</v>
      </c>
      <c r="O568" s="230">
        <v>0</v>
      </c>
      <c r="Q568" s="1208">
        <v>71300</v>
      </c>
      <c r="R568" s="230">
        <v>1</v>
      </c>
    </row>
    <row r="569" spans="2:18">
      <c r="B569" s="230" t="s">
        <v>1128</v>
      </c>
      <c r="D569" s="230">
        <v>1.5534024507537583</v>
      </c>
      <c r="E569" s="230" t="s">
        <v>30</v>
      </c>
      <c r="F569" s="1208">
        <v>210496</v>
      </c>
      <c r="G569" s="1208"/>
      <c r="H569" s="1208">
        <v>0</v>
      </c>
      <c r="I569" s="230">
        <v>0</v>
      </c>
      <c r="K569" s="1208"/>
      <c r="L569" s="230">
        <v>0</v>
      </c>
      <c r="N569" s="1208">
        <v>0</v>
      </c>
      <c r="O569" s="230">
        <v>0</v>
      </c>
      <c r="Q569" s="1208">
        <v>210496</v>
      </c>
      <c r="R569" s="230">
        <v>1</v>
      </c>
    </row>
    <row r="570" spans="2:18">
      <c r="B570" s="230" t="s">
        <v>2151</v>
      </c>
      <c r="D570" s="230">
        <v>3.1880409068372968</v>
      </c>
      <c r="E570" s="230" t="s">
        <v>30</v>
      </c>
      <c r="F570" s="1208">
        <v>432000</v>
      </c>
      <c r="G570" s="1208"/>
      <c r="H570" s="1208">
        <v>33019.5</v>
      </c>
      <c r="I570" s="230">
        <v>7.6434027777777774E-2</v>
      </c>
      <c r="K570" s="1208">
        <v>8677</v>
      </c>
      <c r="L570" s="230">
        <v>2.0085648148148148E-2</v>
      </c>
      <c r="N570" s="1208">
        <v>41696.5</v>
      </c>
      <c r="O570" s="230">
        <v>9.6519675925925932E-2</v>
      </c>
      <c r="Q570" s="1208">
        <v>390303.5</v>
      </c>
      <c r="R570" s="230">
        <v>0.90348032407407408</v>
      </c>
    </row>
    <row r="571" spans="2:18">
      <c r="B571" s="230" t="s">
        <v>2152</v>
      </c>
      <c r="D571" s="230">
        <v>0.19630251187985834</v>
      </c>
      <c r="E571" s="230" t="s">
        <v>30</v>
      </c>
      <c r="F571" s="1208">
        <v>26600.25</v>
      </c>
      <c r="G571" s="1208"/>
      <c r="H571" s="1208">
        <v>13853.36</v>
      </c>
      <c r="I571" s="230">
        <v>0.52079811279969179</v>
      </c>
      <c r="K571" s="1208">
        <v>5410</v>
      </c>
      <c r="L571" s="230">
        <v>0.20338154716591009</v>
      </c>
      <c r="N571" s="1208">
        <v>19263.36</v>
      </c>
      <c r="O571" s="230">
        <v>0.72417965996560185</v>
      </c>
      <c r="Q571" s="1208">
        <v>7336.8899999999994</v>
      </c>
      <c r="R571" s="230">
        <v>0.27582034003439815</v>
      </c>
    </row>
    <row r="572" spans="2:18">
      <c r="B572" s="230" t="s">
        <v>707</v>
      </c>
      <c r="F572" s="1208">
        <v>15583237.933170011</v>
      </c>
      <c r="G572" s="1208"/>
      <c r="H572" s="1208">
        <v>2203965.1900000004</v>
      </c>
      <c r="I572" s="230">
        <v>0.14143178711971705</v>
      </c>
      <c r="K572" s="1208">
        <v>853655.40169999993</v>
      </c>
      <c r="L572" s="230">
        <v>5.4780361139383921E-2</v>
      </c>
      <c r="N572" s="1208">
        <v>3057620.5860739988</v>
      </c>
      <c r="O572" s="230">
        <v>0.19621214789807193</v>
      </c>
      <c r="Q572" s="1208">
        <v>12525617.347096013</v>
      </c>
      <c r="R572" s="230">
        <v>0.80378785210192816</v>
      </c>
    </row>
  </sheetData>
  <mergeCells count="25">
    <mergeCell ref="A1:R1"/>
    <mergeCell ref="B551:E551"/>
    <mergeCell ref="B544:E544"/>
    <mergeCell ref="A2:R2"/>
    <mergeCell ref="A12:A14"/>
    <mergeCell ref="B12:B14"/>
    <mergeCell ref="C12:C14"/>
    <mergeCell ref="D12:D14"/>
    <mergeCell ref="E12:E14"/>
    <mergeCell ref="F12:F14"/>
    <mergeCell ref="P12:R13"/>
    <mergeCell ref="G13:I13"/>
    <mergeCell ref="J13:L13"/>
    <mergeCell ref="P7:R7"/>
    <mergeCell ref="L8:O8"/>
    <mergeCell ref="P8:R8"/>
    <mergeCell ref="M13:O13"/>
    <mergeCell ref="L9:O9"/>
    <mergeCell ref="P9:R9"/>
    <mergeCell ref="J9:K9"/>
    <mergeCell ref="L6:O6"/>
    <mergeCell ref="L7:O7"/>
    <mergeCell ref="J6:K6"/>
    <mergeCell ref="J7:K7"/>
    <mergeCell ref="J8:K8"/>
  </mergeCells>
  <conditionalFormatting sqref="T20:T543">
    <cfRule type="colorScale" priority="1">
      <colorScale>
        <cfvo type="min"/>
        <cfvo type="percentile" val="50"/>
        <cfvo type="max"/>
        <color rgb="FFF8696B"/>
        <color rgb="FFFCFCFF"/>
        <color rgb="FF63BE7B"/>
      </colorScale>
    </cfRule>
    <cfRule type="dataBar" priority="2">
      <dataBar>
        <cfvo type="min"/>
        <cfvo type="max"/>
        <color rgb="FF638EC6"/>
      </dataBar>
      <extLst>
        <ext xmlns:x14="http://schemas.microsoft.com/office/spreadsheetml/2009/9/main" uri="{B025F937-C7B1-47D3-B67F-A62EFF666E3E}">
          <x14:id>{C3E76E9B-38F6-47FC-9451-45D38015F986}</x14:id>
        </ext>
      </extLst>
    </cfRule>
  </conditionalFormatting>
  <printOptions horizontalCentered="1"/>
  <pageMargins left="0.23622047244094491" right="0.23622047244094491" top="0.74803149606299213" bottom="0.74803149606299213" header="0.31496062992125984" footer="0.31496062992125984"/>
  <pageSetup paperSize="9" scale="39" fitToHeight="0" orientation="landscape" r:id="rId1"/>
  <headerFooter>
    <oddFooter>&amp;CPágina &amp;P de &amp;N</oddFooter>
  </headerFooter>
  <rowBreaks count="16" manualBreakCount="16">
    <brk id="40" max="17" man="1"/>
    <brk id="71" max="17" man="1"/>
    <brk id="105" max="17" man="1"/>
    <brk id="140" max="17" man="1"/>
    <brk id="172" max="17" man="1"/>
    <brk id="204" max="17" man="1"/>
    <brk id="235" max="17" man="1"/>
    <brk id="269" max="17" man="1"/>
    <brk id="302" max="17" man="1"/>
    <brk id="332" max="17" man="1"/>
    <brk id="365" max="17" man="1"/>
    <brk id="399" max="17" man="1"/>
    <brk id="432" max="17" man="1"/>
    <brk id="460" max="17" man="1"/>
    <brk id="493" max="17" man="1"/>
    <brk id="520" max="17" man="1"/>
  </rowBreaks>
  <drawing r:id="rId2"/>
  <extLst>
    <ext xmlns:x14="http://schemas.microsoft.com/office/spreadsheetml/2009/9/main" uri="{78C0D931-6437-407d-A8EE-F0AAD7539E65}">
      <x14:conditionalFormattings>
        <x14:conditionalFormatting xmlns:xm="http://schemas.microsoft.com/office/excel/2006/main">
          <x14:cfRule type="dataBar" id="{C3E76E9B-38F6-47FC-9451-45D38015F986}">
            <x14:dataBar minLength="0" maxLength="100" gradient="0">
              <x14:cfvo type="autoMin"/>
              <x14:cfvo type="autoMax"/>
              <x14:negativeFillColor rgb="FFFF0000"/>
              <x14:axisColor rgb="FF000000"/>
            </x14:dataBar>
          </x14:cfRule>
          <xm:sqref>T20:T543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00B050"/>
  </sheetPr>
  <dimension ref="B1:W165"/>
  <sheetViews>
    <sheetView view="pageBreakPreview" topLeftCell="A115" zoomScale="55" zoomScaleNormal="55" zoomScaleSheetLayoutView="55" workbookViewId="0">
      <selection activeCell="G12" sqref="G12"/>
    </sheetView>
  </sheetViews>
  <sheetFormatPr baseColWidth="10" defaultColWidth="11.42578125" defaultRowHeight="20.25"/>
  <cols>
    <col min="1" max="1" width="5" style="395" customWidth="1"/>
    <col min="2" max="2" width="6.7109375" style="395" customWidth="1"/>
    <col min="3" max="3" width="10.28515625" style="421" customWidth="1"/>
    <col min="4" max="4" width="15.28515625" style="395" customWidth="1"/>
    <col min="5" max="5" width="24" style="395" customWidth="1"/>
    <col min="6" max="6" width="9" style="400" customWidth="1"/>
    <col min="7" max="7" width="41.5703125" style="395" customWidth="1"/>
    <col min="8" max="8" width="93.85546875" style="422" customWidth="1"/>
    <col min="9" max="9" width="8.7109375" style="422" customWidth="1"/>
    <col min="10" max="10" width="10" style="422" customWidth="1"/>
    <col min="11" max="11" width="12.85546875" style="422" customWidth="1"/>
    <col min="12" max="12" width="15.140625" style="422" customWidth="1"/>
    <col min="13" max="13" width="15.85546875" style="422" customWidth="1"/>
    <col min="14" max="14" width="13.5703125" style="422" customWidth="1"/>
    <col min="15" max="15" width="17" style="400" customWidth="1"/>
    <col min="16" max="18" width="18.140625" style="423" customWidth="1"/>
    <col min="19" max="19" width="19" style="417" customWidth="1"/>
    <col min="20" max="20" width="19.140625" style="417" customWidth="1"/>
    <col min="21" max="21" width="14.85546875" style="417" customWidth="1"/>
    <col min="22" max="22" width="21.140625" style="417" customWidth="1"/>
    <col min="23" max="23" width="17" style="395" bestFit="1" customWidth="1"/>
    <col min="24" max="16384" width="11.42578125" style="395"/>
  </cols>
  <sheetData>
    <row r="1" spans="2:22" s="392" customFormat="1" ht="25.5" customHeight="1">
      <c r="D1" s="441"/>
      <c r="E1" s="441"/>
      <c r="F1" s="441"/>
      <c r="G1" s="441"/>
      <c r="J1" s="441"/>
      <c r="K1" s="393" t="s">
        <v>206</v>
      </c>
      <c r="L1" s="441"/>
      <c r="M1" s="441"/>
      <c r="N1" s="441"/>
      <c r="O1" s="441"/>
      <c r="P1" s="441"/>
      <c r="Q1" s="441"/>
      <c r="R1" s="441"/>
      <c r="S1" s="441"/>
      <c r="T1" s="441"/>
      <c r="U1" s="441"/>
      <c r="V1" s="441"/>
    </row>
    <row r="2" spans="2:22" s="392" customFormat="1" ht="25.5" customHeight="1">
      <c r="D2" s="441"/>
      <c r="E2" s="441"/>
      <c r="F2" s="441"/>
      <c r="G2" s="441"/>
      <c r="J2" s="441"/>
      <c r="K2" s="393" t="s">
        <v>207</v>
      </c>
      <c r="L2" s="441"/>
      <c r="M2" s="441"/>
      <c r="N2" s="441"/>
      <c r="O2" s="441"/>
      <c r="P2" s="441"/>
      <c r="Q2" s="441"/>
      <c r="R2" s="441"/>
      <c r="S2" s="441"/>
      <c r="T2" s="441"/>
      <c r="U2" s="441"/>
      <c r="V2" s="441"/>
    </row>
    <row r="3" spans="2:22" s="392" customFormat="1" ht="25.5" customHeight="1">
      <c r="D3" s="442"/>
      <c r="E3" s="442"/>
      <c r="F3" s="442"/>
      <c r="G3" s="442"/>
      <c r="J3" s="442"/>
      <c r="K3" s="394" t="s">
        <v>170</v>
      </c>
      <c r="L3" s="442"/>
      <c r="M3" s="442"/>
      <c r="N3" s="442"/>
      <c r="O3" s="442"/>
      <c r="P3" s="442"/>
      <c r="Q3" s="442"/>
      <c r="R3" s="442"/>
      <c r="S3" s="442"/>
      <c r="T3" s="442"/>
      <c r="U3" s="442"/>
      <c r="V3" s="442"/>
    </row>
    <row r="4" spans="2:22" s="392" customFormat="1" ht="25.5" customHeight="1">
      <c r="D4" s="442"/>
      <c r="E4" s="442"/>
      <c r="F4" s="442"/>
      <c r="G4" s="442"/>
      <c r="J4" s="442"/>
      <c r="K4" s="394" t="s">
        <v>217</v>
      </c>
      <c r="L4" s="442"/>
      <c r="M4" s="442"/>
      <c r="N4" s="442"/>
      <c r="O4" s="442"/>
      <c r="P4" s="442"/>
      <c r="Q4" s="442"/>
      <c r="R4" s="442"/>
      <c r="S4" s="442"/>
      <c r="T4" s="442"/>
      <c r="U4" s="442"/>
      <c r="V4" s="442"/>
    </row>
    <row r="5" spans="2:22" ht="19.5" customHeight="1">
      <c r="B5" s="396" t="s">
        <v>721</v>
      </c>
      <c r="C5" s="397"/>
      <c r="D5" s="398"/>
      <c r="E5" s="395" t="str">
        <f>Datos!C4</f>
        <v>“MEJORAMIENTO DE LA GESTIÓN MUNICIPAL Y SERVICIO ADMINISTRATIVO DE LA MUNICIPALIDAD PROVINCIAL DE ABANCAY, DISTRITO DE ABANCAY - PROVINCIA DE ABANCAY - DEPARTAMENTO DE APURIMAC”.</v>
      </c>
      <c r="F5" s="331"/>
      <c r="G5" s="331"/>
      <c r="H5" s="331"/>
      <c r="I5" s="331"/>
      <c r="J5" s="331"/>
      <c r="K5" s="331"/>
      <c r="L5" s="331"/>
      <c r="M5" s="331"/>
      <c r="N5" s="331"/>
      <c r="O5" s="399"/>
      <c r="P5" s="331"/>
      <c r="Q5" s="331"/>
      <c r="R5" s="331"/>
      <c r="S5" s="331"/>
      <c r="T5" s="331"/>
      <c r="U5" s="331"/>
      <c r="V5" s="331"/>
    </row>
    <row r="6" spans="2:22" ht="19.5" customHeight="1">
      <c r="B6" s="395" t="s">
        <v>719</v>
      </c>
      <c r="C6" s="397"/>
      <c r="D6" s="398"/>
      <c r="E6" s="395" t="str">
        <f>Datos!C12&amp;" / "&amp;Datos!C13&amp;" / "&amp;Datos!C14</f>
        <v xml:space="preserve"> 
VIVIENDA, CONSTRUCCION Y SANEAMIENTO / ESPACIOS PÚBLICOS PARA LA INTEGRACIÓN / </v>
      </c>
      <c r="F6" s="395"/>
      <c r="H6" s="395"/>
      <c r="I6" s="395"/>
      <c r="J6" s="395"/>
      <c r="K6" s="395"/>
      <c r="L6" s="395"/>
      <c r="M6" s="395"/>
      <c r="N6" s="395"/>
      <c r="P6" s="396"/>
      <c r="Q6" s="395"/>
      <c r="R6" s="395"/>
      <c r="S6" s="395"/>
      <c r="T6" s="395"/>
      <c r="U6" s="395"/>
      <c r="V6" s="395"/>
    </row>
    <row r="7" spans="2:22" ht="19.5" customHeight="1">
      <c r="B7" s="396" t="s">
        <v>720</v>
      </c>
      <c r="C7" s="397"/>
      <c r="D7" s="398"/>
      <c r="E7" s="401">
        <f>Datos!C3</f>
        <v>38</v>
      </c>
      <c r="F7" s="401"/>
      <c r="G7" s="401"/>
      <c r="H7" s="395"/>
      <c r="I7" s="401"/>
      <c r="J7" s="401"/>
      <c r="K7" s="401"/>
      <c r="L7" s="401"/>
      <c r="M7" s="401"/>
      <c r="N7" s="401"/>
      <c r="O7" s="401"/>
      <c r="P7" s="396"/>
      <c r="Q7" s="401"/>
      <c r="R7" s="401"/>
      <c r="S7" s="402"/>
      <c r="T7" s="331"/>
      <c r="U7" s="331"/>
      <c r="V7" s="331"/>
    </row>
    <row r="8" spans="2:22" ht="19.5" customHeight="1">
      <c r="B8" s="396" t="s">
        <v>722</v>
      </c>
      <c r="C8" s="397"/>
      <c r="D8" s="398"/>
      <c r="E8" s="401" t="str">
        <f>Datos!B56</f>
        <v>Canon y Sobrecanon, Regalías, Renta de Aduanas y Participaciones</v>
      </c>
      <c r="F8" s="401"/>
      <c r="G8" s="401"/>
      <c r="H8" s="401"/>
      <c r="I8" s="401"/>
      <c r="J8" s="401"/>
      <c r="K8" s="401"/>
      <c r="L8" s="401"/>
      <c r="M8" s="401"/>
      <c r="N8" s="401"/>
      <c r="O8" s="403"/>
      <c r="P8" s="401"/>
      <c r="Q8" s="401"/>
      <c r="R8" s="401"/>
      <c r="S8" s="402"/>
      <c r="T8" s="331"/>
      <c r="U8" s="331"/>
      <c r="V8" s="331"/>
    </row>
    <row r="9" spans="2:22" ht="19.5" customHeight="1">
      <c r="B9" s="396" t="s">
        <v>723</v>
      </c>
      <c r="C9" s="397"/>
      <c r="D9" s="398"/>
      <c r="E9" s="401" t="str">
        <f>Datos!C6</f>
        <v>Administración Directa</v>
      </c>
      <c r="F9" s="401"/>
      <c r="G9" s="401"/>
      <c r="H9" s="401"/>
      <c r="I9" s="401"/>
      <c r="J9" s="401"/>
      <c r="K9" s="401"/>
      <c r="L9" s="401"/>
      <c r="M9" s="401"/>
      <c r="N9" s="401"/>
      <c r="O9" s="403"/>
      <c r="P9" s="401"/>
      <c r="Q9" s="401"/>
      <c r="R9" s="401"/>
      <c r="S9" s="402"/>
      <c r="T9" s="331"/>
      <c r="U9" s="331"/>
      <c r="V9" s="331"/>
    </row>
    <row r="10" spans="2:22" ht="19.5" customHeight="1">
      <c r="B10" s="396" t="s">
        <v>724</v>
      </c>
      <c r="C10" s="397"/>
      <c r="D10" s="398"/>
      <c r="E10" s="331" t="str">
        <f>Datos!C73</f>
        <v>ING. RICHARD ERWIN MONTALVO ALVARO</v>
      </c>
      <c r="F10" s="331"/>
      <c r="G10" s="331"/>
      <c r="H10" s="331"/>
      <c r="I10" s="331"/>
      <c r="J10" s="331"/>
      <c r="K10" s="331"/>
      <c r="L10" s="331"/>
      <c r="M10" s="331"/>
      <c r="N10" s="331"/>
      <c r="O10" s="399"/>
      <c r="P10" s="401" t="s">
        <v>0</v>
      </c>
      <c r="Q10" s="401"/>
      <c r="R10" s="401"/>
      <c r="S10" s="402"/>
      <c r="T10" s="331"/>
      <c r="U10" s="331"/>
      <c r="V10" s="331"/>
    </row>
    <row r="11" spans="2:22" s="331" customFormat="1" ht="19.5" customHeight="1">
      <c r="B11" s="396" t="s">
        <v>716</v>
      </c>
      <c r="C11" s="404"/>
      <c r="D11" s="405"/>
      <c r="E11" s="331" t="str">
        <f>Datos!C80</f>
        <v>ING. IVES BUSTHER GUTIERREZ ARENAS</v>
      </c>
      <c r="O11" s="399"/>
      <c r="P11" s="401"/>
      <c r="Q11" s="401"/>
      <c r="R11" s="401"/>
      <c r="S11" s="402"/>
    </row>
    <row r="12" spans="2:22" ht="19.5" customHeight="1">
      <c r="B12" s="395" t="s">
        <v>746</v>
      </c>
      <c r="C12" s="397"/>
      <c r="D12" s="406"/>
      <c r="E12" s="410" t="e">
        <f>#REF!</f>
        <v>#REF!</v>
      </c>
      <c r="F12" s="405"/>
      <c r="G12" s="405"/>
      <c r="H12" s="405"/>
      <c r="I12" s="405"/>
      <c r="J12" s="405"/>
      <c r="K12" s="405"/>
      <c r="L12" s="405"/>
      <c r="M12" s="405"/>
      <c r="N12" s="405"/>
      <c r="O12" s="553"/>
      <c r="P12" s="405"/>
      <c r="Q12" s="410"/>
      <c r="R12" s="401"/>
      <c r="S12" s="411"/>
      <c r="T12" s="410"/>
      <c r="U12" s="410"/>
      <c r="V12" s="410"/>
    </row>
    <row r="13" spans="2:22" ht="19.5" customHeight="1" thickBot="1">
      <c r="C13" s="397"/>
      <c r="D13" s="406"/>
      <c r="E13" s="407"/>
      <c r="F13" s="408"/>
      <c r="G13" s="408"/>
      <c r="H13" s="408"/>
      <c r="I13" s="408"/>
      <c r="J13" s="408"/>
      <c r="K13" s="408"/>
      <c r="L13" s="408"/>
      <c r="M13" s="408"/>
      <c r="N13" s="408"/>
      <c r="O13" s="409"/>
      <c r="P13" s="408"/>
      <c r="Q13" s="410"/>
      <c r="R13" s="401"/>
      <c r="S13" s="411"/>
      <c r="T13" s="410"/>
      <c r="U13" s="410"/>
      <c r="V13" s="410"/>
    </row>
    <row r="14" spans="2:22" ht="27.75" customHeight="1">
      <c r="B14" s="522" t="s">
        <v>213</v>
      </c>
      <c r="C14" s="523" t="s">
        <v>214</v>
      </c>
      <c r="D14" s="443"/>
      <c r="E14" s="520" t="s">
        <v>171</v>
      </c>
      <c r="F14" s="527"/>
      <c r="G14" s="480" t="s">
        <v>215</v>
      </c>
      <c r="H14" s="481" t="s">
        <v>747</v>
      </c>
      <c r="I14" s="452"/>
      <c r="J14" s="412"/>
      <c r="K14" s="412"/>
      <c r="L14" s="521" t="s">
        <v>748</v>
      </c>
      <c r="M14" s="412"/>
      <c r="N14" s="412"/>
      <c r="O14" s="526" t="s">
        <v>729</v>
      </c>
      <c r="P14" s="449"/>
      <c r="Q14" s="521" t="s">
        <v>755</v>
      </c>
      <c r="R14" s="450"/>
      <c r="S14" s="474" t="s">
        <v>172</v>
      </c>
      <c r="T14" s="450"/>
      <c r="U14" s="453" t="s">
        <v>750</v>
      </c>
      <c r="V14" s="472" t="s">
        <v>144</v>
      </c>
    </row>
    <row r="15" spans="2:22" ht="27.75" customHeight="1" thickBot="1">
      <c r="B15" s="444"/>
      <c r="C15" s="445"/>
      <c r="D15" s="414" t="s">
        <v>12</v>
      </c>
      <c r="E15" s="414" t="s">
        <v>776</v>
      </c>
      <c r="F15" s="528" t="s">
        <v>216</v>
      </c>
      <c r="G15" s="451"/>
      <c r="H15" s="446"/>
      <c r="I15" s="413" t="s">
        <v>86</v>
      </c>
      <c r="J15" s="414" t="s">
        <v>712</v>
      </c>
      <c r="K15" s="414" t="s">
        <v>745</v>
      </c>
      <c r="L15" s="414" t="s">
        <v>749</v>
      </c>
      <c r="M15" s="414" t="s">
        <v>85</v>
      </c>
      <c r="N15" s="524" t="s">
        <v>216</v>
      </c>
      <c r="O15" s="525" t="s">
        <v>753</v>
      </c>
      <c r="P15" s="440" t="s">
        <v>743</v>
      </c>
      <c r="Q15" s="440" t="s">
        <v>742</v>
      </c>
      <c r="R15" s="440" t="s">
        <v>744</v>
      </c>
      <c r="S15" s="440" t="s">
        <v>173</v>
      </c>
      <c r="T15" s="440" t="s">
        <v>174</v>
      </c>
      <c r="U15" s="454" t="s">
        <v>421</v>
      </c>
      <c r="V15" s="473"/>
    </row>
    <row r="16" spans="2:22" ht="19.5" customHeight="1" thickBot="1">
      <c r="B16" s="424"/>
      <c r="C16" s="425"/>
      <c r="D16" s="426"/>
      <c r="E16" s="426"/>
      <c r="F16" s="425"/>
      <c r="G16" s="426"/>
      <c r="H16" s="426"/>
      <c r="I16" s="427"/>
      <c r="J16" s="427"/>
      <c r="K16" s="427"/>
      <c r="L16" s="427"/>
      <c r="M16" s="427"/>
      <c r="N16" s="427"/>
      <c r="O16" s="427"/>
      <c r="P16" s="428"/>
      <c r="Q16" s="428"/>
      <c r="R16" s="428"/>
      <c r="S16" s="428"/>
      <c r="T16" s="428"/>
      <c r="U16" s="428"/>
      <c r="V16" s="429"/>
    </row>
    <row r="17" spans="2:23" ht="24.95" customHeight="1" thickBot="1">
      <c r="B17" s="482"/>
      <c r="C17" s="483"/>
      <c r="D17" s="483"/>
      <c r="E17" s="483"/>
      <c r="F17" s="483"/>
      <c r="G17" s="483"/>
      <c r="H17" s="484"/>
      <c r="I17" s="483"/>
      <c r="J17" s="483"/>
      <c r="K17" s="557" t="s">
        <v>33</v>
      </c>
      <c r="L17" s="483"/>
      <c r="M17" s="483"/>
      <c r="N17" s="483"/>
      <c r="O17" s="483"/>
      <c r="P17" s="440" t="s">
        <v>743</v>
      </c>
      <c r="Q17" s="440" t="s">
        <v>742</v>
      </c>
      <c r="R17" s="440" t="s">
        <v>744</v>
      </c>
      <c r="S17" s="705"/>
      <c r="T17" s="706"/>
      <c r="U17" s="705"/>
      <c r="V17" s="707">
        <f>V18+V22+V113+V118</f>
        <v>27105.070000000003</v>
      </c>
    </row>
    <row r="18" spans="2:23" ht="24.95" customHeight="1" thickBot="1">
      <c r="B18" s="822"/>
      <c r="C18" s="823"/>
      <c r="D18" s="823"/>
      <c r="E18" s="823"/>
      <c r="F18" s="823"/>
      <c r="G18" s="823"/>
      <c r="H18" s="823"/>
      <c r="I18" s="824"/>
      <c r="J18" s="824"/>
      <c r="K18" s="824" t="s">
        <v>223</v>
      </c>
      <c r="L18" s="824"/>
      <c r="M18" s="824"/>
      <c r="N18" s="824"/>
      <c r="O18" s="824"/>
      <c r="P18" s="826"/>
      <c r="Q18" s="827"/>
      <c r="R18" s="827"/>
      <c r="S18" s="827"/>
      <c r="T18" s="828"/>
      <c r="U18" s="827"/>
      <c r="V18" s="825">
        <f>SUM(V19:V19)</f>
        <v>9854.6200000000008</v>
      </c>
    </row>
    <row r="19" spans="2:23" ht="24.95" customHeight="1">
      <c r="B19" s="447">
        <v>1</v>
      </c>
      <c r="C19" s="448">
        <v>1977</v>
      </c>
      <c r="D19" s="485" t="s">
        <v>772</v>
      </c>
      <c r="E19" s="448" t="s">
        <v>773</v>
      </c>
      <c r="F19" s="529">
        <v>2042</v>
      </c>
      <c r="G19" s="534" t="s">
        <v>774</v>
      </c>
      <c r="H19" s="535" t="s">
        <v>775</v>
      </c>
      <c r="I19" s="447" t="s">
        <v>268</v>
      </c>
      <c r="J19" s="448">
        <v>1</v>
      </c>
      <c r="K19" s="448">
        <v>9854.6200000000008</v>
      </c>
      <c r="L19" s="448">
        <f>ROUND(J19*K19,2)</f>
        <v>9854.6200000000008</v>
      </c>
      <c r="M19" s="448" t="s">
        <v>764</v>
      </c>
      <c r="N19" s="529">
        <v>2042</v>
      </c>
      <c r="O19" s="529" t="s">
        <v>743</v>
      </c>
      <c r="P19" s="708">
        <f>IF($O19=$P$15,$L19,)</f>
        <v>9854.6200000000008</v>
      </c>
      <c r="Q19" s="702">
        <f>IF($O19=$Q$15,$L19,)</f>
        <v>0</v>
      </c>
      <c r="R19" s="702">
        <f>IF($O19=$R$15,$L19,)</f>
        <v>0</v>
      </c>
      <c r="S19" s="702">
        <f>SUM(P19:R19)</f>
        <v>9854.6200000000008</v>
      </c>
      <c r="T19" s="709"/>
      <c r="U19" s="710"/>
      <c r="V19" s="711">
        <f t="shared" ref="V19" si="0">SUM(S19:T19)</f>
        <v>9854.6200000000008</v>
      </c>
    </row>
    <row r="20" spans="2:23" s="461" customFormat="1" ht="24.95" customHeight="1" thickBot="1">
      <c r="B20" s="462"/>
      <c r="C20" s="463"/>
      <c r="D20" s="488"/>
      <c r="E20" s="432"/>
      <c r="F20" s="463"/>
      <c r="G20" s="458"/>
      <c r="H20" s="459"/>
      <c r="I20" s="432"/>
      <c r="J20" s="432"/>
      <c r="K20" s="432"/>
      <c r="L20" s="432"/>
      <c r="M20" s="432"/>
      <c r="N20" s="432"/>
      <c r="O20" s="432" t="s">
        <v>752</v>
      </c>
      <c r="P20" s="716">
        <f>SUM(P19:P19)</f>
        <v>9854.6200000000008</v>
      </c>
      <c r="Q20" s="716">
        <f>SUM(Q19:Q19)</f>
        <v>0</v>
      </c>
      <c r="R20" s="716">
        <f>SUM(R19:R19)</f>
        <v>0</v>
      </c>
      <c r="S20" s="716">
        <f>SUM(S19:S19)</f>
        <v>9854.6200000000008</v>
      </c>
      <c r="T20" s="717"/>
      <c r="U20" s="717"/>
      <c r="V20" s="718"/>
    </row>
    <row r="21" spans="2:23" ht="12.75" customHeight="1" thickBot="1">
      <c r="B21" s="455"/>
      <c r="C21" s="456"/>
      <c r="D21" s="489"/>
      <c r="E21" s="435"/>
      <c r="F21" s="456"/>
      <c r="G21" s="457"/>
      <c r="H21" s="459"/>
      <c r="I21" s="435"/>
      <c r="J21" s="435"/>
      <c r="K21" s="435"/>
      <c r="L21" s="435"/>
      <c r="M21" s="435"/>
      <c r="N21" s="435"/>
      <c r="O21" s="435"/>
      <c r="P21" s="719"/>
      <c r="Q21" s="719"/>
      <c r="R21" s="719"/>
      <c r="S21" s="719"/>
      <c r="T21" s="717"/>
      <c r="U21" s="717"/>
      <c r="V21" s="720"/>
    </row>
    <row r="22" spans="2:23" ht="24.95" customHeight="1" thickBot="1">
      <c r="B22" s="822"/>
      <c r="C22" s="823"/>
      <c r="D22" s="823"/>
      <c r="E22" s="823"/>
      <c r="F22" s="823"/>
      <c r="G22" s="823"/>
      <c r="H22" s="823"/>
      <c r="I22" s="824"/>
      <c r="J22" s="824"/>
      <c r="K22" s="824" t="s">
        <v>751</v>
      </c>
      <c r="L22" s="824"/>
      <c r="M22" s="824"/>
      <c r="N22" s="824"/>
      <c r="O22" s="824"/>
      <c r="P22" s="826"/>
      <c r="Q22" s="827"/>
      <c r="R22" s="827"/>
      <c r="S22" s="827"/>
      <c r="T22" s="828"/>
      <c r="U22" s="827"/>
      <c r="V22" s="825">
        <f>SUM(V23:V110)</f>
        <v>14250.450000000003</v>
      </c>
      <c r="W22" s="416"/>
    </row>
    <row r="23" spans="2:23" ht="24.95" customHeight="1">
      <c r="B23" s="494">
        <v>1</v>
      </c>
      <c r="C23" s="495">
        <v>1570</v>
      </c>
      <c r="D23" s="486" t="s">
        <v>777</v>
      </c>
      <c r="E23" s="486" t="s">
        <v>778</v>
      </c>
      <c r="F23" s="530">
        <v>214</v>
      </c>
      <c r="G23" s="539" t="s">
        <v>779</v>
      </c>
      <c r="H23" s="540" t="s">
        <v>780</v>
      </c>
      <c r="I23" s="549" t="s">
        <v>781</v>
      </c>
      <c r="J23" s="496">
        <v>1</v>
      </c>
      <c r="K23" s="496">
        <v>11.4</v>
      </c>
      <c r="L23" s="703">
        <f>ROUND(J23*K23,2)</f>
        <v>11.4</v>
      </c>
      <c r="M23" s="809">
        <v>43208</v>
      </c>
      <c r="N23" s="496">
        <v>256</v>
      </c>
      <c r="O23" s="555" t="s">
        <v>742</v>
      </c>
      <c r="P23" s="721">
        <f t="shared" ref="P23:P106" si="1">IF($O23=$P$15,$L23,)</f>
        <v>0</v>
      </c>
      <c r="Q23" s="722">
        <f t="shared" ref="Q23:Q110" si="2">IF($O23=$Q$15,$L23,)</f>
        <v>11.4</v>
      </c>
      <c r="R23" s="722">
        <f t="shared" ref="R23:R106" si="3">IF($O23=$R$15,$L23,)</f>
        <v>0</v>
      </c>
      <c r="S23" s="722">
        <f>SUM(P23:R23)</f>
        <v>11.4</v>
      </c>
      <c r="T23" s="725"/>
      <c r="U23" s="726">
        <v>189</v>
      </c>
      <c r="V23" s="711">
        <f>SUM(S23:T23)</f>
        <v>11.4</v>
      </c>
    </row>
    <row r="24" spans="2:23" ht="24.95" customHeight="1">
      <c r="B24" s="494">
        <v>2</v>
      </c>
      <c r="C24" s="495">
        <v>1570</v>
      </c>
      <c r="D24" s="486" t="s">
        <v>777</v>
      </c>
      <c r="E24" s="486" t="s">
        <v>778</v>
      </c>
      <c r="F24" s="530">
        <v>214</v>
      </c>
      <c r="G24" s="539" t="s">
        <v>779</v>
      </c>
      <c r="H24" s="540" t="s">
        <v>782</v>
      </c>
      <c r="I24" s="549" t="s">
        <v>52</v>
      </c>
      <c r="J24" s="496">
        <v>1</v>
      </c>
      <c r="K24" s="496">
        <v>12.9</v>
      </c>
      <c r="L24" s="703">
        <f t="shared" ref="L24:L87" si="4">ROUND(J24*K24,2)</f>
        <v>12.9</v>
      </c>
      <c r="M24" s="809">
        <v>43208</v>
      </c>
      <c r="N24" s="496">
        <v>256</v>
      </c>
      <c r="O24" s="555" t="s">
        <v>742</v>
      </c>
      <c r="P24" s="721">
        <f t="shared" si="1"/>
        <v>0</v>
      </c>
      <c r="Q24" s="722">
        <f t="shared" si="2"/>
        <v>12.9</v>
      </c>
      <c r="R24" s="722">
        <f t="shared" si="3"/>
        <v>0</v>
      </c>
      <c r="S24" s="722">
        <f t="shared" ref="S24:S87" si="5">SUM(P24:R24)</f>
        <v>12.9</v>
      </c>
      <c r="T24" s="725"/>
      <c r="U24" s="726">
        <v>189</v>
      </c>
      <c r="V24" s="712">
        <f t="shared" ref="V24:V87" si="6">SUM(S24:T24)</f>
        <v>12.9</v>
      </c>
    </row>
    <row r="25" spans="2:23" ht="24.95" customHeight="1">
      <c r="B25" s="494">
        <v>3</v>
      </c>
      <c r="C25" s="495">
        <v>1570</v>
      </c>
      <c r="D25" s="486" t="s">
        <v>777</v>
      </c>
      <c r="E25" s="486" t="s">
        <v>778</v>
      </c>
      <c r="F25" s="530">
        <v>214</v>
      </c>
      <c r="G25" s="539" t="s">
        <v>779</v>
      </c>
      <c r="H25" s="540" t="s">
        <v>783</v>
      </c>
      <c r="I25" s="549" t="s">
        <v>52</v>
      </c>
      <c r="J25" s="496">
        <v>2</v>
      </c>
      <c r="K25" s="496">
        <v>18.5</v>
      </c>
      <c r="L25" s="703">
        <f t="shared" si="4"/>
        <v>37</v>
      </c>
      <c r="M25" s="809">
        <v>43208</v>
      </c>
      <c r="N25" s="496">
        <v>256</v>
      </c>
      <c r="O25" s="555" t="s">
        <v>742</v>
      </c>
      <c r="P25" s="721">
        <f t="shared" si="1"/>
        <v>0</v>
      </c>
      <c r="Q25" s="722">
        <f t="shared" si="2"/>
        <v>37</v>
      </c>
      <c r="R25" s="722">
        <f t="shared" si="3"/>
        <v>0</v>
      </c>
      <c r="S25" s="722">
        <f t="shared" si="5"/>
        <v>37</v>
      </c>
      <c r="T25" s="725"/>
      <c r="U25" s="726">
        <v>189</v>
      </c>
      <c r="V25" s="712">
        <f t="shared" si="6"/>
        <v>37</v>
      </c>
    </row>
    <row r="26" spans="2:23" ht="24.95" customHeight="1">
      <c r="B26" s="494">
        <v>4</v>
      </c>
      <c r="C26" s="495">
        <v>1570</v>
      </c>
      <c r="D26" s="486" t="s">
        <v>777</v>
      </c>
      <c r="E26" s="486" t="s">
        <v>778</v>
      </c>
      <c r="F26" s="530">
        <v>214</v>
      </c>
      <c r="G26" s="539" t="s">
        <v>779</v>
      </c>
      <c r="H26" s="540" t="s">
        <v>784</v>
      </c>
      <c r="I26" s="549" t="s">
        <v>52</v>
      </c>
      <c r="J26" s="496">
        <v>20</v>
      </c>
      <c r="K26" s="496">
        <v>6.4</v>
      </c>
      <c r="L26" s="703">
        <f t="shared" si="4"/>
        <v>128</v>
      </c>
      <c r="M26" s="809">
        <v>43208</v>
      </c>
      <c r="N26" s="496">
        <v>256</v>
      </c>
      <c r="O26" s="555" t="s">
        <v>742</v>
      </c>
      <c r="P26" s="721">
        <f t="shared" si="1"/>
        <v>0</v>
      </c>
      <c r="Q26" s="722">
        <f t="shared" si="2"/>
        <v>128</v>
      </c>
      <c r="R26" s="722">
        <f t="shared" si="3"/>
        <v>0</v>
      </c>
      <c r="S26" s="722">
        <f t="shared" si="5"/>
        <v>128</v>
      </c>
      <c r="T26" s="725"/>
      <c r="U26" s="726">
        <v>189</v>
      </c>
      <c r="V26" s="712">
        <f t="shared" si="6"/>
        <v>128</v>
      </c>
    </row>
    <row r="27" spans="2:23" ht="24.95" customHeight="1">
      <c r="B27" s="494">
        <v>5</v>
      </c>
      <c r="C27" s="495">
        <v>1570</v>
      </c>
      <c r="D27" s="486" t="s">
        <v>777</v>
      </c>
      <c r="E27" s="486" t="s">
        <v>778</v>
      </c>
      <c r="F27" s="530">
        <v>214</v>
      </c>
      <c r="G27" s="539" t="s">
        <v>779</v>
      </c>
      <c r="H27" s="540" t="s">
        <v>785</v>
      </c>
      <c r="I27" s="549" t="s">
        <v>52</v>
      </c>
      <c r="J27" s="496">
        <v>1</v>
      </c>
      <c r="K27" s="496">
        <v>79</v>
      </c>
      <c r="L27" s="703">
        <f t="shared" si="4"/>
        <v>79</v>
      </c>
      <c r="M27" s="809">
        <v>43208</v>
      </c>
      <c r="N27" s="496">
        <v>256</v>
      </c>
      <c r="O27" s="555" t="s">
        <v>742</v>
      </c>
      <c r="P27" s="721">
        <f t="shared" si="1"/>
        <v>0</v>
      </c>
      <c r="Q27" s="722">
        <f t="shared" si="2"/>
        <v>79</v>
      </c>
      <c r="R27" s="722">
        <f t="shared" si="3"/>
        <v>0</v>
      </c>
      <c r="S27" s="722">
        <f t="shared" si="5"/>
        <v>79</v>
      </c>
      <c r="T27" s="725"/>
      <c r="U27" s="726">
        <v>189</v>
      </c>
      <c r="V27" s="712">
        <f t="shared" si="6"/>
        <v>79</v>
      </c>
    </row>
    <row r="28" spans="2:23" ht="24.95" customHeight="1">
      <c r="B28" s="494">
        <v>6</v>
      </c>
      <c r="C28" s="495">
        <v>1570</v>
      </c>
      <c r="D28" s="486" t="s">
        <v>777</v>
      </c>
      <c r="E28" s="486" t="s">
        <v>778</v>
      </c>
      <c r="F28" s="530">
        <v>214</v>
      </c>
      <c r="G28" s="539" t="s">
        <v>779</v>
      </c>
      <c r="H28" s="540" t="s">
        <v>786</v>
      </c>
      <c r="I28" s="549" t="s">
        <v>52</v>
      </c>
      <c r="J28" s="496">
        <v>1</v>
      </c>
      <c r="K28" s="496">
        <v>7.9</v>
      </c>
      <c r="L28" s="703">
        <f t="shared" si="4"/>
        <v>7.9</v>
      </c>
      <c r="M28" s="809">
        <v>43208</v>
      </c>
      <c r="N28" s="496">
        <v>256</v>
      </c>
      <c r="O28" s="555" t="s">
        <v>742</v>
      </c>
      <c r="P28" s="721">
        <f t="shared" si="1"/>
        <v>0</v>
      </c>
      <c r="Q28" s="722">
        <f t="shared" si="2"/>
        <v>7.9</v>
      </c>
      <c r="R28" s="722">
        <f t="shared" si="3"/>
        <v>0</v>
      </c>
      <c r="S28" s="722">
        <f t="shared" si="5"/>
        <v>7.9</v>
      </c>
      <c r="T28" s="725"/>
      <c r="U28" s="726">
        <v>189</v>
      </c>
      <c r="V28" s="712">
        <f t="shared" si="6"/>
        <v>7.9</v>
      </c>
    </row>
    <row r="29" spans="2:23" ht="24.95" customHeight="1">
      <c r="B29" s="494">
        <v>7</v>
      </c>
      <c r="C29" s="495">
        <v>1570</v>
      </c>
      <c r="D29" s="486" t="s">
        <v>777</v>
      </c>
      <c r="E29" s="486" t="s">
        <v>778</v>
      </c>
      <c r="F29" s="530">
        <v>214</v>
      </c>
      <c r="G29" s="539" t="s">
        <v>779</v>
      </c>
      <c r="H29" s="540" t="s">
        <v>787</v>
      </c>
      <c r="I29" s="549" t="s">
        <v>52</v>
      </c>
      <c r="J29" s="496">
        <v>1</v>
      </c>
      <c r="K29" s="496">
        <v>19</v>
      </c>
      <c r="L29" s="703">
        <f t="shared" si="4"/>
        <v>19</v>
      </c>
      <c r="M29" s="809">
        <v>43208</v>
      </c>
      <c r="N29" s="496">
        <v>256</v>
      </c>
      <c r="O29" s="555" t="s">
        <v>742</v>
      </c>
      <c r="P29" s="721">
        <f t="shared" si="1"/>
        <v>0</v>
      </c>
      <c r="Q29" s="722">
        <f t="shared" si="2"/>
        <v>19</v>
      </c>
      <c r="R29" s="722">
        <f t="shared" si="3"/>
        <v>0</v>
      </c>
      <c r="S29" s="722">
        <f t="shared" si="5"/>
        <v>19</v>
      </c>
      <c r="T29" s="725"/>
      <c r="U29" s="726">
        <v>189</v>
      </c>
      <c r="V29" s="712">
        <f t="shared" si="6"/>
        <v>19</v>
      </c>
    </row>
    <row r="30" spans="2:23" ht="24.95" customHeight="1">
      <c r="B30" s="494">
        <v>8</v>
      </c>
      <c r="C30" s="495">
        <v>1570</v>
      </c>
      <c r="D30" s="486" t="s">
        <v>777</v>
      </c>
      <c r="E30" s="486" t="s">
        <v>778</v>
      </c>
      <c r="F30" s="530">
        <v>214</v>
      </c>
      <c r="G30" s="539" t="s">
        <v>779</v>
      </c>
      <c r="H30" s="540" t="s">
        <v>788</v>
      </c>
      <c r="I30" s="549" t="s">
        <v>52</v>
      </c>
      <c r="J30" s="496">
        <v>1</v>
      </c>
      <c r="K30" s="496">
        <v>9.4</v>
      </c>
      <c r="L30" s="703">
        <f t="shared" si="4"/>
        <v>9.4</v>
      </c>
      <c r="M30" s="809">
        <v>43208</v>
      </c>
      <c r="N30" s="496">
        <v>256</v>
      </c>
      <c r="O30" s="555" t="s">
        <v>742</v>
      </c>
      <c r="P30" s="721">
        <f t="shared" si="1"/>
        <v>0</v>
      </c>
      <c r="Q30" s="722">
        <f t="shared" si="2"/>
        <v>9.4</v>
      </c>
      <c r="R30" s="722">
        <f t="shared" si="3"/>
        <v>0</v>
      </c>
      <c r="S30" s="722">
        <f t="shared" si="5"/>
        <v>9.4</v>
      </c>
      <c r="T30" s="725"/>
      <c r="U30" s="726">
        <v>189</v>
      </c>
      <c r="V30" s="712">
        <f t="shared" si="6"/>
        <v>9.4</v>
      </c>
    </row>
    <row r="31" spans="2:23" ht="24.95" customHeight="1">
      <c r="B31" s="494">
        <v>9</v>
      </c>
      <c r="C31" s="495">
        <v>1570</v>
      </c>
      <c r="D31" s="486" t="s">
        <v>777</v>
      </c>
      <c r="E31" s="486" t="s">
        <v>778</v>
      </c>
      <c r="F31" s="530">
        <v>214</v>
      </c>
      <c r="G31" s="539" t="s">
        <v>779</v>
      </c>
      <c r="H31" s="540" t="s">
        <v>789</v>
      </c>
      <c r="I31" s="549" t="s">
        <v>52</v>
      </c>
      <c r="J31" s="496">
        <v>1</v>
      </c>
      <c r="K31" s="496">
        <v>14.9</v>
      </c>
      <c r="L31" s="703">
        <f t="shared" si="4"/>
        <v>14.9</v>
      </c>
      <c r="M31" s="809">
        <v>43208</v>
      </c>
      <c r="N31" s="496">
        <v>256</v>
      </c>
      <c r="O31" s="555" t="s">
        <v>742</v>
      </c>
      <c r="P31" s="721">
        <f t="shared" si="1"/>
        <v>0</v>
      </c>
      <c r="Q31" s="722">
        <f t="shared" si="2"/>
        <v>14.9</v>
      </c>
      <c r="R31" s="722">
        <f t="shared" si="3"/>
        <v>0</v>
      </c>
      <c r="S31" s="722">
        <f t="shared" si="5"/>
        <v>14.9</v>
      </c>
      <c r="T31" s="725"/>
      <c r="U31" s="726">
        <v>189</v>
      </c>
      <c r="V31" s="712">
        <f t="shared" si="6"/>
        <v>14.9</v>
      </c>
    </row>
    <row r="32" spans="2:23" ht="24.95" customHeight="1">
      <c r="B32" s="494">
        <v>10</v>
      </c>
      <c r="C32" s="495">
        <v>1570</v>
      </c>
      <c r="D32" s="486" t="s">
        <v>777</v>
      </c>
      <c r="E32" s="486" t="s">
        <v>778</v>
      </c>
      <c r="F32" s="530">
        <v>214</v>
      </c>
      <c r="G32" s="539" t="s">
        <v>779</v>
      </c>
      <c r="H32" s="540" t="s">
        <v>790</v>
      </c>
      <c r="I32" s="549" t="s">
        <v>52</v>
      </c>
      <c r="J32" s="496">
        <v>1</v>
      </c>
      <c r="K32" s="496">
        <v>22.4</v>
      </c>
      <c r="L32" s="703">
        <f t="shared" si="4"/>
        <v>22.4</v>
      </c>
      <c r="M32" s="809">
        <v>43208</v>
      </c>
      <c r="N32" s="496">
        <v>256</v>
      </c>
      <c r="O32" s="555" t="s">
        <v>742</v>
      </c>
      <c r="P32" s="721">
        <f t="shared" si="1"/>
        <v>0</v>
      </c>
      <c r="Q32" s="722">
        <f t="shared" si="2"/>
        <v>22.4</v>
      </c>
      <c r="R32" s="722">
        <f t="shared" si="3"/>
        <v>0</v>
      </c>
      <c r="S32" s="722">
        <f t="shared" si="5"/>
        <v>22.4</v>
      </c>
      <c r="T32" s="725"/>
      <c r="U32" s="726">
        <v>189</v>
      </c>
      <c r="V32" s="712">
        <f t="shared" si="6"/>
        <v>22.4</v>
      </c>
    </row>
    <row r="33" spans="2:22" ht="24.95" customHeight="1">
      <c r="B33" s="494">
        <v>11</v>
      </c>
      <c r="C33" s="495">
        <v>1570</v>
      </c>
      <c r="D33" s="486" t="s">
        <v>777</v>
      </c>
      <c r="E33" s="486" t="s">
        <v>778</v>
      </c>
      <c r="F33" s="530">
        <v>214</v>
      </c>
      <c r="G33" s="539" t="s">
        <v>779</v>
      </c>
      <c r="H33" s="540" t="s">
        <v>791</v>
      </c>
      <c r="I33" s="549" t="s">
        <v>52</v>
      </c>
      <c r="J33" s="496">
        <v>1</v>
      </c>
      <c r="K33" s="496">
        <v>28.9</v>
      </c>
      <c r="L33" s="703">
        <f t="shared" si="4"/>
        <v>28.9</v>
      </c>
      <c r="M33" s="809">
        <v>43208</v>
      </c>
      <c r="N33" s="496">
        <v>256</v>
      </c>
      <c r="O33" s="555" t="s">
        <v>742</v>
      </c>
      <c r="P33" s="721">
        <f t="shared" si="1"/>
        <v>0</v>
      </c>
      <c r="Q33" s="722">
        <f t="shared" si="2"/>
        <v>28.9</v>
      </c>
      <c r="R33" s="722">
        <f t="shared" si="3"/>
        <v>0</v>
      </c>
      <c r="S33" s="722">
        <f t="shared" si="5"/>
        <v>28.9</v>
      </c>
      <c r="T33" s="725"/>
      <c r="U33" s="726">
        <v>189</v>
      </c>
      <c r="V33" s="712">
        <f t="shared" si="6"/>
        <v>28.9</v>
      </c>
    </row>
    <row r="34" spans="2:22" ht="24.95" customHeight="1">
      <c r="B34" s="494">
        <v>12</v>
      </c>
      <c r="C34" s="495">
        <v>1570</v>
      </c>
      <c r="D34" s="486" t="s">
        <v>777</v>
      </c>
      <c r="E34" s="486" t="s">
        <v>778</v>
      </c>
      <c r="F34" s="530">
        <v>214</v>
      </c>
      <c r="G34" s="539" t="s">
        <v>779</v>
      </c>
      <c r="H34" s="540" t="s">
        <v>792</v>
      </c>
      <c r="I34" s="549" t="s">
        <v>52</v>
      </c>
      <c r="J34" s="496">
        <v>1</v>
      </c>
      <c r="K34" s="496">
        <v>35.9</v>
      </c>
      <c r="L34" s="703">
        <f t="shared" si="4"/>
        <v>35.9</v>
      </c>
      <c r="M34" s="809">
        <v>43208</v>
      </c>
      <c r="N34" s="496">
        <v>256</v>
      </c>
      <c r="O34" s="555" t="s">
        <v>742</v>
      </c>
      <c r="P34" s="721">
        <f t="shared" si="1"/>
        <v>0</v>
      </c>
      <c r="Q34" s="722">
        <f t="shared" si="2"/>
        <v>35.9</v>
      </c>
      <c r="R34" s="722">
        <f t="shared" si="3"/>
        <v>0</v>
      </c>
      <c r="S34" s="722">
        <f t="shared" si="5"/>
        <v>35.9</v>
      </c>
      <c r="T34" s="725"/>
      <c r="U34" s="726">
        <v>189</v>
      </c>
      <c r="V34" s="712">
        <f t="shared" si="6"/>
        <v>35.9</v>
      </c>
    </row>
    <row r="35" spans="2:22" ht="24.95" customHeight="1">
      <c r="B35" s="494">
        <v>13</v>
      </c>
      <c r="C35" s="495">
        <v>1570</v>
      </c>
      <c r="D35" s="486" t="s">
        <v>777</v>
      </c>
      <c r="E35" s="486" t="s">
        <v>778</v>
      </c>
      <c r="F35" s="530">
        <v>214</v>
      </c>
      <c r="G35" s="539" t="s">
        <v>779</v>
      </c>
      <c r="H35" s="540" t="s">
        <v>793</v>
      </c>
      <c r="I35" s="549" t="s">
        <v>52</v>
      </c>
      <c r="J35" s="496">
        <v>1</v>
      </c>
      <c r="K35" s="496">
        <v>3.9</v>
      </c>
      <c r="L35" s="703">
        <f t="shared" si="4"/>
        <v>3.9</v>
      </c>
      <c r="M35" s="809">
        <v>43208</v>
      </c>
      <c r="N35" s="496">
        <v>256</v>
      </c>
      <c r="O35" s="555" t="s">
        <v>742</v>
      </c>
      <c r="P35" s="721">
        <f t="shared" si="1"/>
        <v>0</v>
      </c>
      <c r="Q35" s="722">
        <f t="shared" si="2"/>
        <v>3.9</v>
      </c>
      <c r="R35" s="722">
        <f t="shared" si="3"/>
        <v>0</v>
      </c>
      <c r="S35" s="722">
        <f t="shared" si="5"/>
        <v>3.9</v>
      </c>
      <c r="T35" s="725"/>
      <c r="U35" s="726">
        <v>189</v>
      </c>
      <c r="V35" s="712">
        <f t="shared" si="6"/>
        <v>3.9</v>
      </c>
    </row>
    <row r="36" spans="2:22" ht="24.95" customHeight="1">
      <c r="B36" s="494">
        <v>14</v>
      </c>
      <c r="C36" s="495">
        <v>1570</v>
      </c>
      <c r="D36" s="486" t="s">
        <v>777</v>
      </c>
      <c r="E36" s="486" t="s">
        <v>778</v>
      </c>
      <c r="F36" s="530">
        <v>214</v>
      </c>
      <c r="G36" s="539" t="s">
        <v>779</v>
      </c>
      <c r="H36" s="540" t="s">
        <v>794</v>
      </c>
      <c r="I36" s="549" t="s">
        <v>795</v>
      </c>
      <c r="J36" s="496">
        <v>100</v>
      </c>
      <c r="K36" s="496">
        <v>2.4900000000000002</v>
      </c>
      <c r="L36" s="703">
        <f t="shared" si="4"/>
        <v>249</v>
      </c>
      <c r="M36" s="809">
        <v>43208</v>
      </c>
      <c r="N36" s="496">
        <v>256</v>
      </c>
      <c r="O36" s="555" t="s">
        <v>742</v>
      </c>
      <c r="P36" s="721">
        <f t="shared" si="1"/>
        <v>0</v>
      </c>
      <c r="Q36" s="722">
        <f t="shared" si="2"/>
        <v>249</v>
      </c>
      <c r="R36" s="722">
        <f t="shared" si="3"/>
        <v>0</v>
      </c>
      <c r="S36" s="722">
        <f t="shared" si="5"/>
        <v>249</v>
      </c>
      <c r="T36" s="725"/>
      <c r="U36" s="726">
        <v>189</v>
      </c>
      <c r="V36" s="712">
        <f t="shared" si="6"/>
        <v>249</v>
      </c>
    </row>
    <row r="37" spans="2:22" ht="24.95" customHeight="1">
      <c r="B37" s="494">
        <v>15</v>
      </c>
      <c r="C37" s="495">
        <v>1570</v>
      </c>
      <c r="D37" s="486" t="s">
        <v>777</v>
      </c>
      <c r="E37" s="486" t="s">
        <v>778</v>
      </c>
      <c r="F37" s="530">
        <v>214</v>
      </c>
      <c r="G37" s="539" t="s">
        <v>779</v>
      </c>
      <c r="H37" s="540" t="s">
        <v>796</v>
      </c>
      <c r="I37" s="549" t="s">
        <v>795</v>
      </c>
      <c r="J37" s="496">
        <v>100</v>
      </c>
      <c r="K37" s="496">
        <v>1.04</v>
      </c>
      <c r="L37" s="703">
        <f t="shared" si="4"/>
        <v>104</v>
      </c>
      <c r="M37" s="809">
        <v>43208</v>
      </c>
      <c r="N37" s="496">
        <v>256</v>
      </c>
      <c r="O37" s="555" t="s">
        <v>742</v>
      </c>
      <c r="P37" s="721">
        <f t="shared" si="1"/>
        <v>0</v>
      </c>
      <c r="Q37" s="722">
        <f t="shared" si="2"/>
        <v>104</v>
      </c>
      <c r="R37" s="722">
        <f t="shared" si="3"/>
        <v>0</v>
      </c>
      <c r="S37" s="722">
        <f t="shared" si="5"/>
        <v>104</v>
      </c>
      <c r="T37" s="725"/>
      <c r="U37" s="726">
        <v>189</v>
      </c>
      <c r="V37" s="712">
        <f t="shared" si="6"/>
        <v>104</v>
      </c>
    </row>
    <row r="38" spans="2:22" ht="24.95" customHeight="1">
      <c r="B38" s="494">
        <v>16</v>
      </c>
      <c r="C38" s="495">
        <v>1570</v>
      </c>
      <c r="D38" s="486" t="s">
        <v>777</v>
      </c>
      <c r="E38" s="486" t="s">
        <v>778</v>
      </c>
      <c r="F38" s="530">
        <v>214</v>
      </c>
      <c r="G38" s="539" t="s">
        <v>779</v>
      </c>
      <c r="H38" s="540" t="s">
        <v>797</v>
      </c>
      <c r="I38" s="549" t="s">
        <v>52</v>
      </c>
      <c r="J38" s="496">
        <v>5</v>
      </c>
      <c r="K38" s="496">
        <v>139.9</v>
      </c>
      <c r="L38" s="703">
        <f t="shared" si="4"/>
        <v>699.5</v>
      </c>
      <c r="M38" s="809">
        <v>43208</v>
      </c>
      <c r="N38" s="496">
        <v>256</v>
      </c>
      <c r="O38" s="555" t="s">
        <v>742</v>
      </c>
      <c r="P38" s="721">
        <f t="shared" si="1"/>
        <v>0</v>
      </c>
      <c r="Q38" s="722">
        <f t="shared" si="2"/>
        <v>699.5</v>
      </c>
      <c r="R38" s="722">
        <f t="shared" si="3"/>
        <v>0</v>
      </c>
      <c r="S38" s="722">
        <f t="shared" si="5"/>
        <v>699.5</v>
      </c>
      <c r="T38" s="725"/>
      <c r="U38" s="726">
        <v>189</v>
      </c>
      <c r="V38" s="712">
        <f t="shared" si="6"/>
        <v>699.5</v>
      </c>
    </row>
    <row r="39" spans="2:22" ht="24.95" customHeight="1">
      <c r="B39" s="494">
        <v>17</v>
      </c>
      <c r="C39" s="495">
        <v>1570</v>
      </c>
      <c r="D39" s="486" t="s">
        <v>777</v>
      </c>
      <c r="E39" s="486" t="s">
        <v>778</v>
      </c>
      <c r="F39" s="530">
        <v>214</v>
      </c>
      <c r="G39" s="539" t="s">
        <v>779</v>
      </c>
      <c r="H39" s="540" t="s">
        <v>798</v>
      </c>
      <c r="I39" s="549" t="s">
        <v>52</v>
      </c>
      <c r="J39" s="496">
        <v>3</v>
      </c>
      <c r="K39" s="496">
        <v>94.9</v>
      </c>
      <c r="L39" s="703">
        <f t="shared" si="4"/>
        <v>284.7</v>
      </c>
      <c r="M39" s="809">
        <v>43208</v>
      </c>
      <c r="N39" s="496">
        <v>256</v>
      </c>
      <c r="O39" s="555" t="s">
        <v>742</v>
      </c>
      <c r="P39" s="721">
        <f t="shared" si="1"/>
        <v>0</v>
      </c>
      <c r="Q39" s="722">
        <f t="shared" si="2"/>
        <v>284.7</v>
      </c>
      <c r="R39" s="722">
        <f t="shared" si="3"/>
        <v>0</v>
      </c>
      <c r="S39" s="722">
        <f t="shared" si="5"/>
        <v>284.7</v>
      </c>
      <c r="T39" s="725"/>
      <c r="U39" s="726">
        <v>189</v>
      </c>
      <c r="V39" s="712">
        <f t="shared" si="6"/>
        <v>284.7</v>
      </c>
    </row>
    <row r="40" spans="2:22" ht="24.95" customHeight="1">
      <c r="B40" s="494">
        <v>18</v>
      </c>
      <c r="C40" s="495">
        <v>1570</v>
      </c>
      <c r="D40" s="486" t="s">
        <v>777</v>
      </c>
      <c r="E40" s="486" t="s">
        <v>778</v>
      </c>
      <c r="F40" s="530">
        <v>214</v>
      </c>
      <c r="G40" s="539" t="s">
        <v>779</v>
      </c>
      <c r="H40" s="540" t="s">
        <v>799</v>
      </c>
      <c r="I40" s="549" t="s">
        <v>52</v>
      </c>
      <c r="J40" s="496">
        <v>3</v>
      </c>
      <c r="K40" s="496">
        <v>6.4</v>
      </c>
      <c r="L40" s="703">
        <f t="shared" si="4"/>
        <v>19.2</v>
      </c>
      <c r="M40" s="809">
        <v>43208</v>
      </c>
      <c r="N40" s="496">
        <v>256</v>
      </c>
      <c r="O40" s="555" t="s">
        <v>742</v>
      </c>
      <c r="P40" s="721">
        <f t="shared" si="1"/>
        <v>0</v>
      </c>
      <c r="Q40" s="722">
        <f t="shared" si="2"/>
        <v>19.2</v>
      </c>
      <c r="R40" s="722">
        <f t="shared" si="3"/>
        <v>0</v>
      </c>
      <c r="S40" s="722">
        <f t="shared" si="5"/>
        <v>19.2</v>
      </c>
      <c r="T40" s="725"/>
      <c r="U40" s="726">
        <v>189</v>
      </c>
      <c r="V40" s="712">
        <f t="shared" si="6"/>
        <v>19.2</v>
      </c>
    </row>
    <row r="41" spans="2:22" ht="24.95" customHeight="1">
      <c r="B41" s="494">
        <v>19</v>
      </c>
      <c r="C41" s="495">
        <v>1570</v>
      </c>
      <c r="D41" s="486" t="s">
        <v>777</v>
      </c>
      <c r="E41" s="486" t="s">
        <v>778</v>
      </c>
      <c r="F41" s="530">
        <v>214</v>
      </c>
      <c r="G41" s="539" t="s">
        <v>779</v>
      </c>
      <c r="H41" s="540" t="s">
        <v>800</v>
      </c>
      <c r="I41" s="549" t="s">
        <v>52</v>
      </c>
      <c r="J41" s="496">
        <v>3</v>
      </c>
      <c r="K41" s="496">
        <v>6.4</v>
      </c>
      <c r="L41" s="703">
        <f t="shared" si="4"/>
        <v>19.2</v>
      </c>
      <c r="M41" s="809">
        <v>43208</v>
      </c>
      <c r="N41" s="496">
        <v>256</v>
      </c>
      <c r="O41" s="555" t="s">
        <v>742</v>
      </c>
      <c r="P41" s="721">
        <f t="shared" si="1"/>
        <v>0</v>
      </c>
      <c r="Q41" s="722">
        <f t="shared" si="2"/>
        <v>19.2</v>
      </c>
      <c r="R41" s="722">
        <f t="shared" si="3"/>
        <v>0</v>
      </c>
      <c r="S41" s="722">
        <f t="shared" si="5"/>
        <v>19.2</v>
      </c>
      <c r="T41" s="725"/>
      <c r="U41" s="726">
        <v>189</v>
      </c>
      <c r="V41" s="712">
        <f t="shared" si="6"/>
        <v>19.2</v>
      </c>
    </row>
    <row r="42" spans="2:22" ht="24.95" customHeight="1">
      <c r="B42" s="494">
        <v>20</v>
      </c>
      <c r="C42" s="495">
        <v>1570</v>
      </c>
      <c r="D42" s="486" t="s">
        <v>777</v>
      </c>
      <c r="E42" s="486" t="s">
        <v>778</v>
      </c>
      <c r="F42" s="530">
        <v>214</v>
      </c>
      <c r="G42" s="539" t="s">
        <v>779</v>
      </c>
      <c r="H42" s="540" t="s">
        <v>801</v>
      </c>
      <c r="I42" s="549" t="s">
        <v>52</v>
      </c>
      <c r="J42" s="496">
        <v>2</v>
      </c>
      <c r="K42" s="496">
        <v>3.9</v>
      </c>
      <c r="L42" s="703">
        <f t="shared" si="4"/>
        <v>7.8</v>
      </c>
      <c r="M42" s="809">
        <v>43208</v>
      </c>
      <c r="N42" s="496">
        <v>256</v>
      </c>
      <c r="O42" s="555" t="s">
        <v>742</v>
      </c>
      <c r="P42" s="721">
        <f t="shared" si="1"/>
        <v>0</v>
      </c>
      <c r="Q42" s="722">
        <f t="shared" si="2"/>
        <v>7.8</v>
      </c>
      <c r="R42" s="722">
        <f t="shared" si="3"/>
        <v>0</v>
      </c>
      <c r="S42" s="722">
        <f t="shared" si="5"/>
        <v>7.8</v>
      </c>
      <c r="T42" s="725"/>
      <c r="U42" s="726">
        <v>189</v>
      </c>
      <c r="V42" s="712">
        <f t="shared" si="6"/>
        <v>7.8</v>
      </c>
    </row>
    <row r="43" spans="2:22" ht="24.95" customHeight="1">
      <c r="B43" s="494">
        <v>21</v>
      </c>
      <c r="C43" s="495">
        <v>1570</v>
      </c>
      <c r="D43" s="486" t="s">
        <v>777</v>
      </c>
      <c r="E43" s="486" t="s">
        <v>778</v>
      </c>
      <c r="F43" s="530">
        <v>214</v>
      </c>
      <c r="G43" s="539" t="s">
        <v>779</v>
      </c>
      <c r="H43" s="540" t="s">
        <v>802</v>
      </c>
      <c r="I43" s="549" t="s">
        <v>52</v>
      </c>
      <c r="J43" s="496">
        <v>1</v>
      </c>
      <c r="K43" s="496">
        <v>34.9</v>
      </c>
      <c r="L43" s="703">
        <f t="shared" si="4"/>
        <v>34.9</v>
      </c>
      <c r="M43" s="809">
        <v>43208</v>
      </c>
      <c r="N43" s="496">
        <v>256</v>
      </c>
      <c r="O43" s="555" t="s">
        <v>742</v>
      </c>
      <c r="P43" s="721">
        <f t="shared" si="1"/>
        <v>0</v>
      </c>
      <c r="Q43" s="722">
        <f t="shared" si="2"/>
        <v>34.9</v>
      </c>
      <c r="R43" s="722">
        <f t="shared" si="3"/>
        <v>0</v>
      </c>
      <c r="S43" s="722">
        <f t="shared" si="5"/>
        <v>34.9</v>
      </c>
      <c r="T43" s="725"/>
      <c r="U43" s="726">
        <v>189</v>
      </c>
      <c r="V43" s="712">
        <f t="shared" si="6"/>
        <v>34.9</v>
      </c>
    </row>
    <row r="44" spans="2:22" ht="24.95" customHeight="1">
      <c r="B44" s="494">
        <v>22</v>
      </c>
      <c r="C44" s="495">
        <v>1570</v>
      </c>
      <c r="D44" s="486" t="s">
        <v>777</v>
      </c>
      <c r="E44" s="486" t="s">
        <v>778</v>
      </c>
      <c r="F44" s="530">
        <v>214</v>
      </c>
      <c r="G44" s="539" t="s">
        <v>779</v>
      </c>
      <c r="H44" s="540" t="s">
        <v>803</v>
      </c>
      <c r="I44" s="549" t="s">
        <v>52</v>
      </c>
      <c r="J44" s="496">
        <v>2</v>
      </c>
      <c r="K44" s="496">
        <v>114</v>
      </c>
      <c r="L44" s="703">
        <f t="shared" si="4"/>
        <v>228</v>
      </c>
      <c r="M44" s="809">
        <v>43208</v>
      </c>
      <c r="N44" s="496">
        <v>256</v>
      </c>
      <c r="O44" s="555" t="s">
        <v>742</v>
      </c>
      <c r="P44" s="721">
        <f t="shared" si="1"/>
        <v>0</v>
      </c>
      <c r="Q44" s="722">
        <f t="shared" si="2"/>
        <v>228</v>
      </c>
      <c r="R44" s="722">
        <f t="shared" si="3"/>
        <v>0</v>
      </c>
      <c r="S44" s="722">
        <f t="shared" si="5"/>
        <v>228</v>
      </c>
      <c r="T44" s="725"/>
      <c r="U44" s="726">
        <v>189</v>
      </c>
      <c r="V44" s="712">
        <f t="shared" si="6"/>
        <v>228</v>
      </c>
    </row>
    <row r="45" spans="2:22" ht="24.95" customHeight="1">
      <c r="B45" s="494">
        <v>23</v>
      </c>
      <c r="C45" s="495">
        <v>1570</v>
      </c>
      <c r="D45" s="486" t="s">
        <v>777</v>
      </c>
      <c r="E45" s="486" t="s">
        <v>778</v>
      </c>
      <c r="F45" s="530">
        <v>214</v>
      </c>
      <c r="G45" s="539" t="s">
        <v>779</v>
      </c>
      <c r="H45" s="540" t="s">
        <v>804</v>
      </c>
      <c r="I45" s="549" t="s">
        <v>52</v>
      </c>
      <c r="J45" s="496">
        <v>3</v>
      </c>
      <c r="K45" s="496">
        <v>35.4</v>
      </c>
      <c r="L45" s="703">
        <f t="shared" si="4"/>
        <v>106.2</v>
      </c>
      <c r="M45" s="809">
        <v>43208</v>
      </c>
      <c r="N45" s="496">
        <v>256</v>
      </c>
      <c r="O45" s="555" t="s">
        <v>742</v>
      </c>
      <c r="P45" s="721">
        <f t="shared" si="1"/>
        <v>0</v>
      </c>
      <c r="Q45" s="722">
        <f t="shared" si="2"/>
        <v>106.2</v>
      </c>
      <c r="R45" s="722">
        <f t="shared" si="3"/>
        <v>0</v>
      </c>
      <c r="S45" s="722">
        <f t="shared" si="5"/>
        <v>106.2</v>
      </c>
      <c r="T45" s="725"/>
      <c r="U45" s="726">
        <v>189</v>
      </c>
      <c r="V45" s="712">
        <f t="shared" si="6"/>
        <v>106.2</v>
      </c>
    </row>
    <row r="46" spans="2:22" ht="24.95" customHeight="1">
      <c r="B46" s="494">
        <v>24</v>
      </c>
      <c r="C46" s="495">
        <v>1570</v>
      </c>
      <c r="D46" s="486" t="s">
        <v>777</v>
      </c>
      <c r="E46" s="486" t="s">
        <v>778</v>
      </c>
      <c r="F46" s="530">
        <v>214</v>
      </c>
      <c r="G46" s="539" t="s">
        <v>779</v>
      </c>
      <c r="H46" s="540" t="s">
        <v>805</v>
      </c>
      <c r="I46" s="549" t="s">
        <v>52</v>
      </c>
      <c r="J46" s="496">
        <v>1</v>
      </c>
      <c r="K46" s="496">
        <v>54.9</v>
      </c>
      <c r="L46" s="703">
        <f t="shared" si="4"/>
        <v>54.9</v>
      </c>
      <c r="M46" s="809">
        <v>43208</v>
      </c>
      <c r="N46" s="496">
        <v>256</v>
      </c>
      <c r="O46" s="555" t="s">
        <v>742</v>
      </c>
      <c r="P46" s="721">
        <f t="shared" si="1"/>
        <v>0</v>
      </c>
      <c r="Q46" s="722">
        <f t="shared" si="2"/>
        <v>54.9</v>
      </c>
      <c r="R46" s="722">
        <f t="shared" si="3"/>
        <v>0</v>
      </c>
      <c r="S46" s="722">
        <f t="shared" si="5"/>
        <v>54.9</v>
      </c>
      <c r="T46" s="725"/>
      <c r="U46" s="726">
        <v>189</v>
      </c>
      <c r="V46" s="712">
        <f t="shared" si="6"/>
        <v>54.9</v>
      </c>
    </row>
    <row r="47" spans="2:22" ht="24.95" customHeight="1">
      <c r="B47" s="494">
        <v>25</v>
      </c>
      <c r="C47" s="495">
        <v>1570</v>
      </c>
      <c r="D47" s="486" t="s">
        <v>777</v>
      </c>
      <c r="E47" s="486" t="s">
        <v>778</v>
      </c>
      <c r="F47" s="530">
        <v>214</v>
      </c>
      <c r="G47" s="539" t="s">
        <v>779</v>
      </c>
      <c r="H47" s="540" t="s">
        <v>806</v>
      </c>
      <c r="I47" s="549" t="s">
        <v>52</v>
      </c>
      <c r="J47" s="496">
        <v>5</v>
      </c>
      <c r="K47" s="496">
        <v>11.9</v>
      </c>
      <c r="L47" s="703">
        <f t="shared" si="4"/>
        <v>59.5</v>
      </c>
      <c r="M47" s="809">
        <v>43208</v>
      </c>
      <c r="N47" s="496">
        <v>256</v>
      </c>
      <c r="O47" s="555" t="s">
        <v>742</v>
      </c>
      <c r="P47" s="721">
        <f t="shared" si="1"/>
        <v>0</v>
      </c>
      <c r="Q47" s="722">
        <f t="shared" si="2"/>
        <v>59.5</v>
      </c>
      <c r="R47" s="722">
        <f t="shared" si="3"/>
        <v>0</v>
      </c>
      <c r="S47" s="722">
        <f t="shared" si="5"/>
        <v>59.5</v>
      </c>
      <c r="T47" s="725"/>
      <c r="U47" s="726">
        <v>189</v>
      </c>
      <c r="V47" s="712">
        <f t="shared" si="6"/>
        <v>59.5</v>
      </c>
    </row>
    <row r="48" spans="2:22" ht="24.95" customHeight="1">
      <c r="B48" s="494">
        <v>26</v>
      </c>
      <c r="C48" s="495">
        <v>1570</v>
      </c>
      <c r="D48" s="486" t="s">
        <v>777</v>
      </c>
      <c r="E48" s="486" t="s">
        <v>778</v>
      </c>
      <c r="F48" s="530">
        <v>214</v>
      </c>
      <c r="G48" s="539" t="s">
        <v>779</v>
      </c>
      <c r="H48" s="540" t="s">
        <v>807</v>
      </c>
      <c r="I48" s="549" t="s">
        <v>808</v>
      </c>
      <c r="J48" s="496">
        <v>1</v>
      </c>
      <c r="K48" s="496">
        <v>8</v>
      </c>
      <c r="L48" s="703">
        <f t="shared" si="4"/>
        <v>8</v>
      </c>
      <c r="M48" s="809">
        <v>43208</v>
      </c>
      <c r="N48" s="496">
        <v>256</v>
      </c>
      <c r="O48" s="555" t="s">
        <v>742</v>
      </c>
      <c r="P48" s="721">
        <f t="shared" si="1"/>
        <v>0</v>
      </c>
      <c r="Q48" s="722">
        <f t="shared" si="2"/>
        <v>8</v>
      </c>
      <c r="R48" s="722">
        <f t="shared" si="3"/>
        <v>0</v>
      </c>
      <c r="S48" s="722">
        <f t="shared" si="5"/>
        <v>8</v>
      </c>
      <c r="T48" s="725"/>
      <c r="U48" s="726">
        <v>189</v>
      </c>
      <c r="V48" s="712">
        <f t="shared" si="6"/>
        <v>8</v>
      </c>
    </row>
    <row r="49" spans="2:22" ht="24.95" customHeight="1">
      <c r="B49" s="494">
        <v>27</v>
      </c>
      <c r="C49" s="495">
        <v>1570</v>
      </c>
      <c r="D49" s="486" t="s">
        <v>777</v>
      </c>
      <c r="E49" s="486" t="s">
        <v>778</v>
      </c>
      <c r="F49" s="530">
        <v>214</v>
      </c>
      <c r="G49" s="539" t="s">
        <v>779</v>
      </c>
      <c r="H49" s="540" t="s">
        <v>809</v>
      </c>
      <c r="I49" s="549" t="s">
        <v>52</v>
      </c>
      <c r="J49" s="496">
        <v>6</v>
      </c>
      <c r="K49" s="496">
        <v>4.9000000000000004</v>
      </c>
      <c r="L49" s="703">
        <f t="shared" si="4"/>
        <v>29.4</v>
      </c>
      <c r="M49" s="809">
        <v>43208</v>
      </c>
      <c r="N49" s="496">
        <v>256</v>
      </c>
      <c r="O49" s="555" t="s">
        <v>742</v>
      </c>
      <c r="P49" s="721">
        <f t="shared" si="1"/>
        <v>0</v>
      </c>
      <c r="Q49" s="722">
        <f t="shared" si="2"/>
        <v>29.4</v>
      </c>
      <c r="R49" s="722">
        <f t="shared" si="3"/>
        <v>0</v>
      </c>
      <c r="S49" s="722">
        <f t="shared" si="5"/>
        <v>29.4</v>
      </c>
      <c r="T49" s="725"/>
      <c r="U49" s="726">
        <v>189</v>
      </c>
      <c r="V49" s="712">
        <f t="shared" si="6"/>
        <v>29.4</v>
      </c>
    </row>
    <row r="50" spans="2:22" ht="24.95" customHeight="1">
      <c r="B50" s="494">
        <v>28</v>
      </c>
      <c r="C50" s="495">
        <v>1570</v>
      </c>
      <c r="D50" s="486" t="s">
        <v>777</v>
      </c>
      <c r="E50" s="486" t="s">
        <v>778</v>
      </c>
      <c r="F50" s="530">
        <v>214</v>
      </c>
      <c r="G50" s="539" t="s">
        <v>779</v>
      </c>
      <c r="H50" s="540" t="s">
        <v>810</v>
      </c>
      <c r="I50" s="549" t="s">
        <v>52</v>
      </c>
      <c r="J50" s="496">
        <v>2</v>
      </c>
      <c r="K50" s="496">
        <v>18.399999999999999</v>
      </c>
      <c r="L50" s="703">
        <f t="shared" si="4"/>
        <v>36.799999999999997</v>
      </c>
      <c r="M50" s="809">
        <v>43208</v>
      </c>
      <c r="N50" s="496">
        <v>256</v>
      </c>
      <c r="O50" s="555" t="s">
        <v>742</v>
      </c>
      <c r="P50" s="721">
        <f t="shared" si="1"/>
        <v>0</v>
      </c>
      <c r="Q50" s="722">
        <f t="shared" si="2"/>
        <v>36.799999999999997</v>
      </c>
      <c r="R50" s="722">
        <f t="shared" si="3"/>
        <v>0</v>
      </c>
      <c r="S50" s="722">
        <f t="shared" si="5"/>
        <v>36.799999999999997</v>
      </c>
      <c r="T50" s="725"/>
      <c r="U50" s="726">
        <v>189</v>
      </c>
      <c r="V50" s="712">
        <f t="shared" si="6"/>
        <v>36.799999999999997</v>
      </c>
    </row>
    <row r="51" spans="2:22" ht="24.95" customHeight="1">
      <c r="B51" s="494">
        <v>29</v>
      </c>
      <c r="C51" s="495">
        <v>1570</v>
      </c>
      <c r="D51" s="486" t="s">
        <v>777</v>
      </c>
      <c r="E51" s="486" t="s">
        <v>778</v>
      </c>
      <c r="F51" s="530">
        <v>214</v>
      </c>
      <c r="G51" s="539" t="s">
        <v>779</v>
      </c>
      <c r="H51" s="540" t="s">
        <v>811</v>
      </c>
      <c r="I51" s="549" t="s">
        <v>52</v>
      </c>
      <c r="J51" s="496">
        <v>10</v>
      </c>
      <c r="K51" s="496">
        <v>16.899999999999999</v>
      </c>
      <c r="L51" s="703">
        <f t="shared" si="4"/>
        <v>169</v>
      </c>
      <c r="M51" s="809">
        <v>43208</v>
      </c>
      <c r="N51" s="496">
        <v>256</v>
      </c>
      <c r="O51" s="555" t="s">
        <v>742</v>
      </c>
      <c r="P51" s="721">
        <f t="shared" si="1"/>
        <v>0</v>
      </c>
      <c r="Q51" s="722">
        <f t="shared" si="2"/>
        <v>169</v>
      </c>
      <c r="R51" s="722">
        <f t="shared" si="3"/>
        <v>0</v>
      </c>
      <c r="S51" s="722">
        <f t="shared" si="5"/>
        <v>169</v>
      </c>
      <c r="T51" s="725"/>
      <c r="U51" s="726">
        <v>189</v>
      </c>
      <c r="V51" s="712">
        <f t="shared" si="6"/>
        <v>169</v>
      </c>
    </row>
    <row r="52" spans="2:22" ht="24.95" customHeight="1">
      <c r="B52" s="494">
        <v>30</v>
      </c>
      <c r="C52" s="495">
        <v>1570</v>
      </c>
      <c r="D52" s="486" t="s">
        <v>777</v>
      </c>
      <c r="E52" s="486" t="s">
        <v>778</v>
      </c>
      <c r="F52" s="530">
        <v>214</v>
      </c>
      <c r="G52" s="539" t="s">
        <v>779</v>
      </c>
      <c r="H52" s="540" t="s">
        <v>812</v>
      </c>
      <c r="I52" s="549" t="s">
        <v>781</v>
      </c>
      <c r="J52" s="496">
        <v>4</v>
      </c>
      <c r="K52" s="496">
        <v>15.9</v>
      </c>
      <c r="L52" s="703">
        <f t="shared" si="4"/>
        <v>63.6</v>
      </c>
      <c r="M52" s="809">
        <v>43208</v>
      </c>
      <c r="N52" s="496">
        <v>256</v>
      </c>
      <c r="O52" s="555" t="s">
        <v>742</v>
      </c>
      <c r="P52" s="721">
        <f t="shared" si="1"/>
        <v>0</v>
      </c>
      <c r="Q52" s="722">
        <f t="shared" si="2"/>
        <v>63.6</v>
      </c>
      <c r="R52" s="722">
        <f t="shared" si="3"/>
        <v>0</v>
      </c>
      <c r="S52" s="722">
        <f t="shared" si="5"/>
        <v>63.6</v>
      </c>
      <c r="T52" s="725"/>
      <c r="U52" s="726">
        <v>189</v>
      </c>
      <c r="V52" s="712">
        <f t="shared" si="6"/>
        <v>63.6</v>
      </c>
    </row>
    <row r="53" spans="2:22" ht="24.95" customHeight="1">
      <c r="B53" s="494">
        <v>31</v>
      </c>
      <c r="C53" s="495">
        <v>1570</v>
      </c>
      <c r="D53" s="486" t="s">
        <v>777</v>
      </c>
      <c r="E53" s="486" t="s">
        <v>778</v>
      </c>
      <c r="F53" s="530">
        <v>214</v>
      </c>
      <c r="G53" s="539" t="s">
        <v>779</v>
      </c>
      <c r="H53" s="540" t="s">
        <v>813</v>
      </c>
      <c r="I53" s="549" t="s">
        <v>808</v>
      </c>
      <c r="J53" s="496">
        <v>1</v>
      </c>
      <c r="K53" s="496">
        <v>45</v>
      </c>
      <c r="L53" s="703">
        <f t="shared" si="4"/>
        <v>45</v>
      </c>
      <c r="M53" s="809">
        <v>43208</v>
      </c>
      <c r="N53" s="496">
        <v>256</v>
      </c>
      <c r="O53" s="555" t="s">
        <v>742</v>
      </c>
      <c r="P53" s="721">
        <f t="shared" si="1"/>
        <v>0</v>
      </c>
      <c r="Q53" s="722">
        <f t="shared" si="2"/>
        <v>45</v>
      </c>
      <c r="R53" s="722">
        <f t="shared" si="3"/>
        <v>0</v>
      </c>
      <c r="S53" s="722">
        <f t="shared" si="5"/>
        <v>45</v>
      </c>
      <c r="T53" s="725"/>
      <c r="U53" s="726">
        <v>189</v>
      </c>
      <c r="V53" s="712">
        <f t="shared" si="6"/>
        <v>45</v>
      </c>
    </row>
    <row r="54" spans="2:22" ht="24.95" customHeight="1">
      <c r="B54" s="494">
        <v>32</v>
      </c>
      <c r="C54" s="495">
        <v>1570</v>
      </c>
      <c r="D54" s="486" t="s">
        <v>777</v>
      </c>
      <c r="E54" s="486" t="s">
        <v>778</v>
      </c>
      <c r="F54" s="530">
        <v>214</v>
      </c>
      <c r="G54" s="539" t="s">
        <v>779</v>
      </c>
      <c r="H54" s="540" t="s">
        <v>814</v>
      </c>
      <c r="I54" s="549" t="s">
        <v>52</v>
      </c>
      <c r="J54" s="496">
        <v>10</v>
      </c>
      <c r="K54" s="496">
        <v>9.9</v>
      </c>
      <c r="L54" s="703">
        <f t="shared" si="4"/>
        <v>99</v>
      </c>
      <c r="M54" s="809">
        <v>43208</v>
      </c>
      <c r="N54" s="496">
        <v>256</v>
      </c>
      <c r="O54" s="555" t="s">
        <v>742</v>
      </c>
      <c r="P54" s="721">
        <f t="shared" si="1"/>
        <v>0</v>
      </c>
      <c r="Q54" s="722">
        <f t="shared" si="2"/>
        <v>99</v>
      </c>
      <c r="R54" s="722">
        <f t="shared" si="3"/>
        <v>0</v>
      </c>
      <c r="S54" s="722">
        <f t="shared" si="5"/>
        <v>99</v>
      </c>
      <c r="T54" s="725"/>
      <c r="U54" s="726">
        <v>189</v>
      </c>
      <c r="V54" s="712">
        <f t="shared" si="6"/>
        <v>99</v>
      </c>
    </row>
    <row r="55" spans="2:22" ht="24.95" customHeight="1">
      <c r="B55" s="494">
        <v>33</v>
      </c>
      <c r="C55" s="495">
        <v>1570</v>
      </c>
      <c r="D55" s="486" t="s">
        <v>777</v>
      </c>
      <c r="E55" s="486" t="s">
        <v>778</v>
      </c>
      <c r="F55" s="530">
        <v>214</v>
      </c>
      <c r="G55" s="539" t="s">
        <v>779</v>
      </c>
      <c r="H55" s="540" t="s">
        <v>815</v>
      </c>
      <c r="I55" s="549" t="s">
        <v>52</v>
      </c>
      <c r="J55" s="496">
        <v>1</v>
      </c>
      <c r="K55" s="496">
        <v>11.4</v>
      </c>
      <c r="L55" s="703">
        <f t="shared" si="4"/>
        <v>11.4</v>
      </c>
      <c r="M55" s="809">
        <v>43208</v>
      </c>
      <c r="N55" s="496">
        <v>256</v>
      </c>
      <c r="O55" s="555" t="s">
        <v>742</v>
      </c>
      <c r="P55" s="721">
        <f t="shared" si="1"/>
        <v>0</v>
      </c>
      <c r="Q55" s="722">
        <f t="shared" si="2"/>
        <v>11.4</v>
      </c>
      <c r="R55" s="722">
        <f t="shared" si="3"/>
        <v>0</v>
      </c>
      <c r="S55" s="722">
        <f t="shared" si="5"/>
        <v>11.4</v>
      </c>
      <c r="T55" s="725"/>
      <c r="U55" s="726">
        <v>189</v>
      </c>
      <c r="V55" s="712">
        <f t="shared" si="6"/>
        <v>11.4</v>
      </c>
    </row>
    <row r="56" spans="2:22" ht="24.95" customHeight="1">
      <c r="B56" s="494">
        <v>34</v>
      </c>
      <c r="C56" s="495">
        <v>1570</v>
      </c>
      <c r="D56" s="486" t="s">
        <v>777</v>
      </c>
      <c r="E56" s="486" t="s">
        <v>778</v>
      </c>
      <c r="F56" s="530">
        <v>214</v>
      </c>
      <c r="G56" s="539" t="s">
        <v>779</v>
      </c>
      <c r="H56" s="540" t="s">
        <v>816</v>
      </c>
      <c r="I56" s="549" t="s">
        <v>52</v>
      </c>
      <c r="J56" s="496">
        <v>1</v>
      </c>
      <c r="K56" s="496">
        <v>24.9</v>
      </c>
      <c r="L56" s="703">
        <f t="shared" si="4"/>
        <v>24.9</v>
      </c>
      <c r="M56" s="809">
        <v>43208</v>
      </c>
      <c r="N56" s="496">
        <v>256</v>
      </c>
      <c r="O56" s="555" t="s">
        <v>742</v>
      </c>
      <c r="P56" s="721">
        <f t="shared" si="1"/>
        <v>0</v>
      </c>
      <c r="Q56" s="722">
        <f t="shared" si="2"/>
        <v>24.9</v>
      </c>
      <c r="R56" s="722">
        <f t="shared" si="3"/>
        <v>0</v>
      </c>
      <c r="S56" s="722">
        <f t="shared" si="5"/>
        <v>24.9</v>
      </c>
      <c r="T56" s="725"/>
      <c r="U56" s="726">
        <v>189</v>
      </c>
      <c r="V56" s="712">
        <f t="shared" si="6"/>
        <v>24.9</v>
      </c>
    </row>
    <row r="57" spans="2:22" ht="24.95" customHeight="1">
      <c r="B57" s="494">
        <v>35</v>
      </c>
      <c r="C57" s="495">
        <v>1570</v>
      </c>
      <c r="D57" s="486" t="s">
        <v>777</v>
      </c>
      <c r="E57" s="486" t="s">
        <v>778</v>
      </c>
      <c r="F57" s="530">
        <v>214</v>
      </c>
      <c r="G57" s="539" t="s">
        <v>779</v>
      </c>
      <c r="H57" s="540" t="s">
        <v>817</v>
      </c>
      <c r="I57" s="549" t="s">
        <v>52</v>
      </c>
      <c r="J57" s="496">
        <v>1</v>
      </c>
      <c r="K57" s="496">
        <v>6</v>
      </c>
      <c r="L57" s="703">
        <f t="shared" si="4"/>
        <v>6</v>
      </c>
      <c r="M57" s="809">
        <v>43208</v>
      </c>
      <c r="N57" s="496">
        <v>256</v>
      </c>
      <c r="O57" s="555" t="s">
        <v>742</v>
      </c>
      <c r="P57" s="721">
        <f t="shared" si="1"/>
        <v>0</v>
      </c>
      <c r="Q57" s="722">
        <f t="shared" si="2"/>
        <v>6</v>
      </c>
      <c r="R57" s="722">
        <f t="shared" si="3"/>
        <v>0</v>
      </c>
      <c r="S57" s="722">
        <f t="shared" si="5"/>
        <v>6</v>
      </c>
      <c r="T57" s="725"/>
      <c r="U57" s="726">
        <v>189</v>
      </c>
      <c r="V57" s="712">
        <f t="shared" si="6"/>
        <v>6</v>
      </c>
    </row>
    <row r="58" spans="2:22" ht="24.95" customHeight="1">
      <c r="B58" s="494">
        <v>36</v>
      </c>
      <c r="C58" s="495">
        <v>1570</v>
      </c>
      <c r="D58" s="486" t="s">
        <v>777</v>
      </c>
      <c r="E58" s="486" t="s">
        <v>778</v>
      </c>
      <c r="F58" s="530">
        <v>214</v>
      </c>
      <c r="G58" s="539" t="s">
        <v>779</v>
      </c>
      <c r="H58" s="540" t="s">
        <v>818</v>
      </c>
      <c r="I58" s="549" t="s">
        <v>52</v>
      </c>
      <c r="J58" s="496">
        <v>12</v>
      </c>
      <c r="K58" s="496">
        <v>4.4000000000000004</v>
      </c>
      <c r="L58" s="703">
        <f t="shared" si="4"/>
        <v>52.8</v>
      </c>
      <c r="M58" s="809">
        <v>43208</v>
      </c>
      <c r="N58" s="496">
        <v>256</v>
      </c>
      <c r="O58" s="555" t="s">
        <v>742</v>
      </c>
      <c r="P58" s="721">
        <f t="shared" si="1"/>
        <v>0</v>
      </c>
      <c r="Q58" s="722">
        <f t="shared" si="2"/>
        <v>52.8</v>
      </c>
      <c r="R58" s="722">
        <f t="shared" si="3"/>
        <v>0</v>
      </c>
      <c r="S58" s="722">
        <f t="shared" si="5"/>
        <v>52.8</v>
      </c>
      <c r="T58" s="725"/>
      <c r="U58" s="726">
        <v>189</v>
      </c>
      <c r="V58" s="712">
        <f t="shared" si="6"/>
        <v>52.8</v>
      </c>
    </row>
    <row r="59" spans="2:22" ht="24.95" customHeight="1">
      <c r="B59" s="494">
        <v>37</v>
      </c>
      <c r="C59" s="495">
        <v>1570</v>
      </c>
      <c r="D59" s="486" t="s">
        <v>777</v>
      </c>
      <c r="E59" s="486" t="s">
        <v>778</v>
      </c>
      <c r="F59" s="530">
        <v>214</v>
      </c>
      <c r="G59" s="539" t="s">
        <v>779</v>
      </c>
      <c r="H59" s="540" t="s">
        <v>819</v>
      </c>
      <c r="I59" s="549" t="s">
        <v>52</v>
      </c>
      <c r="J59" s="496">
        <v>1</v>
      </c>
      <c r="K59" s="496">
        <v>16.399999999999999</v>
      </c>
      <c r="L59" s="703">
        <f t="shared" si="4"/>
        <v>16.399999999999999</v>
      </c>
      <c r="M59" s="809">
        <v>43208</v>
      </c>
      <c r="N59" s="496">
        <v>256</v>
      </c>
      <c r="O59" s="555" t="s">
        <v>742</v>
      </c>
      <c r="P59" s="721">
        <f t="shared" si="1"/>
        <v>0</v>
      </c>
      <c r="Q59" s="722">
        <f t="shared" si="2"/>
        <v>16.399999999999999</v>
      </c>
      <c r="R59" s="722">
        <f t="shared" si="3"/>
        <v>0</v>
      </c>
      <c r="S59" s="722">
        <f t="shared" si="5"/>
        <v>16.399999999999999</v>
      </c>
      <c r="T59" s="725"/>
      <c r="U59" s="726">
        <v>189</v>
      </c>
      <c r="V59" s="712">
        <f t="shared" si="6"/>
        <v>16.399999999999999</v>
      </c>
    </row>
    <row r="60" spans="2:22" ht="24.95" customHeight="1">
      <c r="B60" s="494">
        <v>38</v>
      </c>
      <c r="C60" s="495">
        <v>1570</v>
      </c>
      <c r="D60" s="486" t="s">
        <v>777</v>
      </c>
      <c r="E60" s="486" t="s">
        <v>778</v>
      </c>
      <c r="F60" s="530">
        <v>214</v>
      </c>
      <c r="G60" s="539" t="s">
        <v>779</v>
      </c>
      <c r="H60" s="540" t="s">
        <v>820</v>
      </c>
      <c r="I60" s="549" t="s">
        <v>52</v>
      </c>
      <c r="J60" s="496">
        <v>1</v>
      </c>
      <c r="K60" s="496">
        <v>26.9</v>
      </c>
      <c r="L60" s="703">
        <f t="shared" si="4"/>
        <v>26.9</v>
      </c>
      <c r="M60" s="809">
        <v>43208</v>
      </c>
      <c r="N60" s="496">
        <v>256</v>
      </c>
      <c r="O60" s="555" t="s">
        <v>742</v>
      </c>
      <c r="P60" s="721">
        <f t="shared" si="1"/>
        <v>0</v>
      </c>
      <c r="Q60" s="722">
        <f t="shared" si="2"/>
        <v>26.9</v>
      </c>
      <c r="R60" s="722">
        <f t="shared" si="3"/>
        <v>0</v>
      </c>
      <c r="S60" s="722">
        <f t="shared" si="5"/>
        <v>26.9</v>
      </c>
      <c r="T60" s="725"/>
      <c r="U60" s="726">
        <v>189</v>
      </c>
      <c r="V60" s="712">
        <f t="shared" si="6"/>
        <v>26.9</v>
      </c>
    </row>
    <row r="61" spans="2:22" ht="24.95" customHeight="1">
      <c r="B61" s="494">
        <v>39</v>
      </c>
      <c r="C61" s="495">
        <v>1570</v>
      </c>
      <c r="D61" s="486" t="s">
        <v>777</v>
      </c>
      <c r="E61" s="486" t="s">
        <v>778</v>
      </c>
      <c r="F61" s="530">
        <v>214</v>
      </c>
      <c r="G61" s="539" t="s">
        <v>779</v>
      </c>
      <c r="H61" s="540" t="s">
        <v>821</v>
      </c>
      <c r="I61" s="549" t="s">
        <v>52</v>
      </c>
      <c r="J61" s="496">
        <v>1</v>
      </c>
      <c r="K61" s="496">
        <v>16</v>
      </c>
      <c r="L61" s="703">
        <f t="shared" si="4"/>
        <v>16</v>
      </c>
      <c r="M61" s="809">
        <v>43208</v>
      </c>
      <c r="N61" s="496">
        <v>256</v>
      </c>
      <c r="O61" s="555" t="s">
        <v>742</v>
      </c>
      <c r="P61" s="721">
        <f t="shared" si="1"/>
        <v>0</v>
      </c>
      <c r="Q61" s="722">
        <f t="shared" si="2"/>
        <v>16</v>
      </c>
      <c r="R61" s="722">
        <f t="shared" si="3"/>
        <v>0</v>
      </c>
      <c r="S61" s="722">
        <f t="shared" si="5"/>
        <v>16</v>
      </c>
      <c r="T61" s="725"/>
      <c r="U61" s="726">
        <v>189</v>
      </c>
      <c r="V61" s="712">
        <f t="shared" si="6"/>
        <v>16</v>
      </c>
    </row>
    <row r="62" spans="2:22" ht="24.95" customHeight="1">
      <c r="B62" s="494">
        <v>40</v>
      </c>
      <c r="C62" s="495">
        <v>1570</v>
      </c>
      <c r="D62" s="486" t="s">
        <v>777</v>
      </c>
      <c r="E62" s="486" t="s">
        <v>778</v>
      </c>
      <c r="F62" s="530">
        <v>214</v>
      </c>
      <c r="G62" s="539" t="s">
        <v>779</v>
      </c>
      <c r="H62" s="540" t="s">
        <v>822</v>
      </c>
      <c r="I62" s="549" t="s">
        <v>52</v>
      </c>
      <c r="J62" s="496">
        <v>2</v>
      </c>
      <c r="K62" s="496">
        <v>16</v>
      </c>
      <c r="L62" s="703">
        <f t="shared" si="4"/>
        <v>32</v>
      </c>
      <c r="M62" s="809">
        <v>43208</v>
      </c>
      <c r="N62" s="496">
        <v>256</v>
      </c>
      <c r="O62" s="555" t="s">
        <v>742</v>
      </c>
      <c r="P62" s="721">
        <f t="shared" si="1"/>
        <v>0</v>
      </c>
      <c r="Q62" s="722">
        <f t="shared" si="2"/>
        <v>32</v>
      </c>
      <c r="R62" s="722">
        <f t="shared" si="3"/>
        <v>0</v>
      </c>
      <c r="S62" s="722">
        <f t="shared" si="5"/>
        <v>32</v>
      </c>
      <c r="T62" s="725"/>
      <c r="U62" s="726">
        <v>189</v>
      </c>
      <c r="V62" s="712">
        <f t="shared" si="6"/>
        <v>32</v>
      </c>
    </row>
    <row r="63" spans="2:22" ht="24.95" customHeight="1">
      <c r="B63" s="494">
        <v>41</v>
      </c>
      <c r="C63" s="495">
        <v>1570</v>
      </c>
      <c r="D63" s="486" t="s">
        <v>777</v>
      </c>
      <c r="E63" s="486" t="s">
        <v>778</v>
      </c>
      <c r="F63" s="530">
        <v>214</v>
      </c>
      <c r="G63" s="539" t="s">
        <v>779</v>
      </c>
      <c r="H63" s="540" t="s">
        <v>823</v>
      </c>
      <c r="I63" s="549" t="s">
        <v>52</v>
      </c>
      <c r="J63" s="496">
        <v>3</v>
      </c>
      <c r="K63" s="496">
        <v>3.5</v>
      </c>
      <c r="L63" s="703">
        <f t="shared" si="4"/>
        <v>10.5</v>
      </c>
      <c r="M63" s="809">
        <v>43208</v>
      </c>
      <c r="N63" s="496">
        <v>256</v>
      </c>
      <c r="O63" s="555" t="s">
        <v>742</v>
      </c>
      <c r="P63" s="721">
        <f t="shared" si="1"/>
        <v>0</v>
      </c>
      <c r="Q63" s="722">
        <f t="shared" si="2"/>
        <v>10.5</v>
      </c>
      <c r="R63" s="722">
        <f t="shared" si="3"/>
        <v>0</v>
      </c>
      <c r="S63" s="722">
        <f t="shared" si="5"/>
        <v>10.5</v>
      </c>
      <c r="T63" s="725"/>
      <c r="U63" s="726">
        <v>189</v>
      </c>
      <c r="V63" s="712">
        <f t="shared" si="6"/>
        <v>10.5</v>
      </c>
    </row>
    <row r="64" spans="2:22" ht="24.95" customHeight="1">
      <c r="B64" s="494">
        <v>42</v>
      </c>
      <c r="C64" s="495">
        <v>1570</v>
      </c>
      <c r="D64" s="486" t="s">
        <v>777</v>
      </c>
      <c r="E64" s="486" t="s">
        <v>778</v>
      </c>
      <c r="F64" s="530">
        <v>214</v>
      </c>
      <c r="G64" s="539" t="s">
        <v>779</v>
      </c>
      <c r="H64" s="540" t="s">
        <v>824</v>
      </c>
      <c r="I64" s="549" t="s">
        <v>52</v>
      </c>
      <c r="J64" s="496">
        <v>2</v>
      </c>
      <c r="K64" s="496">
        <v>25</v>
      </c>
      <c r="L64" s="703">
        <f t="shared" si="4"/>
        <v>50</v>
      </c>
      <c r="M64" s="809">
        <v>43208</v>
      </c>
      <c r="N64" s="496">
        <v>256</v>
      </c>
      <c r="O64" s="555" t="s">
        <v>742</v>
      </c>
      <c r="P64" s="721">
        <f t="shared" si="1"/>
        <v>0</v>
      </c>
      <c r="Q64" s="722">
        <f t="shared" si="2"/>
        <v>50</v>
      </c>
      <c r="R64" s="722">
        <f t="shared" si="3"/>
        <v>0</v>
      </c>
      <c r="S64" s="722">
        <f t="shared" si="5"/>
        <v>50</v>
      </c>
      <c r="T64" s="725"/>
      <c r="U64" s="726">
        <v>189</v>
      </c>
      <c r="V64" s="712">
        <f t="shared" si="6"/>
        <v>50</v>
      </c>
    </row>
    <row r="65" spans="2:22" ht="24.95" customHeight="1">
      <c r="B65" s="494">
        <v>43</v>
      </c>
      <c r="C65" s="495">
        <v>1570</v>
      </c>
      <c r="D65" s="486" t="s">
        <v>777</v>
      </c>
      <c r="E65" s="486" t="s">
        <v>778</v>
      </c>
      <c r="F65" s="530">
        <v>214</v>
      </c>
      <c r="G65" s="539" t="s">
        <v>779</v>
      </c>
      <c r="H65" s="540" t="s">
        <v>825</v>
      </c>
      <c r="I65" s="549" t="s">
        <v>52</v>
      </c>
      <c r="J65" s="496">
        <v>6</v>
      </c>
      <c r="K65" s="496">
        <v>1.9</v>
      </c>
      <c r="L65" s="703">
        <f t="shared" si="4"/>
        <v>11.4</v>
      </c>
      <c r="M65" s="809">
        <v>43208</v>
      </c>
      <c r="N65" s="496">
        <v>256</v>
      </c>
      <c r="O65" s="555" t="s">
        <v>742</v>
      </c>
      <c r="P65" s="721">
        <f t="shared" si="1"/>
        <v>0</v>
      </c>
      <c r="Q65" s="722">
        <f t="shared" si="2"/>
        <v>11.4</v>
      </c>
      <c r="R65" s="722">
        <f t="shared" si="3"/>
        <v>0</v>
      </c>
      <c r="S65" s="722">
        <f t="shared" si="5"/>
        <v>11.4</v>
      </c>
      <c r="T65" s="725"/>
      <c r="U65" s="726">
        <v>189</v>
      </c>
      <c r="V65" s="712">
        <f t="shared" si="6"/>
        <v>11.4</v>
      </c>
    </row>
    <row r="66" spans="2:22" ht="24.95" customHeight="1">
      <c r="B66" s="494">
        <v>44</v>
      </c>
      <c r="C66" s="495">
        <v>1570</v>
      </c>
      <c r="D66" s="486" t="s">
        <v>777</v>
      </c>
      <c r="E66" s="486" t="s">
        <v>778</v>
      </c>
      <c r="F66" s="530">
        <v>214</v>
      </c>
      <c r="G66" s="539" t="s">
        <v>779</v>
      </c>
      <c r="H66" s="540" t="s">
        <v>826</v>
      </c>
      <c r="I66" s="549" t="s">
        <v>52</v>
      </c>
      <c r="J66" s="496">
        <v>7</v>
      </c>
      <c r="K66" s="496">
        <v>1</v>
      </c>
      <c r="L66" s="703">
        <f t="shared" si="4"/>
        <v>7</v>
      </c>
      <c r="M66" s="809">
        <v>43208</v>
      </c>
      <c r="N66" s="496">
        <v>256</v>
      </c>
      <c r="O66" s="555" t="s">
        <v>742</v>
      </c>
      <c r="P66" s="721">
        <f t="shared" si="1"/>
        <v>0</v>
      </c>
      <c r="Q66" s="722">
        <f t="shared" si="2"/>
        <v>7</v>
      </c>
      <c r="R66" s="722">
        <f t="shared" si="3"/>
        <v>0</v>
      </c>
      <c r="S66" s="722">
        <f t="shared" si="5"/>
        <v>7</v>
      </c>
      <c r="T66" s="725"/>
      <c r="U66" s="726">
        <v>189</v>
      </c>
      <c r="V66" s="712">
        <f t="shared" si="6"/>
        <v>7</v>
      </c>
    </row>
    <row r="67" spans="2:22" ht="24.95" customHeight="1">
      <c r="B67" s="494">
        <v>45</v>
      </c>
      <c r="C67" s="495">
        <v>1570</v>
      </c>
      <c r="D67" s="486" t="s">
        <v>777</v>
      </c>
      <c r="E67" s="486" t="s">
        <v>778</v>
      </c>
      <c r="F67" s="530">
        <v>214</v>
      </c>
      <c r="G67" s="539" t="s">
        <v>779</v>
      </c>
      <c r="H67" s="540" t="s">
        <v>827</v>
      </c>
      <c r="I67" s="549" t="s">
        <v>52</v>
      </c>
      <c r="J67" s="496">
        <v>3</v>
      </c>
      <c r="K67" s="496">
        <v>10</v>
      </c>
      <c r="L67" s="703">
        <f t="shared" si="4"/>
        <v>30</v>
      </c>
      <c r="M67" s="809">
        <v>43208</v>
      </c>
      <c r="N67" s="496">
        <v>256</v>
      </c>
      <c r="O67" s="555" t="s">
        <v>742</v>
      </c>
      <c r="P67" s="721">
        <f t="shared" si="1"/>
        <v>0</v>
      </c>
      <c r="Q67" s="722">
        <f t="shared" si="2"/>
        <v>30</v>
      </c>
      <c r="R67" s="722">
        <f t="shared" si="3"/>
        <v>0</v>
      </c>
      <c r="S67" s="722">
        <f t="shared" si="5"/>
        <v>30</v>
      </c>
      <c r="T67" s="725"/>
      <c r="U67" s="726">
        <v>189</v>
      </c>
      <c r="V67" s="712">
        <f t="shared" si="6"/>
        <v>30</v>
      </c>
    </row>
    <row r="68" spans="2:22" ht="24.95" customHeight="1">
      <c r="B68" s="494">
        <v>46</v>
      </c>
      <c r="C68" s="495">
        <v>1570</v>
      </c>
      <c r="D68" s="486" t="s">
        <v>777</v>
      </c>
      <c r="E68" s="486" t="s">
        <v>778</v>
      </c>
      <c r="F68" s="530">
        <v>214</v>
      </c>
      <c r="G68" s="539" t="s">
        <v>779</v>
      </c>
      <c r="H68" s="540" t="s">
        <v>828</v>
      </c>
      <c r="I68" s="549" t="s">
        <v>52</v>
      </c>
      <c r="J68" s="496">
        <v>1</v>
      </c>
      <c r="K68" s="496">
        <v>18</v>
      </c>
      <c r="L68" s="703">
        <f t="shared" si="4"/>
        <v>18</v>
      </c>
      <c r="M68" s="809">
        <v>43208</v>
      </c>
      <c r="N68" s="496">
        <v>256</v>
      </c>
      <c r="O68" s="555" t="s">
        <v>742</v>
      </c>
      <c r="P68" s="721">
        <f t="shared" si="1"/>
        <v>0</v>
      </c>
      <c r="Q68" s="722">
        <f t="shared" si="2"/>
        <v>18</v>
      </c>
      <c r="R68" s="722">
        <f t="shared" si="3"/>
        <v>0</v>
      </c>
      <c r="S68" s="722">
        <f t="shared" si="5"/>
        <v>18</v>
      </c>
      <c r="T68" s="725"/>
      <c r="U68" s="726">
        <v>189</v>
      </c>
      <c r="V68" s="712">
        <f t="shared" si="6"/>
        <v>18</v>
      </c>
    </row>
    <row r="69" spans="2:22" ht="24.95" customHeight="1">
      <c r="B69" s="494">
        <v>47</v>
      </c>
      <c r="C69" s="495">
        <v>1570</v>
      </c>
      <c r="D69" s="486" t="s">
        <v>777</v>
      </c>
      <c r="E69" s="486" t="s">
        <v>778</v>
      </c>
      <c r="F69" s="530">
        <v>214</v>
      </c>
      <c r="G69" s="539" t="s">
        <v>779</v>
      </c>
      <c r="H69" s="540" t="s">
        <v>829</v>
      </c>
      <c r="I69" s="549" t="s">
        <v>52</v>
      </c>
      <c r="J69" s="496">
        <v>5</v>
      </c>
      <c r="K69" s="496">
        <v>49.9</v>
      </c>
      <c r="L69" s="703">
        <f t="shared" si="4"/>
        <v>249.5</v>
      </c>
      <c r="M69" s="809">
        <v>43208</v>
      </c>
      <c r="N69" s="496">
        <v>256</v>
      </c>
      <c r="O69" s="555" t="s">
        <v>742</v>
      </c>
      <c r="P69" s="721">
        <f t="shared" si="1"/>
        <v>0</v>
      </c>
      <c r="Q69" s="722">
        <f t="shared" si="2"/>
        <v>249.5</v>
      </c>
      <c r="R69" s="722">
        <f t="shared" si="3"/>
        <v>0</v>
      </c>
      <c r="S69" s="722">
        <f t="shared" si="5"/>
        <v>249.5</v>
      </c>
      <c r="T69" s="725"/>
      <c r="U69" s="726">
        <v>189</v>
      </c>
      <c r="V69" s="712">
        <f t="shared" si="6"/>
        <v>249.5</v>
      </c>
    </row>
    <row r="70" spans="2:22" ht="24.95" customHeight="1">
      <c r="B70" s="494">
        <v>48</v>
      </c>
      <c r="C70" s="495">
        <v>1570</v>
      </c>
      <c r="D70" s="486" t="s">
        <v>777</v>
      </c>
      <c r="E70" s="486" t="s">
        <v>778</v>
      </c>
      <c r="F70" s="530">
        <v>214</v>
      </c>
      <c r="G70" s="539" t="s">
        <v>779</v>
      </c>
      <c r="H70" s="540" t="s">
        <v>830</v>
      </c>
      <c r="I70" s="549" t="s">
        <v>52</v>
      </c>
      <c r="J70" s="496">
        <v>1</v>
      </c>
      <c r="K70" s="496">
        <v>19</v>
      </c>
      <c r="L70" s="703">
        <f t="shared" si="4"/>
        <v>19</v>
      </c>
      <c r="M70" s="809">
        <v>43208</v>
      </c>
      <c r="N70" s="496">
        <v>256</v>
      </c>
      <c r="O70" s="555" t="s">
        <v>742</v>
      </c>
      <c r="P70" s="721">
        <f t="shared" si="1"/>
        <v>0</v>
      </c>
      <c r="Q70" s="722">
        <f t="shared" si="2"/>
        <v>19</v>
      </c>
      <c r="R70" s="722">
        <f t="shared" si="3"/>
        <v>0</v>
      </c>
      <c r="S70" s="722">
        <f t="shared" si="5"/>
        <v>19</v>
      </c>
      <c r="T70" s="725"/>
      <c r="U70" s="726">
        <v>189</v>
      </c>
      <c r="V70" s="712">
        <f t="shared" si="6"/>
        <v>19</v>
      </c>
    </row>
    <row r="71" spans="2:22" ht="24.95" customHeight="1">
      <c r="B71" s="494">
        <v>49</v>
      </c>
      <c r="C71" s="495">
        <v>1570</v>
      </c>
      <c r="D71" s="486" t="s">
        <v>777</v>
      </c>
      <c r="E71" s="486" t="s">
        <v>778</v>
      </c>
      <c r="F71" s="530">
        <v>214</v>
      </c>
      <c r="G71" s="539" t="s">
        <v>779</v>
      </c>
      <c r="H71" s="540" t="s">
        <v>831</v>
      </c>
      <c r="I71" s="549" t="s">
        <v>52</v>
      </c>
      <c r="J71" s="496">
        <v>2</v>
      </c>
      <c r="K71" s="496">
        <v>60</v>
      </c>
      <c r="L71" s="703">
        <f t="shared" si="4"/>
        <v>120</v>
      </c>
      <c r="M71" s="809">
        <v>43208</v>
      </c>
      <c r="N71" s="496">
        <v>256</v>
      </c>
      <c r="O71" s="555" t="s">
        <v>742</v>
      </c>
      <c r="P71" s="721">
        <f t="shared" si="1"/>
        <v>0</v>
      </c>
      <c r="Q71" s="722">
        <f t="shared" si="2"/>
        <v>120</v>
      </c>
      <c r="R71" s="722">
        <f t="shared" si="3"/>
        <v>0</v>
      </c>
      <c r="S71" s="722">
        <f t="shared" si="5"/>
        <v>120</v>
      </c>
      <c r="T71" s="725"/>
      <c r="U71" s="726">
        <v>189</v>
      </c>
      <c r="V71" s="712">
        <f t="shared" si="6"/>
        <v>120</v>
      </c>
    </row>
    <row r="72" spans="2:22" ht="24.95" customHeight="1">
      <c r="B72" s="494">
        <v>50</v>
      </c>
      <c r="C72" s="495">
        <v>1570</v>
      </c>
      <c r="D72" s="486" t="s">
        <v>777</v>
      </c>
      <c r="E72" s="486" t="s">
        <v>778</v>
      </c>
      <c r="F72" s="530">
        <v>214</v>
      </c>
      <c r="G72" s="539" t="s">
        <v>779</v>
      </c>
      <c r="H72" s="540" t="s">
        <v>832</v>
      </c>
      <c r="I72" s="549" t="s">
        <v>52</v>
      </c>
      <c r="J72" s="496">
        <v>3</v>
      </c>
      <c r="K72" s="496">
        <v>49.9</v>
      </c>
      <c r="L72" s="703">
        <f t="shared" si="4"/>
        <v>149.69999999999999</v>
      </c>
      <c r="M72" s="809">
        <v>43208</v>
      </c>
      <c r="N72" s="496">
        <v>256</v>
      </c>
      <c r="O72" s="555" t="s">
        <v>742</v>
      </c>
      <c r="P72" s="721">
        <f t="shared" si="1"/>
        <v>0</v>
      </c>
      <c r="Q72" s="722">
        <f t="shared" si="2"/>
        <v>149.69999999999999</v>
      </c>
      <c r="R72" s="722">
        <f t="shared" si="3"/>
        <v>0</v>
      </c>
      <c r="S72" s="722">
        <f t="shared" si="5"/>
        <v>149.69999999999999</v>
      </c>
      <c r="T72" s="725"/>
      <c r="U72" s="726">
        <v>189</v>
      </c>
      <c r="V72" s="712">
        <f t="shared" si="6"/>
        <v>149.69999999999999</v>
      </c>
    </row>
    <row r="73" spans="2:22" ht="24.95" customHeight="1">
      <c r="B73" s="494">
        <v>51</v>
      </c>
      <c r="C73" s="495">
        <v>1570</v>
      </c>
      <c r="D73" s="486" t="s">
        <v>777</v>
      </c>
      <c r="E73" s="486" t="s">
        <v>778</v>
      </c>
      <c r="F73" s="530">
        <v>214</v>
      </c>
      <c r="G73" s="539" t="s">
        <v>779</v>
      </c>
      <c r="H73" s="540" t="s">
        <v>833</v>
      </c>
      <c r="I73" s="549" t="s">
        <v>52</v>
      </c>
      <c r="J73" s="496">
        <v>1</v>
      </c>
      <c r="K73" s="496">
        <v>16</v>
      </c>
      <c r="L73" s="703">
        <f t="shared" si="4"/>
        <v>16</v>
      </c>
      <c r="M73" s="809">
        <v>43208</v>
      </c>
      <c r="N73" s="496">
        <v>256</v>
      </c>
      <c r="O73" s="555" t="s">
        <v>742</v>
      </c>
      <c r="P73" s="721">
        <f t="shared" si="1"/>
        <v>0</v>
      </c>
      <c r="Q73" s="722">
        <f t="shared" si="2"/>
        <v>16</v>
      </c>
      <c r="R73" s="722">
        <f t="shared" si="3"/>
        <v>0</v>
      </c>
      <c r="S73" s="722">
        <f t="shared" si="5"/>
        <v>16</v>
      </c>
      <c r="T73" s="725"/>
      <c r="U73" s="726">
        <v>189</v>
      </c>
      <c r="V73" s="712">
        <f t="shared" si="6"/>
        <v>16</v>
      </c>
    </row>
    <row r="74" spans="2:22" ht="24.95" customHeight="1">
      <c r="B74" s="494">
        <v>52</v>
      </c>
      <c r="C74" s="495">
        <v>1570</v>
      </c>
      <c r="D74" s="486" t="s">
        <v>777</v>
      </c>
      <c r="E74" s="486" t="s">
        <v>778</v>
      </c>
      <c r="F74" s="530">
        <v>214</v>
      </c>
      <c r="G74" s="539" t="s">
        <v>779</v>
      </c>
      <c r="H74" s="540" t="s">
        <v>834</v>
      </c>
      <c r="I74" s="549" t="s">
        <v>808</v>
      </c>
      <c r="J74" s="496">
        <v>1</v>
      </c>
      <c r="K74" s="496">
        <v>10</v>
      </c>
      <c r="L74" s="703">
        <f t="shared" si="4"/>
        <v>10</v>
      </c>
      <c r="M74" s="809">
        <v>43208</v>
      </c>
      <c r="N74" s="496">
        <v>256</v>
      </c>
      <c r="O74" s="555" t="s">
        <v>742</v>
      </c>
      <c r="P74" s="721">
        <f t="shared" si="1"/>
        <v>0</v>
      </c>
      <c r="Q74" s="722">
        <f t="shared" si="2"/>
        <v>10</v>
      </c>
      <c r="R74" s="722">
        <f t="shared" si="3"/>
        <v>0</v>
      </c>
      <c r="S74" s="722">
        <f t="shared" si="5"/>
        <v>10</v>
      </c>
      <c r="T74" s="725"/>
      <c r="U74" s="726">
        <v>189</v>
      </c>
      <c r="V74" s="712">
        <f t="shared" si="6"/>
        <v>10</v>
      </c>
    </row>
    <row r="75" spans="2:22" ht="24.95" customHeight="1">
      <c r="B75" s="494">
        <v>53</v>
      </c>
      <c r="C75" s="495">
        <v>1570</v>
      </c>
      <c r="D75" s="486" t="s">
        <v>777</v>
      </c>
      <c r="E75" s="486" t="s">
        <v>778</v>
      </c>
      <c r="F75" s="530">
        <v>214</v>
      </c>
      <c r="G75" s="539" t="s">
        <v>779</v>
      </c>
      <c r="H75" s="540" t="s">
        <v>835</v>
      </c>
      <c r="I75" s="549" t="s">
        <v>52</v>
      </c>
      <c r="J75" s="496">
        <v>20</v>
      </c>
      <c r="K75" s="496">
        <v>19.899999999999999</v>
      </c>
      <c r="L75" s="703">
        <f t="shared" si="4"/>
        <v>398</v>
      </c>
      <c r="M75" s="809">
        <v>43208</v>
      </c>
      <c r="N75" s="496">
        <v>256</v>
      </c>
      <c r="O75" s="555" t="s">
        <v>742</v>
      </c>
      <c r="P75" s="721">
        <f t="shared" si="1"/>
        <v>0</v>
      </c>
      <c r="Q75" s="722">
        <f t="shared" si="2"/>
        <v>398</v>
      </c>
      <c r="R75" s="722">
        <f t="shared" si="3"/>
        <v>0</v>
      </c>
      <c r="S75" s="722">
        <f t="shared" si="5"/>
        <v>398</v>
      </c>
      <c r="T75" s="725"/>
      <c r="U75" s="726">
        <v>189</v>
      </c>
      <c r="V75" s="712">
        <f t="shared" si="6"/>
        <v>398</v>
      </c>
    </row>
    <row r="76" spans="2:22" ht="24.95" customHeight="1">
      <c r="B76" s="494">
        <v>54</v>
      </c>
      <c r="C76" s="495">
        <v>1570</v>
      </c>
      <c r="D76" s="486" t="s">
        <v>777</v>
      </c>
      <c r="E76" s="486" t="s">
        <v>778</v>
      </c>
      <c r="F76" s="530">
        <v>214</v>
      </c>
      <c r="G76" s="539" t="s">
        <v>779</v>
      </c>
      <c r="H76" s="540" t="s">
        <v>836</v>
      </c>
      <c r="I76" s="549" t="s">
        <v>52</v>
      </c>
      <c r="J76" s="496">
        <v>8</v>
      </c>
      <c r="K76" s="496">
        <v>27.9</v>
      </c>
      <c r="L76" s="703">
        <f t="shared" si="4"/>
        <v>223.2</v>
      </c>
      <c r="M76" s="809">
        <v>43208</v>
      </c>
      <c r="N76" s="496">
        <v>256</v>
      </c>
      <c r="O76" s="555" t="s">
        <v>742</v>
      </c>
      <c r="P76" s="721">
        <f t="shared" si="1"/>
        <v>0</v>
      </c>
      <c r="Q76" s="722">
        <f t="shared" si="2"/>
        <v>223.2</v>
      </c>
      <c r="R76" s="722">
        <f t="shared" si="3"/>
        <v>0</v>
      </c>
      <c r="S76" s="722">
        <f t="shared" si="5"/>
        <v>223.2</v>
      </c>
      <c r="T76" s="725"/>
      <c r="U76" s="726">
        <v>189</v>
      </c>
      <c r="V76" s="712">
        <f t="shared" si="6"/>
        <v>223.2</v>
      </c>
    </row>
    <row r="77" spans="2:22" ht="24.95" customHeight="1">
      <c r="B77" s="494">
        <v>55</v>
      </c>
      <c r="C77" s="495">
        <v>1570</v>
      </c>
      <c r="D77" s="486" t="s">
        <v>777</v>
      </c>
      <c r="E77" s="486" t="s">
        <v>778</v>
      </c>
      <c r="F77" s="530">
        <v>214</v>
      </c>
      <c r="G77" s="539" t="s">
        <v>779</v>
      </c>
      <c r="H77" s="540" t="s">
        <v>837</v>
      </c>
      <c r="I77" s="549" t="s">
        <v>781</v>
      </c>
      <c r="J77" s="496">
        <v>2</v>
      </c>
      <c r="K77" s="496">
        <v>34</v>
      </c>
      <c r="L77" s="703">
        <f t="shared" si="4"/>
        <v>68</v>
      </c>
      <c r="M77" s="809">
        <v>43208</v>
      </c>
      <c r="N77" s="496">
        <v>256</v>
      </c>
      <c r="O77" s="555" t="s">
        <v>742</v>
      </c>
      <c r="P77" s="721">
        <f t="shared" si="1"/>
        <v>0</v>
      </c>
      <c r="Q77" s="722">
        <f t="shared" si="2"/>
        <v>68</v>
      </c>
      <c r="R77" s="722">
        <f t="shared" si="3"/>
        <v>0</v>
      </c>
      <c r="S77" s="722">
        <f t="shared" si="5"/>
        <v>68</v>
      </c>
      <c r="T77" s="725"/>
      <c r="U77" s="726">
        <v>189</v>
      </c>
      <c r="V77" s="712">
        <f t="shared" si="6"/>
        <v>68</v>
      </c>
    </row>
    <row r="78" spans="2:22" ht="24.95" customHeight="1">
      <c r="B78" s="494">
        <v>56</v>
      </c>
      <c r="C78" s="495">
        <v>1570</v>
      </c>
      <c r="D78" s="486" t="s">
        <v>777</v>
      </c>
      <c r="E78" s="486" t="s">
        <v>778</v>
      </c>
      <c r="F78" s="530">
        <v>214</v>
      </c>
      <c r="G78" s="539" t="s">
        <v>779</v>
      </c>
      <c r="H78" s="540" t="s">
        <v>838</v>
      </c>
      <c r="I78" s="549" t="s">
        <v>52</v>
      </c>
      <c r="J78" s="496">
        <v>2</v>
      </c>
      <c r="K78" s="496">
        <v>349</v>
      </c>
      <c r="L78" s="703">
        <f t="shared" si="4"/>
        <v>698</v>
      </c>
      <c r="M78" s="809">
        <v>43208</v>
      </c>
      <c r="N78" s="496">
        <v>256</v>
      </c>
      <c r="O78" s="555" t="s">
        <v>742</v>
      </c>
      <c r="P78" s="721">
        <f t="shared" si="1"/>
        <v>0</v>
      </c>
      <c r="Q78" s="722">
        <f t="shared" si="2"/>
        <v>698</v>
      </c>
      <c r="R78" s="722">
        <f t="shared" si="3"/>
        <v>0</v>
      </c>
      <c r="S78" s="722">
        <f t="shared" si="5"/>
        <v>698</v>
      </c>
      <c r="T78" s="725"/>
      <c r="U78" s="726">
        <v>189</v>
      </c>
      <c r="V78" s="712">
        <f t="shared" si="6"/>
        <v>698</v>
      </c>
    </row>
    <row r="79" spans="2:22" ht="24.95" customHeight="1">
      <c r="B79" s="494">
        <v>57</v>
      </c>
      <c r="C79" s="495">
        <v>1570</v>
      </c>
      <c r="D79" s="486" t="s">
        <v>777</v>
      </c>
      <c r="E79" s="486" t="s">
        <v>778</v>
      </c>
      <c r="F79" s="530">
        <v>214</v>
      </c>
      <c r="G79" s="539" t="s">
        <v>779</v>
      </c>
      <c r="H79" s="540" t="s">
        <v>839</v>
      </c>
      <c r="I79" s="549" t="s">
        <v>52</v>
      </c>
      <c r="J79" s="496">
        <v>1</v>
      </c>
      <c r="K79" s="496">
        <v>14</v>
      </c>
      <c r="L79" s="703">
        <f t="shared" si="4"/>
        <v>14</v>
      </c>
      <c r="M79" s="809">
        <v>43208</v>
      </c>
      <c r="N79" s="496">
        <v>256</v>
      </c>
      <c r="O79" s="555" t="s">
        <v>742</v>
      </c>
      <c r="P79" s="721">
        <f t="shared" si="1"/>
        <v>0</v>
      </c>
      <c r="Q79" s="722">
        <f t="shared" si="2"/>
        <v>14</v>
      </c>
      <c r="R79" s="722">
        <f t="shared" si="3"/>
        <v>0</v>
      </c>
      <c r="S79" s="722">
        <f t="shared" si="5"/>
        <v>14</v>
      </c>
      <c r="T79" s="725"/>
      <c r="U79" s="726">
        <v>189</v>
      </c>
      <c r="V79" s="712">
        <f t="shared" si="6"/>
        <v>14</v>
      </c>
    </row>
    <row r="80" spans="2:22" ht="24.95" customHeight="1">
      <c r="B80" s="494">
        <v>58</v>
      </c>
      <c r="C80" s="495">
        <v>1570</v>
      </c>
      <c r="D80" s="486" t="s">
        <v>777</v>
      </c>
      <c r="E80" s="486" t="s">
        <v>778</v>
      </c>
      <c r="F80" s="530">
        <v>214</v>
      </c>
      <c r="G80" s="539" t="s">
        <v>779</v>
      </c>
      <c r="H80" s="540" t="s">
        <v>840</v>
      </c>
      <c r="I80" s="549" t="s">
        <v>52</v>
      </c>
      <c r="J80" s="496">
        <v>1</v>
      </c>
      <c r="K80" s="496">
        <v>7.9</v>
      </c>
      <c r="L80" s="703">
        <f t="shared" si="4"/>
        <v>7.9</v>
      </c>
      <c r="M80" s="809">
        <v>43208</v>
      </c>
      <c r="N80" s="496">
        <v>256</v>
      </c>
      <c r="O80" s="555" t="s">
        <v>742</v>
      </c>
      <c r="P80" s="721">
        <f t="shared" si="1"/>
        <v>0</v>
      </c>
      <c r="Q80" s="722">
        <f t="shared" si="2"/>
        <v>7.9</v>
      </c>
      <c r="R80" s="722">
        <f t="shared" si="3"/>
        <v>0</v>
      </c>
      <c r="S80" s="722">
        <f t="shared" si="5"/>
        <v>7.9</v>
      </c>
      <c r="T80" s="725"/>
      <c r="U80" s="726">
        <v>189</v>
      </c>
      <c r="V80" s="712">
        <f t="shared" si="6"/>
        <v>7.9</v>
      </c>
    </row>
    <row r="81" spans="2:22" ht="24.95" customHeight="1">
      <c r="B81" s="494">
        <v>59</v>
      </c>
      <c r="C81" s="495">
        <v>1570</v>
      </c>
      <c r="D81" s="486" t="s">
        <v>777</v>
      </c>
      <c r="E81" s="486" t="s">
        <v>778</v>
      </c>
      <c r="F81" s="530">
        <v>214</v>
      </c>
      <c r="G81" s="539" t="s">
        <v>779</v>
      </c>
      <c r="H81" s="540" t="s">
        <v>841</v>
      </c>
      <c r="I81" s="549" t="s">
        <v>52</v>
      </c>
      <c r="J81" s="496">
        <v>2</v>
      </c>
      <c r="K81" s="496">
        <v>94</v>
      </c>
      <c r="L81" s="703">
        <f t="shared" si="4"/>
        <v>188</v>
      </c>
      <c r="M81" s="809">
        <v>43208</v>
      </c>
      <c r="N81" s="496">
        <v>256</v>
      </c>
      <c r="O81" s="555" t="s">
        <v>742</v>
      </c>
      <c r="P81" s="721">
        <f t="shared" si="1"/>
        <v>0</v>
      </c>
      <c r="Q81" s="722">
        <f t="shared" si="2"/>
        <v>188</v>
      </c>
      <c r="R81" s="722">
        <f t="shared" si="3"/>
        <v>0</v>
      </c>
      <c r="S81" s="722">
        <f t="shared" si="5"/>
        <v>188</v>
      </c>
      <c r="T81" s="725"/>
      <c r="U81" s="726">
        <v>189</v>
      </c>
      <c r="V81" s="712">
        <f t="shared" si="6"/>
        <v>188</v>
      </c>
    </row>
    <row r="82" spans="2:22" ht="24.95" customHeight="1">
      <c r="B82" s="494">
        <v>60</v>
      </c>
      <c r="C82" s="495">
        <v>1570</v>
      </c>
      <c r="D82" s="486" t="s">
        <v>777</v>
      </c>
      <c r="E82" s="486" t="s">
        <v>778</v>
      </c>
      <c r="F82" s="530">
        <v>214</v>
      </c>
      <c r="G82" s="539" t="s">
        <v>779</v>
      </c>
      <c r="H82" s="540" t="s">
        <v>842</v>
      </c>
      <c r="I82" s="549" t="s">
        <v>52</v>
      </c>
      <c r="J82" s="496">
        <v>1</v>
      </c>
      <c r="K82" s="496">
        <v>11.9</v>
      </c>
      <c r="L82" s="703">
        <f t="shared" si="4"/>
        <v>11.9</v>
      </c>
      <c r="M82" s="809">
        <v>43208</v>
      </c>
      <c r="N82" s="496">
        <v>256</v>
      </c>
      <c r="O82" s="555" t="s">
        <v>742</v>
      </c>
      <c r="P82" s="721">
        <f t="shared" si="1"/>
        <v>0</v>
      </c>
      <c r="Q82" s="722">
        <f t="shared" si="2"/>
        <v>11.9</v>
      </c>
      <c r="R82" s="722">
        <f t="shared" si="3"/>
        <v>0</v>
      </c>
      <c r="S82" s="722">
        <f t="shared" si="5"/>
        <v>11.9</v>
      </c>
      <c r="T82" s="725"/>
      <c r="U82" s="726">
        <v>189</v>
      </c>
      <c r="V82" s="712">
        <f t="shared" si="6"/>
        <v>11.9</v>
      </c>
    </row>
    <row r="83" spans="2:22" ht="24.95" customHeight="1">
      <c r="B83" s="494">
        <v>61</v>
      </c>
      <c r="C83" s="495">
        <v>1570</v>
      </c>
      <c r="D83" s="486" t="s">
        <v>777</v>
      </c>
      <c r="E83" s="486" t="s">
        <v>778</v>
      </c>
      <c r="F83" s="530">
        <v>214</v>
      </c>
      <c r="G83" s="539" t="s">
        <v>779</v>
      </c>
      <c r="H83" s="540" t="s">
        <v>843</v>
      </c>
      <c r="I83" s="549" t="s">
        <v>52</v>
      </c>
      <c r="J83" s="496">
        <v>1</v>
      </c>
      <c r="K83" s="496">
        <v>36.9</v>
      </c>
      <c r="L83" s="703">
        <f t="shared" si="4"/>
        <v>36.9</v>
      </c>
      <c r="M83" s="809">
        <v>43208</v>
      </c>
      <c r="N83" s="496">
        <v>256</v>
      </c>
      <c r="O83" s="555" t="s">
        <v>742</v>
      </c>
      <c r="P83" s="721">
        <f t="shared" si="1"/>
        <v>0</v>
      </c>
      <c r="Q83" s="722">
        <f t="shared" si="2"/>
        <v>36.9</v>
      </c>
      <c r="R83" s="722">
        <f t="shared" si="3"/>
        <v>0</v>
      </c>
      <c r="S83" s="722">
        <f t="shared" si="5"/>
        <v>36.9</v>
      </c>
      <c r="T83" s="725"/>
      <c r="U83" s="726">
        <v>189</v>
      </c>
      <c r="V83" s="712">
        <f t="shared" si="6"/>
        <v>36.9</v>
      </c>
    </row>
    <row r="84" spans="2:22" ht="24.95" customHeight="1">
      <c r="B84" s="494">
        <v>62</v>
      </c>
      <c r="C84" s="495">
        <v>1570</v>
      </c>
      <c r="D84" s="486" t="s">
        <v>777</v>
      </c>
      <c r="E84" s="486" t="s">
        <v>778</v>
      </c>
      <c r="F84" s="530">
        <v>214</v>
      </c>
      <c r="G84" s="539" t="s">
        <v>779</v>
      </c>
      <c r="H84" s="540" t="s">
        <v>844</v>
      </c>
      <c r="I84" s="549" t="s">
        <v>52</v>
      </c>
      <c r="J84" s="496">
        <v>1</v>
      </c>
      <c r="K84" s="496">
        <v>2.5</v>
      </c>
      <c r="L84" s="703">
        <f t="shared" si="4"/>
        <v>2.5</v>
      </c>
      <c r="M84" s="809">
        <v>43208</v>
      </c>
      <c r="N84" s="496">
        <v>256</v>
      </c>
      <c r="O84" s="555" t="s">
        <v>742</v>
      </c>
      <c r="P84" s="721">
        <f t="shared" si="1"/>
        <v>0</v>
      </c>
      <c r="Q84" s="722">
        <f t="shared" si="2"/>
        <v>2.5</v>
      </c>
      <c r="R84" s="722">
        <f t="shared" si="3"/>
        <v>0</v>
      </c>
      <c r="S84" s="722">
        <f t="shared" si="5"/>
        <v>2.5</v>
      </c>
      <c r="T84" s="725"/>
      <c r="U84" s="726">
        <v>189</v>
      </c>
      <c r="V84" s="712">
        <f t="shared" si="6"/>
        <v>2.5</v>
      </c>
    </row>
    <row r="85" spans="2:22" ht="24.95" customHeight="1">
      <c r="B85" s="494">
        <v>63</v>
      </c>
      <c r="C85" s="495">
        <v>1570</v>
      </c>
      <c r="D85" s="486" t="s">
        <v>777</v>
      </c>
      <c r="E85" s="486" t="s">
        <v>778</v>
      </c>
      <c r="F85" s="530">
        <v>214</v>
      </c>
      <c r="G85" s="539" t="s">
        <v>779</v>
      </c>
      <c r="H85" s="540" t="s">
        <v>845</v>
      </c>
      <c r="I85" s="549" t="s">
        <v>52</v>
      </c>
      <c r="J85" s="496">
        <v>3</v>
      </c>
      <c r="K85" s="496">
        <v>2</v>
      </c>
      <c r="L85" s="703">
        <f t="shared" si="4"/>
        <v>6</v>
      </c>
      <c r="M85" s="809">
        <v>43208</v>
      </c>
      <c r="N85" s="496">
        <v>256</v>
      </c>
      <c r="O85" s="555" t="s">
        <v>742</v>
      </c>
      <c r="P85" s="721">
        <f t="shared" si="1"/>
        <v>0</v>
      </c>
      <c r="Q85" s="722">
        <f t="shared" si="2"/>
        <v>6</v>
      </c>
      <c r="R85" s="722">
        <f t="shared" si="3"/>
        <v>0</v>
      </c>
      <c r="S85" s="722">
        <f t="shared" si="5"/>
        <v>6</v>
      </c>
      <c r="T85" s="725"/>
      <c r="U85" s="726">
        <v>189</v>
      </c>
      <c r="V85" s="712">
        <f t="shared" si="6"/>
        <v>6</v>
      </c>
    </row>
    <row r="86" spans="2:22" ht="24.95" customHeight="1">
      <c r="B86" s="494">
        <v>64</v>
      </c>
      <c r="C86" s="495">
        <v>1570</v>
      </c>
      <c r="D86" s="486" t="s">
        <v>777</v>
      </c>
      <c r="E86" s="486" t="s">
        <v>778</v>
      </c>
      <c r="F86" s="530">
        <v>214</v>
      </c>
      <c r="G86" s="539" t="s">
        <v>779</v>
      </c>
      <c r="H86" s="540" t="s">
        <v>846</v>
      </c>
      <c r="I86" s="549" t="s">
        <v>52</v>
      </c>
      <c r="J86" s="496">
        <v>1</v>
      </c>
      <c r="K86" s="496">
        <v>52.5</v>
      </c>
      <c r="L86" s="703">
        <f t="shared" si="4"/>
        <v>52.5</v>
      </c>
      <c r="M86" s="809">
        <v>43208</v>
      </c>
      <c r="N86" s="496">
        <v>256</v>
      </c>
      <c r="O86" s="555" t="s">
        <v>742</v>
      </c>
      <c r="P86" s="721">
        <f t="shared" si="1"/>
        <v>0</v>
      </c>
      <c r="Q86" s="722">
        <f t="shared" si="2"/>
        <v>52.5</v>
      </c>
      <c r="R86" s="722">
        <f t="shared" si="3"/>
        <v>0</v>
      </c>
      <c r="S86" s="722">
        <f t="shared" si="5"/>
        <v>52.5</v>
      </c>
      <c r="T86" s="725"/>
      <c r="U86" s="726">
        <v>189</v>
      </c>
      <c r="V86" s="712">
        <f t="shared" si="6"/>
        <v>52.5</v>
      </c>
    </row>
    <row r="87" spans="2:22" ht="24.95" customHeight="1">
      <c r="B87" s="494">
        <v>65</v>
      </c>
      <c r="C87" s="495">
        <v>1570</v>
      </c>
      <c r="D87" s="486" t="s">
        <v>777</v>
      </c>
      <c r="E87" s="486" t="s">
        <v>778</v>
      </c>
      <c r="F87" s="530">
        <v>214</v>
      </c>
      <c r="G87" s="539" t="s">
        <v>779</v>
      </c>
      <c r="H87" s="540" t="s">
        <v>847</v>
      </c>
      <c r="I87" s="549" t="s">
        <v>52</v>
      </c>
      <c r="J87" s="496">
        <v>1</v>
      </c>
      <c r="K87" s="496">
        <v>16</v>
      </c>
      <c r="L87" s="703">
        <f t="shared" si="4"/>
        <v>16</v>
      </c>
      <c r="M87" s="809">
        <v>43208</v>
      </c>
      <c r="N87" s="496">
        <v>256</v>
      </c>
      <c r="O87" s="555" t="s">
        <v>742</v>
      </c>
      <c r="P87" s="721">
        <f t="shared" si="1"/>
        <v>0</v>
      </c>
      <c r="Q87" s="722">
        <f t="shared" si="2"/>
        <v>16</v>
      </c>
      <c r="R87" s="722">
        <f t="shared" si="3"/>
        <v>0</v>
      </c>
      <c r="S87" s="722">
        <f t="shared" si="5"/>
        <v>16</v>
      </c>
      <c r="T87" s="725"/>
      <c r="U87" s="726">
        <v>189</v>
      </c>
      <c r="V87" s="712">
        <f t="shared" si="6"/>
        <v>16</v>
      </c>
    </row>
    <row r="88" spans="2:22" ht="24.95" customHeight="1">
      <c r="B88" s="494">
        <v>66</v>
      </c>
      <c r="C88" s="495">
        <v>1570</v>
      </c>
      <c r="D88" s="486" t="s">
        <v>777</v>
      </c>
      <c r="E88" s="486" t="s">
        <v>778</v>
      </c>
      <c r="F88" s="530">
        <v>214</v>
      </c>
      <c r="G88" s="539" t="s">
        <v>779</v>
      </c>
      <c r="H88" s="540" t="s">
        <v>848</v>
      </c>
      <c r="I88" s="549" t="s">
        <v>52</v>
      </c>
      <c r="J88" s="496">
        <v>1</v>
      </c>
      <c r="K88" s="496">
        <v>18</v>
      </c>
      <c r="L88" s="703">
        <f t="shared" ref="L88:L110" si="7">ROUND(J88*K88,2)</f>
        <v>18</v>
      </c>
      <c r="M88" s="809">
        <v>43208</v>
      </c>
      <c r="N88" s="496">
        <v>256</v>
      </c>
      <c r="O88" s="555" t="s">
        <v>742</v>
      </c>
      <c r="P88" s="721">
        <f t="shared" si="1"/>
        <v>0</v>
      </c>
      <c r="Q88" s="722">
        <f t="shared" si="2"/>
        <v>18</v>
      </c>
      <c r="R88" s="722">
        <f t="shared" si="3"/>
        <v>0</v>
      </c>
      <c r="S88" s="722">
        <f t="shared" ref="S88:S110" si="8">SUM(P88:R88)</f>
        <v>18</v>
      </c>
      <c r="T88" s="725"/>
      <c r="U88" s="726">
        <v>189</v>
      </c>
      <c r="V88" s="712">
        <f t="shared" ref="V88:V111" si="9">SUM(S88:T88)</f>
        <v>18</v>
      </c>
    </row>
    <row r="89" spans="2:22" ht="24.95" customHeight="1">
      <c r="B89" s="494">
        <v>67</v>
      </c>
      <c r="C89" s="495">
        <v>1570</v>
      </c>
      <c r="D89" s="486" t="s">
        <v>777</v>
      </c>
      <c r="E89" s="486" t="s">
        <v>778</v>
      </c>
      <c r="F89" s="530">
        <v>214</v>
      </c>
      <c r="G89" s="539" t="s">
        <v>779</v>
      </c>
      <c r="H89" s="540" t="s">
        <v>849</v>
      </c>
      <c r="I89" s="549" t="s">
        <v>52</v>
      </c>
      <c r="J89" s="496">
        <v>3</v>
      </c>
      <c r="K89" s="496">
        <v>5.5</v>
      </c>
      <c r="L89" s="703">
        <f t="shared" si="7"/>
        <v>16.5</v>
      </c>
      <c r="M89" s="809">
        <v>43208</v>
      </c>
      <c r="N89" s="496">
        <v>256</v>
      </c>
      <c r="O89" s="555" t="s">
        <v>742</v>
      </c>
      <c r="P89" s="721">
        <f t="shared" si="1"/>
        <v>0</v>
      </c>
      <c r="Q89" s="722">
        <f t="shared" si="2"/>
        <v>16.5</v>
      </c>
      <c r="R89" s="722">
        <f t="shared" si="3"/>
        <v>0</v>
      </c>
      <c r="S89" s="722">
        <f t="shared" si="8"/>
        <v>16.5</v>
      </c>
      <c r="T89" s="725"/>
      <c r="U89" s="726">
        <v>189</v>
      </c>
      <c r="V89" s="712">
        <f t="shared" si="9"/>
        <v>16.5</v>
      </c>
    </row>
    <row r="90" spans="2:22" ht="24.95" customHeight="1">
      <c r="B90" s="494">
        <v>68</v>
      </c>
      <c r="C90" s="495">
        <v>1570</v>
      </c>
      <c r="D90" s="486" t="s">
        <v>777</v>
      </c>
      <c r="E90" s="486" t="s">
        <v>778</v>
      </c>
      <c r="F90" s="530">
        <v>214</v>
      </c>
      <c r="G90" s="539" t="s">
        <v>779</v>
      </c>
      <c r="H90" s="540" t="s">
        <v>850</v>
      </c>
      <c r="I90" s="549" t="s">
        <v>808</v>
      </c>
      <c r="J90" s="496">
        <v>5</v>
      </c>
      <c r="K90" s="496">
        <v>5.5</v>
      </c>
      <c r="L90" s="703">
        <f t="shared" si="7"/>
        <v>27.5</v>
      </c>
      <c r="M90" s="809">
        <v>43208</v>
      </c>
      <c r="N90" s="496">
        <v>256</v>
      </c>
      <c r="O90" s="555" t="s">
        <v>742</v>
      </c>
      <c r="P90" s="721">
        <f t="shared" si="1"/>
        <v>0</v>
      </c>
      <c r="Q90" s="722">
        <f t="shared" si="2"/>
        <v>27.5</v>
      </c>
      <c r="R90" s="722">
        <f t="shared" si="3"/>
        <v>0</v>
      </c>
      <c r="S90" s="722">
        <f t="shared" si="8"/>
        <v>27.5</v>
      </c>
      <c r="T90" s="725"/>
      <c r="U90" s="726">
        <v>189</v>
      </c>
      <c r="V90" s="712">
        <f t="shared" si="9"/>
        <v>27.5</v>
      </c>
    </row>
    <row r="91" spans="2:22" ht="24.95" customHeight="1">
      <c r="B91" s="494">
        <v>69</v>
      </c>
      <c r="C91" s="495">
        <v>1570</v>
      </c>
      <c r="D91" s="486" t="s">
        <v>777</v>
      </c>
      <c r="E91" s="486" t="s">
        <v>778</v>
      </c>
      <c r="F91" s="530">
        <v>214</v>
      </c>
      <c r="G91" s="539" t="s">
        <v>779</v>
      </c>
      <c r="H91" s="540" t="s">
        <v>851</v>
      </c>
      <c r="I91" s="549" t="s">
        <v>52</v>
      </c>
      <c r="J91" s="496">
        <v>5</v>
      </c>
      <c r="K91" s="496">
        <v>62.9</v>
      </c>
      <c r="L91" s="703">
        <f t="shared" si="7"/>
        <v>314.5</v>
      </c>
      <c r="M91" s="809">
        <v>43208</v>
      </c>
      <c r="N91" s="496">
        <v>256</v>
      </c>
      <c r="O91" s="555" t="s">
        <v>742</v>
      </c>
      <c r="P91" s="721">
        <f t="shared" si="1"/>
        <v>0</v>
      </c>
      <c r="Q91" s="722">
        <f t="shared" si="2"/>
        <v>314.5</v>
      </c>
      <c r="R91" s="722">
        <f t="shared" si="3"/>
        <v>0</v>
      </c>
      <c r="S91" s="722">
        <f t="shared" si="8"/>
        <v>314.5</v>
      </c>
      <c r="T91" s="725"/>
      <c r="U91" s="726">
        <v>189</v>
      </c>
      <c r="V91" s="712">
        <f t="shared" si="9"/>
        <v>314.5</v>
      </c>
    </row>
    <row r="92" spans="2:22" ht="24.95" customHeight="1">
      <c r="B92" s="494">
        <v>70</v>
      </c>
      <c r="C92" s="495">
        <v>1570</v>
      </c>
      <c r="D92" s="486" t="s">
        <v>777</v>
      </c>
      <c r="E92" s="486" t="s">
        <v>778</v>
      </c>
      <c r="F92" s="530">
        <v>214</v>
      </c>
      <c r="G92" s="539" t="s">
        <v>779</v>
      </c>
      <c r="H92" s="540" t="s">
        <v>852</v>
      </c>
      <c r="I92" s="549" t="s">
        <v>52</v>
      </c>
      <c r="J92" s="496">
        <v>10</v>
      </c>
      <c r="K92" s="496">
        <v>13.9</v>
      </c>
      <c r="L92" s="703">
        <f t="shared" si="7"/>
        <v>139</v>
      </c>
      <c r="M92" s="809">
        <v>43208</v>
      </c>
      <c r="N92" s="496">
        <v>256</v>
      </c>
      <c r="O92" s="555" t="s">
        <v>742</v>
      </c>
      <c r="P92" s="721">
        <f t="shared" si="1"/>
        <v>0</v>
      </c>
      <c r="Q92" s="722">
        <f t="shared" si="2"/>
        <v>139</v>
      </c>
      <c r="R92" s="722">
        <f t="shared" si="3"/>
        <v>0</v>
      </c>
      <c r="S92" s="722">
        <f t="shared" si="8"/>
        <v>139</v>
      </c>
      <c r="T92" s="725"/>
      <c r="U92" s="726">
        <v>189</v>
      </c>
      <c r="V92" s="712">
        <f t="shared" si="9"/>
        <v>139</v>
      </c>
    </row>
    <row r="93" spans="2:22" ht="24.95" customHeight="1">
      <c r="B93" s="494">
        <v>71</v>
      </c>
      <c r="C93" s="495">
        <v>1570</v>
      </c>
      <c r="D93" s="486" t="s">
        <v>777</v>
      </c>
      <c r="E93" s="486" t="s">
        <v>778</v>
      </c>
      <c r="F93" s="530">
        <v>214</v>
      </c>
      <c r="G93" s="539" t="s">
        <v>779</v>
      </c>
      <c r="H93" s="540" t="s">
        <v>853</v>
      </c>
      <c r="I93" s="549" t="s">
        <v>52</v>
      </c>
      <c r="J93" s="496">
        <v>3</v>
      </c>
      <c r="K93" s="496">
        <v>27.9</v>
      </c>
      <c r="L93" s="703">
        <f t="shared" si="7"/>
        <v>83.7</v>
      </c>
      <c r="M93" s="809">
        <v>43208</v>
      </c>
      <c r="N93" s="496">
        <v>256</v>
      </c>
      <c r="O93" s="555" t="s">
        <v>742</v>
      </c>
      <c r="P93" s="721">
        <f t="shared" si="1"/>
        <v>0</v>
      </c>
      <c r="Q93" s="722">
        <f t="shared" si="2"/>
        <v>83.7</v>
      </c>
      <c r="R93" s="722">
        <f t="shared" si="3"/>
        <v>0</v>
      </c>
      <c r="S93" s="722">
        <f t="shared" si="8"/>
        <v>83.7</v>
      </c>
      <c r="T93" s="725"/>
      <c r="U93" s="726">
        <v>189</v>
      </c>
      <c r="V93" s="712">
        <f t="shared" si="9"/>
        <v>83.7</v>
      </c>
    </row>
    <row r="94" spans="2:22" ht="24.95" customHeight="1">
      <c r="B94" s="494">
        <v>72</v>
      </c>
      <c r="C94" s="495">
        <v>1628</v>
      </c>
      <c r="D94" s="486" t="s">
        <v>854</v>
      </c>
      <c r="E94" s="486" t="s">
        <v>778</v>
      </c>
      <c r="F94" s="530">
        <v>240</v>
      </c>
      <c r="G94" s="539" t="s">
        <v>855</v>
      </c>
      <c r="H94" s="540" t="s">
        <v>856</v>
      </c>
      <c r="I94" s="549" t="s">
        <v>52</v>
      </c>
      <c r="J94" s="496">
        <v>269</v>
      </c>
      <c r="K94" s="496">
        <v>6.5</v>
      </c>
      <c r="L94" s="703">
        <f t="shared" si="7"/>
        <v>1748.5</v>
      </c>
      <c r="M94" s="809">
        <v>43216</v>
      </c>
      <c r="N94" s="496">
        <v>671</v>
      </c>
      <c r="O94" s="555" t="s">
        <v>742</v>
      </c>
      <c r="P94" s="721">
        <f t="shared" si="1"/>
        <v>0</v>
      </c>
      <c r="Q94" s="722">
        <f>J94*K94</f>
        <v>1748.5</v>
      </c>
      <c r="R94" s="722">
        <f t="shared" si="3"/>
        <v>0</v>
      </c>
      <c r="S94" s="722">
        <f t="shared" si="8"/>
        <v>1748.5</v>
      </c>
      <c r="T94" s="725"/>
      <c r="U94" s="726">
        <v>227</v>
      </c>
      <c r="V94" s="712">
        <f t="shared" si="9"/>
        <v>1748.5</v>
      </c>
    </row>
    <row r="95" spans="2:22" ht="24.95" customHeight="1">
      <c r="B95" s="494">
        <v>73</v>
      </c>
      <c r="C95" s="495">
        <v>1628</v>
      </c>
      <c r="D95" s="486" t="s">
        <v>854</v>
      </c>
      <c r="E95" s="486" t="s">
        <v>778</v>
      </c>
      <c r="F95" s="530">
        <v>240</v>
      </c>
      <c r="G95" s="539" t="s">
        <v>855</v>
      </c>
      <c r="H95" s="540" t="s">
        <v>857</v>
      </c>
      <c r="I95" s="549" t="s">
        <v>52</v>
      </c>
      <c r="J95" s="496">
        <v>11</v>
      </c>
      <c r="K95" s="496">
        <v>42.8</v>
      </c>
      <c r="L95" s="703">
        <f t="shared" si="7"/>
        <v>470.8</v>
      </c>
      <c r="M95" s="809">
        <v>43216</v>
      </c>
      <c r="N95" s="496">
        <v>671</v>
      </c>
      <c r="O95" s="555" t="s">
        <v>742</v>
      </c>
      <c r="P95" s="721">
        <f t="shared" si="1"/>
        <v>0</v>
      </c>
      <c r="Q95" s="722">
        <f>IF($O95=$Q$15,$L95,)</f>
        <v>470.8</v>
      </c>
      <c r="R95" s="722">
        <f t="shared" si="3"/>
        <v>0</v>
      </c>
      <c r="S95" s="722">
        <f t="shared" si="8"/>
        <v>470.8</v>
      </c>
      <c r="T95" s="725"/>
      <c r="U95" s="726">
        <v>227</v>
      </c>
      <c r="V95" s="712">
        <f t="shared" si="9"/>
        <v>470.8</v>
      </c>
    </row>
    <row r="96" spans="2:22" ht="24.95" customHeight="1">
      <c r="B96" s="494">
        <v>74</v>
      </c>
      <c r="C96" s="495">
        <v>1628</v>
      </c>
      <c r="D96" s="486" t="s">
        <v>854</v>
      </c>
      <c r="E96" s="486" t="s">
        <v>778</v>
      </c>
      <c r="F96" s="530">
        <v>240</v>
      </c>
      <c r="G96" s="539" t="s">
        <v>855</v>
      </c>
      <c r="H96" s="540" t="s">
        <v>858</v>
      </c>
      <c r="I96" s="549" t="s">
        <v>52</v>
      </c>
      <c r="J96" s="496">
        <v>27</v>
      </c>
      <c r="K96" s="496">
        <v>39</v>
      </c>
      <c r="L96" s="703">
        <f t="shared" si="7"/>
        <v>1053</v>
      </c>
      <c r="M96" s="809">
        <v>43216</v>
      </c>
      <c r="N96" s="496">
        <v>671</v>
      </c>
      <c r="O96" s="555" t="s">
        <v>742</v>
      </c>
      <c r="P96" s="721">
        <f t="shared" si="1"/>
        <v>0</v>
      </c>
      <c r="Q96" s="722">
        <f t="shared" si="2"/>
        <v>1053</v>
      </c>
      <c r="R96" s="722">
        <f t="shared" si="3"/>
        <v>0</v>
      </c>
      <c r="S96" s="722">
        <f t="shared" si="8"/>
        <v>1053</v>
      </c>
      <c r="T96" s="725"/>
      <c r="U96" s="726">
        <v>227</v>
      </c>
      <c r="V96" s="712">
        <f t="shared" si="9"/>
        <v>1053</v>
      </c>
    </row>
    <row r="97" spans="2:22" ht="24.95" customHeight="1">
      <c r="B97" s="494">
        <v>75</v>
      </c>
      <c r="C97" s="495">
        <v>1629</v>
      </c>
      <c r="D97" s="486" t="s">
        <v>854</v>
      </c>
      <c r="E97" s="486" t="s">
        <v>778</v>
      </c>
      <c r="F97" s="530">
        <v>239</v>
      </c>
      <c r="G97" s="539" t="s">
        <v>859</v>
      </c>
      <c r="H97" s="540" t="s">
        <v>860</v>
      </c>
      <c r="I97" s="549" t="s">
        <v>52</v>
      </c>
      <c r="J97" s="496">
        <v>22</v>
      </c>
      <c r="K97" s="496">
        <v>11.05</v>
      </c>
      <c r="L97" s="703">
        <f t="shared" si="7"/>
        <v>243.1</v>
      </c>
      <c r="M97" s="809">
        <v>43213</v>
      </c>
      <c r="N97" s="496">
        <v>209</v>
      </c>
      <c r="O97" s="555" t="s">
        <v>742</v>
      </c>
      <c r="P97" s="721">
        <f t="shared" si="1"/>
        <v>0</v>
      </c>
      <c r="Q97" s="722">
        <f t="shared" si="2"/>
        <v>243.1</v>
      </c>
      <c r="R97" s="722">
        <f t="shared" si="3"/>
        <v>0</v>
      </c>
      <c r="S97" s="722">
        <f t="shared" si="8"/>
        <v>243.1</v>
      </c>
      <c r="T97" s="725"/>
      <c r="U97" s="726">
        <v>197</v>
      </c>
      <c r="V97" s="712">
        <f t="shared" si="9"/>
        <v>243.1</v>
      </c>
    </row>
    <row r="98" spans="2:22" ht="24.95" customHeight="1">
      <c r="B98" s="494">
        <v>76</v>
      </c>
      <c r="C98" s="495">
        <v>1792</v>
      </c>
      <c r="D98" s="486" t="s">
        <v>764</v>
      </c>
      <c r="E98" s="486" t="s">
        <v>778</v>
      </c>
      <c r="F98" s="530">
        <v>279</v>
      </c>
      <c r="G98" s="539" t="s">
        <v>779</v>
      </c>
      <c r="H98" s="540" t="s">
        <v>861</v>
      </c>
      <c r="I98" s="549" t="s">
        <v>52</v>
      </c>
      <c r="J98" s="496">
        <v>12</v>
      </c>
      <c r="K98" s="496">
        <v>1.4</v>
      </c>
      <c r="L98" s="703">
        <f t="shared" si="7"/>
        <v>16.8</v>
      </c>
      <c r="M98" s="809">
        <v>43223</v>
      </c>
      <c r="N98" s="496">
        <v>292</v>
      </c>
      <c r="O98" s="555" t="s">
        <v>742</v>
      </c>
      <c r="P98" s="721">
        <f t="shared" si="1"/>
        <v>0</v>
      </c>
      <c r="Q98" s="722">
        <f t="shared" si="2"/>
        <v>16.8</v>
      </c>
      <c r="R98" s="722">
        <f t="shared" si="3"/>
        <v>0</v>
      </c>
      <c r="S98" s="722">
        <f t="shared" si="8"/>
        <v>16.8</v>
      </c>
      <c r="T98" s="725"/>
      <c r="U98" s="726">
        <v>239</v>
      </c>
      <c r="V98" s="712">
        <f t="shared" si="9"/>
        <v>16.8</v>
      </c>
    </row>
    <row r="99" spans="2:22" ht="24.95" customHeight="1">
      <c r="B99" s="494">
        <v>77</v>
      </c>
      <c r="C99" s="495">
        <v>1792</v>
      </c>
      <c r="D99" s="486" t="s">
        <v>764</v>
      </c>
      <c r="E99" s="486" t="s">
        <v>778</v>
      </c>
      <c r="F99" s="530">
        <v>279</v>
      </c>
      <c r="G99" s="539" t="s">
        <v>779</v>
      </c>
      <c r="H99" s="540" t="s">
        <v>862</v>
      </c>
      <c r="I99" s="549" t="s">
        <v>781</v>
      </c>
      <c r="J99" s="496">
        <v>1</v>
      </c>
      <c r="K99" s="496">
        <v>34.9</v>
      </c>
      <c r="L99" s="703">
        <f t="shared" si="7"/>
        <v>34.9</v>
      </c>
      <c r="M99" s="809">
        <v>43223</v>
      </c>
      <c r="N99" s="496">
        <v>292</v>
      </c>
      <c r="O99" s="555" t="s">
        <v>742</v>
      </c>
      <c r="P99" s="721">
        <f t="shared" si="1"/>
        <v>0</v>
      </c>
      <c r="Q99" s="722">
        <f t="shared" si="2"/>
        <v>34.9</v>
      </c>
      <c r="R99" s="722">
        <f t="shared" si="3"/>
        <v>0</v>
      </c>
      <c r="S99" s="722">
        <f t="shared" si="8"/>
        <v>34.9</v>
      </c>
      <c r="T99" s="725"/>
      <c r="U99" s="726">
        <v>239</v>
      </c>
      <c r="V99" s="712">
        <f t="shared" si="9"/>
        <v>34.9</v>
      </c>
    </row>
    <row r="100" spans="2:22" ht="24.95" customHeight="1">
      <c r="B100" s="494">
        <v>78</v>
      </c>
      <c r="C100" s="495">
        <v>1792</v>
      </c>
      <c r="D100" s="486" t="s">
        <v>764</v>
      </c>
      <c r="E100" s="486" t="s">
        <v>778</v>
      </c>
      <c r="F100" s="530">
        <v>279</v>
      </c>
      <c r="G100" s="539" t="s">
        <v>779</v>
      </c>
      <c r="H100" s="540" t="s">
        <v>863</v>
      </c>
      <c r="I100" s="549" t="s">
        <v>52</v>
      </c>
      <c r="J100" s="496">
        <v>6</v>
      </c>
      <c r="K100" s="496">
        <v>10</v>
      </c>
      <c r="L100" s="703">
        <f t="shared" si="7"/>
        <v>60</v>
      </c>
      <c r="M100" s="809">
        <v>43223</v>
      </c>
      <c r="N100" s="496">
        <v>292</v>
      </c>
      <c r="O100" s="555" t="s">
        <v>742</v>
      </c>
      <c r="P100" s="721">
        <f t="shared" si="1"/>
        <v>0</v>
      </c>
      <c r="Q100" s="722">
        <f t="shared" si="2"/>
        <v>60</v>
      </c>
      <c r="R100" s="722">
        <f t="shared" si="3"/>
        <v>0</v>
      </c>
      <c r="S100" s="722">
        <f t="shared" si="8"/>
        <v>60</v>
      </c>
      <c r="T100" s="725"/>
      <c r="U100" s="726">
        <v>239</v>
      </c>
      <c r="V100" s="712">
        <f t="shared" si="9"/>
        <v>60</v>
      </c>
    </row>
    <row r="101" spans="2:22" ht="24.95" customHeight="1">
      <c r="B101" s="494">
        <v>79</v>
      </c>
      <c r="C101" s="495">
        <v>1792</v>
      </c>
      <c r="D101" s="486" t="s">
        <v>764</v>
      </c>
      <c r="E101" s="486" t="s">
        <v>778</v>
      </c>
      <c r="F101" s="530">
        <v>279</v>
      </c>
      <c r="G101" s="539" t="s">
        <v>779</v>
      </c>
      <c r="H101" s="540" t="s">
        <v>864</v>
      </c>
      <c r="I101" s="549" t="s">
        <v>52</v>
      </c>
      <c r="J101" s="496">
        <v>2</v>
      </c>
      <c r="K101" s="496">
        <v>19</v>
      </c>
      <c r="L101" s="703">
        <f t="shared" si="7"/>
        <v>38</v>
      </c>
      <c r="M101" s="809">
        <v>43223</v>
      </c>
      <c r="N101" s="496">
        <v>292</v>
      </c>
      <c r="O101" s="555" t="s">
        <v>742</v>
      </c>
      <c r="P101" s="721">
        <f t="shared" si="1"/>
        <v>0</v>
      </c>
      <c r="Q101" s="722">
        <f t="shared" si="2"/>
        <v>38</v>
      </c>
      <c r="R101" s="722">
        <f t="shared" si="3"/>
        <v>0</v>
      </c>
      <c r="S101" s="722">
        <f t="shared" si="8"/>
        <v>38</v>
      </c>
      <c r="T101" s="725"/>
      <c r="U101" s="726">
        <v>239</v>
      </c>
      <c r="V101" s="712">
        <f t="shared" si="9"/>
        <v>38</v>
      </c>
    </row>
    <row r="102" spans="2:22" ht="24.95" customHeight="1">
      <c r="B102" s="494">
        <v>80</v>
      </c>
      <c r="C102" s="495">
        <v>1792</v>
      </c>
      <c r="D102" s="486" t="s">
        <v>764</v>
      </c>
      <c r="E102" s="486" t="s">
        <v>778</v>
      </c>
      <c r="F102" s="530">
        <v>279</v>
      </c>
      <c r="G102" s="539" t="s">
        <v>779</v>
      </c>
      <c r="H102" s="540" t="s">
        <v>865</v>
      </c>
      <c r="I102" s="549" t="s">
        <v>52</v>
      </c>
      <c r="J102" s="496">
        <v>425</v>
      </c>
      <c r="K102" s="496">
        <v>2.4900000000000002</v>
      </c>
      <c r="L102" s="703">
        <f t="shared" si="7"/>
        <v>1058.25</v>
      </c>
      <c r="M102" s="809">
        <v>43223</v>
      </c>
      <c r="N102" s="496">
        <v>292</v>
      </c>
      <c r="O102" s="555" t="s">
        <v>742</v>
      </c>
      <c r="P102" s="721">
        <f t="shared" si="1"/>
        <v>0</v>
      </c>
      <c r="Q102" s="722">
        <f t="shared" si="2"/>
        <v>1058.25</v>
      </c>
      <c r="R102" s="722">
        <f t="shared" si="3"/>
        <v>0</v>
      </c>
      <c r="S102" s="722">
        <f t="shared" si="8"/>
        <v>1058.25</v>
      </c>
      <c r="T102" s="725"/>
      <c r="U102" s="726">
        <v>239</v>
      </c>
      <c r="V102" s="712">
        <f t="shared" si="9"/>
        <v>1058.25</v>
      </c>
    </row>
    <row r="103" spans="2:22" ht="24.95" customHeight="1">
      <c r="B103" s="494">
        <v>81</v>
      </c>
      <c r="C103" s="495">
        <v>1792</v>
      </c>
      <c r="D103" s="486" t="s">
        <v>764</v>
      </c>
      <c r="E103" s="486" t="s">
        <v>778</v>
      </c>
      <c r="F103" s="530">
        <v>279</v>
      </c>
      <c r="G103" s="539" t="s">
        <v>779</v>
      </c>
      <c r="H103" s="540" t="s">
        <v>866</v>
      </c>
      <c r="I103" s="549" t="s">
        <v>52</v>
      </c>
      <c r="J103" s="496">
        <v>22</v>
      </c>
      <c r="K103" s="496">
        <v>19.3</v>
      </c>
      <c r="L103" s="703">
        <f t="shared" si="7"/>
        <v>424.6</v>
      </c>
      <c r="M103" s="809">
        <v>43223</v>
      </c>
      <c r="N103" s="496">
        <v>292</v>
      </c>
      <c r="O103" s="555" t="s">
        <v>742</v>
      </c>
      <c r="P103" s="721">
        <f t="shared" si="1"/>
        <v>0</v>
      </c>
      <c r="Q103" s="722">
        <f t="shared" si="2"/>
        <v>424.6</v>
      </c>
      <c r="R103" s="722">
        <f t="shared" si="3"/>
        <v>0</v>
      </c>
      <c r="S103" s="722">
        <f t="shared" si="8"/>
        <v>424.6</v>
      </c>
      <c r="T103" s="725"/>
      <c r="U103" s="726">
        <v>239</v>
      </c>
      <c r="V103" s="712">
        <f t="shared" si="9"/>
        <v>424.6</v>
      </c>
    </row>
    <row r="104" spans="2:22" ht="24.95" customHeight="1">
      <c r="B104" s="494">
        <v>82</v>
      </c>
      <c r="C104" s="495">
        <v>1792</v>
      </c>
      <c r="D104" s="486" t="s">
        <v>764</v>
      </c>
      <c r="E104" s="486" t="s">
        <v>778</v>
      </c>
      <c r="F104" s="530">
        <v>279</v>
      </c>
      <c r="G104" s="539" t="s">
        <v>779</v>
      </c>
      <c r="H104" s="540" t="s">
        <v>867</v>
      </c>
      <c r="I104" s="549" t="s">
        <v>52</v>
      </c>
      <c r="J104" s="496">
        <v>5</v>
      </c>
      <c r="K104" s="496">
        <v>10.3</v>
      </c>
      <c r="L104" s="703">
        <f t="shared" si="7"/>
        <v>51.5</v>
      </c>
      <c r="M104" s="809">
        <v>43223</v>
      </c>
      <c r="N104" s="496">
        <v>292</v>
      </c>
      <c r="O104" s="555" t="s">
        <v>742</v>
      </c>
      <c r="P104" s="721">
        <f t="shared" si="1"/>
        <v>0</v>
      </c>
      <c r="Q104" s="722">
        <f t="shared" si="2"/>
        <v>51.5</v>
      </c>
      <c r="R104" s="722">
        <f t="shared" si="3"/>
        <v>0</v>
      </c>
      <c r="S104" s="722">
        <f t="shared" si="8"/>
        <v>51.5</v>
      </c>
      <c r="T104" s="725"/>
      <c r="U104" s="726">
        <v>239</v>
      </c>
      <c r="V104" s="712">
        <f t="shared" si="9"/>
        <v>51.5</v>
      </c>
    </row>
    <row r="105" spans="2:22" ht="24.95" customHeight="1">
      <c r="B105" s="494">
        <v>83</v>
      </c>
      <c r="C105" s="495">
        <v>1792</v>
      </c>
      <c r="D105" s="486" t="s">
        <v>764</v>
      </c>
      <c r="E105" s="486" t="s">
        <v>778</v>
      </c>
      <c r="F105" s="530">
        <v>279</v>
      </c>
      <c r="G105" s="539" t="s">
        <v>779</v>
      </c>
      <c r="H105" s="540" t="s">
        <v>868</v>
      </c>
      <c r="I105" s="549" t="s">
        <v>52</v>
      </c>
      <c r="J105" s="496">
        <v>5</v>
      </c>
      <c r="K105" s="496">
        <v>150</v>
      </c>
      <c r="L105" s="703">
        <f t="shared" si="7"/>
        <v>750</v>
      </c>
      <c r="M105" s="809">
        <v>43223</v>
      </c>
      <c r="N105" s="496">
        <v>292</v>
      </c>
      <c r="O105" s="555" t="s">
        <v>742</v>
      </c>
      <c r="P105" s="721">
        <f t="shared" si="1"/>
        <v>0</v>
      </c>
      <c r="Q105" s="722">
        <f t="shared" si="2"/>
        <v>750</v>
      </c>
      <c r="R105" s="722">
        <f t="shared" si="3"/>
        <v>0</v>
      </c>
      <c r="S105" s="722">
        <f t="shared" si="8"/>
        <v>750</v>
      </c>
      <c r="T105" s="725"/>
      <c r="U105" s="726">
        <v>239</v>
      </c>
      <c r="V105" s="712">
        <f t="shared" si="9"/>
        <v>750</v>
      </c>
    </row>
    <row r="106" spans="2:22" ht="24.95" customHeight="1">
      <c r="B106" s="494">
        <v>84</v>
      </c>
      <c r="C106" s="495">
        <v>1792</v>
      </c>
      <c r="D106" s="486" t="s">
        <v>764</v>
      </c>
      <c r="E106" s="486" t="s">
        <v>778</v>
      </c>
      <c r="F106" s="530">
        <v>279</v>
      </c>
      <c r="G106" s="539" t="s">
        <v>779</v>
      </c>
      <c r="H106" s="540" t="s">
        <v>869</v>
      </c>
      <c r="I106" s="549" t="s">
        <v>52</v>
      </c>
      <c r="J106" s="496">
        <v>3</v>
      </c>
      <c r="K106" s="496">
        <v>106.9</v>
      </c>
      <c r="L106" s="703">
        <f t="shared" si="7"/>
        <v>320.7</v>
      </c>
      <c r="M106" s="809">
        <v>43223</v>
      </c>
      <c r="N106" s="496">
        <v>292</v>
      </c>
      <c r="O106" s="555" t="s">
        <v>742</v>
      </c>
      <c r="P106" s="721">
        <f t="shared" si="1"/>
        <v>0</v>
      </c>
      <c r="Q106" s="722">
        <f t="shared" si="2"/>
        <v>320.7</v>
      </c>
      <c r="R106" s="722">
        <f t="shared" si="3"/>
        <v>0</v>
      </c>
      <c r="S106" s="722">
        <f t="shared" si="8"/>
        <v>320.7</v>
      </c>
      <c r="T106" s="725"/>
      <c r="U106" s="726">
        <v>239</v>
      </c>
      <c r="V106" s="712">
        <f t="shared" si="9"/>
        <v>320.7</v>
      </c>
    </row>
    <row r="107" spans="2:22" ht="24.95" customHeight="1">
      <c r="B107" s="494">
        <v>85</v>
      </c>
      <c r="C107" s="495">
        <v>1792</v>
      </c>
      <c r="D107" s="486" t="s">
        <v>764</v>
      </c>
      <c r="E107" s="486" t="s">
        <v>778</v>
      </c>
      <c r="F107" s="530">
        <v>279</v>
      </c>
      <c r="G107" s="539" t="s">
        <v>779</v>
      </c>
      <c r="H107" s="540" t="s">
        <v>870</v>
      </c>
      <c r="I107" s="549" t="s">
        <v>52</v>
      </c>
      <c r="J107" s="496">
        <v>3</v>
      </c>
      <c r="K107" s="496">
        <v>84.9</v>
      </c>
      <c r="L107" s="703">
        <f t="shared" si="7"/>
        <v>254.7</v>
      </c>
      <c r="M107" s="809">
        <v>43223</v>
      </c>
      <c r="N107" s="496">
        <v>292</v>
      </c>
      <c r="O107" s="555" t="s">
        <v>742</v>
      </c>
      <c r="P107" s="721"/>
      <c r="Q107" s="722">
        <f t="shared" si="2"/>
        <v>254.7</v>
      </c>
      <c r="R107" s="722"/>
      <c r="S107" s="722">
        <f t="shared" si="8"/>
        <v>254.7</v>
      </c>
      <c r="T107" s="725"/>
      <c r="U107" s="726">
        <v>239</v>
      </c>
      <c r="V107" s="712">
        <f t="shared" si="9"/>
        <v>254.7</v>
      </c>
    </row>
    <row r="108" spans="2:22" ht="24.95" customHeight="1">
      <c r="B108" s="494">
        <v>86</v>
      </c>
      <c r="C108" s="495">
        <v>1792</v>
      </c>
      <c r="D108" s="486" t="s">
        <v>764</v>
      </c>
      <c r="E108" s="486" t="s">
        <v>778</v>
      </c>
      <c r="F108" s="530">
        <v>279</v>
      </c>
      <c r="G108" s="539" t="s">
        <v>779</v>
      </c>
      <c r="H108" s="540" t="s">
        <v>871</v>
      </c>
      <c r="I108" s="549" t="s">
        <v>52</v>
      </c>
      <c r="J108" s="496">
        <v>3</v>
      </c>
      <c r="K108" s="496">
        <v>77</v>
      </c>
      <c r="L108" s="703">
        <f t="shared" si="7"/>
        <v>231</v>
      </c>
      <c r="M108" s="809">
        <v>43223</v>
      </c>
      <c r="N108" s="496">
        <v>292</v>
      </c>
      <c r="O108" s="555" t="s">
        <v>742</v>
      </c>
      <c r="P108" s="721"/>
      <c r="Q108" s="722">
        <f t="shared" si="2"/>
        <v>231</v>
      </c>
      <c r="R108" s="722"/>
      <c r="S108" s="722">
        <f t="shared" si="8"/>
        <v>231</v>
      </c>
      <c r="T108" s="725"/>
      <c r="U108" s="726">
        <v>239</v>
      </c>
      <c r="V108" s="712">
        <f t="shared" si="9"/>
        <v>231</v>
      </c>
    </row>
    <row r="109" spans="2:22" ht="24.95" customHeight="1">
      <c r="B109" s="494">
        <v>87</v>
      </c>
      <c r="C109" s="495">
        <v>1792</v>
      </c>
      <c r="D109" s="486" t="s">
        <v>764</v>
      </c>
      <c r="E109" s="486" t="s">
        <v>778</v>
      </c>
      <c r="F109" s="530">
        <v>279</v>
      </c>
      <c r="G109" s="539" t="s">
        <v>779</v>
      </c>
      <c r="H109" s="540" t="s">
        <v>872</v>
      </c>
      <c r="I109" s="549" t="s">
        <v>52</v>
      </c>
      <c r="J109" s="496">
        <v>5</v>
      </c>
      <c r="K109" s="496">
        <v>296</v>
      </c>
      <c r="L109" s="703">
        <f t="shared" si="7"/>
        <v>1480</v>
      </c>
      <c r="M109" s="809">
        <v>43223</v>
      </c>
      <c r="N109" s="496">
        <v>292</v>
      </c>
      <c r="O109" s="555" t="s">
        <v>742</v>
      </c>
      <c r="P109" s="721"/>
      <c r="Q109" s="722">
        <f t="shared" si="2"/>
        <v>1480</v>
      </c>
      <c r="R109" s="722"/>
      <c r="S109" s="722">
        <f t="shared" si="8"/>
        <v>1480</v>
      </c>
      <c r="T109" s="725"/>
      <c r="U109" s="726">
        <v>239</v>
      </c>
      <c r="V109" s="712">
        <f t="shared" si="9"/>
        <v>1480</v>
      </c>
    </row>
    <row r="110" spans="2:22" ht="24.95" customHeight="1" thickBot="1">
      <c r="B110" s="494">
        <v>88</v>
      </c>
      <c r="C110" s="495">
        <v>1792</v>
      </c>
      <c r="D110" s="486" t="s">
        <v>764</v>
      </c>
      <c r="E110" s="486" t="s">
        <v>778</v>
      </c>
      <c r="F110" s="530">
        <v>279</v>
      </c>
      <c r="G110" s="539" t="s">
        <v>779</v>
      </c>
      <c r="H110" s="540" t="s">
        <v>873</v>
      </c>
      <c r="I110" s="549" t="s">
        <v>52</v>
      </c>
      <c r="J110" s="496">
        <v>3</v>
      </c>
      <c r="K110" s="496">
        <v>28.9</v>
      </c>
      <c r="L110" s="703">
        <f t="shared" si="7"/>
        <v>86.7</v>
      </c>
      <c r="M110" s="809">
        <v>43223</v>
      </c>
      <c r="N110" s="496">
        <v>292</v>
      </c>
      <c r="O110" s="555" t="s">
        <v>742</v>
      </c>
      <c r="P110" s="721">
        <f>IF($O110=$P$15,$L110,)</f>
        <v>0</v>
      </c>
      <c r="Q110" s="722">
        <f t="shared" si="2"/>
        <v>86.7</v>
      </c>
      <c r="R110" s="722">
        <f>IF($O110=$R$15,$L110,)</f>
        <v>0</v>
      </c>
      <c r="S110" s="722">
        <f t="shared" si="8"/>
        <v>86.7</v>
      </c>
      <c r="T110" s="725"/>
      <c r="U110" s="726">
        <v>239</v>
      </c>
      <c r="V110" s="715">
        <f t="shared" si="9"/>
        <v>86.7</v>
      </c>
    </row>
    <row r="111" spans="2:22" s="461" customFormat="1" ht="24.95" customHeight="1" thickBot="1">
      <c r="B111" s="464"/>
      <c r="C111" s="465"/>
      <c r="D111" s="498"/>
      <c r="E111" s="415"/>
      <c r="F111" s="465"/>
      <c r="G111" s="466"/>
      <c r="H111" s="460"/>
      <c r="I111" s="415"/>
      <c r="J111" s="415"/>
      <c r="K111" s="415"/>
      <c r="L111" s="415"/>
      <c r="M111" s="415"/>
      <c r="N111" s="415"/>
      <c r="O111" s="415" t="s">
        <v>752</v>
      </c>
      <c r="P111" s="728">
        <f>SUM(P23:P110)</f>
        <v>0</v>
      </c>
      <c r="Q111" s="728">
        <f>SUM(Q23:Q110)</f>
        <v>14250.450000000003</v>
      </c>
      <c r="R111" s="728">
        <f>SUM(R23:R110)</f>
        <v>0</v>
      </c>
      <c r="S111" s="728">
        <f>SUM(S23:S110)</f>
        <v>14250.450000000003</v>
      </c>
      <c r="T111" s="729"/>
      <c r="U111" s="729"/>
      <c r="V111" s="730">
        <f t="shared" si="9"/>
        <v>14250.450000000003</v>
      </c>
    </row>
    <row r="112" spans="2:22" ht="12.75" customHeight="1" thickBot="1">
      <c r="B112" s="455"/>
      <c r="C112" s="456"/>
      <c r="D112" s="489"/>
      <c r="E112" s="435"/>
      <c r="F112" s="456"/>
      <c r="G112" s="457"/>
      <c r="H112" s="459"/>
      <c r="I112" s="435"/>
      <c r="J112" s="435"/>
      <c r="K112" s="435"/>
      <c r="L112" s="435"/>
      <c r="M112" s="435"/>
      <c r="N112" s="435"/>
      <c r="O112" s="435"/>
      <c r="P112" s="719"/>
      <c r="Q112" s="719"/>
      <c r="R112" s="719"/>
      <c r="S112" s="719"/>
      <c r="T112" s="717"/>
      <c r="U112" s="717"/>
      <c r="V112" s="720"/>
    </row>
    <row r="113" spans="2:23" ht="24.95" customHeight="1" thickBot="1">
      <c r="B113" s="822"/>
      <c r="C113" s="823"/>
      <c r="D113" s="823"/>
      <c r="E113" s="823"/>
      <c r="F113" s="823"/>
      <c r="G113" s="823"/>
      <c r="H113" s="823"/>
      <c r="I113" s="824"/>
      <c r="J113" s="824"/>
      <c r="K113" s="824" t="s">
        <v>405</v>
      </c>
      <c r="L113" s="824"/>
      <c r="M113" s="824"/>
      <c r="N113" s="824"/>
      <c r="O113" s="824"/>
      <c r="P113" s="826"/>
      <c r="Q113" s="827"/>
      <c r="R113" s="827"/>
      <c r="S113" s="827"/>
      <c r="T113" s="828"/>
      <c r="U113" s="827"/>
      <c r="V113" s="825">
        <f>SUM(V114:V115)</f>
        <v>0</v>
      </c>
      <c r="W113" s="418"/>
    </row>
    <row r="114" spans="2:23" ht="24.95" customHeight="1">
      <c r="B114" s="490" t="s">
        <v>218</v>
      </c>
      <c r="C114" s="491"/>
      <c r="D114" s="485"/>
      <c r="E114" s="485"/>
      <c r="F114" s="533"/>
      <c r="G114" s="542"/>
      <c r="H114" s="538"/>
      <c r="I114" s="537"/>
      <c r="J114" s="493"/>
      <c r="K114" s="493"/>
      <c r="L114" s="702">
        <f>ROUND(J114*K114,2)</f>
        <v>0</v>
      </c>
      <c r="M114" s="493"/>
      <c r="N114" s="493"/>
      <c r="O114" s="548" t="s">
        <v>744</v>
      </c>
      <c r="P114" s="721">
        <f t="shared" ref="P114:P115" si="10">IF($O114=$P$15,$L114,)</f>
        <v>0</v>
      </c>
      <c r="Q114" s="722">
        <f t="shared" ref="Q114:Q115" si="11">IF($O114=$Q$15,$L114,)</f>
        <v>0</v>
      </c>
      <c r="R114" s="722">
        <f t="shared" ref="R114:R115" si="12">IF($O114=$R$15,$L114,)</f>
        <v>0</v>
      </c>
      <c r="S114" s="722">
        <f t="shared" ref="S114:S115" si="13">SUM(P114:R114)</f>
        <v>0</v>
      </c>
      <c r="T114" s="731"/>
      <c r="U114" s="723"/>
      <c r="V114" s="724">
        <f t="shared" ref="V114:V115" si="14">SUM(S114:T114)</f>
        <v>0</v>
      </c>
      <c r="W114" s="418"/>
    </row>
    <row r="115" spans="2:23" ht="24.95" customHeight="1" thickBot="1">
      <c r="B115" s="494" t="s">
        <v>218</v>
      </c>
      <c r="C115" s="495"/>
      <c r="D115" s="486"/>
      <c r="E115" s="486"/>
      <c r="F115" s="531"/>
      <c r="G115" s="543"/>
      <c r="H115" s="540"/>
      <c r="I115" s="549"/>
      <c r="J115" s="496"/>
      <c r="K115" s="496"/>
      <c r="L115" s="704">
        <f t="shared" ref="L115" si="15">ROUND(J115*K115,2)</f>
        <v>0</v>
      </c>
      <c r="M115" s="496"/>
      <c r="N115" s="496"/>
      <c r="O115" s="550" t="s">
        <v>744</v>
      </c>
      <c r="P115" s="721">
        <f t="shared" si="10"/>
        <v>0</v>
      </c>
      <c r="Q115" s="722">
        <f t="shared" si="11"/>
        <v>0</v>
      </c>
      <c r="R115" s="722">
        <f t="shared" si="12"/>
        <v>0</v>
      </c>
      <c r="S115" s="722">
        <f t="shared" si="13"/>
        <v>0</v>
      </c>
      <c r="T115" s="713"/>
      <c r="U115" s="714"/>
      <c r="V115" s="727">
        <f t="shared" si="14"/>
        <v>0</v>
      </c>
      <c r="W115" s="418"/>
    </row>
    <row r="116" spans="2:23" s="461" customFormat="1" ht="24.95" customHeight="1" thickBot="1">
      <c r="B116" s="464"/>
      <c r="C116" s="465"/>
      <c r="D116" s="498"/>
      <c r="E116" s="415"/>
      <c r="F116" s="465"/>
      <c r="G116" s="466"/>
      <c r="H116" s="460"/>
      <c r="I116" s="415"/>
      <c r="J116" s="415"/>
      <c r="K116" s="415"/>
      <c r="L116" s="415"/>
      <c r="M116" s="415"/>
      <c r="N116" s="415"/>
      <c r="O116" s="415" t="s">
        <v>752</v>
      </c>
      <c r="P116" s="728">
        <f>SUM(P114:P115)</f>
        <v>0</v>
      </c>
      <c r="Q116" s="728">
        <f>SUM(Q114:Q115)</f>
        <v>0</v>
      </c>
      <c r="R116" s="728">
        <f>SUM(R114:R115)</f>
        <v>0</v>
      </c>
      <c r="S116" s="728"/>
      <c r="T116" s="729"/>
      <c r="U116" s="729"/>
      <c r="V116" s="730"/>
    </row>
    <row r="117" spans="2:23" ht="12.75" customHeight="1" thickBot="1">
      <c r="B117" s="455"/>
      <c r="C117" s="456"/>
      <c r="D117" s="489"/>
      <c r="E117" s="435"/>
      <c r="F117" s="456"/>
      <c r="G117" s="457"/>
      <c r="H117" s="459"/>
      <c r="I117" s="435"/>
      <c r="J117" s="435"/>
      <c r="K117" s="435"/>
      <c r="L117" s="435"/>
      <c r="M117" s="435"/>
      <c r="N117" s="435"/>
      <c r="O117" s="435"/>
      <c r="P117" s="719"/>
      <c r="Q117" s="719"/>
      <c r="R117" s="719"/>
      <c r="S117" s="719"/>
      <c r="T117" s="717"/>
      <c r="U117" s="717"/>
      <c r="V117" s="720"/>
    </row>
    <row r="118" spans="2:23" ht="24.95" customHeight="1" thickBot="1">
      <c r="B118" s="822"/>
      <c r="C118" s="823"/>
      <c r="D118" s="823"/>
      <c r="E118" s="823"/>
      <c r="F118" s="823"/>
      <c r="G118" s="823"/>
      <c r="H118" s="823"/>
      <c r="I118" s="824"/>
      <c r="J118" s="824"/>
      <c r="K118" s="824" t="s">
        <v>905</v>
      </c>
      <c r="L118" s="824"/>
      <c r="M118" s="824"/>
      <c r="N118" s="824"/>
      <c r="O118" s="824"/>
      <c r="P118" s="826"/>
      <c r="Q118" s="827"/>
      <c r="R118" s="827"/>
      <c r="S118" s="827"/>
      <c r="T118" s="828"/>
      <c r="U118" s="827"/>
      <c r="V118" s="825">
        <f>SUM(V119:V120)</f>
        <v>3000</v>
      </c>
      <c r="W118" s="418"/>
    </row>
    <row r="119" spans="2:23" ht="24.95" customHeight="1">
      <c r="B119" s="490">
        <v>1</v>
      </c>
      <c r="C119" s="491" t="s">
        <v>218</v>
      </c>
      <c r="D119" s="837" t="s">
        <v>854</v>
      </c>
      <c r="E119" s="837"/>
      <c r="F119" s="533"/>
      <c r="G119" s="838" t="s">
        <v>909</v>
      </c>
      <c r="H119" s="538" t="s">
        <v>908</v>
      </c>
      <c r="I119" s="537" t="s">
        <v>268</v>
      </c>
      <c r="J119" s="493">
        <v>1</v>
      </c>
      <c r="K119" s="493">
        <v>3000</v>
      </c>
      <c r="L119" s="702">
        <f>ROUND(J119*K119,2)</f>
        <v>3000</v>
      </c>
      <c r="M119" s="493"/>
      <c r="N119" s="493"/>
      <c r="O119" s="548" t="s">
        <v>742</v>
      </c>
      <c r="P119" s="721">
        <f t="shared" ref="P119:P120" si="16">IF($O119=$P$15,$L119,)</f>
        <v>0</v>
      </c>
      <c r="Q119" s="722">
        <f t="shared" ref="Q119:Q120" si="17">IF($O119=$Q$15,$L119,)</f>
        <v>3000</v>
      </c>
      <c r="R119" s="722">
        <f t="shared" ref="R119:R120" si="18">IF($O119=$R$15,$L119,)</f>
        <v>0</v>
      </c>
      <c r="S119" s="722">
        <f t="shared" ref="S119:S120" si="19">SUM(P119:R119)</f>
        <v>3000</v>
      </c>
      <c r="T119" s="731"/>
      <c r="U119" s="723"/>
      <c r="V119" s="724">
        <f t="shared" ref="V119:V120" si="20">SUM(S119:T119)</f>
        <v>3000</v>
      </c>
      <c r="W119" s="418"/>
    </row>
    <row r="120" spans="2:23" ht="24.95" customHeight="1" thickBot="1">
      <c r="B120" s="494"/>
      <c r="C120" s="495"/>
      <c r="D120" s="486"/>
      <c r="E120" s="486"/>
      <c r="F120" s="531"/>
      <c r="G120" s="543"/>
      <c r="H120" s="540"/>
      <c r="I120" s="549"/>
      <c r="J120" s="496"/>
      <c r="K120" s="496"/>
      <c r="L120" s="704">
        <f t="shared" ref="L120" si="21">ROUND(J120*K120,2)</f>
        <v>0</v>
      </c>
      <c r="M120" s="496"/>
      <c r="N120" s="496"/>
      <c r="O120" s="550" t="s">
        <v>742</v>
      </c>
      <c r="P120" s="721">
        <f t="shared" si="16"/>
        <v>0</v>
      </c>
      <c r="Q120" s="722">
        <f t="shared" si="17"/>
        <v>0</v>
      </c>
      <c r="R120" s="722">
        <f t="shared" si="18"/>
        <v>0</v>
      </c>
      <c r="S120" s="722">
        <f t="shared" si="19"/>
        <v>0</v>
      </c>
      <c r="T120" s="713"/>
      <c r="U120" s="714"/>
      <c r="V120" s="727">
        <f t="shared" si="20"/>
        <v>0</v>
      </c>
      <c r="W120" s="418"/>
    </row>
    <row r="121" spans="2:23" s="461" customFormat="1" ht="24.95" customHeight="1" thickBot="1">
      <c r="B121" s="464"/>
      <c r="C121" s="465"/>
      <c r="D121" s="498"/>
      <c r="E121" s="415"/>
      <c r="F121" s="465"/>
      <c r="G121" s="466"/>
      <c r="H121" s="460"/>
      <c r="I121" s="415"/>
      <c r="J121" s="415"/>
      <c r="K121" s="415"/>
      <c r="L121" s="415"/>
      <c r="M121" s="415"/>
      <c r="N121" s="415"/>
      <c r="O121" s="415" t="s">
        <v>752</v>
      </c>
      <c r="P121" s="728">
        <f>SUM(P119:P120)</f>
        <v>0</v>
      </c>
      <c r="Q121" s="728">
        <f>SUM(Q119:Q120)</f>
        <v>3000</v>
      </c>
      <c r="R121" s="728">
        <f>SUM(R119:R120)</f>
        <v>0</v>
      </c>
      <c r="S121" s="728">
        <f>SUM(S119:S120)</f>
        <v>3000</v>
      </c>
      <c r="T121" s="729"/>
      <c r="U121" s="729"/>
      <c r="V121" s="730"/>
    </row>
    <row r="122" spans="2:23" ht="12.75" customHeight="1" thickBot="1">
      <c r="B122" s="455"/>
      <c r="C122" s="456"/>
      <c r="D122" s="489"/>
      <c r="E122" s="435"/>
      <c r="F122" s="456"/>
      <c r="G122" s="457"/>
      <c r="H122" s="459"/>
      <c r="I122" s="435"/>
      <c r="J122" s="435"/>
      <c r="K122" s="435"/>
      <c r="L122" s="435"/>
      <c r="M122" s="435"/>
      <c r="N122" s="435"/>
      <c r="O122" s="435"/>
      <c r="P122" s="719"/>
      <c r="Q122" s="719"/>
      <c r="R122" s="719"/>
      <c r="S122" s="719"/>
      <c r="T122" s="717"/>
      <c r="U122" s="717"/>
      <c r="V122" s="720"/>
    </row>
    <row r="123" spans="2:23" ht="24.95" customHeight="1" thickBot="1">
      <c r="B123" s="430"/>
      <c r="C123" s="499"/>
      <c r="D123" s="500"/>
      <c r="E123" s="431"/>
      <c r="F123" s="501"/>
      <c r="G123" s="504"/>
      <c r="H123" s="502"/>
      <c r="I123" s="502"/>
      <c r="J123" s="502"/>
      <c r="K123" s="502"/>
      <c r="L123" s="502"/>
      <c r="M123" s="502"/>
      <c r="N123" s="502"/>
      <c r="O123" s="503"/>
      <c r="P123" s="732"/>
      <c r="Q123" s="733"/>
      <c r="R123" s="732"/>
      <c r="S123" s="733"/>
      <c r="T123" s="732"/>
      <c r="U123" s="732"/>
      <c r="V123" s="734"/>
      <c r="W123" s="418"/>
    </row>
    <row r="124" spans="2:23" ht="24.95" customHeight="1" thickBot="1">
      <c r="B124" s="505"/>
      <c r="C124" s="506"/>
      <c r="D124" s="506"/>
      <c r="E124" s="506"/>
      <c r="F124" s="506"/>
      <c r="G124" s="506"/>
      <c r="H124" s="506"/>
      <c r="I124" s="506"/>
      <c r="J124" s="506"/>
      <c r="K124" s="558" t="s">
        <v>108</v>
      </c>
      <c r="L124" s="506"/>
      <c r="M124" s="506"/>
      <c r="N124" s="506"/>
      <c r="O124" s="506"/>
      <c r="P124" s="830" t="s">
        <v>743</v>
      </c>
      <c r="Q124" s="830" t="s">
        <v>742</v>
      </c>
      <c r="R124" s="830" t="s">
        <v>744</v>
      </c>
      <c r="S124" s="735"/>
      <c r="T124" s="736"/>
      <c r="U124" s="735"/>
      <c r="V124" s="507">
        <f>V125+V130+V135</f>
        <v>18803</v>
      </c>
      <c r="W124" s="418"/>
    </row>
    <row r="125" spans="2:23" ht="24.95" customHeight="1" thickBot="1">
      <c r="B125" s="505"/>
      <c r="C125" s="506"/>
      <c r="D125" s="506"/>
      <c r="E125" s="506"/>
      <c r="F125" s="506"/>
      <c r="G125" s="506"/>
      <c r="H125" s="816"/>
      <c r="I125" s="558"/>
      <c r="J125" s="558"/>
      <c r="K125" s="558" t="s">
        <v>223</v>
      </c>
      <c r="L125" s="558"/>
      <c r="M125" s="558"/>
      <c r="N125" s="558"/>
      <c r="O125" s="558"/>
      <c r="P125" s="817"/>
      <c r="Q125" s="818"/>
      <c r="R125" s="818"/>
      <c r="S125" s="818"/>
      <c r="T125" s="819"/>
      <c r="U125" s="820"/>
      <c r="V125" s="821">
        <f>SUM(V126:V127)</f>
        <v>0</v>
      </c>
      <c r="W125" s="418"/>
    </row>
    <row r="126" spans="2:23" ht="24.95" customHeight="1">
      <c r="B126" s="490"/>
      <c r="C126" s="491"/>
      <c r="D126" s="485"/>
      <c r="E126" s="485"/>
      <c r="F126" s="533"/>
      <c r="G126" s="542"/>
      <c r="H126" s="538"/>
      <c r="I126" s="537"/>
      <c r="J126" s="493"/>
      <c r="K126" s="492"/>
      <c r="L126" s="702">
        <f>ROUND(J126*K126,2)</f>
        <v>0</v>
      </c>
      <c r="M126" s="493"/>
      <c r="N126" s="493"/>
      <c r="O126" s="548" t="s">
        <v>744</v>
      </c>
      <c r="P126" s="721">
        <f>IF($O126=$P$15,$L126,)</f>
        <v>0</v>
      </c>
      <c r="Q126" s="722">
        <f>IF($O126=$Q$15,$L126,)</f>
        <v>0</v>
      </c>
      <c r="R126" s="722">
        <f>IF($O126=$R$15,$L126,)</f>
        <v>0</v>
      </c>
      <c r="S126" s="737"/>
      <c r="T126" s="738">
        <f>SUM(P126:R126)</f>
        <v>0</v>
      </c>
      <c r="U126" s="739"/>
      <c r="V126" s="724">
        <f>SUM(S126:T126)</f>
        <v>0</v>
      </c>
      <c r="W126" s="418"/>
    </row>
    <row r="127" spans="2:23" ht="24.95" customHeight="1" thickBot="1">
      <c r="B127" s="497"/>
      <c r="C127" s="511"/>
      <c r="D127" s="487"/>
      <c r="E127" s="487"/>
      <c r="F127" s="532"/>
      <c r="G127" s="544"/>
      <c r="H127" s="541"/>
      <c r="I127" s="551"/>
      <c r="J127" s="512"/>
      <c r="K127" s="512"/>
      <c r="L127" s="704">
        <f t="shared" ref="L127" si="22">ROUND(J127*K127,2)</f>
        <v>0</v>
      </c>
      <c r="M127" s="512"/>
      <c r="N127" s="512"/>
      <c r="O127" s="552" t="s">
        <v>744</v>
      </c>
      <c r="P127" s="741">
        <f>IF($O127=$P$15,$L127,)</f>
        <v>0</v>
      </c>
      <c r="Q127" s="742">
        <f>IF($O127=$Q$15,$L127,)</f>
        <v>0</v>
      </c>
      <c r="R127" s="742">
        <f>IF($O127=$R$15,$L127,)</f>
        <v>0</v>
      </c>
      <c r="S127" s="743"/>
      <c r="T127" s="744">
        <f t="shared" ref="T127" si="23">SUM(P127:R127)</f>
        <v>0</v>
      </c>
      <c r="U127" s="745"/>
      <c r="V127" s="727">
        <f t="shared" ref="V127" si="24">SUM(S127:T127)</f>
        <v>0</v>
      </c>
      <c r="W127" s="418"/>
    </row>
    <row r="128" spans="2:23" s="461" customFormat="1" ht="24.95" customHeight="1" thickBot="1">
      <c r="B128" s="464"/>
      <c r="C128" s="465"/>
      <c r="D128" s="498"/>
      <c r="E128" s="415"/>
      <c r="F128" s="465"/>
      <c r="G128" s="466"/>
      <c r="H128" s="460"/>
      <c r="I128" s="415"/>
      <c r="J128" s="415"/>
      <c r="K128" s="415"/>
      <c r="L128" s="415"/>
      <c r="M128" s="415"/>
      <c r="N128" s="415"/>
      <c r="O128" s="415" t="s">
        <v>752</v>
      </c>
      <c r="P128" s="728">
        <f>SUM(P126:P127)</f>
        <v>0</v>
      </c>
      <c r="Q128" s="728">
        <f>SUM(Q126:Q127)</f>
        <v>0</v>
      </c>
      <c r="R128" s="728">
        <f>SUM(R126:R127)</f>
        <v>0</v>
      </c>
      <c r="S128" s="728"/>
      <c r="T128" s="728">
        <f>SUM(T126:T127)</f>
        <v>0</v>
      </c>
      <c r="U128" s="729"/>
      <c r="V128" s="730"/>
    </row>
    <row r="129" spans="2:23" ht="12.75" customHeight="1" thickBot="1">
      <c r="B129" s="455"/>
      <c r="C129" s="456"/>
      <c r="D129" s="489"/>
      <c r="E129" s="435"/>
      <c r="F129" s="456"/>
      <c r="G129" s="457"/>
      <c r="H129" s="459"/>
      <c r="I129" s="435"/>
      <c r="J129" s="435"/>
      <c r="K129" s="435"/>
      <c r="L129" s="435"/>
      <c r="M129" s="435"/>
      <c r="N129" s="435"/>
      <c r="O129" s="435"/>
      <c r="P129" s="719"/>
      <c r="Q129" s="719"/>
      <c r="R129" s="719"/>
      <c r="S129" s="719"/>
      <c r="T129" s="717"/>
      <c r="U129" s="717"/>
      <c r="V129" s="720"/>
    </row>
    <row r="130" spans="2:23" ht="24.95" customHeight="1" thickBot="1">
      <c r="B130" s="505"/>
      <c r="C130" s="506"/>
      <c r="D130" s="506"/>
      <c r="E130" s="506"/>
      <c r="F130" s="506"/>
      <c r="G130" s="506"/>
      <c r="H130" s="816"/>
      <c r="I130" s="558"/>
      <c r="J130" s="558"/>
      <c r="K130" s="558" t="s">
        <v>751</v>
      </c>
      <c r="L130" s="558"/>
      <c r="M130" s="558"/>
      <c r="N130" s="558"/>
      <c r="O130" s="558"/>
      <c r="P130" s="817"/>
      <c r="Q130" s="818"/>
      <c r="R130" s="818"/>
      <c r="S130" s="818"/>
      <c r="T130" s="819"/>
      <c r="U130" s="820"/>
      <c r="V130" s="821">
        <f>SUM(V131:V132)</f>
        <v>0</v>
      </c>
      <c r="W130" s="418"/>
    </row>
    <row r="131" spans="2:23" ht="24.95" customHeight="1">
      <c r="B131" s="490"/>
      <c r="C131" s="491"/>
      <c r="D131" s="485"/>
      <c r="E131" s="485"/>
      <c r="F131" s="533"/>
      <c r="G131" s="542"/>
      <c r="H131" s="538"/>
      <c r="I131" s="537"/>
      <c r="J131" s="493"/>
      <c r="K131" s="493"/>
      <c r="L131" s="702">
        <f>ROUND(J131*K131,2)</f>
        <v>0</v>
      </c>
      <c r="M131" s="493"/>
      <c r="N131" s="493"/>
      <c r="O131" s="548" t="s">
        <v>744</v>
      </c>
      <c r="P131" s="721">
        <f>IF($O131=$P$15,$L131,)</f>
        <v>0</v>
      </c>
      <c r="Q131" s="722">
        <f>IF($O131=$Q$15,$L131,)</f>
        <v>0</v>
      </c>
      <c r="R131" s="722">
        <f>IF($O131=$R$15,$L131,)</f>
        <v>0</v>
      </c>
      <c r="S131" s="737"/>
      <c r="T131" s="738">
        <f>SUM(P131:R131)</f>
        <v>0</v>
      </c>
      <c r="U131" s="739"/>
      <c r="V131" s="724">
        <f>SUM(S131:T131)</f>
        <v>0</v>
      </c>
      <c r="W131" s="418"/>
    </row>
    <row r="132" spans="2:23" ht="24.95" customHeight="1" thickBot="1">
      <c r="B132" s="497"/>
      <c r="C132" s="511"/>
      <c r="D132" s="487"/>
      <c r="E132" s="487"/>
      <c r="F132" s="532"/>
      <c r="G132" s="544"/>
      <c r="H132" s="541"/>
      <c r="I132" s="551"/>
      <c r="J132" s="512"/>
      <c r="K132" s="512"/>
      <c r="L132" s="704">
        <f t="shared" ref="L132" si="25">ROUND(J132*K132,2)</f>
        <v>0</v>
      </c>
      <c r="M132" s="512"/>
      <c r="N132" s="512"/>
      <c r="O132" s="552" t="s">
        <v>744</v>
      </c>
      <c r="P132" s="741">
        <f>IF($O132=$P$15,$L132,)</f>
        <v>0</v>
      </c>
      <c r="Q132" s="742">
        <f>IF($O132=$Q$15,$L132,)</f>
        <v>0</v>
      </c>
      <c r="R132" s="742">
        <f>IF($O132=$R$15,$L132,)</f>
        <v>0</v>
      </c>
      <c r="S132" s="743"/>
      <c r="T132" s="744">
        <f t="shared" ref="T132" si="26">SUM(P132:R132)</f>
        <v>0</v>
      </c>
      <c r="U132" s="745"/>
      <c r="V132" s="727">
        <f t="shared" ref="V132" si="27">SUM(S132:T132)</f>
        <v>0</v>
      </c>
      <c r="W132" s="418"/>
    </row>
    <row r="133" spans="2:23" s="461" customFormat="1" ht="24.95" customHeight="1" thickBot="1">
      <c r="B133" s="464"/>
      <c r="C133" s="465"/>
      <c r="D133" s="498"/>
      <c r="E133" s="415"/>
      <c r="F133" s="465"/>
      <c r="G133" s="466"/>
      <c r="H133" s="460"/>
      <c r="I133" s="415"/>
      <c r="J133" s="415"/>
      <c r="K133" s="415"/>
      <c r="L133" s="415"/>
      <c r="M133" s="415"/>
      <c r="N133" s="415"/>
      <c r="O133" s="415" t="s">
        <v>752</v>
      </c>
      <c r="P133" s="728">
        <f>SUM(P131:P132)</f>
        <v>0</v>
      </c>
      <c r="Q133" s="728">
        <f>SUM(Q131:Q132)</f>
        <v>0</v>
      </c>
      <c r="R133" s="728">
        <f>SUM(R131:R132)</f>
        <v>0</v>
      </c>
      <c r="S133" s="728"/>
      <c r="T133" s="728">
        <f>SUM(T131:T132)</f>
        <v>0</v>
      </c>
      <c r="U133" s="729"/>
      <c r="V133" s="730"/>
    </row>
    <row r="134" spans="2:23" ht="12.75" customHeight="1" thickBot="1">
      <c r="B134" s="455"/>
      <c r="C134" s="456"/>
      <c r="D134" s="489"/>
      <c r="E134" s="435"/>
      <c r="F134" s="456"/>
      <c r="G134" s="457"/>
      <c r="H134" s="459"/>
      <c r="I134" s="435"/>
      <c r="J134" s="435"/>
      <c r="K134" s="435"/>
      <c r="L134" s="435"/>
      <c r="M134" s="435"/>
      <c r="N134" s="435"/>
      <c r="O134" s="435"/>
      <c r="P134" s="719"/>
      <c r="Q134" s="719"/>
      <c r="R134" s="719"/>
      <c r="S134" s="719"/>
      <c r="T134" s="717"/>
      <c r="U134" s="717"/>
      <c r="V134" s="720"/>
    </row>
    <row r="135" spans="2:23" ht="24.95" customHeight="1" thickBot="1">
      <c r="B135" s="505"/>
      <c r="C135" s="506"/>
      <c r="D135" s="506"/>
      <c r="E135" s="506"/>
      <c r="F135" s="506"/>
      <c r="G135" s="506"/>
      <c r="H135" s="816"/>
      <c r="I135" s="558"/>
      <c r="J135" s="558"/>
      <c r="K135" s="558" t="s">
        <v>405</v>
      </c>
      <c r="L135" s="558"/>
      <c r="M135" s="558"/>
      <c r="N135" s="558"/>
      <c r="O135" s="558"/>
      <c r="P135" s="817"/>
      <c r="Q135" s="818"/>
      <c r="R135" s="818"/>
      <c r="S135" s="818"/>
      <c r="T135" s="819"/>
      <c r="U135" s="820"/>
      <c r="V135" s="821">
        <f>SUM(V136:V143)</f>
        <v>18803</v>
      </c>
      <c r="W135" s="418"/>
    </row>
    <row r="136" spans="2:23" ht="24.95" customHeight="1">
      <c r="B136" s="494">
        <v>1</v>
      </c>
      <c r="C136" s="495">
        <v>1785</v>
      </c>
      <c r="D136" s="486" t="s">
        <v>874</v>
      </c>
      <c r="E136" s="486" t="s">
        <v>875</v>
      </c>
      <c r="F136" s="531" t="s">
        <v>891</v>
      </c>
      <c r="G136" s="543" t="s">
        <v>876</v>
      </c>
      <c r="H136" s="540" t="s">
        <v>877</v>
      </c>
      <c r="I136" s="549" t="s">
        <v>268</v>
      </c>
      <c r="J136" s="496">
        <v>1</v>
      </c>
      <c r="K136" s="496">
        <v>1000</v>
      </c>
      <c r="L136" s="703">
        <f t="shared" ref="L136:L142" si="28">ROUND(J136*K136,2)</f>
        <v>1000</v>
      </c>
      <c r="M136" s="496"/>
      <c r="N136" s="496"/>
      <c r="O136" s="550" t="s">
        <v>744</v>
      </c>
      <c r="P136" s="721">
        <f>IF($O136=$P$15,$L136,)</f>
        <v>0</v>
      </c>
      <c r="Q136" s="722">
        <f>IF($O136=$Q$15,$L136,)</f>
        <v>0</v>
      </c>
      <c r="R136" s="722">
        <f>IF($O136=$R$15,$L136,)</f>
        <v>1000</v>
      </c>
      <c r="S136" s="740"/>
      <c r="T136" s="738">
        <f t="shared" ref="T136:T143" si="29">SUM(P136:R136)</f>
        <v>1000</v>
      </c>
      <c r="U136" s="739"/>
      <c r="V136" s="724">
        <f>SUM(S136:T136)</f>
        <v>1000</v>
      </c>
      <c r="W136" s="418"/>
    </row>
    <row r="137" spans="2:23" ht="24.95" customHeight="1">
      <c r="B137" s="494">
        <v>2</v>
      </c>
      <c r="C137" s="495">
        <v>1840</v>
      </c>
      <c r="D137" s="486" t="s">
        <v>878</v>
      </c>
      <c r="E137" s="486" t="s">
        <v>875</v>
      </c>
      <c r="F137" s="531" t="s">
        <v>879</v>
      </c>
      <c r="G137" s="543" t="s">
        <v>880</v>
      </c>
      <c r="H137" s="540" t="s">
        <v>881</v>
      </c>
      <c r="I137" s="549" t="s">
        <v>268</v>
      </c>
      <c r="J137" s="496">
        <v>1</v>
      </c>
      <c r="K137" s="496">
        <v>1800</v>
      </c>
      <c r="L137" s="703">
        <f t="shared" si="28"/>
        <v>1800</v>
      </c>
      <c r="M137" s="496"/>
      <c r="N137" s="496"/>
      <c r="O137" s="550" t="s">
        <v>744</v>
      </c>
      <c r="P137" s="721">
        <f>IF($O137=$P$15,$L137,)</f>
        <v>0</v>
      </c>
      <c r="Q137" s="722">
        <f>IF($O137=$Q$15,$L137,)</f>
        <v>0</v>
      </c>
      <c r="R137" s="722">
        <f t="shared" ref="R137:R143" si="30">IF($O137=$R$15,$L137,)</f>
        <v>1800</v>
      </c>
      <c r="S137" s="740"/>
      <c r="T137" s="738">
        <f t="shared" si="29"/>
        <v>1800</v>
      </c>
      <c r="U137" s="739"/>
      <c r="V137" s="724">
        <f>SUM(S137:T137)</f>
        <v>1800</v>
      </c>
      <c r="W137" s="418"/>
    </row>
    <row r="138" spans="2:23" ht="24.95" customHeight="1">
      <c r="B138" s="494">
        <v>3</v>
      </c>
      <c r="C138" s="495">
        <v>1668</v>
      </c>
      <c r="D138" s="486" t="s">
        <v>882</v>
      </c>
      <c r="E138" s="486" t="s">
        <v>875</v>
      </c>
      <c r="F138" s="531" t="s">
        <v>883</v>
      </c>
      <c r="G138" s="543" t="s">
        <v>884</v>
      </c>
      <c r="H138" s="540" t="s">
        <v>885</v>
      </c>
      <c r="I138" s="549" t="s">
        <v>268</v>
      </c>
      <c r="J138" s="496">
        <v>1</v>
      </c>
      <c r="K138" s="496">
        <v>720</v>
      </c>
      <c r="L138" s="703">
        <f t="shared" si="28"/>
        <v>720</v>
      </c>
      <c r="M138" s="496"/>
      <c r="N138" s="496"/>
      <c r="O138" s="550" t="s">
        <v>744</v>
      </c>
      <c r="P138" s="721"/>
      <c r="Q138" s="722"/>
      <c r="R138" s="722">
        <f t="shared" si="30"/>
        <v>720</v>
      </c>
      <c r="S138" s="740"/>
      <c r="T138" s="738">
        <f t="shared" si="29"/>
        <v>720</v>
      </c>
      <c r="U138" s="739"/>
      <c r="V138" s="724">
        <f t="shared" ref="V138:V143" si="31">SUM(S138:T138)</f>
        <v>720</v>
      </c>
      <c r="W138" s="418"/>
    </row>
    <row r="139" spans="2:23" ht="24.95" customHeight="1">
      <c r="B139" s="494">
        <v>4</v>
      </c>
      <c r="C139" s="495">
        <v>2040</v>
      </c>
      <c r="D139" s="486" t="s">
        <v>886</v>
      </c>
      <c r="E139" s="486" t="s">
        <v>875</v>
      </c>
      <c r="F139" s="531" t="s">
        <v>887</v>
      </c>
      <c r="G139" s="543" t="s">
        <v>888</v>
      </c>
      <c r="H139" s="540" t="s">
        <v>889</v>
      </c>
      <c r="I139" s="549" t="s">
        <v>268</v>
      </c>
      <c r="J139" s="496">
        <v>1</v>
      </c>
      <c r="K139" s="496">
        <v>4000</v>
      </c>
      <c r="L139" s="703">
        <f t="shared" si="28"/>
        <v>4000</v>
      </c>
      <c r="M139" s="496"/>
      <c r="N139" s="496"/>
      <c r="O139" s="550" t="s">
        <v>744</v>
      </c>
      <c r="P139" s="721"/>
      <c r="Q139" s="722"/>
      <c r="R139" s="722">
        <f t="shared" si="30"/>
        <v>4000</v>
      </c>
      <c r="S139" s="740"/>
      <c r="T139" s="738">
        <f t="shared" si="29"/>
        <v>4000</v>
      </c>
      <c r="U139" s="739"/>
      <c r="V139" s="724">
        <f t="shared" si="31"/>
        <v>4000</v>
      </c>
      <c r="W139" s="418"/>
    </row>
    <row r="140" spans="2:23" ht="24.95" customHeight="1">
      <c r="B140" s="494">
        <v>5</v>
      </c>
      <c r="C140" s="495">
        <v>1801</v>
      </c>
      <c r="D140" s="486" t="s">
        <v>890</v>
      </c>
      <c r="E140" s="486" t="s">
        <v>875</v>
      </c>
      <c r="F140" s="531" t="s">
        <v>891</v>
      </c>
      <c r="G140" s="543" t="s">
        <v>892</v>
      </c>
      <c r="H140" s="540" t="s">
        <v>893</v>
      </c>
      <c r="I140" s="549" t="s">
        <v>268</v>
      </c>
      <c r="J140" s="496">
        <v>1</v>
      </c>
      <c r="K140" s="496">
        <v>1600</v>
      </c>
      <c r="L140" s="703">
        <f t="shared" si="28"/>
        <v>1600</v>
      </c>
      <c r="M140" s="496"/>
      <c r="N140" s="496"/>
      <c r="O140" s="550" t="s">
        <v>744</v>
      </c>
      <c r="P140" s="721"/>
      <c r="Q140" s="722"/>
      <c r="R140" s="722">
        <f t="shared" si="30"/>
        <v>1600</v>
      </c>
      <c r="S140" s="740"/>
      <c r="T140" s="738">
        <f t="shared" si="29"/>
        <v>1600</v>
      </c>
      <c r="U140" s="739"/>
      <c r="V140" s="724">
        <f t="shared" si="31"/>
        <v>1600</v>
      </c>
      <c r="W140" s="418"/>
    </row>
    <row r="141" spans="2:23" ht="24.95" customHeight="1">
      <c r="B141" s="494">
        <v>6</v>
      </c>
      <c r="C141" s="495">
        <v>2286</v>
      </c>
      <c r="D141" s="486" t="s">
        <v>894</v>
      </c>
      <c r="E141" s="486" t="s">
        <v>875</v>
      </c>
      <c r="F141" s="531" t="s">
        <v>895</v>
      </c>
      <c r="G141" s="543" t="s">
        <v>896</v>
      </c>
      <c r="H141" s="540" t="s">
        <v>897</v>
      </c>
      <c r="I141" s="549" t="s">
        <v>268</v>
      </c>
      <c r="J141" s="496">
        <v>1</v>
      </c>
      <c r="K141" s="496">
        <v>1050</v>
      </c>
      <c r="L141" s="703">
        <f t="shared" si="28"/>
        <v>1050</v>
      </c>
      <c r="M141" s="496"/>
      <c r="N141" s="496"/>
      <c r="O141" s="550" t="s">
        <v>744</v>
      </c>
      <c r="P141" s="721"/>
      <c r="Q141" s="722"/>
      <c r="R141" s="722">
        <f t="shared" si="30"/>
        <v>1050</v>
      </c>
      <c r="S141" s="740"/>
      <c r="T141" s="738">
        <f t="shared" si="29"/>
        <v>1050</v>
      </c>
      <c r="U141" s="739"/>
      <c r="V141" s="724">
        <f t="shared" si="31"/>
        <v>1050</v>
      </c>
      <c r="W141" s="418"/>
    </row>
    <row r="142" spans="2:23" ht="24.95" customHeight="1">
      <c r="B142" s="494">
        <v>7</v>
      </c>
      <c r="C142" s="495">
        <v>2344</v>
      </c>
      <c r="D142" s="486" t="s">
        <v>898</v>
      </c>
      <c r="E142" s="486" t="s">
        <v>875</v>
      </c>
      <c r="F142" s="531" t="s">
        <v>899</v>
      </c>
      <c r="G142" s="543" t="s">
        <v>892</v>
      </c>
      <c r="H142" s="540" t="s">
        <v>900</v>
      </c>
      <c r="I142" s="549" t="s">
        <v>268</v>
      </c>
      <c r="J142" s="496">
        <v>1</v>
      </c>
      <c r="K142" s="496">
        <v>2133</v>
      </c>
      <c r="L142" s="703">
        <f t="shared" si="28"/>
        <v>2133</v>
      </c>
      <c r="M142" s="496"/>
      <c r="N142" s="496"/>
      <c r="O142" s="550" t="s">
        <v>744</v>
      </c>
      <c r="P142" s="721"/>
      <c r="Q142" s="722"/>
      <c r="R142" s="722">
        <f t="shared" si="30"/>
        <v>2133</v>
      </c>
      <c r="S142" s="740"/>
      <c r="T142" s="738">
        <f t="shared" si="29"/>
        <v>2133</v>
      </c>
      <c r="U142" s="739"/>
      <c r="V142" s="724">
        <f t="shared" si="31"/>
        <v>2133</v>
      </c>
      <c r="W142" s="418"/>
    </row>
    <row r="143" spans="2:23" ht="24.95" customHeight="1" thickBot="1">
      <c r="B143" s="494">
        <v>8</v>
      </c>
      <c r="C143" s="495">
        <v>2393</v>
      </c>
      <c r="D143" s="486" t="s">
        <v>901</v>
      </c>
      <c r="E143" s="486" t="s">
        <v>875</v>
      </c>
      <c r="F143" s="531" t="s">
        <v>902</v>
      </c>
      <c r="G143" s="543" t="s">
        <v>903</v>
      </c>
      <c r="H143" s="540" t="s">
        <v>904</v>
      </c>
      <c r="I143" s="549" t="s">
        <v>268</v>
      </c>
      <c r="J143" s="496">
        <v>1</v>
      </c>
      <c r="K143" s="496">
        <v>6500</v>
      </c>
      <c r="L143" s="703">
        <v>6500</v>
      </c>
      <c r="M143" s="496"/>
      <c r="N143" s="496"/>
      <c r="O143" s="550" t="s">
        <v>744</v>
      </c>
      <c r="P143" s="721"/>
      <c r="Q143" s="722"/>
      <c r="R143" s="722">
        <f t="shared" si="30"/>
        <v>6500</v>
      </c>
      <c r="S143" s="740"/>
      <c r="T143" s="738">
        <f t="shared" si="29"/>
        <v>6500</v>
      </c>
      <c r="U143" s="739"/>
      <c r="V143" s="724">
        <f t="shared" si="31"/>
        <v>6500</v>
      </c>
      <c r="W143" s="418"/>
    </row>
    <row r="144" spans="2:23" s="461" customFormat="1" ht="24.95" customHeight="1" thickBot="1">
      <c r="B144" s="464"/>
      <c r="C144" s="465"/>
      <c r="D144" s="498"/>
      <c r="E144" s="415"/>
      <c r="F144" s="465"/>
      <c r="G144" s="466"/>
      <c r="H144" s="460"/>
      <c r="I144" s="415"/>
      <c r="J144" s="415"/>
      <c r="K144" s="415"/>
      <c r="L144" s="415"/>
      <c r="M144" s="415"/>
      <c r="N144" s="415"/>
      <c r="O144" s="415" t="s">
        <v>752</v>
      </c>
      <c r="P144" s="728">
        <f>SUM(P136:P143)</f>
        <v>0</v>
      </c>
      <c r="Q144" s="728">
        <f>SUM(Q136:Q143)</f>
        <v>0</v>
      </c>
      <c r="R144" s="728">
        <f>SUM(R136:R143)</f>
        <v>18803</v>
      </c>
      <c r="S144" s="728">
        <f>SUM(S136:S143)</f>
        <v>0</v>
      </c>
      <c r="T144" s="728">
        <f>SUM(T136:T143)</f>
        <v>18803</v>
      </c>
      <c r="U144" s="729"/>
      <c r="V144" s="730"/>
    </row>
    <row r="145" spans="2:23" ht="12.75" customHeight="1" thickBot="1">
      <c r="B145" s="455"/>
      <c r="C145" s="456"/>
      <c r="D145" s="489"/>
      <c r="E145" s="435"/>
      <c r="F145" s="456"/>
      <c r="G145" s="457"/>
      <c r="H145" s="459"/>
      <c r="I145" s="435"/>
      <c r="J145" s="435"/>
      <c r="K145" s="435"/>
      <c r="L145" s="435"/>
      <c r="M145" s="435"/>
      <c r="N145" s="435"/>
      <c r="O145" s="435"/>
      <c r="P145" s="719"/>
      <c r="Q145" s="719"/>
      <c r="R145" s="719"/>
      <c r="S145" s="719"/>
      <c r="T145" s="717"/>
      <c r="U145" s="717"/>
      <c r="V145" s="720"/>
    </row>
    <row r="146" spans="2:23" ht="24.95" customHeight="1" thickBot="1">
      <c r="B146" s="430"/>
      <c r="C146" s="499"/>
      <c r="D146" s="500"/>
      <c r="E146" s="431"/>
      <c r="F146" s="501"/>
      <c r="G146" s="504"/>
      <c r="H146" s="502"/>
      <c r="I146" s="502"/>
      <c r="J146" s="502"/>
      <c r="K146" s="502"/>
      <c r="L146" s="502"/>
      <c r="M146" s="502"/>
      <c r="N146" s="502"/>
      <c r="O146" s="503"/>
      <c r="P146" s="732"/>
      <c r="Q146" s="733"/>
      <c r="R146" s="732"/>
      <c r="S146" s="733"/>
      <c r="T146" s="732"/>
      <c r="U146" s="732"/>
      <c r="V146" s="734"/>
      <c r="W146" s="418"/>
    </row>
    <row r="147" spans="2:23" ht="24.95" customHeight="1" thickBot="1">
      <c r="B147" s="513"/>
      <c r="C147" s="514"/>
      <c r="D147" s="514"/>
      <c r="E147" s="514"/>
      <c r="F147" s="514"/>
      <c r="G147" s="514"/>
      <c r="H147" s="514"/>
      <c r="I147" s="514"/>
      <c r="J147" s="514"/>
      <c r="K147" s="559" t="s">
        <v>765</v>
      </c>
      <c r="L147" s="514"/>
      <c r="M147" s="514"/>
      <c r="N147" s="514"/>
      <c r="O147" s="514"/>
      <c r="P147" s="829" t="s">
        <v>743</v>
      </c>
      <c r="Q147" s="829" t="s">
        <v>742</v>
      </c>
      <c r="R147" s="829" t="s">
        <v>744</v>
      </c>
      <c r="S147" s="746"/>
      <c r="T147" s="747"/>
      <c r="U147" s="746"/>
      <c r="V147" s="515">
        <f>V148+V153+V158</f>
        <v>0</v>
      </c>
      <c r="W147" s="418"/>
    </row>
    <row r="148" spans="2:23" ht="24.95" customHeight="1" thickBot="1">
      <c r="B148" s="513"/>
      <c r="C148" s="514"/>
      <c r="D148" s="514"/>
      <c r="E148" s="514"/>
      <c r="F148" s="514"/>
      <c r="G148" s="514"/>
      <c r="H148" s="810"/>
      <c r="I148" s="559"/>
      <c r="J148" s="559"/>
      <c r="K148" s="559" t="s">
        <v>223</v>
      </c>
      <c r="L148" s="559"/>
      <c r="M148" s="559"/>
      <c r="N148" s="559"/>
      <c r="O148" s="559"/>
      <c r="P148" s="811"/>
      <c r="Q148" s="812"/>
      <c r="R148" s="812"/>
      <c r="S148" s="812"/>
      <c r="T148" s="813"/>
      <c r="U148" s="814"/>
      <c r="V148" s="815">
        <f>SUM(V149:V150)</f>
        <v>0</v>
      </c>
      <c r="W148" s="418"/>
    </row>
    <row r="149" spans="2:23" ht="24.95" customHeight="1">
      <c r="B149" s="490"/>
      <c r="C149" s="491"/>
      <c r="D149" s="485"/>
      <c r="E149" s="485"/>
      <c r="F149" s="533"/>
      <c r="G149" s="542"/>
      <c r="H149" s="538"/>
      <c r="I149" s="536"/>
      <c r="J149" s="492"/>
      <c r="K149" s="492"/>
      <c r="L149" s="702">
        <f>ROUND(J149*K149,2)</f>
        <v>0</v>
      </c>
      <c r="M149" s="492"/>
      <c r="N149" s="492"/>
      <c r="O149" s="554" t="s">
        <v>744</v>
      </c>
      <c r="P149" s="721">
        <f>IF($O149=$P$15,$L149,)</f>
        <v>0</v>
      </c>
      <c r="Q149" s="722">
        <f>IF($O149=$Q$15,$L149,)</f>
        <v>0</v>
      </c>
      <c r="R149" s="722">
        <f>IF($O149=$R$15,$L149,)</f>
        <v>0</v>
      </c>
      <c r="S149" s="737"/>
      <c r="T149" s="738">
        <f>SUM(P149:R149)</f>
        <v>0</v>
      </c>
      <c r="U149" s="739"/>
      <c r="V149" s="724">
        <f>SUM(S149:T149)</f>
        <v>0</v>
      </c>
      <c r="W149" s="418"/>
    </row>
    <row r="150" spans="2:23" ht="24.95" customHeight="1" thickBot="1">
      <c r="B150" s="497"/>
      <c r="C150" s="511"/>
      <c r="D150" s="487"/>
      <c r="E150" s="487"/>
      <c r="F150" s="532"/>
      <c r="G150" s="544"/>
      <c r="H150" s="541"/>
      <c r="I150" s="545"/>
      <c r="J150" s="512"/>
      <c r="K150" s="512"/>
      <c r="L150" s="704">
        <f t="shared" ref="L150" si="32">ROUND(J150*K150,2)</f>
        <v>0</v>
      </c>
      <c r="M150" s="512"/>
      <c r="N150" s="512"/>
      <c r="O150" s="556" t="s">
        <v>744</v>
      </c>
      <c r="P150" s="741">
        <f>IF($O150=$P$15,$L150,)</f>
        <v>0</v>
      </c>
      <c r="Q150" s="742">
        <f>IF($O150=$Q$15,$L150,)</f>
        <v>0</v>
      </c>
      <c r="R150" s="742">
        <f>IF($O150=$R$15,$L150,)</f>
        <v>0</v>
      </c>
      <c r="S150" s="743"/>
      <c r="T150" s="744">
        <f t="shared" ref="T150" si="33">SUM(P150:R150)</f>
        <v>0</v>
      </c>
      <c r="U150" s="745"/>
      <c r="V150" s="727">
        <f t="shared" ref="V150" si="34">SUM(S150:T150)</f>
        <v>0</v>
      </c>
      <c r="W150" s="418"/>
    </row>
    <row r="151" spans="2:23" s="461" customFormat="1" ht="24.95" customHeight="1" thickBot="1">
      <c r="B151" s="464"/>
      <c r="C151" s="465"/>
      <c r="D151" s="498"/>
      <c r="E151" s="415"/>
      <c r="F151" s="465"/>
      <c r="G151" s="466"/>
      <c r="H151" s="460"/>
      <c r="I151" s="415"/>
      <c r="J151" s="415"/>
      <c r="K151" s="415"/>
      <c r="L151" s="415"/>
      <c r="M151" s="415"/>
      <c r="N151" s="415"/>
      <c r="O151" s="415" t="s">
        <v>752</v>
      </c>
      <c r="P151" s="728">
        <f>SUM(P149:P150)</f>
        <v>0</v>
      </c>
      <c r="Q151" s="728">
        <f>SUM(Q149:Q150)</f>
        <v>0</v>
      </c>
      <c r="R151" s="728">
        <f>SUM(R149:R150)</f>
        <v>0</v>
      </c>
      <c r="S151" s="728"/>
      <c r="T151" s="728">
        <f>SUM(T149:T150)</f>
        <v>0</v>
      </c>
      <c r="U151" s="729"/>
      <c r="V151" s="730"/>
    </row>
    <row r="152" spans="2:23" ht="12.75" customHeight="1" thickBot="1">
      <c r="B152" s="455"/>
      <c r="C152" s="456"/>
      <c r="D152" s="489"/>
      <c r="E152" s="435"/>
      <c r="F152" s="456"/>
      <c r="G152" s="457"/>
      <c r="H152" s="459"/>
      <c r="I152" s="435"/>
      <c r="J152" s="435"/>
      <c r="K152" s="435"/>
      <c r="L152" s="435"/>
      <c r="M152" s="435"/>
      <c r="N152" s="435"/>
      <c r="O152" s="435"/>
      <c r="P152" s="719"/>
      <c r="Q152" s="719"/>
      <c r="R152" s="719"/>
      <c r="S152" s="719"/>
      <c r="T152" s="717"/>
      <c r="U152" s="717"/>
      <c r="V152" s="720"/>
    </row>
    <row r="153" spans="2:23" ht="24.95" customHeight="1" thickBot="1">
      <c r="B153" s="513"/>
      <c r="C153" s="514"/>
      <c r="D153" s="514"/>
      <c r="E153" s="514"/>
      <c r="F153" s="514"/>
      <c r="G153" s="514"/>
      <c r="H153" s="810"/>
      <c r="I153" s="559"/>
      <c r="J153" s="559"/>
      <c r="K153" s="559" t="s">
        <v>751</v>
      </c>
      <c r="L153" s="559"/>
      <c r="M153" s="559"/>
      <c r="N153" s="559"/>
      <c r="O153" s="559"/>
      <c r="P153" s="811"/>
      <c r="Q153" s="812"/>
      <c r="R153" s="812"/>
      <c r="S153" s="812"/>
      <c r="T153" s="813"/>
      <c r="U153" s="814"/>
      <c r="V153" s="815">
        <f>SUM(V154:V155)</f>
        <v>0</v>
      </c>
      <c r="W153" s="418"/>
    </row>
    <row r="154" spans="2:23" ht="24.95" customHeight="1">
      <c r="B154" s="490"/>
      <c r="C154" s="491"/>
      <c r="D154" s="485"/>
      <c r="E154" s="485"/>
      <c r="F154" s="533"/>
      <c r="G154" s="542"/>
      <c r="H154" s="538"/>
      <c r="I154" s="537"/>
      <c r="J154" s="493"/>
      <c r="K154" s="493"/>
      <c r="L154" s="702">
        <f>ROUND(J154*K154,2)</f>
        <v>0</v>
      </c>
      <c r="M154" s="493"/>
      <c r="N154" s="493"/>
      <c r="O154" s="548" t="s">
        <v>744</v>
      </c>
      <c r="P154" s="748">
        <f>IF($O154=$P$15,$L154,)</f>
        <v>0</v>
      </c>
      <c r="Q154" s="722">
        <f>IF($O154=$Q$15,$L154,)</f>
        <v>0</v>
      </c>
      <c r="R154" s="722">
        <f>IF($O154=$R$15,$L154,)</f>
        <v>0</v>
      </c>
      <c r="S154" s="737"/>
      <c r="T154" s="749">
        <f>SUM(P154:R154)</f>
        <v>0</v>
      </c>
      <c r="U154" s="750"/>
      <c r="V154" s="724">
        <f>SUM(S154:T154)</f>
        <v>0</v>
      </c>
      <c r="W154" s="418"/>
    </row>
    <row r="155" spans="2:23" ht="24.95" customHeight="1" thickBot="1">
      <c r="B155" s="497"/>
      <c r="C155" s="511"/>
      <c r="D155" s="487"/>
      <c r="E155" s="487"/>
      <c r="F155" s="532"/>
      <c r="G155" s="544"/>
      <c r="H155" s="541"/>
      <c r="I155" s="551"/>
      <c r="J155" s="512"/>
      <c r="K155" s="512"/>
      <c r="L155" s="704">
        <f t="shared" ref="L155" si="35">ROUND(J155*K155,2)</f>
        <v>0</v>
      </c>
      <c r="M155" s="512"/>
      <c r="N155" s="512"/>
      <c r="O155" s="552" t="s">
        <v>744</v>
      </c>
      <c r="P155" s="751">
        <f>IF($O155=$P$15,$L155,)</f>
        <v>0</v>
      </c>
      <c r="Q155" s="742">
        <f>IF($O155=$Q$15,$L155,)</f>
        <v>0</v>
      </c>
      <c r="R155" s="742">
        <f>IF($O155=$R$15,$L155,)</f>
        <v>0</v>
      </c>
      <c r="S155" s="743"/>
      <c r="T155" s="752">
        <f t="shared" ref="T155" si="36">SUM(P155:R155)</f>
        <v>0</v>
      </c>
      <c r="U155" s="753"/>
      <c r="V155" s="727">
        <f t="shared" ref="V155" si="37">SUM(S155:T155)</f>
        <v>0</v>
      </c>
      <c r="W155" s="418"/>
    </row>
    <row r="156" spans="2:23" s="461" customFormat="1" ht="24.95" customHeight="1" thickBot="1">
      <c r="B156" s="464"/>
      <c r="C156" s="465"/>
      <c r="D156" s="498"/>
      <c r="E156" s="415"/>
      <c r="F156" s="465"/>
      <c r="G156" s="466"/>
      <c r="H156" s="460"/>
      <c r="I156" s="415"/>
      <c r="J156" s="415"/>
      <c r="K156" s="415"/>
      <c r="L156" s="415"/>
      <c r="M156" s="415"/>
      <c r="N156" s="415"/>
      <c r="O156" s="415" t="s">
        <v>752</v>
      </c>
      <c r="P156" s="728">
        <f>SUM(P154:P155)</f>
        <v>0</v>
      </c>
      <c r="Q156" s="728">
        <f>SUM(Q154:Q155)</f>
        <v>0</v>
      </c>
      <c r="R156" s="728">
        <f>SUM(R154:R155)</f>
        <v>0</v>
      </c>
      <c r="S156" s="728"/>
      <c r="T156" s="728">
        <f>SUM(T154:T155)</f>
        <v>0</v>
      </c>
      <c r="U156" s="729"/>
      <c r="V156" s="730"/>
    </row>
    <row r="157" spans="2:23" ht="12.75" customHeight="1" thickBot="1">
      <c r="B157" s="455"/>
      <c r="C157" s="456"/>
      <c r="D157" s="489"/>
      <c r="E157" s="435"/>
      <c r="F157" s="456"/>
      <c r="G157" s="457"/>
      <c r="H157" s="459"/>
      <c r="I157" s="435"/>
      <c r="J157" s="435"/>
      <c r="K157" s="435"/>
      <c r="L157" s="435"/>
      <c r="M157" s="435"/>
      <c r="N157" s="435"/>
      <c r="O157" s="435"/>
      <c r="P157" s="719"/>
      <c r="Q157" s="719"/>
      <c r="R157" s="719"/>
      <c r="S157" s="719"/>
      <c r="T157" s="717"/>
      <c r="U157" s="717"/>
      <c r="V157" s="720"/>
    </row>
    <row r="158" spans="2:23" ht="24.95" customHeight="1" thickBot="1">
      <c r="B158" s="513"/>
      <c r="C158" s="514"/>
      <c r="D158" s="514"/>
      <c r="E158" s="514"/>
      <c r="F158" s="514"/>
      <c r="G158" s="514"/>
      <c r="H158" s="810"/>
      <c r="I158" s="559"/>
      <c r="J158" s="559"/>
      <c r="K158" s="559" t="s">
        <v>405</v>
      </c>
      <c r="L158" s="559"/>
      <c r="M158" s="559"/>
      <c r="N158" s="559"/>
      <c r="O158" s="559"/>
      <c r="P158" s="811"/>
      <c r="Q158" s="812"/>
      <c r="R158" s="812"/>
      <c r="S158" s="812"/>
      <c r="T158" s="813"/>
      <c r="U158" s="814"/>
      <c r="V158" s="815">
        <f>SUM(V159:V160)</f>
        <v>0</v>
      </c>
      <c r="W158" s="418"/>
    </row>
    <row r="159" spans="2:23" ht="24.95" customHeight="1">
      <c r="B159" s="508"/>
      <c r="C159" s="509"/>
      <c r="D159" s="510"/>
      <c r="E159" s="510"/>
      <c r="F159" s="546"/>
      <c r="G159" s="542"/>
      <c r="H159" s="538"/>
      <c r="I159" s="537"/>
      <c r="J159" s="493"/>
      <c r="K159" s="493"/>
      <c r="L159" s="702">
        <f>ROUND(J159*K159,2)</f>
        <v>0</v>
      </c>
      <c r="M159" s="493"/>
      <c r="N159" s="493"/>
      <c r="O159" s="548" t="s">
        <v>744</v>
      </c>
      <c r="P159" s="721">
        <f>IF($O159=$P$15,$L159,)</f>
        <v>0</v>
      </c>
      <c r="Q159" s="722">
        <f>IF($O159=$Q$15,$L159,)</f>
        <v>0</v>
      </c>
      <c r="R159" s="722">
        <f>IF($O159=$R$15,$L159,)</f>
        <v>0</v>
      </c>
      <c r="S159" s="737"/>
      <c r="T159" s="738">
        <f>SUM(P159:R159)</f>
        <v>0</v>
      </c>
      <c r="U159" s="739"/>
      <c r="V159" s="724">
        <f>SUM(S159:T159)</f>
        <v>0</v>
      </c>
      <c r="W159" s="418"/>
    </row>
    <row r="160" spans="2:23" ht="24.95" customHeight="1" thickBot="1">
      <c r="B160" s="497"/>
      <c r="C160" s="511"/>
      <c r="D160" s="487"/>
      <c r="E160" s="487"/>
      <c r="F160" s="547"/>
      <c r="G160" s="544"/>
      <c r="H160" s="541"/>
      <c r="I160" s="551"/>
      <c r="J160" s="512"/>
      <c r="K160" s="512"/>
      <c r="L160" s="704">
        <f t="shared" ref="L160" si="38">ROUND(J160*K160,2)</f>
        <v>0</v>
      </c>
      <c r="M160" s="512"/>
      <c r="N160" s="512"/>
      <c r="O160" s="552" t="s">
        <v>744</v>
      </c>
      <c r="P160" s="741">
        <f>IF($O160=$P$15,$L160,)</f>
        <v>0</v>
      </c>
      <c r="Q160" s="742">
        <f>IF($O160=$Q$15,$L160,)</f>
        <v>0</v>
      </c>
      <c r="R160" s="742">
        <f>IF($O160=$R$15,$L160,)</f>
        <v>0</v>
      </c>
      <c r="S160" s="743"/>
      <c r="T160" s="744">
        <f t="shared" ref="T160" si="39">SUM(P160:R160)</f>
        <v>0</v>
      </c>
      <c r="U160" s="745"/>
      <c r="V160" s="727">
        <f t="shared" ref="V160" si="40">SUM(S160:T160)</f>
        <v>0</v>
      </c>
      <c r="W160" s="418"/>
    </row>
    <row r="161" spans="2:23" s="461" customFormat="1" ht="24.95" customHeight="1" thickBot="1">
      <c r="B161" s="464"/>
      <c r="C161" s="465"/>
      <c r="D161" s="498"/>
      <c r="E161" s="415"/>
      <c r="F161" s="465"/>
      <c r="G161" s="466"/>
      <c r="H161" s="460"/>
      <c r="I161" s="415"/>
      <c r="J161" s="415"/>
      <c r="K161" s="415"/>
      <c r="L161" s="415"/>
      <c r="M161" s="415"/>
      <c r="N161" s="415"/>
      <c r="O161" s="415" t="s">
        <v>752</v>
      </c>
      <c r="P161" s="728">
        <f>SUM(P159:P160)</f>
        <v>0</v>
      </c>
      <c r="Q161" s="728">
        <f>SUM(Q159:Q160)</f>
        <v>0</v>
      </c>
      <c r="R161" s="728">
        <f>SUM(R159:R160)</f>
        <v>0</v>
      </c>
      <c r="S161" s="728"/>
      <c r="T161" s="728">
        <f>SUM(T159:T160)</f>
        <v>0</v>
      </c>
      <c r="U161" s="729"/>
      <c r="V161" s="730"/>
    </row>
    <row r="162" spans="2:23" ht="12.75" customHeight="1" thickBot="1">
      <c r="B162" s="455"/>
      <c r="C162" s="456"/>
      <c r="D162" s="489"/>
      <c r="E162" s="435"/>
      <c r="F162" s="456"/>
      <c r="G162" s="457"/>
      <c r="H162" s="459"/>
      <c r="I162" s="435"/>
      <c r="J162" s="435"/>
      <c r="K162" s="435"/>
      <c r="L162" s="435"/>
      <c r="M162" s="435"/>
      <c r="N162" s="435"/>
      <c r="O162" s="435"/>
      <c r="P162" s="719"/>
      <c r="Q162" s="719"/>
      <c r="R162" s="719"/>
      <c r="S162" s="719"/>
      <c r="T162" s="717"/>
      <c r="U162" s="717"/>
      <c r="V162" s="720"/>
    </row>
    <row r="163" spans="2:23" ht="24.95" customHeight="1" thickBot="1">
      <c r="B163" s="432"/>
      <c r="C163" s="433"/>
      <c r="D163" s="434"/>
      <c r="E163" s="435"/>
      <c r="F163" s="436"/>
      <c r="G163" s="437"/>
      <c r="H163" s="438"/>
      <c r="I163" s="438"/>
      <c r="J163" s="438"/>
      <c r="K163" s="438"/>
      <c r="L163" s="438"/>
      <c r="M163" s="438"/>
      <c r="N163" s="438"/>
      <c r="O163" s="439"/>
      <c r="P163" s="832" t="s">
        <v>743</v>
      </c>
      <c r="Q163" s="832" t="s">
        <v>742</v>
      </c>
      <c r="R163" s="832" t="s">
        <v>744</v>
      </c>
      <c r="S163" s="754" t="s">
        <v>906</v>
      </c>
      <c r="T163" s="831" t="s">
        <v>907</v>
      </c>
      <c r="U163" s="831"/>
      <c r="V163" s="755"/>
      <c r="W163" s="418"/>
    </row>
    <row r="164" spans="2:23" ht="34.5" customHeight="1" thickBot="1">
      <c r="B164" s="467"/>
      <c r="C164" s="468"/>
      <c r="D164" s="468"/>
      <c r="E164" s="468"/>
      <c r="F164" s="468"/>
      <c r="G164" s="468"/>
      <c r="H164" s="471" t="s">
        <v>10</v>
      </c>
      <c r="I164" s="469"/>
      <c r="J164" s="469"/>
      <c r="K164" s="469"/>
      <c r="L164" s="469"/>
      <c r="M164" s="469"/>
      <c r="N164" s="469"/>
      <c r="O164" s="470"/>
      <c r="P164" s="833">
        <f>P20+P111+P116+P121+P128+P133+P144+P151+P156+P161</f>
        <v>9854.6200000000008</v>
      </c>
      <c r="Q164" s="833">
        <f t="shared" ref="Q164:T164" si="41">Q20+Q111+Q116+Q121+Q128+Q133+Q144+Q151+Q156+Q161</f>
        <v>17250.450000000004</v>
      </c>
      <c r="R164" s="833">
        <f t="shared" si="41"/>
        <v>18803</v>
      </c>
      <c r="S164" s="835">
        <f t="shared" si="41"/>
        <v>27105.070000000003</v>
      </c>
      <c r="T164" s="835">
        <f t="shared" si="41"/>
        <v>18803</v>
      </c>
      <c r="U164" s="836"/>
      <c r="V164" s="834">
        <f>V17+V124+V147</f>
        <v>45908.070000000007</v>
      </c>
      <c r="W164" s="418"/>
    </row>
    <row r="165" spans="2:23" ht="24.95" customHeight="1">
      <c r="B165" s="419"/>
      <c r="C165" s="419"/>
      <c r="D165" s="419"/>
      <c r="E165" s="419"/>
      <c r="F165" s="419"/>
      <c r="G165" s="419"/>
      <c r="H165" s="419"/>
      <c r="I165" s="419"/>
      <c r="J165" s="419"/>
      <c r="K165" s="419"/>
      <c r="L165" s="419"/>
      <c r="M165" s="419"/>
      <c r="N165" s="419"/>
      <c r="O165" s="80"/>
      <c r="P165" s="420"/>
      <c r="Q165" s="420"/>
      <c r="R165" s="420"/>
      <c r="S165" s="420"/>
      <c r="T165" s="420"/>
      <c r="U165" s="420"/>
      <c r="V165" s="420"/>
    </row>
  </sheetData>
  <pageMargins left="0.23622047244094491" right="0.23622047244094491" top="0.82677165354330717" bottom="0.23622047244094491" header="0.31496062992125984" footer="0.15748031496062992"/>
  <pageSetup paperSize="9" scale="33" orientation="landscape" horizontalDpi="4294967293" verticalDpi="200" r:id="rId1"/>
  <rowBreaks count="2" manualBreakCount="2">
    <brk id="60" max="21" man="1"/>
    <brk id="111"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2">
    <tabColor rgb="FF00B050"/>
  </sheetPr>
  <dimension ref="B1:W165"/>
  <sheetViews>
    <sheetView view="pageBreakPreview" zoomScale="59" zoomScaleNormal="55" zoomScaleSheetLayoutView="59" workbookViewId="0">
      <selection activeCell="V111" sqref="V111"/>
    </sheetView>
  </sheetViews>
  <sheetFormatPr baseColWidth="10" defaultColWidth="11.42578125" defaultRowHeight="20.25"/>
  <cols>
    <col min="1" max="1" width="5" style="395" customWidth="1"/>
    <col min="2" max="2" width="6.7109375" style="395" customWidth="1"/>
    <col min="3" max="3" width="10.28515625" style="421" customWidth="1"/>
    <col min="4" max="4" width="15.28515625" style="395" customWidth="1"/>
    <col min="5" max="5" width="24" style="395" customWidth="1"/>
    <col min="6" max="6" width="9" style="400" customWidth="1"/>
    <col min="7" max="7" width="41.5703125" style="395" customWidth="1"/>
    <col min="8" max="8" width="93.85546875" style="422" customWidth="1"/>
    <col min="9" max="9" width="8.7109375" style="422" customWidth="1"/>
    <col min="10" max="10" width="10" style="422" customWidth="1"/>
    <col min="11" max="11" width="12.85546875" style="422" customWidth="1"/>
    <col min="12" max="12" width="15.140625" style="422" customWidth="1"/>
    <col min="13" max="13" width="15.85546875" style="422" hidden="1" customWidth="1"/>
    <col min="14" max="14" width="13.5703125" style="422" hidden="1" customWidth="1"/>
    <col min="15" max="15" width="17" style="400" hidden="1" customWidth="1"/>
    <col min="16" max="18" width="18.140625" style="423" hidden="1" customWidth="1"/>
    <col min="19" max="19" width="19" style="417" hidden="1" customWidth="1"/>
    <col min="20" max="20" width="19.140625" style="417" hidden="1" customWidth="1"/>
    <col min="21" max="21" width="14.85546875" style="417" hidden="1" customWidth="1"/>
    <col min="22" max="22" width="21.140625" style="417" customWidth="1"/>
    <col min="23" max="23" width="17" style="395" bestFit="1" customWidth="1"/>
    <col min="24" max="16384" width="11.42578125" style="395"/>
  </cols>
  <sheetData>
    <row r="1" spans="2:22" s="392" customFormat="1" ht="25.5" customHeight="1">
      <c r="D1" s="441"/>
      <c r="E1" s="441"/>
      <c r="F1" s="441"/>
      <c r="G1" s="441"/>
      <c r="H1" s="393" t="s">
        <v>206</v>
      </c>
      <c r="J1" s="441"/>
      <c r="L1" s="441"/>
      <c r="M1" s="441"/>
      <c r="N1" s="441"/>
      <c r="O1" s="441"/>
      <c r="P1" s="441"/>
      <c r="Q1" s="441"/>
      <c r="R1" s="441"/>
      <c r="S1" s="441"/>
      <c r="T1" s="441"/>
      <c r="U1" s="441"/>
      <c r="V1" s="441"/>
    </row>
    <row r="2" spans="2:22" s="392" customFormat="1" ht="25.5" customHeight="1">
      <c r="D2" s="441"/>
      <c r="E2" s="441"/>
      <c r="F2" s="441"/>
      <c r="G2" s="441"/>
      <c r="H2" s="393" t="s">
        <v>207</v>
      </c>
      <c r="J2" s="441"/>
      <c r="L2" s="441"/>
      <c r="M2" s="441"/>
      <c r="N2" s="441"/>
      <c r="O2" s="441"/>
      <c r="P2" s="441"/>
      <c r="Q2" s="441"/>
      <c r="R2" s="441"/>
      <c r="S2" s="441"/>
      <c r="T2" s="441"/>
      <c r="U2" s="441"/>
      <c r="V2" s="441"/>
    </row>
    <row r="3" spans="2:22" s="392" customFormat="1" ht="25.5" customHeight="1">
      <c r="D3" s="442"/>
      <c r="E3" s="442"/>
      <c r="F3" s="442"/>
      <c r="G3" s="442"/>
      <c r="H3" s="394" t="s">
        <v>208</v>
      </c>
      <c r="J3" s="442"/>
      <c r="L3" s="442"/>
      <c r="M3" s="442"/>
      <c r="N3" s="442"/>
      <c r="O3" s="442"/>
      <c r="P3" s="442"/>
      <c r="Q3" s="442"/>
      <c r="R3" s="442"/>
      <c r="S3" s="442"/>
      <c r="T3" s="442"/>
      <c r="U3" s="442"/>
      <c r="V3" s="442"/>
    </row>
    <row r="4" spans="2:22" s="392" customFormat="1" ht="25.5" customHeight="1">
      <c r="D4" s="442"/>
      <c r="E4" s="442"/>
      <c r="F4" s="442"/>
      <c r="G4" s="442"/>
      <c r="H4" s="394" t="s">
        <v>910</v>
      </c>
      <c r="J4" s="442"/>
      <c r="L4" s="442"/>
      <c r="M4" s="442"/>
      <c r="N4" s="442"/>
      <c r="O4" s="442"/>
      <c r="P4" s="442"/>
      <c r="Q4" s="442"/>
      <c r="R4" s="442"/>
      <c r="S4" s="442"/>
      <c r="T4" s="442"/>
      <c r="U4" s="442"/>
      <c r="V4" s="442"/>
    </row>
    <row r="5" spans="2:22" ht="41.25" customHeight="1">
      <c r="B5" s="396" t="s">
        <v>721</v>
      </c>
      <c r="C5" s="397"/>
      <c r="D5" s="398"/>
      <c r="E5" s="2509" t="str">
        <f>Datos!C4</f>
        <v>“MEJORAMIENTO DE LA GESTIÓN MUNICIPAL Y SERVICIO ADMINISTRATIVO DE LA MUNICIPALIDAD PROVINCIAL DE ABANCAY, DISTRITO DE ABANCAY - PROVINCIA DE ABANCAY - DEPARTAMENTO DE APURIMAC”.</v>
      </c>
      <c r="F5" s="2509"/>
      <c r="G5" s="2509"/>
      <c r="H5" s="2509"/>
      <c r="I5" s="2509"/>
      <c r="J5" s="2509"/>
      <c r="K5" s="2509"/>
      <c r="L5" s="2509"/>
      <c r="M5" s="2509"/>
      <c r="N5" s="2509"/>
      <c r="O5" s="2509"/>
      <c r="P5" s="2509"/>
      <c r="Q5" s="2509"/>
      <c r="R5" s="2509"/>
      <c r="S5" s="2509"/>
      <c r="T5" s="2509"/>
      <c r="U5" s="2509"/>
      <c r="V5" s="2509"/>
    </row>
    <row r="6" spans="2:22" ht="19.5" customHeight="1">
      <c r="B6" s="395" t="s">
        <v>719</v>
      </c>
      <c r="C6" s="397"/>
      <c r="D6" s="398"/>
      <c r="E6" s="395" t="str">
        <f>Datos!C12&amp;" / "&amp;Datos!C13&amp;" / "&amp;Datos!C14</f>
        <v xml:space="preserve"> 
VIVIENDA, CONSTRUCCION Y SANEAMIENTO / ESPACIOS PÚBLICOS PARA LA INTEGRACIÓN / </v>
      </c>
      <c r="F6" s="395"/>
      <c r="H6" s="395"/>
      <c r="I6" s="395"/>
      <c r="J6" s="395"/>
      <c r="K6" s="395"/>
      <c r="L6" s="395"/>
      <c r="M6" s="395"/>
      <c r="N6" s="395"/>
      <c r="P6" s="396"/>
      <c r="Q6" s="395"/>
      <c r="R6" s="395"/>
      <c r="S6" s="395"/>
      <c r="T6" s="395"/>
      <c r="U6" s="395"/>
      <c r="V6" s="395"/>
    </row>
    <row r="7" spans="2:22" ht="19.5" customHeight="1">
      <c r="B7" s="396" t="s">
        <v>720</v>
      </c>
      <c r="C7" s="397"/>
      <c r="D7" s="398"/>
      <c r="E7" s="401">
        <f>Datos!C3</f>
        <v>38</v>
      </c>
      <c r="F7" s="401"/>
      <c r="G7" s="401"/>
      <c r="H7" s="395"/>
      <c r="I7" s="401"/>
      <c r="J7" s="401"/>
      <c r="K7" s="401"/>
      <c r="L7" s="401"/>
      <c r="M7" s="401"/>
      <c r="N7" s="401"/>
      <c r="O7" s="401"/>
      <c r="P7" s="396"/>
      <c r="Q7" s="401"/>
      <c r="R7" s="401"/>
      <c r="S7" s="402"/>
      <c r="T7" s="331"/>
      <c r="U7" s="331"/>
      <c r="V7" s="331"/>
    </row>
    <row r="8" spans="2:22" ht="19.5" customHeight="1">
      <c r="B8" s="396" t="s">
        <v>722</v>
      </c>
      <c r="C8" s="397"/>
      <c r="D8" s="398"/>
      <c r="E8" s="401" t="str">
        <f>Datos!B54</f>
        <v>Fondos de Compensación Municipal</v>
      </c>
      <c r="F8" s="401"/>
      <c r="G8" s="401"/>
      <c r="H8" s="401"/>
      <c r="I8" s="401"/>
      <c r="J8" s="401"/>
      <c r="K8" s="401"/>
      <c r="L8" s="401"/>
      <c r="M8" s="401"/>
      <c r="N8" s="401"/>
      <c r="O8" s="403"/>
      <c r="P8" s="401"/>
      <c r="Q8" s="401"/>
      <c r="R8" s="401"/>
      <c r="S8" s="402"/>
      <c r="T8" s="331"/>
      <c r="U8" s="331"/>
      <c r="V8" s="331"/>
    </row>
    <row r="9" spans="2:22" ht="19.5" customHeight="1">
      <c r="B9" s="396" t="s">
        <v>723</v>
      </c>
      <c r="C9" s="397"/>
      <c r="D9" s="398"/>
      <c r="E9" s="401" t="str">
        <f>Datos!C6</f>
        <v>Administración Directa</v>
      </c>
      <c r="F9" s="401"/>
      <c r="G9" s="401"/>
      <c r="H9" s="401"/>
      <c r="I9" s="401"/>
      <c r="J9" s="401"/>
      <c r="K9" s="401"/>
      <c r="L9" s="401"/>
      <c r="M9" s="401"/>
      <c r="N9" s="401"/>
      <c r="O9" s="403"/>
      <c r="P9" s="401"/>
      <c r="Q9" s="401"/>
      <c r="R9" s="401"/>
      <c r="S9" s="402"/>
      <c r="T9" s="331"/>
      <c r="U9" s="331"/>
      <c r="V9" s="331"/>
    </row>
    <row r="10" spans="2:22" ht="19.5" customHeight="1">
      <c r="B10" s="396" t="s">
        <v>724</v>
      </c>
      <c r="C10" s="397"/>
      <c r="D10" s="398"/>
      <c r="E10" s="331" t="str">
        <f>Datos!C73</f>
        <v>ING. RICHARD ERWIN MONTALVO ALVARO</v>
      </c>
      <c r="F10" s="331"/>
      <c r="G10" s="331"/>
      <c r="H10" s="331"/>
      <c r="I10" s="331"/>
      <c r="J10" s="331"/>
      <c r="K10" s="331"/>
      <c r="L10" s="331"/>
      <c r="M10" s="331"/>
      <c r="N10" s="331"/>
      <c r="O10" s="399"/>
      <c r="P10" s="401" t="s">
        <v>0</v>
      </c>
      <c r="Q10" s="401"/>
      <c r="R10" s="401"/>
      <c r="S10" s="402"/>
      <c r="T10" s="331"/>
      <c r="U10" s="331"/>
      <c r="V10" s="331"/>
    </row>
    <row r="11" spans="2:22" s="331" customFormat="1" ht="19.5" customHeight="1">
      <c r="B11" s="396" t="s">
        <v>716</v>
      </c>
      <c r="C11" s="404"/>
      <c r="D11" s="405"/>
      <c r="E11" s="331" t="str">
        <f>Datos!C80</f>
        <v>ING. IVES BUSTHER GUTIERREZ ARENAS</v>
      </c>
      <c r="O11" s="399"/>
      <c r="P11" s="401"/>
      <c r="Q11" s="401"/>
      <c r="R11" s="401"/>
      <c r="S11" s="402"/>
    </row>
    <row r="12" spans="2:22" ht="19.5" customHeight="1">
      <c r="B12" s="395" t="s">
        <v>746</v>
      </c>
      <c r="C12" s="397"/>
      <c r="D12" s="406"/>
      <c r="E12" s="410" t="e">
        <f>#REF!</f>
        <v>#REF!</v>
      </c>
      <c r="F12" s="405"/>
      <c r="G12" s="405"/>
      <c r="H12" s="405"/>
      <c r="I12" s="405"/>
      <c r="J12" s="405"/>
      <c r="K12" s="405"/>
      <c r="L12" s="405"/>
      <c r="M12" s="405"/>
      <c r="N12" s="405"/>
      <c r="O12" s="553"/>
      <c r="P12" s="405"/>
      <c r="Q12" s="410"/>
      <c r="R12" s="401"/>
      <c r="S12" s="411"/>
      <c r="T12" s="410"/>
      <c r="U12" s="410"/>
      <c r="V12" s="410"/>
    </row>
    <row r="13" spans="2:22" ht="19.5" customHeight="1" thickBot="1">
      <c r="C13" s="397"/>
      <c r="D13" s="406"/>
      <c r="E13" s="407"/>
      <c r="F13" s="408"/>
      <c r="G13" s="408"/>
      <c r="H13" s="408"/>
      <c r="I13" s="408"/>
      <c r="J13" s="408"/>
      <c r="K13" s="408"/>
      <c r="L13" s="408"/>
      <c r="M13" s="408"/>
      <c r="N13" s="408"/>
      <c r="O13" s="409"/>
      <c r="P13" s="408"/>
      <c r="Q13" s="410"/>
      <c r="R13" s="401"/>
      <c r="S13" s="411"/>
      <c r="T13" s="410"/>
      <c r="U13" s="410"/>
      <c r="V13" s="410"/>
    </row>
    <row r="14" spans="2:22" ht="27.75" customHeight="1">
      <c r="B14" s="522" t="s">
        <v>213</v>
      </c>
      <c r="C14" s="523" t="s">
        <v>214</v>
      </c>
      <c r="D14" s="443"/>
      <c r="E14" s="520" t="s">
        <v>171</v>
      </c>
      <c r="F14" s="527"/>
      <c r="G14" s="480" t="s">
        <v>215</v>
      </c>
      <c r="H14" s="481" t="s">
        <v>747</v>
      </c>
      <c r="I14" s="452"/>
      <c r="J14" s="412"/>
      <c r="K14" s="412"/>
      <c r="L14" s="521" t="s">
        <v>748</v>
      </c>
      <c r="M14" s="412"/>
      <c r="N14" s="412"/>
      <c r="O14" s="526" t="s">
        <v>729</v>
      </c>
      <c r="P14" s="449"/>
      <c r="Q14" s="521" t="s">
        <v>755</v>
      </c>
      <c r="R14" s="450"/>
      <c r="S14" s="474" t="s">
        <v>172</v>
      </c>
      <c r="T14" s="450"/>
      <c r="U14" s="453" t="s">
        <v>750</v>
      </c>
      <c r="V14" s="472" t="s">
        <v>144</v>
      </c>
    </row>
    <row r="15" spans="2:22" ht="27.75" customHeight="1" thickBot="1">
      <c r="B15" s="444"/>
      <c r="C15" s="445"/>
      <c r="D15" s="414" t="s">
        <v>12</v>
      </c>
      <c r="E15" s="414" t="s">
        <v>776</v>
      </c>
      <c r="F15" s="528" t="s">
        <v>216</v>
      </c>
      <c r="G15" s="451"/>
      <c r="H15" s="446"/>
      <c r="I15" s="413" t="s">
        <v>86</v>
      </c>
      <c r="J15" s="414" t="s">
        <v>712</v>
      </c>
      <c r="K15" s="414" t="s">
        <v>745</v>
      </c>
      <c r="L15" s="414" t="s">
        <v>749</v>
      </c>
      <c r="M15" s="414" t="s">
        <v>85</v>
      </c>
      <c r="N15" s="524" t="s">
        <v>216</v>
      </c>
      <c r="O15" s="525" t="s">
        <v>753</v>
      </c>
      <c r="P15" s="440" t="s">
        <v>743</v>
      </c>
      <c r="Q15" s="440" t="s">
        <v>742</v>
      </c>
      <c r="R15" s="440" t="s">
        <v>744</v>
      </c>
      <c r="S15" s="440" t="s">
        <v>173</v>
      </c>
      <c r="T15" s="440" t="s">
        <v>174</v>
      </c>
      <c r="U15" s="454" t="s">
        <v>421</v>
      </c>
      <c r="V15" s="473"/>
    </row>
    <row r="16" spans="2:22" ht="19.5" customHeight="1" thickBot="1">
      <c r="B16" s="424"/>
      <c r="C16" s="425"/>
      <c r="D16" s="426"/>
      <c r="E16" s="426"/>
      <c r="F16" s="425"/>
      <c r="G16" s="426"/>
      <c r="H16" s="426"/>
      <c r="I16" s="427"/>
      <c r="J16" s="427"/>
      <c r="K16" s="427"/>
      <c r="L16" s="427"/>
      <c r="M16" s="427"/>
      <c r="N16" s="427"/>
      <c r="O16" s="427"/>
      <c r="P16" s="428"/>
      <c r="Q16" s="428"/>
      <c r="R16" s="428"/>
      <c r="S16" s="428"/>
      <c r="T16" s="428"/>
      <c r="U16" s="428"/>
      <c r="V16" s="429"/>
    </row>
    <row r="17" spans="2:23" ht="24.95" customHeight="1" thickBot="1">
      <c r="B17" s="482"/>
      <c r="C17" s="483"/>
      <c r="D17" s="483"/>
      <c r="E17" s="483"/>
      <c r="F17" s="483"/>
      <c r="G17" s="483"/>
      <c r="H17" s="484"/>
      <c r="I17" s="483"/>
      <c r="J17" s="483"/>
      <c r="K17" s="557" t="s">
        <v>33</v>
      </c>
      <c r="L17" s="483"/>
      <c r="M17" s="483"/>
      <c r="N17" s="483"/>
      <c r="O17" s="483"/>
      <c r="P17" s="440" t="s">
        <v>743</v>
      </c>
      <c r="Q17" s="440" t="s">
        <v>742</v>
      </c>
      <c r="R17" s="440" t="s">
        <v>744</v>
      </c>
      <c r="S17" s="705"/>
      <c r="T17" s="706"/>
      <c r="U17" s="705"/>
      <c r="V17" s="707">
        <f>V18+V22+V113+V118</f>
        <v>27105.070000000003</v>
      </c>
    </row>
    <row r="18" spans="2:23" ht="24.95" customHeight="1" thickBot="1">
      <c r="B18" s="822"/>
      <c r="C18" s="823"/>
      <c r="D18" s="823"/>
      <c r="E18" s="823"/>
      <c r="F18" s="823"/>
      <c r="G18" s="823"/>
      <c r="H18" s="823"/>
      <c r="I18" s="824"/>
      <c r="J18" s="824"/>
      <c r="K18" s="824" t="s">
        <v>223</v>
      </c>
      <c r="L18" s="824"/>
      <c r="M18" s="824"/>
      <c r="N18" s="824"/>
      <c r="O18" s="824"/>
      <c r="P18" s="826"/>
      <c r="Q18" s="827"/>
      <c r="R18" s="827"/>
      <c r="S18" s="827"/>
      <c r="T18" s="828"/>
      <c r="U18" s="827"/>
      <c r="V18" s="825">
        <f>SUM(V19:V19)</f>
        <v>9854.6200000000008</v>
      </c>
    </row>
    <row r="19" spans="2:23" ht="24.95" customHeight="1">
      <c r="B19" s="447">
        <v>1</v>
      </c>
      <c r="C19" s="448">
        <v>1977</v>
      </c>
      <c r="D19" s="485" t="s">
        <v>772</v>
      </c>
      <c r="E19" s="448" t="s">
        <v>773</v>
      </c>
      <c r="F19" s="529">
        <v>2042</v>
      </c>
      <c r="G19" s="534" t="s">
        <v>774</v>
      </c>
      <c r="H19" s="535" t="s">
        <v>775</v>
      </c>
      <c r="I19" s="447" t="s">
        <v>268</v>
      </c>
      <c r="J19" s="448">
        <v>1</v>
      </c>
      <c r="K19" s="448">
        <v>9854.6200000000008</v>
      </c>
      <c r="L19" s="448">
        <f>ROUND(J19*K19,2)</f>
        <v>9854.6200000000008</v>
      </c>
      <c r="M19" s="448" t="s">
        <v>764</v>
      </c>
      <c r="N19" s="529">
        <v>2042</v>
      </c>
      <c r="O19" s="529" t="s">
        <v>743</v>
      </c>
      <c r="P19" s="708">
        <f>IF($O19=$P$15,$L19,)</f>
        <v>9854.6200000000008</v>
      </c>
      <c r="Q19" s="702">
        <f>IF($O19=$Q$15,$L19,)</f>
        <v>0</v>
      </c>
      <c r="R19" s="702">
        <f>IF($O19=$R$15,$L19,)</f>
        <v>0</v>
      </c>
      <c r="S19" s="702">
        <f>SUM(P19:R19)</f>
        <v>9854.6200000000008</v>
      </c>
      <c r="T19" s="709"/>
      <c r="U19" s="710"/>
      <c r="V19" s="711">
        <f t="shared" ref="V19" si="0">SUM(S19:T19)</f>
        <v>9854.6200000000008</v>
      </c>
    </row>
    <row r="20" spans="2:23" s="461" customFormat="1" ht="24.95" customHeight="1" thickBot="1">
      <c r="B20" s="462"/>
      <c r="C20" s="463"/>
      <c r="D20" s="488"/>
      <c r="E20" s="432"/>
      <c r="F20" s="463"/>
      <c r="G20" s="458"/>
      <c r="H20" s="459"/>
      <c r="I20" s="432"/>
      <c r="J20" s="432"/>
      <c r="K20" s="432"/>
      <c r="L20" s="432"/>
      <c r="M20" s="432"/>
      <c r="N20" s="432"/>
      <c r="O20" s="432" t="s">
        <v>752</v>
      </c>
      <c r="P20" s="716">
        <f>SUM(P19:P19)</f>
        <v>9854.6200000000008</v>
      </c>
      <c r="Q20" s="716">
        <f>SUM(Q19:Q19)</f>
        <v>0</v>
      </c>
      <c r="R20" s="716">
        <f>SUM(R19:R19)</f>
        <v>0</v>
      </c>
      <c r="S20" s="716">
        <f>SUM(S19:S19)</f>
        <v>9854.6200000000008</v>
      </c>
      <c r="T20" s="717"/>
      <c r="U20" s="717"/>
      <c r="V20" s="718"/>
    </row>
    <row r="21" spans="2:23" ht="12.75" customHeight="1" thickBot="1">
      <c r="B21" s="455"/>
      <c r="C21" s="456"/>
      <c r="D21" s="489"/>
      <c r="E21" s="435"/>
      <c r="F21" s="456"/>
      <c r="G21" s="457"/>
      <c r="H21" s="459"/>
      <c r="I21" s="435"/>
      <c r="J21" s="435"/>
      <c r="K21" s="435"/>
      <c r="L21" s="435"/>
      <c r="M21" s="435"/>
      <c r="N21" s="435"/>
      <c r="O21" s="435"/>
      <c r="P21" s="719"/>
      <c r="Q21" s="719"/>
      <c r="R21" s="719"/>
      <c r="S21" s="719"/>
      <c r="T21" s="717"/>
      <c r="U21" s="717"/>
      <c r="V21" s="720"/>
    </row>
    <row r="22" spans="2:23" ht="24.95" customHeight="1" thickBot="1">
      <c r="B22" s="822"/>
      <c r="C22" s="823"/>
      <c r="D22" s="823"/>
      <c r="E22" s="823"/>
      <c r="F22" s="823"/>
      <c r="G22" s="823"/>
      <c r="H22" s="823"/>
      <c r="I22" s="824"/>
      <c r="J22" s="824"/>
      <c r="K22" s="824" t="s">
        <v>751</v>
      </c>
      <c r="L22" s="824"/>
      <c r="M22" s="824"/>
      <c r="N22" s="824"/>
      <c r="O22" s="824"/>
      <c r="P22" s="826"/>
      <c r="Q22" s="827"/>
      <c r="R22" s="827"/>
      <c r="S22" s="827"/>
      <c r="T22" s="828"/>
      <c r="U22" s="827"/>
      <c r="V22" s="825">
        <f>SUM(V23:V110)</f>
        <v>14250.450000000003</v>
      </c>
      <c r="W22" s="416"/>
    </row>
    <row r="23" spans="2:23" ht="24.95" customHeight="1">
      <c r="B23" s="494">
        <v>1</v>
      </c>
      <c r="C23" s="495">
        <v>1570</v>
      </c>
      <c r="D23" s="486" t="s">
        <v>777</v>
      </c>
      <c r="E23" s="486" t="s">
        <v>778</v>
      </c>
      <c r="F23" s="530">
        <v>214</v>
      </c>
      <c r="G23" s="539" t="s">
        <v>779</v>
      </c>
      <c r="H23" s="540" t="s">
        <v>780</v>
      </c>
      <c r="I23" s="549" t="s">
        <v>781</v>
      </c>
      <c r="J23" s="496">
        <v>1</v>
      </c>
      <c r="K23" s="496">
        <v>11.4</v>
      </c>
      <c r="L23" s="703">
        <f>ROUND(J23*K23,2)</f>
        <v>11.4</v>
      </c>
      <c r="M23" s="809">
        <v>43208</v>
      </c>
      <c r="N23" s="496">
        <v>256</v>
      </c>
      <c r="O23" s="555" t="s">
        <v>742</v>
      </c>
      <c r="P23" s="721">
        <f t="shared" ref="P23:P106" si="1">IF($O23=$P$15,$L23,)</f>
        <v>0</v>
      </c>
      <c r="Q23" s="722">
        <f t="shared" ref="Q23:Q110" si="2">IF($O23=$Q$15,$L23,)</f>
        <v>11.4</v>
      </c>
      <c r="R23" s="722">
        <f t="shared" ref="R23:R106" si="3">IF($O23=$R$15,$L23,)</f>
        <v>0</v>
      </c>
      <c r="S23" s="722">
        <f>SUM(P23:R23)</f>
        <v>11.4</v>
      </c>
      <c r="T23" s="725"/>
      <c r="U23" s="726">
        <v>189</v>
      </c>
      <c r="V23" s="711">
        <f>SUM(S23:T23)</f>
        <v>11.4</v>
      </c>
    </row>
    <row r="24" spans="2:23" ht="24.95" customHeight="1">
      <c r="B24" s="494">
        <v>2</v>
      </c>
      <c r="C24" s="495">
        <v>1570</v>
      </c>
      <c r="D24" s="486" t="s">
        <v>777</v>
      </c>
      <c r="E24" s="486" t="s">
        <v>778</v>
      </c>
      <c r="F24" s="530">
        <v>214</v>
      </c>
      <c r="G24" s="539" t="s">
        <v>779</v>
      </c>
      <c r="H24" s="540" t="s">
        <v>782</v>
      </c>
      <c r="I24" s="549" t="s">
        <v>52</v>
      </c>
      <c r="J24" s="496">
        <v>1</v>
      </c>
      <c r="K24" s="496">
        <v>12.9</v>
      </c>
      <c r="L24" s="703">
        <f t="shared" ref="L24:L87" si="4">ROUND(J24*K24,2)</f>
        <v>12.9</v>
      </c>
      <c r="M24" s="809">
        <v>43208</v>
      </c>
      <c r="N24" s="496">
        <v>256</v>
      </c>
      <c r="O24" s="555" t="s">
        <v>742</v>
      </c>
      <c r="P24" s="721">
        <f t="shared" si="1"/>
        <v>0</v>
      </c>
      <c r="Q24" s="722">
        <f t="shared" si="2"/>
        <v>12.9</v>
      </c>
      <c r="R24" s="722">
        <f t="shared" si="3"/>
        <v>0</v>
      </c>
      <c r="S24" s="722">
        <f t="shared" ref="S24:S87" si="5">SUM(P24:R24)</f>
        <v>12.9</v>
      </c>
      <c r="T24" s="725"/>
      <c r="U24" s="726">
        <v>189</v>
      </c>
      <c r="V24" s="712">
        <f t="shared" ref="V24:V87" si="6">SUM(S24:T24)</f>
        <v>12.9</v>
      </c>
    </row>
    <row r="25" spans="2:23" ht="24.95" customHeight="1">
      <c r="B25" s="494">
        <v>3</v>
      </c>
      <c r="C25" s="495">
        <v>1570</v>
      </c>
      <c r="D25" s="486" t="s">
        <v>777</v>
      </c>
      <c r="E25" s="486" t="s">
        <v>778</v>
      </c>
      <c r="F25" s="530">
        <v>214</v>
      </c>
      <c r="G25" s="539" t="s">
        <v>779</v>
      </c>
      <c r="H25" s="540" t="s">
        <v>783</v>
      </c>
      <c r="I25" s="549" t="s">
        <v>52</v>
      </c>
      <c r="J25" s="496">
        <v>2</v>
      </c>
      <c r="K25" s="496">
        <v>18.5</v>
      </c>
      <c r="L25" s="703">
        <f t="shared" si="4"/>
        <v>37</v>
      </c>
      <c r="M25" s="809">
        <v>43208</v>
      </c>
      <c r="N25" s="496">
        <v>256</v>
      </c>
      <c r="O25" s="555" t="s">
        <v>742</v>
      </c>
      <c r="P25" s="721">
        <f t="shared" si="1"/>
        <v>0</v>
      </c>
      <c r="Q25" s="722">
        <f t="shared" si="2"/>
        <v>37</v>
      </c>
      <c r="R25" s="722">
        <f t="shared" si="3"/>
        <v>0</v>
      </c>
      <c r="S25" s="722">
        <f t="shared" si="5"/>
        <v>37</v>
      </c>
      <c r="T25" s="725"/>
      <c r="U25" s="726">
        <v>189</v>
      </c>
      <c r="V25" s="712">
        <f t="shared" si="6"/>
        <v>37</v>
      </c>
    </row>
    <row r="26" spans="2:23" ht="24.95" customHeight="1">
      <c r="B26" s="494">
        <v>4</v>
      </c>
      <c r="C26" s="495">
        <v>1570</v>
      </c>
      <c r="D26" s="486" t="s">
        <v>777</v>
      </c>
      <c r="E26" s="486" t="s">
        <v>778</v>
      </c>
      <c r="F26" s="530">
        <v>214</v>
      </c>
      <c r="G26" s="539" t="s">
        <v>779</v>
      </c>
      <c r="H26" s="540" t="s">
        <v>784</v>
      </c>
      <c r="I26" s="549" t="s">
        <v>52</v>
      </c>
      <c r="J26" s="496">
        <v>20</v>
      </c>
      <c r="K26" s="496">
        <v>6.4</v>
      </c>
      <c r="L26" s="703">
        <f t="shared" si="4"/>
        <v>128</v>
      </c>
      <c r="M26" s="809">
        <v>43208</v>
      </c>
      <c r="N26" s="496">
        <v>256</v>
      </c>
      <c r="O26" s="555" t="s">
        <v>742</v>
      </c>
      <c r="P26" s="721">
        <f t="shared" si="1"/>
        <v>0</v>
      </c>
      <c r="Q26" s="722">
        <f t="shared" si="2"/>
        <v>128</v>
      </c>
      <c r="R26" s="722">
        <f t="shared" si="3"/>
        <v>0</v>
      </c>
      <c r="S26" s="722">
        <f t="shared" si="5"/>
        <v>128</v>
      </c>
      <c r="T26" s="725"/>
      <c r="U26" s="726">
        <v>189</v>
      </c>
      <c r="V26" s="712">
        <f t="shared" si="6"/>
        <v>128</v>
      </c>
    </row>
    <row r="27" spans="2:23" ht="24.95" customHeight="1">
      <c r="B27" s="494">
        <v>5</v>
      </c>
      <c r="C27" s="495">
        <v>1570</v>
      </c>
      <c r="D27" s="486" t="s">
        <v>777</v>
      </c>
      <c r="E27" s="486" t="s">
        <v>778</v>
      </c>
      <c r="F27" s="530">
        <v>214</v>
      </c>
      <c r="G27" s="539" t="s">
        <v>779</v>
      </c>
      <c r="H27" s="540" t="s">
        <v>785</v>
      </c>
      <c r="I27" s="549" t="s">
        <v>52</v>
      </c>
      <c r="J27" s="496">
        <v>1</v>
      </c>
      <c r="K27" s="496">
        <v>79</v>
      </c>
      <c r="L27" s="703">
        <f t="shared" si="4"/>
        <v>79</v>
      </c>
      <c r="M27" s="809">
        <v>43208</v>
      </c>
      <c r="N27" s="496">
        <v>256</v>
      </c>
      <c r="O27" s="555" t="s">
        <v>742</v>
      </c>
      <c r="P27" s="721">
        <f t="shared" si="1"/>
        <v>0</v>
      </c>
      <c r="Q27" s="722">
        <f t="shared" si="2"/>
        <v>79</v>
      </c>
      <c r="R27" s="722">
        <f t="shared" si="3"/>
        <v>0</v>
      </c>
      <c r="S27" s="722">
        <f t="shared" si="5"/>
        <v>79</v>
      </c>
      <c r="T27" s="725"/>
      <c r="U27" s="726">
        <v>189</v>
      </c>
      <c r="V27" s="712">
        <f t="shared" si="6"/>
        <v>79</v>
      </c>
    </row>
    <row r="28" spans="2:23" ht="24.95" customHeight="1">
      <c r="B28" s="494">
        <v>6</v>
      </c>
      <c r="C28" s="495">
        <v>1570</v>
      </c>
      <c r="D28" s="486" t="s">
        <v>777</v>
      </c>
      <c r="E28" s="486" t="s">
        <v>778</v>
      </c>
      <c r="F28" s="530">
        <v>214</v>
      </c>
      <c r="G28" s="539" t="s">
        <v>779</v>
      </c>
      <c r="H28" s="540" t="s">
        <v>786</v>
      </c>
      <c r="I28" s="549" t="s">
        <v>52</v>
      </c>
      <c r="J28" s="496">
        <v>1</v>
      </c>
      <c r="K28" s="496">
        <v>7.9</v>
      </c>
      <c r="L28" s="703">
        <f t="shared" si="4"/>
        <v>7.9</v>
      </c>
      <c r="M28" s="809">
        <v>43208</v>
      </c>
      <c r="N28" s="496">
        <v>256</v>
      </c>
      <c r="O28" s="555" t="s">
        <v>742</v>
      </c>
      <c r="P28" s="721">
        <f t="shared" si="1"/>
        <v>0</v>
      </c>
      <c r="Q28" s="722">
        <f t="shared" si="2"/>
        <v>7.9</v>
      </c>
      <c r="R28" s="722">
        <f t="shared" si="3"/>
        <v>0</v>
      </c>
      <c r="S28" s="722">
        <f t="shared" si="5"/>
        <v>7.9</v>
      </c>
      <c r="T28" s="725"/>
      <c r="U28" s="726">
        <v>189</v>
      </c>
      <c r="V28" s="712">
        <f t="shared" si="6"/>
        <v>7.9</v>
      </c>
    </row>
    <row r="29" spans="2:23" ht="24.95" customHeight="1">
      <c r="B29" s="494">
        <v>7</v>
      </c>
      <c r="C29" s="495">
        <v>1570</v>
      </c>
      <c r="D29" s="486" t="s">
        <v>777</v>
      </c>
      <c r="E29" s="486" t="s">
        <v>778</v>
      </c>
      <c r="F29" s="530">
        <v>214</v>
      </c>
      <c r="G29" s="539" t="s">
        <v>779</v>
      </c>
      <c r="H29" s="540" t="s">
        <v>787</v>
      </c>
      <c r="I29" s="549" t="s">
        <v>52</v>
      </c>
      <c r="J29" s="496">
        <v>1</v>
      </c>
      <c r="K29" s="496">
        <v>19</v>
      </c>
      <c r="L29" s="703">
        <f t="shared" si="4"/>
        <v>19</v>
      </c>
      <c r="M29" s="809">
        <v>43208</v>
      </c>
      <c r="N29" s="496">
        <v>256</v>
      </c>
      <c r="O29" s="555" t="s">
        <v>742</v>
      </c>
      <c r="P29" s="721">
        <f t="shared" si="1"/>
        <v>0</v>
      </c>
      <c r="Q29" s="722">
        <f t="shared" si="2"/>
        <v>19</v>
      </c>
      <c r="R29" s="722">
        <f t="shared" si="3"/>
        <v>0</v>
      </c>
      <c r="S29" s="722">
        <f t="shared" si="5"/>
        <v>19</v>
      </c>
      <c r="T29" s="725"/>
      <c r="U29" s="726">
        <v>189</v>
      </c>
      <c r="V29" s="712">
        <f t="shared" si="6"/>
        <v>19</v>
      </c>
    </row>
    <row r="30" spans="2:23" ht="24.95" customHeight="1">
      <c r="B30" s="494">
        <v>8</v>
      </c>
      <c r="C30" s="495">
        <v>1570</v>
      </c>
      <c r="D30" s="486" t="s">
        <v>777</v>
      </c>
      <c r="E30" s="486" t="s">
        <v>778</v>
      </c>
      <c r="F30" s="530">
        <v>214</v>
      </c>
      <c r="G30" s="539" t="s">
        <v>779</v>
      </c>
      <c r="H30" s="540" t="s">
        <v>788</v>
      </c>
      <c r="I30" s="549" t="s">
        <v>52</v>
      </c>
      <c r="J30" s="496">
        <v>1</v>
      </c>
      <c r="K30" s="496">
        <v>9.4</v>
      </c>
      <c r="L30" s="703">
        <f t="shared" si="4"/>
        <v>9.4</v>
      </c>
      <c r="M30" s="809">
        <v>43208</v>
      </c>
      <c r="N30" s="496">
        <v>256</v>
      </c>
      <c r="O30" s="555" t="s">
        <v>742</v>
      </c>
      <c r="P30" s="721">
        <f t="shared" si="1"/>
        <v>0</v>
      </c>
      <c r="Q30" s="722">
        <f t="shared" si="2"/>
        <v>9.4</v>
      </c>
      <c r="R30" s="722">
        <f t="shared" si="3"/>
        <v>0</v>
      </c>
      <c r="S30" s="722">
        <f t="shared" si="5"/>
        <v>9.4</v>
      </c>
      <c r="T30" s="725"/>
      <c r="U30" s="726">
        <v>189</v>
      </c>
      <c r="V30" s="712">
        <f t="shared" si="6"/>
        <v>9.4</v>
      </c>
    </row>
    <row r="31" spans="2:23" ht="24.95" customHeight="1">
      <c r="B31" s="494">
        <v>9</v>
      </c>
      <c r="C31" s="495">
        <v>1570</v>
      </c>
      <c r="D31" s="486" t="s">
        <v>777</v>
      </c>
      <c r="E31" s="486" t="s">
        <v>778</v>
      </c>
      <c r="F31" s="530">
        <v>214</v>
      </c>
      <c r="G31" s="539" t="s">
        <v>779</v>
      </c>
      <c r="H31" s="540" t="s">
        <v>789</v>
      </c>
      <c r="I31" s="549" t="s">
        <v>52</v>
      </c>
      <c r="J31" s="496">
        <v>1</v>
      </c>
      <c r="K31" s="496">
        <v>14.9</v>
      </c>
      <c r="L31" s="703">
        <f t="shared" si="4"/>
        <v>14.9</v>
      </c>
      <c r="M31" s="809">
        <v>43208</v>
      </c>
      <c r="N31" s="496">
        <v>256</v>
      </c>
      <c r="O31" s="555" t="s">
        <v>742</v>
      </c>
      <c r="P31" s="721">
        <f t="shared" si="1"/>
        <v>0</v>
      </c>
      <c r="Q31" s="722">
        <f t="shared" si="2"/>
        <v>14.9</v>
      </c>
      <c r="R31" s="722">
        <f t="shared" si="3"/>
        <v>0</v>
      </c>
      <c r="S31" s="722">
        <f t="shared" si="5"/>
        <v>14.9</v>
      </c>
      <c r="T31" s="725"/>
      <c r="U31" s="726">
        <v>189</v>
      </c>
      <c r="V31" s="712">
        <f t="shared" si="6"/>
        <v>14.9</v>
      </c>
    </row>
    <row r="32" spans="2:23" ht="24.95" customHeight="1">
      <c r="B32" s="494">
        <v>10</v>
      </c>
      <c r="C32" s="495">
        <v>1570</v>
      </c>
      <c r="D32" s="486" t="s">
        <v>777</v>
      </c>
      <c r="E32" s="486" t="s">
        <v>778</v>
      </c>
      <c r="F32" s="530">
        <v>214</v>
      </c>
      <c r="G32" s="539" t="s">
        <v>779</v>
      </c>
      <c r="H32" s="540" t="s">
        <v>790</v>
      </c>
      <c r="I32" s="549" t="s">
        <v>52</v>
      </c>
      <c r="J32" s="496">
        <v>1</v>
      </c>
      <c r="K32" s="496">
        <v>22.4</v>
      </c>
      <c r="L32" s="703">
        <f t="shared" si="4"/>
        <v>22.4</v>
      </c>
      <c r="M32" s="809">
        <v>43208</v>
      </c>
      <c r="N32" s="496">
        <v>256</v>
      </c>
      <c r="O32" s="555" t="s">
        <v>742</v>
      </c>
      <c r="P32" s="721">
        <f t="shared" si="1"/>
        <v>0</v>
      </c>
      <c r="Q32" s="722">
        <f t="shared" si="2"/>
        <v>22.4</v>
      </c>
      <c r="R32" s="722">
        <f t="shared" si="3"/>
        <v>0</v>
      </c>
      <c r="S32" s="722">
        <f t="shared" si="5"/>
        <v>22.4</v>
      </c>
      <c r="T32" s="725"/>
      <c r="U32" s="726">
        <v>189</v>
      </c>
      <c r="V32" s="712">
        <f t="shared" si="6"/>
        <v>22.4</v>
      </c>
    </row>
    <row r="33" spans="2:22" ht="24.95" customHeight="1">
      <c r="B33" s="494">
        <v>11</v>
      </c>
      <c r="C33" s="495">
        <v>1570</v>
      </c>
      <c r="D33" s="486" t="s">
        <v>777</v>
      </c>
      <c r="E33" s="486" t="s">
        <v>778</v>
      </c>
      <c r="F33" s="530">
        <v>214</v>
      </c>
      <c r="G33" s="539" t="s">
        <v>779</v>
      </c>
      <c r="H33" s="540" t="s">
        <v>791</v>
      </c>
      <c r="I33" s="549" t="s">
        <v>52</v>
      </c>
      <c r="J33" s="496">
        <v>1</v>
      </c>
      <c r="K33" s="496">
        <v>28.9</v>
      </c>
      <c r="L33" s="703">
        <f t="shared" si="4"/>
        <v>28.9</v>
      </c>
      <c r="M33" s="809">
        <v>43208</v>
      </c>
      <c r="N33" s="496">
        <v>256</v>
      </c>
      <c r="O33" s="555" t="s">
        <v>742</v>
      </c>
      <c r="P33" s="721">
        <f t="shared" si="1"/>
        <v>0</v>
      </c>
      <c r="Q33" s="722">
        <f t="shared" si="2"/>
        <v>28.9</v>
      </c>
      <c r="R33" s="722">
        <f t="shared" si="3"/>
        <v>0</v>
      </c>
      <c r="S33" s="722">
        <f t="shared" si="5"/>
        <v>28.9</v>
      </c>
      <c r="T33" s="725"/>
      <c r="U33" s="726">
        <v>189</v>
      </c>
      <c r="V33" s="712">
        <f t="shared" si="6"/>
        <v>28.9</v>
      </c>
    </row>
    <row r="34" spans="2:22" ht="24.95" customHeight="1">
      <c r="B34" s="494">
        <v>12</v>
      </c>
      <c r="C34" s="495">
        <v>1570</v>
      </c>
      <c r="D34" s="486" t="s">
        <v>777</v>
      </c>
      <c r="E34" s="486" t="s">
        <v>778</v>
      </c>
      <c r="F34" s="530">
        <v>214</v>
      </c>
      <c r="G34" s="539" t="s">
        <v>779</v>
      </c>
      <c r="H34" s="540" t="s">
        <v>792</v>
      </c>
      <c r="I34" s="549" t="s">
        <v>52</v>
      </c>
      <c r="J34" s="496">
        <v>1</v>
      </c>
      <c r="K34" s="496">
        <v>35.9</v>
      </c>
      <c r="L34" s="703">
        <f t="shared" si="4"/>
        <v>35.9</v>
      </c>
      <c r="M34" s="809">
        <v>43208</v>
      </c>
      <c r="N34" s="496">
        <v>256</v>
      </c>
      <c r="O34" s="555" t="s">
        <v>742</v>
      </c>
      <c r="P34" s="721">
        <f t="shared" si="1"/>
        <v>0</v>
      </c>
      <c r="Q34" s="722">
        <f t="shared" si="2"/>
        <v>35.9</v>
      </c>
      <c r="R34" s="722">
        <f t="shared" si="3"/>
        <v>0</v>
      </c>
      <c r="S34" s="722">
        <f t="shared" si="5"/>
        <v>35.9</v>
      </c>
      <c r="T34" s="725"/>
      <c r="U34" s="726">
        <v>189</v>
      </c>
      <c r="V34" s="712">
        <f t="shared" si="6"/>
        <v>35.9</v>
      </c>
    </row>
    <row r="35" spans="2:22" ht="24.95" customHeight="1">
      <c r="B35" s="494">
        <v>13</v>
      </c>
      <c r="C35" s="495">
        <v>1570</v>
      </c>
      <c r="D35" s="486" t="s">
        <v>777</v>
      </c>
      <c r="E35" s="486" t="s">
        <v>778</v>
      </c>
      <c r="F35" s="530">
        <v>214</v>
      </c>
      <c r="G35" s="539" t="s">
        <v>779</v>
      </c>
      <c r="H35" s="540" t="s">
        <v>793</v>
      </c>
      <c r="I35" s="549" t="s">
        <v>52</v>
      </c>
      <c r="J35" s="496">
        <v>1</v>
      </c>
      <c r="K35" s="496">
        <v>3.9</v>
      </c>
      <c r="L35" s="703">
        <f t="shared" si="4"/>
        <v>3.9</v>
      </c>
      <c r="M35" s="809">
        <v>43208</v>
      </c>
      <c r="N35" s="496">
        <v>256</v>
      </c>
      <c r="O35" s="555" t="s">
        <v>742</v>
      </c>
      <c r="P35" s="721">
        <f t="shared" si="1"/>
        <v>0</v>
      </c>
      <c r="Q35" s="722">
        <f t="shared" si="2"/>
        <v>3.9</v>
      </c>
      <c r="R35" s="722">
        <f t="shared" si="3"/>
        <v>0</v>
      </c>
      <c r="S35" s="722">
        <f t="shared" si="5"/>
        <v>3.9</v>
      </c>
      <c r="T35" s="725"/>
      <c r="U35" s="726">
        <v>189</v>
      </c>
      <c r="V35" s="712">
        <f t="shared" si="6"/>
        <v>3.9</v>
      </c>
    </row>
    <row r="36" spans="2:22" ht="24.95" customHeight="1">
      <c r="B36" s="494">
        <v>14</v>
      </c>
      <c r="C36" s="495">
        <v>1570</v>
      </c>
      <c r="D36" s="486" t="s">
        <v>777</v>
      </c>
      <c r="E36" s="486" t="s">
        <v>778</v>
      </c>
      <c r="F36" s="530">
        <v>214</v>
      </c>
      <c r="G36" s="539" t="s">
        <v>779</v>
      </c>
      <c r="H36" s="540" t="s">
        <v>794</v>
      </c>
      <c r="I36" s="549" t="s">
        <v>795</v>
      </c>
      <c r="J36" s="496">
        <v>100</v>
      </c>
      <c r="K36" s="496">
        <v>2.4900000000000002</v>
      </c>
      <c r="L36" s="703">
        <f t="shared" si="4"/>
        <v>249</v>
      </c>
      <c r="M36" s="809">
        <v>43208</v>
      </c>
      <c r="N36" s="496">
        <v>256</v>
      </c>
      <c r="O36" s="555" t="s">
        <v>742</v>
      </c>
      <c r="P36" s="721">
        <f t="shared" si="1"/>
        <v>0</v>
      </c>
      <c r="Q36" s="722">
        <f t="shared" si="2"/>
        <v>249</v>
      </c>
      <c r="R36" s="722">
        <f t="shared" si="3"/>
        <v>0</v>
      </c>
      <c r="S36" s="722">
        <f t="shared" si="5"/>
        <v>249</v>
      </c>
      <c r="T36" s="725"/>
      <c r="U36" s="726">
        <v>189</v>
      </c>
      <c r="V36" s="712">
        <f t="shared" si="6"/>
        <v>249</v>
      </c>
    </row>
    <row r="37" spans="2:22" ht="24.95" customHeight="1">
      <c r="B37" s="494">
        <v>15</v>
      </c>
      <c r="C37" s="495">
        <v>1570</v>
      </c>
      <c r="D37" s="486" t="s">
        <v>777</v>
      </c>
      <c r="E37" s="486" t="s">
        <v>778</v>
      </c>
      <c r="F37" s="530">
        <v>214</v>
      </c>
      <c r="G37" s="539" t="s">
        <v>779</v>
      </c>
      <c r="H37" s="540" t="s">
        <v>796</v>
      </c>
      <c r="I37" s="549" t="s">
        <v>795</v>
      </c>
      <c r="J37" s="496">
        <v>100</v>
      </c>
      <c r="K37" s="496">
        <v>1.04</v>
      </c>
      <c r="L37" s="703">
        <f t="shared" si="4"/>
        <v>104</v>
      </c>
      <c r="M37" s="809">
        <v>43208</v>
      </c>
      <c r="N37" s="496">
        <v>256</v>
      </c>
      <c r="O37" s="555" t="s">
        <v>742</v>
      </c>
      <c r="P37" s="721">
        <f t="shared" si="1"/>
        <v>0</v>
      </c>
      <c r="Q37" s="722">
        <f t="shared" si="2"/>
        <v>104</v>
      </c>
      <c r="R37" s="722">
        <f t="shared" si="3"/>
        <v>0</v>
      </c>
      <c r="S37" s="722">
        <f t="shared" si="5"/>
        <v>104</v>
      </c>
      <c r="T37" s="725"/>
      <c r="U37" s="726">
        <v>189</v>
      </c>
      <c r="V37" s="712">
        <f t="shared" si="6"/>
        <v>104</v>
      </c>
    </row>
    <row r="38" spans="2:22" ht="24.95" customHeight="1">
      <c r="B38" s="494">
        <v>16</v>
      </c>
      <c r="C38" s="495">
        <v>1570</v>
      </c>
      <c r="D38" s="486" t="s">
        <v>777</v>
      </c>
      <c r="E38" s="486" t="s">
        <v>778</v>
      </c>
      <c r="F38" s="530">
        <v>214</v>
      </c>
      <c r="G38" s="539" t="s">
        <v>779</v>
      </c>
      <c r="H38" s="540" t="s">
        <v>797</v>
      </c>
      <c r="I38" s="549" t="s">
        <v>52</v>
      </c>
      <c r="J38" s="496">
        <v>5</v>
      </c>
      <c r="K38" s="496">
        <v>139.9</v>
      </c>
      <c r="L38" s="703">
        <f t="shared" si="4"/>
        <v>699.5</v>
      </c>
      <c r="M38" s="809">
        <v>43208</v>
      </c>
      <c r="N38" s="496">
        <v>256</v>
      </c>
      <c r="O38" s="555" t="s">
        <v>742</v>
      </c>
      <c r="P38" s="721">
        <f t="shared" si="1"/>
        <v>0</v>
      </c>
      <c r="Q38" s="722">
        <f t="shared" si="2"/>
        <v>699.5</v>
      </c>
      <c r="R38" s="722">
        <f t="shared" si="3"/>
        <v>0</v>
      </c>
      <c r="S38" s="722">
        <f t="shared" si="5"/>
        <v>699.5</v>
      </c>
      <c r="T38" s="725"/>
      <c r="U38" s="726">
        <v>189</v>
      </c>
      <c r="V38" s="712">
        <f t="shared" si="6"/>
        <v>699.5</v>
      </c>
    </row>
    <row r="39" spans="2:22" ht="24.95" customHeight="1">
      <c r="B39" s="494">
        <v>17</v>
      </c>
      <c r="C39" s="495">
        <v>1570</v>
      </c>
      <c r="D39" s="486" t="s">
        <v>777</v>
      </c>
      <c r="E39" s="486" t="s">
        <v>778</v>
      </c>
      <c r="F39" s="530">
        <v>214</v>
      </c>
      <c r="G39" s="539" t="s">
        <v>779</v>
      </c>
      <c r="H39" s="540" t="s">
        <v>798</v>
      </c>
      <c r="I39" s="549" t="s">
        <v>52</v>
      </c>
      <c r="J39" s="496">
        <v>3</v>
      </c>
      <c r="K39" s="496">
        <v>94.9</v>
      </c>
      <c r="L39" s="703">
        <f t="shared" si="4"/>
        <v>284.7</v>
      </c>
      <c r="M39" s="809">
        <v>43208</v>
      </c>
      <c r="N39" s="496">
        <v>256</v>
      </c>
      <c r="O39" s="555" t="s">
        <v>742</v>
      </c>
      <c r="P39" s="721">
        <f t="shared" si="1"/>
        <v>0</v>
      </c>
      <c r="Q39" s="722">
        <f t="shared" si="2"/>
        <v>284.7</v>
      </c>
      <c r="R39" s="722">
        <f t="shared" si="3"/>
        <v>0</v>
      </c>
      <c r="S39" s="722">
        <f t="shared" si="5"/>
        <v>284.7</v>
      </c>
      <c r="T39" s="725"/>
      <c r="U39" s="726">
        <v>189</v>
      </c>
      <c r="V39" s="712">
        <f t="shared" si="6"/>
        <v>284.7</v>
      </c>
    </row>
    <row r="40" spans="2:22" ht="24.95" customHeight="1">
      <c r="B40" s="494">
        <v>18</v>
      </c>
      <c r="C40" s="495">
        <v>1570</v>
      </c>
      <c r="D40" s="486" t="s">
        <v>777</v>
      </c>
      <c r="E40" s="486" t="s">
        <v>778</v>
      </c>
      <c r="F40" s="530">
        <v>214</v>
      </c>
      <c r="G40" s="539" t="s">
        <v>779</v>
      </c>
      <c r="H40" s="540" t="s">
        <v>799</v>
      </c>
      <c r="I40" s="549" t="s">
        <v>52</v>
      </c>
      <c r="J40" s="496">
        <v>3</v>
      </c>
      <c r="K40" s="496">
        <v>6.4</v>
      </c>
      <c r="L40" s="703">
        <f t="shared" si="4"/>
        <v>19.2</v>
      </c>
      <c r="M40" s="809">
        <v>43208</v>
      </c>
      <c r="N40" s="496">
        <v>256</v>
      </c>
      <c r="O40" s="555" t="s">
        <v>742</v>
      </c>
      <c r="P40" s="721">
        <f t="shared" si="1"/>
        <v>0</v>
      </c>
      <c r="Q40" s="722">
        <f t="shared" si="2"/>
        <v>19.2</v>
      </c>
      <c r="R40" s="722">
        <f t="shared" si="3"/>
        <v>0</v>
      </c>
      <c r="S40" s="722">
        <f t="shared" si="5"/>
        <v>19.2</v>
      </c>
      <c r="T40" s="725"/>
      <c r="U40" s="726">
        <v>189</v>
      </c>
      <c r="V40" s="712">
        <f t="shared" si="6"/>
        <v>19.2</v>
      </c>
    </row>
    <row r="41" spans="2:22" ht="24.95" customHeight="1">
      <c r="B41" s="494">
        <v>19</v>
      </c>
      <c r="C41" s="495">
        <v>1570</v>
      </c>
      <c r="D41" s="486" t="s">
        <v>777</v>
      </c>
      <c r="E41" s="486" t="s">
        <v>778</v>
      </c>
      <c r="F41" s="530">
        <v>214</v>
      </c>
      <c r="G41" s="539" t="s">
        <v>779</v>
      </c>
      <c r="H41" s="540" t="s">
        <v>800</v>
      </c>
      <c r="I41" s="549" t="s">
        <v>52</v>
      </c>
      <c r="J41" s="496">
        <v>3</v>
      </c>
      <c r="K41" s="496">
        <v>6.4</v>
      </c>
      <c r="L41" s="703">
        <f t="shared" si="4"/>
        <v>19.2</v>
      </c>
      <c r="M41" s="809">
        <v>43208</v>
      </c>
      <c r="N41" s="496">
        <v>256</v>
      </c>
      <c r="O41" s="555" t="s">
        <v>742</v>
      </c>
      <c r="P41" s="721">
        <f t="shared" si="1"/>
        <v>0</v>
      </c>
      <c r="Q41" s="722">
        <f t="shared" si="2"/>
        <v>19.2</v>
      </c>
      <c r="R41" s="722">
        <f t="shared" si="3"/>
        <v>0</v>
      </c>
      <c r="S41" s="722">
        <f t="shared" si="5"/>
        <v>19.2</v>
      </c>
      <c r="T41" s="725"/>
      <c r="U41" s="726">
        <v>189</v>
      </c>
      <c r="V41" s="712">
        <f t="shared" si="6"/>
        <v>19.2</v>
      </c>
    </row>
    <row r="42" spans="2:22" ht="24.95" customHeight="1">
      <c r="B42" s="494">
        <v>20</v>
      </c>
      <c r="C42" s="495">
        <v>1570</v>
      </c>
      <c r="D42" s="486" t="s">
        <v>777</v>
      </c>
      <c r="E42" s="486" t="s">
        <v>778</v>
      </c>
      <c r="F42" s="530">
        <v>214</v>
      </c>
      <c r="G42" s="539" t="s">
        <v>779</v>
      </c>
      <c r="H42" s="540" t="s">
        <v>801</v>
      </c>
      <c r="I42" s="549" t="s">
        <v>52</v>
      </c>
      <c r="J42" s="496">
        <v>2</v>
      </c>
      <c r="K42" s="496">
        <v>3.9</v>
      </c>
      <c r="L42" s="703">
        <f t="shared" si="4"/>
        <v>7.8</v>
      </c>
      <c r="M42" s="809">
        <v>43208</v>
      </c>
      <c r="N42" s="496">
        <v>256</v>
      </c>
      <c r="O42" s="555" t="s">
        <v>742</v>
      </c>
      <c r="P42" s="721">
        <f t="shared" si="1"/>
        <v>0</v>
      </c>
      <c r="Q42" s="722">
        <f t="shared" si="2"/>
        <v>7.8</v>
      </c>
      <c r="R42" s="722">
        <f t="shared" si="3"/>
        <v>0</v>
      </c>
      <c r="S42" s="722">
        <f t="shared" si="5"/>
        <v>7.8</v>
      </c>
      <c r="T42" s="725"/>
      <c r="U42" s="726">
        <v>189</v>
      </c>
      <c r="V42" s="712">
        <f t="shared" si="6"/>
        <v>7.8</v>
      </c>
    </row>
    <row r="43" spans="2:22" ht="24.95" customHeight="1">
      <c r="B43" s="494">
        <v>21</v>
      </c>
      <c r="C43" s="495">
        <v>1570</v>
      </c>
      <c r="D43" s="486" t="s">
        <v>777</v>
      </c>
      <c r="E43" s="486" t="s">
        <v>778</v>
      </c>
      <c r="F43" s="530">
        <v>214</v>
      </c>
      <c r="G43" s="539" t="s">
        <v>779</v>
      </c>
      <c r="H43" s="540" t="s">
        <v>802</v>
      </c>
      <c r="I43" s="549" t="s">
        <v>52</v>
      </c>
      <c r="J43" s="496">
        <v>1</v>
      </c>
      <c r="K43" s="496">
        <v>34.9</v>
      </c>
      <c r="L43" s="703">
        <f t="shared" si="4"/>
        <v>34.9</v>
      </c>
      <c r="M43" s="809">
        <v>43208</v>
      </c>
      <c r="N43" s="496">
        <v>256</v>
      </c>
      <c r="O43" s="555" t="s">
        <v>742</v>
      </c>
      <c r="P43" s="721">
        <f t="shared" si="1"/>
        <v>0</v>
      </c>
      <c r="Q43" s="722">
        <f t="shared" si="2"/>
        <v>34.9</v>
      </c>
      <c r="R43" s="722">
        <f t="shared" si="3"/>
        <v>0</v>
      </c>
      <c r="S43" s="722">
        <f t="shared" si="5"/>
        <v>34.9</v>
      </c>
      <c r="T43" s="725"/>
      <c r="U43" s="726">
        <v>189</v>
      </c>
      <c r="V43" s="712">
        <f t="shared" si="6"/>
        <v>34.9</v>
      </c>
    </row>
    <row r="44" spans="2:22" ht="24.95" customHeight="1">
      <c r="B44" s="494">
        <v>22</v>
      </c>
      <c r="C44" s="495">
        <v>1570</v>
      </c>
      <c r="D44" s="486" t="s">
        <v>777</v>
      </c>
      <c r="E44" s="486" t="s">
        <v>778</v>
      </c>
      <c r="F44" s="530">
        <v>214</v>
      </c>
      <c r="G44" s="539" t="s">
        <v>779</v>
      </c>
      <c r="H44" s="540" t="s">
        <v>803</v>
      </c>
      <c r="I44" s="549" t="s">
        <v>52</v>
      </c>
      <c r="J44" s="496">
        <v>2</v>
      </c>
      <c r="K44" s="496">
        <v>114</v>
      </c>
      <c r="L44" s="703">
        <f t="shared" si="4"/>
        <v>228</v>
      </c>
      <c r="M44" s="809">
        <v>43208</v>
      </c>
      <c r="N44" s="496">
        <v>256</v>
      </c>
      <c r="O44" s="555" t="s">
        <v>742</v>
      </c>
      <c r="P44" s="721">
        <f t="shared" si="1"/>
        <v>0</v>
      </c>
      <c r="Q44" s="722">
        <f t="shared" si="2"/>
        <v>228</v>
      </c>
      <c r="R44" s="722">
        <f t="shared" si="3"/>
        <v>0</v>
      </c>
      <c r="S44" s="722">
        <f t="shared" si="5"/>
        <v>228</v>
      </c>
      <c r="T44" s="725"/>
      <c r="U44" s="726">
        <v>189</v>
      </c>
      <c r="V44" s="712">
        <f t="shared" si="6"/>
        <v>228</v>
      </c>
    </row>
    <row r="45" spans="2:22" ht="24.95" customHeight="1">
      <c r="B45" s="494">
        <v>23</v>
      </c>
      <c r="C45" s="495">
        <v>1570</v>
      </c>
      <c r="D45" s="486" t="s">
        <v>777</v>
      </c>
      <c r="E45" s="486" t="s">
        <v>778</v>
      </c>
      <c r="F45" s="530">
        <v>214</v>
      </c>
      <c r="G45" s="539" t="s">
        <v>779</v>
      </c>
      <c r="H45" s="540" t="s">
        <v>804</v>
      </c>
      <c r="I45" s="549" t="s">
        <v>52</v>
      </c>
      <c r="J45" s="496">
        <v>3</v>
      </c>
      <c r="K45" s="496">
        <v>35.4</v>
      </c>
      <c r="L45" s="703">
        <f t="shared" si="4"/>
        <v>106.2</v>
      </c>
      <c r="M45" s="809">
        <v>43208</v>
      </c>
      <c r="N45" s="496">
        <v>256</v>
      </c>
      <c r="O45" s="555" t="s">
        <v>742</v>
      </c>
      <c r="P45" s="721">
        <f t="shared" si="1"/>
        <v>0</v>
      </c>
      <c r="Q45" s="722">
        <f t="shared" si="2"/>
        <v>106.2</v>
      </c>
      <c r="R45" s="722">
        <f t="shared" si="3"/>
        <v>0</v>
      </c>
      <c r="S45" s="722">
        <f t="shared" si="5"/>
        <v>106.2</v>
      </c>
      <c r="T45" s="725"/>
      <c r="U45" s="726">
        <v>189</v>
      </c>
      <c r="V45" s="712">
        <f t="shared" si="6"/>
        <v>106.2</v>
      </c>
    </row>
    <row r="46" spans="2:22" ht="24.95" customHeight="1">
      <c r="B46" s="494">
        <v>24</v>
      </c>
      <c r="C46" s="495">
        <v>1570</v>
      </c>
      <c r="D46" s="486" t="s">
        <v>777</v>
      </c>
      <c r="E46" s="486" t="s">
        <v>778</v>
      </c>
      <c r="F46" s="530">
        <v>214</v>
      </c>
      <c r="G46" s="539" t="s">
        <v>779</v>
      </c>
      <c r="H46" s="540" t="s">
        <v>805</v>
      </c>
      <c r="I46" s="549" t="s">
        <v>52</v>
      </c>
      <c r="J46" s="496">
        <v>1</v>
      </c>
      <c r="K46" s="496">
        <v>54.9</v>
      </c>
      <c r="L46" s="703">
        <f t="shared" si="4"/>
        <v>54.9</v>
      </c>
      <c r="M46" s="809">
        <v>43208</v>
      </c>
      <c r="N46" s="496">
        <v>256</v>
      </c>
      <c r="O46" s="555" t="s">
        <v>742</v>
      </c>
      <c r="P46" s="721">
        <f t="shared" si="1"/>
        <v>0</v>
      </c>
      <c r="Q46" s="722">
        <f t="shared" si="2"/>
        <v>54.9</v>
      </c>
      <c r="R46" s="722">
        <f t="shared" si="3"/>
        <v>0</v>
      </c>
      <c r="S46" s="722">
        <f t="shared" si="5"/>
        <v>54.9</v>
      </c>
      <c r="T46" s="725"/>
      <c r="U46" s="726">
        <v>189</v>
      </c>
      <c r="V46" s="712">
        <f t="shared" si="6"/>
        <v>54.9</v>
      </c>
    </row>
    <row r="47" spans="2:22" ht="24.95" customHeight="1">
      <c r="B47" s="494">
        <v>25</v>
      </c>
      <c r="C47" s="495">
        <v>1570</v>
      </c>
      <c r="D47" s="486" t="s">
        <v>777</v>
      </c>
      <c r="E47" s="486" t="s">
        <v>778</v>
      </c>
      <c r="F47" s="530">
        <v>214</v>
      </c>
      <c r="G47" s="539" t="s">
        <v>779</v>
      </c>
      <c r="H47" s="540" t="s">
        <v>806</v>
      </c>
      <c r="I47" s="549" t="s">
        <v>52</v>
      </c>
      <c r="J47" s="496">
        <v>5</v>
      </c>
      <c r="K47" s="496">
        <v>11.9</v>
      </c>
      <c r="L47" s="703">
        <f t="shared" si="4"/>
        <v>59.5</v>
      </c>
      <c r="M47" s="809">
        <v>43208</v>
      </c>
      <c r="N47" s="496">
        <v>256</v>
      </c>
      <c r="O47" s="555" t="s">
        <v>742</v>
      </c>
      <c r="P47" s="721">
        <f t="shared" si="1"/>
        <v>0</v>
      </c>
      <c r="Q47" s="722">
        <f t="shared" si="2"/>
        <v>59.5</v>
      </c>
      <c r="R47" s="722">
        <f t="shared" si="3"/>
        <v>0</v>
      </c>
      <c r="S47" s="722">
        <f t="shared" si="5"/>
        <v>59.5</v>
      </c>
      <c r="T47" s="725"/>
      <c r="U47" s="726">
        <v>189</v>
      </c>
      <c r="V47" s="712">
        <f t="shared" si="6"/>
        <v>59.5</v>
      </c>
    </row>
    <row r="48" spans="2:22" ht="24.95" customHeight="1">
      <c r="B48" s="494">
        <v>26</v>
      </c>
      <c r="C48" s="495">
        <v>1570</v>
      </c>
      <c r="D48" s="486" t="s">
        <v>777</v>
      </c>
      <c r="E48" s="486" t="s">
        <v>778</v>
      </c>
      <c r="F48" s="530">
        <v>214</v>
      </c>
      <c r="G48" s="539" t="s">
        <v>779</v>
      </c>
      <c r="H48" s="540" t="s">
        <v>807</v>
      </c>
      <c r="I48" s="549" t="s">
        <v>808</v>
      </c>
      <c r="J48" s="496">
        <v>1</v>
      </c>
      <c r="K48" s="496">
        <v>8</v>
      </c>
      <c r="L48" s="703">
        <f t="shared" si="4"/>
        <v>8</v>
      </c>
      <c r="M48" s="809">
        <v>43208</v>
      </c>
      <c r="N48" s="496">
        <v>256</v>
      </c>
      <c r="O48" s="555" t="s">
        <v>742</v>
      </c>
      <c r="P48" s="721">
        <f t="shared" si="1"/>
        <v>0</v>
      </c>
      <c r="Q48" s="722">
        <f t="shared" si="2"/>
        <v>8</v>
      </c>
      <c r="R48" s="722">
        <f t="shared" si="3"/>
        <v>0</v>
      </c>
      <c r="S48" s="722">
        <f t="shared" si="5"/>
        <v>8</v>
      </c>
      <c r="T48" s="725"/>
      <c r="U48" s="726">
        <v>189</v>
      </c>
      <c r="V48" s="712">
        <f t="shared" si="6"/>
        <v>8</v>
      </c>
    </row>
    <row r="49" spans="2:22" ht="24.95" customHeight="1">
      <c r="B49" s="494">
        <v>27</v>
      </c>
      <c r="C49" s="495">
        <v>1570</v>
      </c>
      <c r="D49" s="486" t="s">
        <v>777</v>
      </c>
      <c r="E49" s="486" t="s">
        <v>778</v>
      </c>
      <c r="F49" s="530">
        <v>214</v>
      </c>
      <c r="G49" s="539" t="s">
        <v>779</v>
      </c>
      <c r="H49" s="540" t="s">
        <v>809</v>
      </c>
      <c r="I49" s="549" t="s">
        <v>52</v>
      </c>
      <c r="J49" s="496">
        <v>6</v>
      </c>
      <c r="K49" s="496">
        <v>4.9000000000000004</v>
      </c>
      <c r="L49" s="703">
        <f t="shared" si="4"/>
        <v>29.4</v>
      </c>
      <c r="M49" s="809">
        <v>43208</v>
      </c>
      <c r="N49" s="496">
        <v>256</v>
      </c>
      <c r="O49" s="555" t="s">
        <v>742</v>
      </c>
      <c r="P49" s="721">
        <f t="shared" si="1"/>
        <v>0</v>
      </c>
      <c r="Q49" s="722">
        <f t="shared" si="2"/>
        <v>29.4</v>
      </c>
      <c r="R49" s="722">
        <f t="shared" si="3"/>
        <v>0</v>
      </c>
      <c r="S49" s="722">
        <f t="shared" si="5"/>
        <v>29.4</v>
      </c>
      <c r="T49" s="725"/>
      <c r="U49" s="726">
        <v>189</v>
      </c>
      <c r="V49" s="712">
        <f t="shared" si="6"/>
        <v>29.4</v>
      </c>
    </row>
    <row r="50" spans="2:22" ht="24.95" customHeight="1">
      <c r="B50" s="494">
        <v>28</v>
      </c>
      <c r="C50" s="495">
        <v>1570</v>
      </c>
      <c r="D50" s="486" t="s">
        <v>777</v>
      </c>
      <c r="E50" s="486" t="s">
        <v>778</v>
      </c>
      <c r="F50" s="530">
        <v>214</v>
      </c>
      <c r="G50" s="539" t="s">
        <v>779</v>
      </c>
      <c r="H50" s="540" t="s">
        <v>810</v>
      </c>
      <c r="I50" s="549" t="s">
        <v>52</v>
      </c>
      <c r="J50" s="496">
        <v>2</v>
      </c>
      <c r="K50" s="496">
        <v>18.399999999999999</v>
      </c>
      <c r="L50" s="703">
        <f t="shared" si="4"/>
        <v>36.799999999999997</v>
      </c>
      <c r="M50" s="809">
        <v>43208</v>
      </c>
      <c r="N50" s="496">
        <v>256</v>
      </c>
      <c r="O50" s="555" t="s">
        <v>742</v>
      </c>
      <c r="P50" s="721">
        <f t="shared" si="1"/>
        <v>0</v>
      </c>
      <c r="Q50" s="722">
        <f t="shared" si="2"/>
        <v>36.799999999999997</v>
      </c>
      <c r="R50" s="722">
        <f t="shared" si="3"/>
        <v>0</v>
      </c>
      <c r="S50" s="722">
        <f t="shared" si="5"/>
        <v>36.799999999999997</v>
      </c>
      <c r="T50" s="725"/>
      <c r="U50" s="726">
        <v>189</v>
      </c>
      <c r="V50" s="712">
        <f t="shared" si="6"/>
        <v>36.799999999999997</v>
      </c>
    </row>
    <row r="51" spans="2:22" ht="24.95" customHeight="1">
      <c r="B51" s="494">
        <v>29</v>
      </c>
      <c r="C51" s="495">
        <v>1570</v>
      </c>
      <c r="D51" s="486" t="s">
        <v>777</v>
      </c>
      <c r="E51" s="486" t="s">
        <v>778</v>
      </c>
      <c r="F51" s="530">
        <v>214</v>
      </c>
      <c r="G51" s="539" t="s">
        <v>779</v>
      </c>
      <c r="H51" s="540" t="s">
        <v>811</v>
      </c>
      <c r="I51" s="549" t="s">
        <v>52</v>
      </c>
      <c r="J51" s="496">
        <v>10</v>
      </c>
      <c r="K51" s="496">
        <v>16.899999999999999</v>
      </c>
      <c r="L51" s="703">
        <f t="shared" si="4"/>
        <v>169</v>
      </c>
      <c r="M51" s="809">
        <v>43208</v>
      </c>
      <c r="N51" s="496">
        <v>256</v>
      </c>
      <c r="O51" s="555" t="s">
        <v>742</v>
      </c>
      <c r="P51" s="721">
        <f t="shared" si="1"/>
        <v>0</v>
      </c>
      <c r="Q51" s="722">
        <f t="shared" si="2"/>
        <v>169</v>
      </c>
      <c r="R51" s="722">
        <f t="shared" si="3"/>
        <v>0</v>
      </c>
      <c r="S51" s="722">
        <f t="shared" si="5"/>
        <v>169</v>
      </c>
      <c r="T51" s="725"/>
      <c r="U51" s="726">
        <v>189</v>
      </c>
      <c r="V51" s="712">
        <f t="shared" si="6"/>
        <v>169</v>
      </c>
    </row>
    <row r="52" spans="2:22" ht="24.95" customHeight="1">
      <c r="B52" s="494">
        <v>30</v>
      </c>
      <c r="C52" s="495">
        <v>1570</v>
      </c>
      <c r="D52" s="486" t="s">
        <v>777</v>
      </c>
      <c r="E52" s="486" t="s">
        <v>778</v>
      </c>
      <c r="F52" s="530">
        <v>214</v>
      </c>
      <c r="G52" s="539" t="s">
        <v>779</v>
      </c>
      <c r="H52" s="540" t="s">
        <v>812</v>
      </c>
      <c r="I52" s="549" t="s">
        <v>781</v>
      </c>
      <c r="J52" s="496">
        <v>4</v>
      </c>
      <c r="K52" s="496">
        <v>15.9</v>
      </c>
      <c r="L52" s="703">
        <f t="shared" si="4"/>
        <v>63.6</v>
      </c>
      <c r="M52" s="809">
        <v>43208</v>
      </c>
      <c r="N52" s="496">
        <v>256</v>
      </c>
      <c r="O52" s="555" t="s">
        <v>742</v>
      </c>
      <c r="P52" s="721">
        <f t="shared" si="1"/>
        <v>0</v>
      </c>
      <c r="Q52" s="722">
        <f t="shared" si="2"/>
        <v>63.6</v>
      </c>
      <c r="R52" s="722">
        <f t="shared" si="3"/>
        <v>0</v>
      </c>
      <c r="S52" s="722">
        <f t="shared" si="5"/>
        <v>63.6</v>
      </c>
      <c r="T52" s="725"/>
      <c r="U52" s="726">
        <v>189</v>
      </c>
      <c r="V52" s="712">
        <f t="shared" si="6"/>
        <v>63.6</v>
      </c>
    </row>
    <row r="53" spans="2:22" ht="24.95" customHeight="1">
      <c r="B53" s="494">
        <v>31</v>
      </c>
      <c r="C53" s="495">
        <v>1570</v>
      </c>
      <c r="D53" s="486" t="s">
        <v>777</v>
      </c>
      <c r="E53" s="486" t="s">
        <v>778</v>
      </c>
      <c r="F53" s="530">
        <v>214</v>
      </c>
      <c r="G53" s="539" t="s">
        <v>779</v>
      </c>
      <c r="H53" s="540" t="s">
        <v>813</v>
      </c>
      <c r="I53" s="549" t="s">
        <v>808</v>
      </c>
      <c r="J53" s="496">
        <v>1</v>
      </c>
      <c r="K53" s="496">
        <v>45</v>
      </c>
      <c r="L53" s="703">
        <f t="shared" si="4"/>
        <v>45</v>
      </c>
      <c r="M53" s="809">
        <v>43208</v>
      </c>
      <c r="N53" s="496">
        <v>256</v>
      </c>
      <c r="O53" s="555" t="s">
        <v>742</v>
      </c>
      <c r="P53" s="721">
        <f t="shared" si="1"/>
        <v>0</v>
      </c>
      <c r="Q53" s="722">
        <f t="shared" si="2"/>
        <v>45</v>
      </c>
      <c r="R53" s="722">
        <f t="shared" si="3"/>
        <v>0</v>
      </c>
      <c r="S53" s="722">
        <f t="shared" si="5"/>
        <v>45</v>
      </c>
      <c r="T53" s="725"/>
      <c r="U53" s="726">
        <v>189</v>
      </c>
      <c r="V53" s="712">
        <f t="shared" si="6"/>
        <v>45</v>
      </c>
    </row>
    <row r="54" spans="2:22" ht="24.95" customHeight="1">
      <c r="B54" s="494">
        <v>32</v>
      </c>
      <c r="C54" s="495">
        <v>1570</v>
      </c>
      <c r="D54" s="486" t="s">
        <v>777</v>
      </c>
      <c r="E54" s="486" t="s">
        <v>778</v>
      </c>
      <c r="F54" s="530">
        <v>214</v>
      </c>
      <c r="G54" s="539" t="s">
        <v>779</v>
      </c>
      <c r="H54" s="540" t="s">
        <v>814</v>
      </c>
      <c r="I54" s="549" t="s">
        <v>52</v>
      </c>
      <c r="J54" s="496">
        <v>10</v>
      </c>
      <c r="K54" s="496">
        <v>9.9</v>
      </c>
      <c r="L54" s="703">
        <f t="shared" si="4"/>
        <v>99</v>
      </c>
      <c r="M54" s="809">
        <v>43208</v>
      </c>
      <c r="N54" s="496">
        <v>256</v>
      </c>
      <c r="O54" s="555" t="s">
        <v>742</v>
      </c>
      <c r="P54" s="721">
        <f t="shared" si="1"/>
        <v>0</v>
      </c>
      <c r="Q54" s="722">
        <f t="shared" si="2"/>
        <v>99</v>
      </c>
      <c r="R54" s="722">
        <f t="shared" si="3"/>
        <v>0</v>
      </c>
      <c r="S54" s="722">
        <f t="shared" si="5"/>
        <v>99</v>
      </c>
      <c r="T54" s="725"/>
      <c r="U54" s="726">
        <v>189</v>
      </c>
      <c r="V54" s="712">
        <f t="shared" si="6"/>
        <v>99</v>
      </c>
    </row>
    <row r="55" spans="2:22" ht="24.95" customHeight="1">
      <c r="B55" s="494">
        <v>33</v>
      </c>
      <c r="C55" s="495">
        <v>1570</v>
      </c>
      <c r="D55" s="486" t="s">
        <v>777</v>
      </c>
      <c r="E55" s="486" t="s">
        <v>778</v>
      </c>
      <c r="F55" s="530">
        <v>214</v>
      </c>
      <c r="G55" s="539" t="s">
        <v>779</v>
      </c>
      <c r="H55" s="540" t="s">
        <v>815</v>
      </c>
      <c r="I55" s="549" t="s">
        <v>52</v>
      </c>
      <c r="J55" s="496">
        <v>1</v>
      </c>
      <c r="K55" s="496">
        <v>11.4</v>
      </c>
      <c r="L55" s="703">
        <f t="shared" si="4"/>
        <v>11.4</v>
      </c>
      <c r="M55" s="809">
        <v>43208</v>
      </c>
      <c r="N55" s="496">
        <v>256</v>
      </c>
      <c r="O55" s="555" t="s">
        <v>742</v>
      </c>
      <c r="P55" s="721">
        <f t="shared" si="1"/>
        <v>0</v>
      </c>
      <c r="Q55" s="722">
        <f t="shared" si="2"/>
        <v>11.4</v>
      </c>
      <c r="R55" s="722">
        <f t="shared" si="3"/>
        <v>0</v>
      </c>
      <c r="S55" s="722">
        <f t="shared" si="5"/>
        <v>11.4</v>
      </c>
      <c r="T55" s="725"/>
      <c r="U55" s="726">
        <v>189</v>
      </c>
      <c r="V55" s="712">
        <f t="shared" si="6"/>
        <v>11.4</v>
      </c>
    </row>
    <row r="56" spans="2:22" ht="24.95" customHeight="1">
      <c r="B56" s="494">
        <v>34</v>
      </c>
      <c r="C56" s="495">
        <v>1570</v>
      </c>
      <c r="D56" s="486" t="s">
        <v>777</v>
      </c>
      <c r="E56" s="486" t="s">
        <v>778</v>
      </c>
      <c r="F56" s="530">
        <v>214</v>
      </c>
      <c r="G56" s="539" t="s">
        <v>779</v>
      </c>
      <c r="H56" s="540" t="s">
        <v>816</v>
      </c>
      <c r="I56" s="549" t="s">
        <v>52</v>
      </c>
      <c r="J56" s="496">
        <v>1</v>
      </c>
      <c r="K56" s="496">
        <v>24.9</v>
      </c>
      <c r="L56" s="703">
        <f t="shared" si="4"/>
        <v>24.9</v>
      </c>
      <c r="M56" s="809">
        <v>43208</v>
      </c>
      <c r="N56" s="496">
        <v>256</v>
      </c>
      <c r="O56" s="555" t="s">
        <v>742</v>
      </c>
      <c r="P56" s="721">
        <f t="shared" si="1"/>
        <v>0</v>
      </c>
      <c r="Q56" s="722">
        <f t="shared" si="2"/>
        <v>24.9</v>
      </c>
      <c r="R56" s="722">
        <f t="shared" si="3"/>
        <v>0</v>
      </c>
      <c r="S56" s="722">
        <f t="shared" si="5"/>
        <v>24.9</v>
      </c>
      <c r="T56" s="725"/>
      <c r="U56" s="726">
        <v>189</v>
      </c>
      <c r="V56" s="712">
        <f t="shared" si="6"/>
        <v>24.9</v>
      </c>
    </row>
    <row r="57" spans="2:22" ht="24.95" customHeight="1">
      <c r="B57" s="494">
        <v>35</v>
      </c>
      <c r="C57" s="495">
        <v>1570</v>
      </c>
      <c r="D57" s="486" t="s">
        <v>777</v>
      </c>
      <c r="E57" s="486" t="s">
        <v>778</v>
      </c>
      <c r="F57" s="530">
        <v>214</v>
      </c>
      <c r="G57" s="539" t="s">
        <v>779</v>
      </c>
      <c r="H57" s="540" t="s">
        <v>817</v>
      </c>
      <c r="I57" s="549" t="s">
        <v>52</v>
      </c>
      <c r="J57" s="496">
        <v>1</v>
      </c>
      <c r="K57" s="496">
        <v>6</v>
      </c>
      <c r="L57" s="703">
        <f t="shared" si="4"/>
        <v>6</v>
      </c>
      <c r="M57" s="809">
        <v>43208</v>
      </c>
      <c r="N57" s="496">
        <v>256</v>
      </c>
      <c r="O57" s="555" t="s">
        <v>742</v>
      </c>
      <c r="P57" s="721">
        <f t="shared" si="1"/>
        <v>0</v>
      </c>
      <c r="Q57" s="722">
        <f t="shared" si="2"/>
        <v>6</v>
      </c>
      <c r="R57" s="722">
        <f t="shared" si="3"/>
        <v>0</v>
      </c>
      <c r="S57" s="722">
        <f t="shared" si="5"/>
        <v>6</v>
      </c>
      <c r="T57" s="725"/>
      <c r="U57" s="726">
        <v>189</v>
      </c>
      <c r="V57" s="712">
        <f t="shared" si="6"/>
        <v>6</v>
      </c>
    </row>
    <row r="58" spans="2:22" ht="24.95" customHeight="1">
      <c r="B58" s="494">
        <v>36</v>
      </c>
      <c r="C58" s="495">
        <v>1570</v>
      </c>
      <c r="D58" s="486" t="s">
        <v>777</v>
      </c>
      <c r="E58" s="486" t="s">
        <v>778</v>
      </c>
      <c r="F58" s="530">
        <v>214</v>
      </c>
      <c r="G58" s="539" t="s">
        <v>779</v>
      </c>
      <c r="H58" s="540" t="s">
        <v>818</v>
      </c>
      <c r="I58" s="549" t="s">
        <v>52</v>
      </c>
      <c r="J58" s="496">
        <v>12</v>
      </c>
      <c r="K58" s="496">
        <v>4.4000000000000004</v>
      </c>
      <c r="L58" s="703">
        <f t="shared" si="4"/>
        <v>52.8</v>
      </c>
      <c r="M58" s="809">
        <v>43208</v>
      </c>
      <c r="N58" s="496">
        <v>256</v>
      </c>
      <c r="O58" s="555" t="s">
        <v>742</v>
      </c>
      <c r="P58" s="721">
        <f t="shared" si="1"/>
        <v>0</v>
      </c>
      <c r="Q58" s="722">
        <f t="shared" si="2"/>
        <v>52.8</v>
      </c>
      <c r="R58" s="722">
        <f t="shared" si="3"/>
        <v>0</v>
      </c>
      <c r="S58" s="722">
        <f t="shared" si="5"/>
        <v>52.8</v>
      </c>
      <c r="T58" s="725"/>
      <c r="U58" s="726">
        <v>189</v>
      </c>
      <c r="V58" s="712">
        <f t="shared" si="6"/>
        <v>52.8</v>
      </c>
    </row>
    <row r="59" spans="2:22" ht="24.95" customHeight="1">
      <c r="B59" s="494">
        <v>37</v>
      </c>
      <c r="C59" s="495">
        <v>1570</v>
      </c>
      <c r="D59" s="486" t="s">
        <v>777</v>
      </c>
      <c r="E59" s="486" t="s">
        <v>778</v>
      </c>
      <c r="F59" s="530">
        <v>214</v>
      </c>
      <c r="G59" s="539" t="s">
        <v>779</v>
      </c>
      <c r="H59" s="540" t="s">
        <v>819</v>
      </c>
      <c r="I59" s="549" t="s">
        <v>52</v>
      </c>
      <c r="J59" s="496">
        <v>1</v>
      </c>
      <c r="K59" s="496">
        <v>16.399999999999999</v>
      </c>
      <c r="L59" s="703">
        <f t="shared" si="4"/>
        <v>16.399999999999999</v>
      </c>
      <c r="M59" s="809">
        <v>43208</v>
      </c>
      <c r="N59" s="496">
        <v>256</v>
      </c>
      <c r="O59" s="555" t="s">
        <v>742</v>
      </c>
      <c r="P59" s="721">
        <f t="shared" si="1"/>
        <v>0</v>
      </c>
      <c r="Q59" s="722">
        <f t="shared" si="2"/>
        <v>16.399999999999999</v>
      </c>
      <c r="R59" s="722">
        <f t="shared" si="3"/>
        <v>0</v>
      </c>
      <c r="S59" s="722">
        <f t="shared" si="5"/>
        <v>16.399999999999999</v>
      </c>
      <c r="T59" s="725"/>
      <c r="U59" s="726">
        <v>189</v>
      </c>
      <c r="V59" s="712">
        <f t="shared" si="6"/>
        <v>16.399999999999999</v>
      </c>
    </row>
    <row r="60" spans="2:22" ht="24.95" customHeight="1">
      <c r="B60" s="494">
        <v>38</v>
      </c>
      <c r="C60" s="495">
        <v>1570</v>
      </c>
      <c r="D60" s="486" t="s">
        <v>777</v>
      </c>
      <c r="E60" s="486" t="s">
        <v>778</v>
      </c>
      <c r="F60" s="530">
        <v>214</v>
      </c>
      <c r="G60" s="539" t="s">
        <v>779</v>
      </c>
      <c r="H60" s="540" t="s">
        <v>820</v>
      </c>
      <c r="I60" s="549" t="s">
        <v>52</v>
      </c>
      <c r="J60" s="496">
        <v>1</v>
      </c>
      <c r="K60" s="496">
        <v>26.9</v>
      </c>
      <c r="L60" s="703">
        <f t="shared" si="4"/>
        <v>26.9</v>
      </c>
      <c r="M60" s="809">
        <v>43208</v>
      </c>
      <c r="N60" s="496">
        <v>256</v>
      </c>
      <c r="O60" s="555" t="s">
        <v>742</v>
      </c>
      <c r="P60" s="721">
        <f t="shared" si="1"/>
        <v>0</v>
      </c>
      <c r="Q60" s="722">
        <f t="shared" si="2"/>
        <v>26.9</v>
      </c>
      <c r="R60" s="722">
        <f t="shared" si="3"/>
        <v>0</v>
      </c>
      <c r="S60" s="722">
        <f t="shared" si="5"/>
        <v>26.9</v>
      </c>
      <c r="T60" s="725"/>
      <c r="U60" s="726">
        <v>189</v>
      </c>
      <c r="V60" s="712">
        <f t="shared" si="6"/>
        <v>26.9</v>
      </c>
    </row>
    <row r="61" spans="2:22" ht="24.95" customHeight="1">
      <c r="B61" s="494">
        <v>39</v>
      </c>
      <c r="C61" s="495">
        <v>1570</v>
      </c>
      <c r="D61" s="486" t="s">
        <v>777</v>
      </c>
      <c r="E61" s="486" t="s">
        <v>778</v>
      </c>
      <c r="F61" s="530">
        <v>214</v>
      </c>
      <c r="G61" s="539" t="s">
        <v>779</v>
      </c>
      <c r="H61" s="540" t="s">
        <v>821</v>
      </c>
      <c r="I61" s="549" t="s">
        <v>52</v>
      </c>
      <c r="J61" s="496">
        <v>1</v>
      </c>
      <c r="K61" s="496">
        <v>16</v>
      </c>
      <c r="L61" s="703">
        <f t="shared" si="4"/>
        <v>16</v>
      </c>
      <c r="M61" s="809">
        <v>43208</v>
      </c>
      <c r="N61" s="496">
        <v>256</v>
      </c>
      <c r="O61" s="555" t="s">
        <v>742</v>
      </c>
      <c r="P61" s="721">
        <f t="shared" si="1"/>
        <v>0</v>
      </c>
      <c r="Q61" s="722">
        <f t="shared" si="2"/>
        <v>16</v>
      </c>
      <c r="R61" s="722">
        <f t="shared" si="3"/>
        <v>0</v>
      </c>
      <c r="S61" s="722">
        <f t="shared" si="5"/>
        <v>16</v>
      </c>
      <c r="T61" s="725"/>
      <c r="U61" s="726">
        <v>189</v>
      </c>
      <c r="V61" s="712">
        <f t="shared" si="6"/>
        <v>16</v>
      </c>
    </row>
    <row r="62" spans="2:22" ht="24.95" customHeight="1">
      <c r="B62" s="494">
        <v>40</v>
      </c>
      <c r="C62" s="495">
        <v>1570</v>
      </c>
      <c r="D62" s="486" t="s">
        <v>777</v>
      </c>
      <c r="E62" s="486" t="s">
        <v>778</v>
      </c>
      <c r="F62" s="530">
        <v>214</v>
      </c>
      <c r="G62" s="539" t="s">
        <v>779</v>
      </c>
      <c r="H62" s="540" t="s">
        <v>822</v>
      </c>
      <c r="I62" s="549" t="s">
        <v>52</v>
      </c>
      <c r="J62" s="496">
        <v>2</v>
      </c>
      <c r="K62" s="496">
        <v>16</v>
      </c>
      <c r="L62" s="703">
        <f t="shared" si="4"/>
        <v>32</v>
      </c>
      <c r="M62" s="809">
        <v>43208</v>
      </c>
      <c r="N62" s="496">
        <v>256</v>
      </c>
      <c r="O62" s="555" t="s">
        <v>742</v>
      </c>
      <c r="P62" s="721">
        <f t="shared" si="1"/>
        <v>0</v>
      </c>
      <c r="Q62" s="722">
        <f t="shared" si="2"/>
        <v>32</v>
      </c>
      <c r="R62" s="722">
        <f t="shared" si="3"/>
        <v>0</v>
      </c>
      <c r="S62" s="722">
        <f t="shared" si="5"/>
        <v>32</v>
      </c>
      <c r="T62" s="725"/>
      <c r="U62" s="726">
        <v>189</v>
      </c>
      <c r="V62" s="712">
        <f t="shared" si="6"/>
        <v>32</v>
      </c>
    </row>
    <row r="63" spans="2:22" ht="24.95" customHeight="1">
      <c r="B63" s="494">
        <v>41</v>
      </c>
      <c r="C63" s="495">
        <v>1570</v>
      </c>
      <c r="D63" s="486" t="s">
        <v>777</v>
      </c>
      <c r="E63" s="486" t="s">
        <v>778</v>
      </c>
      <c r="F63" s="530">
        <v>214</v>
      </c>
      <c r="G63" s="539" t="s">
        <v>779</v>
      </c>
      <c r="H63" s="540" t="s">
        <v>823</v>
      </c>
      <c r="I63" s="549" t="s">
        <v>52</v>
      </c>
      <c r="J63" s="496">
        <v>3</v>
      </c>
      <c r="K63" s="496">
        <v>3.5</v>
      </c>
      <c r="L63" s="703">
        <f t="shared" si="4"/>
        <v>10.5</v>
      </c>
      <c r="M63" s="809">
        <v>43208</v>
      </c>
      <c r="N63" s="496">
        <v>256</v>
      </c>
      <c r="O63" s="555" t="s">
        <v>742</v>
      </c>
      <c r="P63" s="721">
        <f t="shared" si="1"/>
        <v>0</v>
      </c>
      <c r="Q63" s="722">
        <f t="shared" si="2"/>
        <v>10.5</v>
      </c>
      <c r="R63" s="722">
        <f t="shared" si="3"/>
        <v>0</v>
      </c>
      <c r="S63" s="722">
        <f t="shared" si="5"/>
        <v>10.5</v>
      </c>
      <c r="T63" s="725"/>
      <c r="U63" s="726">
        <v>189</v>
      </c>
      <c r="V63" s="712">
        <f t="shared" si="6"/>
        <v>10.5</v>
      </c>
    </row>
    <row r="64" spans="2:22" ht="24.95" customHeight="1">
      <c r="B64" s="494">
        <v>42</v>
      </c>
      <c r="C64" s="495">
        <v>1570</v>
      </c>
      <c r="D64" s="486" t="s">
        <v>777</v>
      </c>
      <c r="E64" s="486" t="s">
        <v>778</v>
      </c>
      <c r="F64" s="530">
        <v>214</v>
      </c>
      <c r="G64" s="539" t="s">
        <v>779</v>
      </c>
      <c r="H64" s="540" t="s">
        <v>824</v>
      </c>
      <c r="I64" s="549" t="s">
        <v>52</v>
      </c>
      <c r="J64" s="496">
        <v>2</v>
      </c>
      <c r="K64" s="496">
        <v>25</v>
      </c>
      <c r="L64" s="703">
        <f t="shared" si="4"/>
        <v>50</v>
      </c>
      <c r="M64" s="809">
        <v>43208</v>
      </c>
      <c r="N64" s="496">
        <v>256</v>
      </c>
      <c r="O64" s="555" t="s">
        <v>742</v>
      </c>
      <c r="P64" s="721">
        <f t="shared" si="1"/>
        <v>0</v>
      </c>
      <c r="Q64" s="722">
        <f t="shared" si="2"/>
        <v>50</v>
      </c>
      <c r="R64" s="722">
        <f t="shared" si="3"/>
        <v>0</v>
      </c>
      <c r="S64" s="722">
        <f t="shared" si="5"/>
        <v>50</v>
      </c>
      <c r="T64" s="725"/>
      <c r="U64" s="726">
        <v>189</v>
      </c>
      <c r="V64" s="712">
        <f t="shared" si="6"/>
        <v>50</v>
      </c>
    </row>
    <row r="65" spans="2:22" ht="24.95" customHeight="1">
      <c r="B65" s="494">
        <v>43</v>
      </c>
      <c r="C65" s="495">
        <v>1570</v>
      </c>
      <c r="D65" s="486" t="s">
        <v>777</v>
      </c>
      <c r="E65" s="486" t="s">
        <v>778</v>
      </c>
      <c r="F65" s="530">
        <v>214</v>
      </c>
      <c r="G65" s="539" t="s">
        <v>779</v>
      </c>
      <c r="H65" s="540" t="s">
        <v>825</v>
      </c>
      <c r="I65" s="549" t="s">
        <v>52</v>
      </c>
      <c r="J65" s="496">
        <v>6</v>
      </c>
      <c r="K65" s="496">
        <v>1.9</v>
      </c>
      <c r="L65" s="703">
        <f t="shared" si="4"/>
        <v>11.4</v>
      </c>
      <c r="M65" s="809">
        <v>43208</v>
      </c>
      <c r="N65" s="496">
        <v>256</v>
      </c>
      <c r="O65" s="555" t="s">
        <v>742</v>
      </c>
      <c r="P65" s="721">
        <f t="shared" si="1"/>
        <v>0</v>
      </c>
      <c r="Q65" s="722">
        <f t="shared" si="2"/>
        <v>11.4</v>
      </c>
      <c r="R65" s="722">
        <f t="shared" si="3"/>
        <v>0</v>
      </c>
      <c r="S65" s="722">
        <f t="shared" si="5"/>
        <v>11.4</v>
      </c>
      <c r="T65" s="725"/>
      <c r="U65" s="726">
        <v>189</v>
      </c>
      <c r="V65" s="712">
        <f t="shared" si="6"/>
        <v>11.4</v>
      </c>
    </row>
    <row r="66" spans="2:22" ht="24.95" customHeight="1">
      <c r="B66" s="494">
        <v>44</v>
      </c>
      <c r="C66" s="495">
        <v>1570</v>
      </c>
      <c r="D66" s="486" t="s">
        <v>777</v>
      </c>
      <c r="E66" s="486" t="s">
        <v>778</v>
      </c>
      <c r="F66" s="530">
        <v>214</v>
      </c>
      <c r="G66" s="539" t="s">
        <v>779</v>
      </c>
      <c r="H66" s="540" t="s">
        <v>826</v>
      </c>
      <c r="I66" s="549" t="s">
        <v>52</v>
      </c>
      <c r="J66" s="496">
        <v>7</v>
      </c>
      <c r="K66" s="496">
        <v>1</v>
      </c>
      <c r="L66" s="703">
        <f t="shared" si="4"/>
        <v>7</v>
      </c>
      <c r="M66" s="809">
        <v>43208</v>
      </c>
      <c r="N66" s="496">
        <v>256</v>
      </c>
      <c r="O66" s="555" t="s">
        <v>742</v>
      </c>
      <c r="P66" s="721">
        <f t="shared" si="1"/>
        <v>0</v>
      </c>
      <c r="Q66" s="722">
        <f t="shared" si="2"/>
        <v>7</v>
      </c>
      <c r="R66" s="722">
        <f t="shared" si="3"/>
        <v>0</v>
      </c>
      <c r="S66" s="722">
        <f t="shared" si="5"/>
        <v>7</v>
      </c>
      <c r="T66" s="725"/>
      <c r="U66" s="726">
        <v>189</v>
      </c>
      <c r="V66" s="712">
        <f t="shared" si="6"/>
        <v>7</v>
      </c>
    </row>
    <row r="67" spans="2:22" ht="24.95" customHeight="1">
      <c r="B67" s="494">
        <v>45</v>
      </c>
      <c r="C67" s="495">
        <v>1570</v>
      </c>
      <c r="D67" s="486" t="s">
        <v>777</v>
      </c>
      <c r="E67" s="486" t="s">
        <v>778</v>
      </c>
      <c r="F67" s="530">
        <v>214</v>
      </c>
      <c r="G67" s="539" t="s">
        <v>779</v>
      </c>
      <c r="H67" s="540" t="s">
        <v>827</v>
      </c>
      <c r="I67" s="549" t="s">
        <v>52</v>
      </c>
      <c r="J67" s="496">
        <v>3</v>
      </c>
      <c r="K67" s="496">
        <v>10</v>
      </c>
      <c r="L67" s="703">
        <f t="shared" si="4"/>
        <v>30</v>
      </c>
      <c r="M67" s="809">
        <v>43208</v>
      </c>
      <c r="N67" s="496">
        <v>256</v>
      </c>
      <c r="O67" s="555" t="s">
        <v>742</v>
      </c>
      <c r="P67" s="721">
        <f t="shared" si="1"/>
        <v>0</v>
      </c>
      <c r="Q67" s="722">
        <f t="shared" si="2"/>
        <v>30</v>
      </c>
      <c r="R67" s="722">
        <f t="shared" si="3"/>
        <v>0</v>
      </c>
      <c r="S67" s="722">
        <f t="shared" si="5"/>
        <v>30</v>
      </c>
      <c r="T67" s="725"/>
      <c r="U67" s="726">
        <v>189</v>
      </c>
      <c r="V67" s="712">
        <f t="shared" si="6"/>
        <v>30</v>
      </c>
    </row>
    <row r="68" spans="2:22" ht="24.95" customHeight="1">
      <c r="B68" s="494">
        <v>46</v>
      </c>
      <c r="C68" s="495">
        <v>1570</v>
      </c>
      <c r="D68" s="486" t="s">
        <v>777</v>
      </c>
      <c r="E68" s="486" t="s">
        <v>778</v>
      </c>
      <c r="F68" s="530">
        <v>214</v>
      </c>
      <c r="G68" s="539" t="s">
        <v>779</v>
      </c>
      <c r="H68" s="540" t="s">
        <v>828</v>
      </c>
      <c r="I68" s="549" t="s">
        <v>52</v>
      </c>
      <c r="J68" s="496">
        <v>1</v>
      </c>
      <c r="K68" s="496">
        <v>18</v>
      </c>
      <c r="L68" s="703">
        <f t="shared" si="4"/>
        <v>18</v>
      </c>
      <c r="M68" s="809">
        <v>43208</v>
      </c>
      <c r="N68" s="496">
        <v>256</v>
      </c>
      <c r="O68" s="555" t="s">
        <v>742</v>
      </c>
      <c r="P68" s="721">
        <f t="shared" si="1"/>
        <v>0</v>
      </c>
      <c r="Q68" s="722">
        <f t="shared" si="2"/>
        <v>18</v>
      </c>
      <c r="R68" s="722">
        <f t="shared" si="3"/>
        <v>0</v>
      </c>
      <c r="S68" s="722">
        <f t="shared" si="5"/>
        <v>18</v>
      </c>
      <c r="T68" s="725"/>
      <c r="U68" s="726">
        <v>189</v>
      </c>
      <c r="V68" s="712">
        <f t="shared" si="6"/>
        <v>18</v>
      </c>
    </row>
    <row r="69" spans="2:22" ht="24.95" customHeight="1">
      <c r="B69" s="494">
        <v>47</v>
      </c>
      <c r="C69" s="495">
        <v>1570</v>
      </c>
      <c r="D69" s="486" t="s">
        <v>777</v>
      </c>
      <c r="E69" s="486" t="s">
        <v>778</v>
      </c>
      <c r="F69" s="530">
        <v>214</v>
      </c>
      <c r="G69" s="539" t="s">
        <v>779</v>
      </c>
      <c r="H69" s="540" t="s">
        <v>829</v>
      </c>
      <c r="I69" s="549" t="s">
        <v>52</v>
      </c>
      <c r="J69" s="496">
        <v>5</v>
      </c>
      <c r="K69" s="496">
        <v>49.9</v>
      </c>
      <c r="L69" s="703">
        <f t="shared" si="4"/>
        <v>249.5</v>
      </c>
      <c r="M69" s="809">
        <v>43208</v>
      </c>
      <c r="N69" s="496">
        <v>256</v>
      </c>
      <c r="O69" s="555" t="s">
        <v>742</v>
      </c>
      <c r="P69" s="721">
        <f t="shared" si="1"/>
        <v>0</v>
      </c>
      <c r="Q69" s="722">
        <f t="shared" si="2"/>
        <v>249.5</v>
      </c>
      <c r="R69" s="722">
        <f t="shared" si="3"/>
        <v>0</v>
      </c>
      <c r="S69" s="722">
        <f t="shared" si="5"/>
        <v>249.5</v>
      </c>
      <c r="T69" s="725"/>
      <c r="U69" s="726">
        <v>189</v>
      </c>
      <c r="V69" s="712">
        <f t="shared" si="6"/>
        <v>249.5</v>
      </c>
    </row>
    <row r="70" spans="2:22" ht="24.95" customHeight="1">
      <c r="B70" s="494">
        <v>48</v>
      </c>
      <c r="C70" s="495">
        <v>1570</v>
      </c>
      <c r="D70" s="486" t="s">
        <v>777</v>
      </c>
      <c r="E70" s="486" t="s">
        <v>778</v>
      </c>
      <c r="F70" s="530">
        <v>214</v>
      </c>
      <c r="G70" s="539" t="s">
        <v>779</v>
      </c>
      <c r="H70" s="540" t="s">
        <v>830</v>
      </c>
      <c r="I70" s="549" t="s">
        <v>52</v>
      </c>
      <c r="J70" s="496">
        <v>1</v>
      </c>
      <c r="K70" s="496">
        <v>19</v>
      </c>
      <c r="L70" s="703">
        <f t="shared" si="4"/>
        <v>19</v>
      </c>
      <c r="M70" s="809">
        <v>43208</v>
      </c>
      <c r="N70" s="496">
        <v>256</v>
      </c>
      <c r="O70" s="555" t="s">
        <v>742</v>
      </c>
      <c r="P70" s="721">
        <f t="shared" si="1"/>
        <v>0</v>
      </c>
      <c r="Q70" s="722">
        <f t="shared" si="2"/>
        <v>19</v>
      </c>
      <c r="R70" s="722">
        <f t="shared" si="3"/>
        <v>0</v>
      </c>
      <c r="S70" s="722">
        <f t="shared" si="5"/>
        <v>19</v>
      </c>
      <c r="T70" s="725"/>
      <c r="U70" s="726">
        <v>189</v>
      </c>
      <c r="V70" s="712">
        <f t="shared" si="6"/>
        <v>19</v>
      </c>
    </row>
    <row r="71" spans="2:22" ht="24.95" customHeight="1">
      <c r="B71" s="494">
        <v>49</v>
      </c>
      <c r="C71" s="495">
        <v>1570</v>
      </c>
      <c r="D71" s="486" t="s">
        <v>777</v>
      </c>
      <c r="E71" s="486" t="s">
        <v>778</v>
      </c>
      <c r="F71" s="530">
        <v>214</v>
      </c>
      <c r="G71" s="539" t="s">
        <v>779</v>
      </c>
      <c r="H71" s="540" t="s">
        <v>831</v>
      </c>
      <c r="I71" s="549" t="s">
        <v>52</v>
      </c>
      <c r="J71" s="496">
        <v>2</v>
      </c>
      <c r="K71" s="496">
        <v>60</v>
      </c>
      <c r="L71" s="703">
        <f t="shared" si="4"/>
        <v>120</v>
      </c>
      <c r="M71" s="809">
        <v>43208</v>
      </c>
      <c r="N71" s="496">
        <v>256</v>
      </c>
      <c r="O71" s="555" t="s">
        <v>742</v>
      </c>
      <c r="P71" s="721">
        <f t="shared" si="1"/>
        <v>0</v>
      </c>
      <c r="Q71" s="722">
        <f t="shared" si="2"/>
        <v>120</v>
      </c>
      <c r="R71" s="722">
        <f t="shared" si="3"/>
        <v>0</v>
      </c>
      <c r="S71" s="722">
        <f t="shared" si="5"/>
        <v>120</v>
      </c>
      <c r="T71" s="725"/>
      <c r="U71" s="726">
        <v>189</v>
      </c>
      <c r="V71" s="712">
        <f t="shared" si="6"/>
        <v>120</v>
      </c>
    </row>
    <row r="72" spans="2:22" ht="24.95" customHeight="1">
      <c r="B72" s="494">
        <v>50</v>
      </c>
      <c r="C72" s="495">
        <v>1570</v>
      </c>
      <c r="D72" s="486" t="s">
        <v>777</v>
      </c>
      <c r="E72" s="486" t="s">
        <v>778</v>
      </c>
      <c r="F72" s="530">
        <v>214</v>
      </c>
      <c r="G72" s="539" t="s">
        <v>779</v>
      </c>
      <c r="H72" s="540" t="s">
        <v>832</v>
      </c>
      <c r="I72" s="549" t="s">
        <v>52</v>
      </c>
      <c r="J72" s="496">
        <v>3</v>
      </c>
      <c r="K72" s="496">
        <v>49.9</v>
      </c>
      <c r="L72" s="703">
        <f t="shared" si="4"/>
        <v>149.69999999999999</v>
      </c>
      <c r="M72" s="809">
        <v>43208</v>
      </c>
      <c r="N72" s="496">
        <v>256</v>
      </c>
      <c r="O72" s="555" t="s">
        <v>742</v>
      </c>
      <c r="P72" s="721">
        <f t="shared" si="1"/>
        <v>0</v>
      </c>
      <c r="Q72" s="722">
        <f t="shared" si="2"/>
        <v>149.69999999999999</v>
      </c>
      <c r="R72" s="722">
        <f t="shared" si="3"/>
        <v>0</v>
      </c>
      <c r="S72" s="722">
        <f t="shared" si="5"/>
        <v>149.69999999999999</v>
      </c>
      <c r="T72" s="725"/>
      <c r="U72" s="726">
        <v>189</v>
      </c>
      <c r="V72" s="712">
        <f t="shared" si="6"/>
        <v>149.69999999999999</v>
      </c>
    </row>
    <row r="73" spans="2:22" ht="24.95" customHeight="1">
      <c r="B73" s="494">
        <v>51</v>
      </c>
      <c r="C73" s="495">
        <v>1570</v>
      </c>
      <c r="D73" s="486" t="s">
        <v>777</v>
      </c>
      <c r="E73" s="486" t="s">
        <v>778</v>
      </c>
      <c r="F73" s="530">
        <v>214</v>
      </c>
      <c r="G73" s="539" t="s">
        <v>779</v>
      </c>
      <c r="H73" s="540" t="s">
        <v>833</v>
      </c>
      <c r="I73" s="549" t="s">
        <v>52</v>
      </c>
      <c r="J73" s="496">
        <v>1</v>
      </c>
      <c r="K73" s="496">
        <v>16</v>
      </c>
      <c r="L73" s="703">
        <f t="shared" si="4"/>
        <v>16</v>
      </c>
      <c r="M73" s="809">
        <v>43208</v>
      </c>
      <c r="N73" s="496">
        <v>256</v>
      </c>
      <c r="O73" s="555" t="s">
        <v>742</v>
      </c>
      <c r="P73" s="721">
        <f t="shared" si="1"/>
        <v>0</v>
      </c>
      <c r="Q73" s="722">
        <f t="shared" si="2"/>
        <v>16</v>
      </c>
      <c r="R73" s="722">
        <f t="shared" si="3"/>
        <v>0</v>
      </c>
      <c r="S73" s="722">
        <f t="shared" si="5"/>
        <v>16</v>
      </c>
      <c r="T73" s="725"/>
      <c r="U73" s="726">
        <v>189</v>
      </c>
      <c r="V73" s="712">
        <f t="shared" si="6"/>
        <v>16</v>
      </c>
    </row>
    <row r="74" spans="2:22" ht="24.95" customHeight="1">
      <c r="B74" s="494">
        <v>52</v>
      </c>
      <c r="C74" s="495">
        <v>1570</v>
      </c>
      <c r="D74" s="486" t="s">
        <v>777</v>
      </c>
      <c r="E74" s="486" t="s">
        <v>778</v>
      </c>
      <c r="F74" s="530">
        <v>214</v>
      </c>
      <c r="G74" s="539" t="s">
        <v>779</v>
      </c>
      <c r="H74" s="540" t="s">
        <v>834</v>
      </c>
      <c r="I74" s="549" t="s">
        <v>808</v>
      </c>
      <c r="J74" s="496">
        <v>1</v>
      </c>
      <c r="K74" s="496">
        <v>10</v>
      </c>
      <c r="L74" s="703">
        <f t="shared" si="4"/>
        <v>10</v>
      </c>
      <c r="M74" s="809">
        <v>43208</v>
      </c>
      <c r="N74" s="496">
        <v>256</v>
      </c>
      <c r="O74" s="555" t="s">
        <v>742</v>
      </c>
      <c r="P74" s="721">
        <f t="shared" si="1"/>
        <v>0</v>
      </c>
      <c r="Q74" s="722">
        <f t="shared" si="2"/>
        <v>10</v>
      </c>
      <c r="R74" s="722">
        <f t="shared" si="3"/>
        <v>0</v>
      </c>
      <c r="S74" s="722">
        <f t="shared" si="5"/>
        <v>10</v>
      </c>
      <c r="T74" s="725"/>
      <c r="U74" s="726">
        <v>189</v>
      </c>
      <c r="V74" s="712">
        <f t="shared" si="6"/>
        <v>10</v>
      </c>
    </row>
    <row r="75" spans="2:22" ht="24.95" customHeight="1">
      <c r="B75" s="494">
        <v>53</v>
      </c>
      <c r="C75" s="495">
        <v>1570</v>
      </c>
      <c r="D75" s="486" t="s">
        <v>777</v>
      </c>
      <c r="E75" s="486" t="s">
        <v>778</v>
      </c>
      <c r="F75" s="530">
        <v>214</v>
      </c>
      <c r="G75" s="539" t="s">
        <v>779</v>
      </c>
      <c r="H75" s="540" t="s">
        <v>835</v>
      </c>
      <c r="I75" s="549" t="s">
        <v>52</v>
      </c>
      <c r="J75" s="496">
        <v>20</v>
      </c>
      <c r="K75" s="496">
        <v>19.899999999999999</v>
      </c>
      <c r="L75" s="703">
        <f t="shared" si="4"/>
        <v>398</v>
      </c>
      <c r="M75" s="809">
        <v>43208</v>
      </c>
      <c r="N75" s="496">
        <v>256</v>
      </c>
      <c r="O75" s="555" t="s">
        <v>742</v>
      </c>
      <c r="P75" s="721">
        <f t="shared" si="1"/>
        <v>0</v>
      </c>
      <c r="Q75" s="722">
        <f t="shared" si="2"/>
        <v>398</v>
      </c>
      <c r="R75" s="722">
        <f t="shared" si="3"/>
        <v>0</v>
      </c>
      <c r="S75" s="722">
        <f t="shared" si="5"/>
        <v>398</v>
      </c>
      <c r="T75" s="725"/>
      <c r="U75" s="726">
        <v>189</v>
      </c>
      <c r="V75" s="712">
        <f t="shared" si="6"/>
        <v>398</v>
      </c>
    </row>
    <row r="76" spans="2:22" ht="24.95" customHeight="1">
      <c r="B76" s="494">
        <v>54</v>
      </c>
      <c r="C76" s="495">
        <v>1570</v>
      </c>
      <c r="D76" s="486" t="s">
        <v>777</v>
      </c>
      <c r="E76" s="486" t="s">
        <v>778</v>
      </c>
      <c r="F76" s="530">
        <v>214</v>
      </c>
      <c r="G76" s="539" t="s">
        <v>779</v>
      </c>
      <c r="H76" s="540" t="s">
        <v>836</v>
      </c>
      <c r="I76" s="549" t="s">
        <v>52</v>
      </c>
      <c r="J76" s="496">
        <v>8</v>
      </c>
      <c r="K76" s="496">
        <v>27.9</v>
      </c>
      <c r="L76" s="703">
        <f t="shared" si="4"/>
        <v>223.2</v>
      </c>
      <c r="M76" s="809">
        <v>43208</v>
      </c>
      <c r="N76" s="496">
        <v>256</v>
      </c>
      <c r="O76" s="555" t="s">
        <v>742</v>
      </c>
      <c r="P76" s="721">
        <f t="shared" si="1"/>
        <v>0</v>
      </c>
      <c r="Q76" s="722">
        <f t="shared" si="2"/>
        <v>223.2</v>
      </c>
      <c r="R76" s="722">
        <f t="shared" si="3"/>
        <v>0</v>
      </c>
      <c r="S76" s="722">
        <f t="shared" si="5"/>
        <v>223.2</v>
      </c>
      <c r="T76" s="725"/>
      <c r="U76" s="726">
        <v>189</v>
      </c>
      <c r="V76" s="712">
        <f t="shared" si="6"/>
        <v>223.2</v>
      </c>
    </row>
    <row r="77" spans="2:22" ht="24.95" customHeight="1">
      <c r="B77" s="494">
        <v>55</v>
      </c>
      <c r="C77" s="495">
        <v>1570</v>
      </c>
      <c r="D77" s="486" t="s">
        <v>777</v>
      </c>
      <c r="E77" s="486" t="s">
        <v>778</v>
      </c>
      <c r="F77" s="530">
        <v>214</v>
      </c>
      <c r="G77" s="539" t="s">
        <v>779</v>
      </c>
      <c r="H77" s="540" t="s">
        <v>837</v>
      </c>
      <c r="I77" s="549" t="s">
        <v>781</v>
      </c>
      <c r="J77" s="496">
        <v>2</v>
      </c>
      <c r="K77" s="496">
        <v>34</v>
      </c>
      <c r="L77" s="703">
        <f t="shared" si="4"/>
        <v>68</v>
      </c>
      <c r="M77" s="809">
        <v>43208</v>
      </c>
      <c r="N77" s="496">
        <v>256</v>
      </c>
      <c r="O77" s="555" t="s">
        <v>742</v>
      </c>
      <c r="P77" s="721">
        <f t="shared" si="1"/>
        <v>0</v>
      </c>
      <c r="Q77" s="722">
        <f t="shared" si="2"/>
        <v>68</v>
      </c>
      <c r="R77" s="722">
        <f t="shared" si="3"/>
        <v>0</v>
      </c>
      <c r="S77" s="722">
        <f t="shared" si="5"/>
        <v>68</v>
      </c>
      <c r="T77" s="725"/>
      <c r="U77" s="726">
        <v>189</v>
      </c>
      <c r="V77" s="712">
        <f t="shared" si="6"/>
        <v>68</v>
      </c>
    </row>
    <row r="78" spans="2:22" ht="24.95" customHeight="1">
      <c r="B78" s="494">
        <v>56</v>
      </c>
      <c r="C78" s="495">
        <v>1570</v>
      </c>
      <c r="D78" s="486" t="s">
        <v>777</v>
      </c>
      <c r="E78" s="486" t="s">
        <v>778</v>
      </c>
      <c r="F78" s="530">
        <v>214</v>
      </c>
      <c r="G78" s="539" t="s">
        <v>779</v>
      </c>
      <c r="H78" s="540" t="s">
        <v>838</v>
      </c>
      <c r="I78" s="549" t="s">
        <v>52</v>
      </c>
      <c r="J78" s="496">
        <v>2</v>
      </c>
      <c r="K78" s="496">
        <v>349</v>
      </c>
      <c r="L78" s="703">
        <f t="shared" si="4"/>
        <v>698</v>
      </c>
      <c r="M78" s="809">
        <v>43208</v>
      </c>
      <c r="N78" s="496">
        <v>256</v>
      </c>
      <c r="O78" s="555" t="s">
        <v>742</v>
      </c>
      <c r="P78" s="721">
        <f t="shared" si="1"/>
        <v>0</v>
      </c>
      <c r="Q78" s="722">
        <f t="shared" si="2"/>
        <v>698</v>
      </c>
      <c r="R78" s="722">
        <f t="shared" si="3"/>
        <v>0</v>
      </c>
      <c r="S78" s="722">
        <f t="shared" si="5"/>
        <v>698</v>
      </c>
      <c r="T78" s="725"/>
      <c r="U78" s="726">
        <v>189</v>
      </c>
      <c r="V78" s="712">
        <f t="shared" si="6"/>
        <v>698</v>
      </c>
    </row>
    <row r="79" spans="2:22" ht="24.95" customHeight="1">
      <c r="B79" s="494">
        <v>57</v>
      </c>
      <c r="C79" s="495">
        <v>1570</v>
      </c>
      <c r="D79" s="486" t="s">
        <v>777</v>
      </c>
      <c r="E79" s="486" t="s">
        <v>778</v>
      </c>
      <c r="F79" s="530">
        <v>214</v>
      </c>
      <c r="G79" s="539" t="s">
        <v>779</v>
      </c>
      <c r="H79" s="540" t="s">
        <v>839</v>
      </c>
      <c r="I79" s="549" t="s">
        <v>52</v>
      </c>
      <c r="J79" s="496">
        <v>1</v>
      </c>
      <c r="K79" s="496">
        <v>14</v>
      </c>
      <c r="L79" s="703">
        <f t="shared" si="4"/>
        <v>14</v>
      </c>
      <c r="M79" s="809">
        <v>43208</v>
      </c>
      <c r="N79" s="496">
        <v>256</v>
      </c>
      <c r="O79" s="555" t="s">
        <v>742</v>
      </c>
      <c r="P79" s="721">
        <f t="shared" si="1"/>
        <v>0</v>
      </c>
      <c r="Q79" s="722">
        <f t="shared" si="2"/>
        <v>14</v>
      </c>
      <c r="R79" s="722">
        <f t="shared" si="3"/>
        <v>0</v>
      </c>
      <c r="S79" s="722">
        <f t="shared" si="5"/>
        <v>14</v>
      </c>
      <c r="T79" s="725"/>
      <c r="U79" s="726">
        <v>189</v>
      </c>
      <c r="V79" s="712">
        <f t="shared" si="6"/>
        <v>14</v>
      </c>
    </row>
    <row r="80" spans="2:22" ht="24.95" customHeight="1">
      <c r="B80" s="494">
        <v>58</v>
      </c>
      <c r="C80" s="495">
        <v>1570</v>
      </c>
      <c r="D80" s="486" t="s">
        <v>777</v>
      </c>
      <c r="E80" s="486" t="s">
        <v>778</v>
      </c>
      <c r="F80" s="530">
        <v>214</v>
      </c>
      <c r="G80" s="539" t="s">
        <v>779</v>
      </c>
      <c r="H80" s="540" t="s">
        <v>840</v>
      </c>
      <c r="I80" s="549" t="s">
        <v>52</v>
      </c>
      <c r="J80" s="496">
        <v>1</v>
      </c>
      <c r="K80" s="496">
        <v>7.9</v>
      </c>
      <c r="L80" s="703">
        <f t="shared" si="4"/>
        <v>7.9</v>
      </c>
      <c r="M80" s="809">
        <v>43208</v>
      </c>
      <c r="N80" s="496">
        <v>256</v>
      </c>
      <c r="O80" s="555" t="s">
        <v>742</v>
      </c>
      <c r="P80" s="721">
        <f t="shared" si="1"/>
        <v>0</v>
      </c>
      <c r="Q80" s="722">
        <f t="shared" si="2"/>
        <v>7.9</v>
      </c>
      <c r="R80" s="722">
        <f t="shared" si="3"/>
        <v>0</v>
      </c>
      <c r="S80" s="722">
        <f t="shared" si="5"/>
        <v>7.9</v>
      </c>
      <c r="T80" s="725"/>
      <c r="U80" s="726">
        <v>189</v>
      </c>
      <c r="V80" s="712">
        <f t="shared" si="6"/>
        <v>7.9</v>
      </c>
    </row>
    <row r="81" spans="2:22" ht="24.95" customHeight="1">
      <c r="B81" s="494">
        <v>59</v>
      </c>
      <c r="C81" s="495">
        <v>1570</v>
      </c>
      <c r="D81" s="486" t="s">
        <v>777</v>
      </c>
      <c r="E81" s="486" t="s">
        <v>778</v>
      </c>
      <c r="F81" s="530">
        <v>214</v>
      </c>
      <c r="G81" s="539" t="s">
        <v>779</v>
      </c>
      <c r="H81" s="540" t="s">
        <v>841</v>
      </c>
      <c r="I81" s="549" t="s">
        <v>52</v>
      </c>
      <c r="J81" s="496">
        <v>2</v>
      </c>
      <c r="K81" s="496">
        <v>94</v>
      </c>
      <c r="L81" s="703">
        <f t="shared" si="4"/>
        <v>188</v>
      </c>
      <c r="M81" s="809">
        <v>43208</v>
      </c>
      <c r="N81" s="496">
        <v>256</v>
      </c>
      <c r="O81" s="555" t="s">
        <v>742</v>
      </c>
      <c r="P81" s="721">
        <f t="shared" si="1"/>
        <v>0</v>
      </c>
      <c r="Q81" s="722">
        <f t="shared" si="2"/>
        <v>188</v>
      </c>
      <c r="R81" s="722">
        <f t="shared" si="3"/>
        <v>0</v>
      </c>
      <c r="S81" s="722">
        <f t="shared" si="5"/>
        <v>188</v>
      </c>
      <c r="T81" s="725"/>
      <c r="U81" s="726">
        <v>189</v>
      </c>
      <c r="V81" s="712">
        <f t="shared" si="6"/>
        <v>188</v>
      </c>
    </row>
    <row r="82" spans="2:22" ht="24.95" customHeight="1">
      <c r="B82" s="494">
        <v>60</v>
      </c>
      <c r="C82" s="495">
        <v>1570</v>
      </c>
      <c r="D82" s="486" t="s">
        <v>777</v>
      </c>
      <c r="E82" s="486" t="s">
        <v>778</v>
      </c>
      <c r="F82" s="530">
        <v>214</v>
      </c>
      <c r="G82" s="539" t="s">
        <v>779</v>
      </c>
      <c r="H82" s="540" t="s">
        <v>842</v>
      </c>
      <c r="I82" s="549" t="s">
        <v>52</v>
      </c>
      <c r="J82" s="496">
        <v>1</v>
      </c>
      <c r="K82" s="496">
        <v>11.9</v>
      </c>
      <c r="L82" s="703">
        <f t="shared" si="4"/>
        <v>11.9</v>
      </c>
      <c r="M82" s="809">
        <v>43208</v>
      </c>
      <c r="N82" s="496">
        <v>256</v>
      </c>
      <c r="O82" s="555" t="s">
        <v>742</v>
      </c>
      <c r="P82" s="721">
        <f t="shared" si="1"/>
        <v>0</v>
      </c>
      <c r="Q82" s="722">
        <f t="shared" si="2"/>
        <v>11.9</v>
      </c>
      <c r="R82" s="722">
        <f t="shared" si="3"/>
        <v>0</v>
      </c>
      <c r="S82" s="722">
        <f t="shared" si="5"/>
        <v>11.9</v>
      </c>
      <c r="T82" s="725"/>
      <c r="U82" s="726">
        <v>189</v>
      </c>
      <c r="V82" s="712">
        <f t="shared" si="6"/>
        <v>11.9</v>
      </c>
    </row>
    <row r="83" spans="2:22" ht="24.95" customHeight="1">
      <c r="B83" s="494">
        <v>61</v>
      </c>
      <c r="C83" s="495">
        <v>1570</v>
      </c>
      <c r="D83" s="486" t="s">
        <v>777</v>
      </c>
      <c r="E83" s="486" t="s">
        <v>778</v>
      </c>
      <c r="F83" s="530">
        <v>214</v>
      </c>
      <c r="G83" s="539" t="s">
        <v>779</v>
      </c>
      <c r="H83" s="540" t="s">
        <v>843</v>
      </c>
      <c r="I83" s="549" t="s">
        <v>52</v>
      </c>
      <c r="J83" s="496">
        <v>1</v>
      </c>
      <c r="K83" s="496">
        <v>36.9</v>
      </c>
      <c r="L83" s="703">
        <f t="shared" si="4"/>
        <v>36.9</v>
      </c>
      <c r="M83" s="809">
        <v>43208</v>
      </c>
      <c r="N83" s="496">
        <v>256</v>
      </c>
      <c r="O83" s="555" t="s">
        <v>742</v>
      </c>
      <c r="P83" s="721">
        <f t="shared" si="1"/>
        <v>0</v>
      </c>
      <c r="Q83" s="722">
        <f t="shared" si="2"/>
        <v>36.9</v>
      </c>
      <c r="R83" s="722">
        <f t="shared" si="3"/>
        <v>0</v>
      </c>
      <c r="S83" s="722">
        <f t="shared" si="5"/>
        <v>36.9</v>
      </c>
      <c r="T83" s="725"/>
      <c r="U83" s="726">
        <v>189</v>
      </c>
      <c r="V83" s="712">
        <f t="shared" si="6"/>
        <v>36.9</v>
      </c>
    </row>
    <row r="84" spans="2:22" ht="24.95" customHeight="1">
      <c r="B84" s="494">
        <v>62</v>
      </c>
      <c r="C84" s="495">
        <v>1570</v>
      </c>
      <c r="D84" s="486" t="s">
        <v>777</v>
      </c>
      <c r="E84" s="486" t="s">
        <v>778</v>
      </c>
      <c r="F84" s="530">
        <v>214</v>
      </c>
      <c r="G84" s="539" t="s">
        <v>779</v>
      </c>
      <c r="H84" s="540" t="s">
        <v>844</v>
      </c>
      <c r="I84" s="549" t="s">
        <v>52</v>
      </c>
      <c r="J84" s="496">
        <v>1</v>
      </c>
      <c r="K84" s="496">
        <v>2.5</v>
      </c>
      <c r="L84" s="703">
        <f t="shared" si="4"/>
        <v>2.5</v>
      </c>
      <c r="M84" s="809">
        <v>43208</v>
      </c>
      <c r="N84" s="496">
        <v>256</v>
      </c>
      <c r="O84" s="555" t="s">
        <v>742</v>
      </c>
      <c r="P84" s="721">
        <f t="shared" si="1"/>
        <v>0</v>
      </c>
      <c r="Q84" s="722">
        <f t="shared" si="2"/>
        <v>2.5</v>
      </c>
      <c r="R84" s="722">
        <f t="shared" si="3"/>
        <v>0</v>
      </c>
      <c r="S84" s="722">
        <f t="shared" si="5"/>
        <v>2.5</v>
      </c>
      <c r="T84" s="725"/>
      <c r="U84" s="726">
        <v>189</v>
      </c>
      <c r="V84" s="712">
        <f t="shared" si="6"/>
        <v>2.5</v>
      </c>
    </row>
    <row r="85" spans="2:22" ht="24.95" customHeight="1">
      <c r="B85" s="494">
        <v>63</v>
      </c>
      <c r="C85" s="495">
        <v>1570</v>
      </c>
      <c r="D85" s="486" t="s">
        <v>777</v>
      </c>
      <c r="E85" s="486" t="s">
        <v>778</v>
      </c>
      <c r="F85" s="530">
        <v>214</v>
      </c>
      <c r="G85" s="539" t="s">
        <v>779</v>
      </c>
      <c r="H85" s="540" t="s">
        <v>845</v>
      </c>
      <c r="I85" s="549" t="s">
        <v>52</v>
      </c>
      <c r="J85" s="496">
        <v>3</v>
      </c>
      <c r="K85" s="496">
        <v>2</v>
      </c>
      <c r="L85" s="703">
        <f t="shared" si="4"/>
        <v>6</v>
      </c>
      <c r="M85" s="809">
        <v>43208</v>
      </c>
      <c r="N85" s="496">
        <v>256</v>
      </c>
      <c r="O85" s="555" t="s">
        <v>742</v>
      </c>
      <c r="P85" s="721">
        <f t="shared" si="1"/>
        <v>0</v>
      </c>
      <c r="Q85" s="722">
        <f t="shared" si="2"/>
        <v>6</v>
      </c>
      <c r="R85" s="722">
        <f t="shared" si="3"/>
        <v>0</v>
      </c>
      <c r="S85" s="722">
        <f t="shared" si="5"/>
        <v>6</v>
      </c>
      <c r="T85" s="725"/>
      <c r="U85" s="726">
        <v>189</v>
      </c>
      <c r="V85" s="712">
        <f t="shared" si="6"/>
        <v>6</v>
      </c>
    </row>
    <row r="86" spans="2:22" ht="24.95" customHeight="1">
      <c r="B86" s="494">
        <v>64</v>
      </c>
      <c r="C86" s="495">
        <v>1570</v>
      </c>
      <c r="D86" s="486" t="s">
        <v>777</v>
      </c>
      <c r="E86" s="486" t="s">
        <v>778</v>
      </c>
      <c r="F86" s="530">
        <v>214</v>
      </c>
      <c r="G86" s="539" t="s">
        <v>779</v>
      </c>
      <c r="H86" s="540" t="s">
        <v>846</v>
      </c>
      <c r="I86" s="549" t="s">
        <v>52</v>
      </c>
      <c r="J86" s="496">
        <v>1</v>
      </c>
      <c r="K86" s="496">
        <v>52.5</v>
      </c>
      <c r="L86" s="703">
        <f t="shared" si="4"/>
        <v>52.5</v>
      </c>
      <c r="M86" s="809">
        <v>43208</v>
      </c>
      <c r="N86" s="496">
        <v>256</v>
      </c>
      <c r="O86" s="555" t="s">
        <v>742</v>
      </c>
      <c r="P86" s="721">
        <f t="shared" si="1"/>
        <v>0</v>
      </c>
      <c r="Q86" s="722">
        <f t="shared" si="2"/>
        <v>52.5</v>
      </c>
      <c r="R86" s="722">
        <f t="shared" si="3"/>
        <v>0</v>
      </c>
      <c r="S86" s="722">
        <f t="shared" si="5"/>
        <v>52.5</v>
      </c>
      <c r="T86" s="725"/>
      <c r="U86" s="726">
        <v>189</v>
      </c>
      <c r="V86" s="712">
        <f t="shared" si="6"/>
        <v>52.5</v>
      </c>
    </row>
    <row r="87" spans="2:22" ht="24.95" customHeight="1">
      <c r="B87" s="494">
        <v>65</v>
      </c>
      <c r="C87" s="495">
        <v>1570</v>
      </c>
      <c r="D87" s="486" t="s">
        <v>777</v>
      </c>
      <c r="E87" s="486" t="s">
        <v>778</v>
      </c>
      <c r="F87" s="530">
        <v>214</v>
      </c>
      <c r="G87" s="539" t="s">
        <v>779</v>
      </c>
      <c r="H87" s="540" t="s">
        <v>847</v>
      </c>
      <c r="I87" s="549" t="s">
        <v>52</v>
      </c>
      <c r="J87" s="496">
        <v>1</v>
      </c>
      <c r="K87" s="496">
        <v>16</v>
      </c>
      <c r="L87" s="703">
        <f t="shared" si="4"/>
        <v>16</v>
      </c>
      <c r="M87" s="809">
        <v>43208</v>
      </c>
      <c r="N87" s="496">
        <v>256</v>
      </c>
      <c r="O87" s="555" t="s">
        <v>742</v>
      </c>
      <c r="P87" s="721">
        <f t="shared" si="1"/>
        <v>0</v>
      </c>
      <c r="Q87" s="722">
        <f t="shared" si="2"/>
        <v>16</v>
      </c>
      <c r="R87" s="722">
        <f t="shared" si="3"/>
        <v>0</v>
      </c>
      <c r="S87" s="722">
        <f t="shared" si="5"/>
        <v>16</v>
      </c>
      <c r="T87" s="725"/>
      <c r="U87" s="726">
        <v>189</v>
      </c>
      <c r="V87" s="712">
        <f t="shared" si="6"/>
        <v>16</v>
      </c>
    </row>
    <row r="88" spans="2:22" ht="24.95" customHeight="1">
      <c r="B88" s="494">
        <v>66</v>
      </c>
      <c r="C88" s="495">
        <v>1570</v>
      </c>
      <c r="D88" s="486" t="s">
        <v>777</v>
      </c>
      <c r="E88" s="486" t="s">
        <v>778</v>
      </c>
      <c r="F88" s="530">
        <v>214</v>
      </c>
      <c r="G88" s="539" t="s">
        <v>779</v>
      </c>
      <c r="H88" s="540" t="s">
        <v>848</v>
      </c>
      <c r="I88" s="549" t="s">
        <v>52</v>
      </c>
      <c r="J88" s="496">
        <v>1</v>
      </c>
      <c r="K88" s="496">
        <v>18</v>
      </c>
      <c r="L88" s="703">
        <f t="shared" ref="L88:L110" si="7">ROUND(J88*K88,2)</f>
        <v>18</v>
      </c>
      <c r="M88" s="809">
        <v>43208</v>
      </c>
      <c r="N88" s="496">
        <v>256</v>
      </c>
      <c r="O88" s="555" t="s">
        <v>742</v>
      </c>
      <c r="P88" s="721">
        <f t="shared" si="1"/>
        <v>0</v>
      </c>
      <c r="Q88" s="722">
        <f t="shared" si="2"/>
        <v>18</v>
      </c>
      <c r="R88" s="722">
        <f t="shared" si="3"/>
        <v>0</v>
      </c>
      <c r="S88" s="722">
        <f t="shared" ref="S88:S110" si="8">SUM(P88:R88)</f>
        <v>18</v>
      </c>
      <c r="T88" s="725"/>
      <c r="U88" s="726">
        <v>189</v>
      </c>
      <c r="V88" s="712">
        <f t="shared" ref="V88:V111" si="9">SUM(S88:T88)</f>
        <v>18</v>
      </c>
    </row>
    <row r="89" spans="2:22" ht="24.95" customHeight="1">
      <c r="B89" s="494">
        <v>67</v>
      </c>
      <c r="C89" s="495">
        <v>1570</v>
      </c>
      <c r="D89" s="486" t="s">
        <v>777</v>
      </c>
      <c r="E89" s="486" t="s">
        <v>778</v>
      </c>
      <c r="F89" s="530">
        <v>214</v>
      </c>
      <c r="G89" s="539" t="s">
        <v>779</v>
      </c>
      <c r="H89" s="540" t="s">
        <v>849</v>
      </c>
      <c r="I89" s="549" t="s">
        <v>52</v>
      </c>
      <c r="J89" s="496">
        <v>3</v>
      </c>
      <c r="K89" s="496">
        <v>5.5</v>
      </c>
      <c r="L89" s="703">
        <f t="shared" si="7"/>
        <v>16.5</v>
      </c>
      <c r="M89" s="809">
        <v>43208</v>
      </c>
      <c r="N89" s="496">
        <v>256</v>
      </c>
      <c r="O89" s="555" t="s">
        <v>742</v>
      </c>
      <c r="P89" s="721">
        <f t="shared" si="1"/>
        <v>0</v>
      </c>
      <c r="Q89" s="722">
        <f t="shared" si="2"/>
        <v>16.5</v>
      </c>
      <c r="R89" s="722">
        <f t="shared" si="3"/>
        <v>0</v>
      </c>
      <c r="S89" s="722">
        <f t="shared" si="8"/>
        <v>16.5</v>
      </c>
      <c r="T89" s="725"/>
      <c r="U89" s="726">
        <v>189</v>
      </c>
      <c r="V89" s="712">
        <f t="shared" si="9"/>
        <v>16.5</v>
      </c>
    </row>
    <row r="90" spans="2:22" ht="24.95" customHeight="1">
      <c r="B90" s="494">
        <v>68</v>
      </c>
      <c r="C90" s="495">
        <v>1570</v>
      </c>
      <c r="D90" s="486" t="s">
        <v>777</v>
      </c>
      <c r="E90" s="486" t="s">
        <v>778</v>
      </c>
      <c r="F90" s="530">
        <v>214</v>
      </c>
      <c r="G90" s="539" t="s">
        <v>779</v>
      </c>
      <c r="H90" s="540" t="s">
        <v>850</v>
      </c>
      <c r="I90" s="549" t="s">
        <v>808</v>
      </c>
      <c r="J90" s="496">
        <v>5</v>
      </c>
      <c r="K90" s="496">
        <v>5.5</v>
      </c>
      <c r="L90" s="703">
        <f t="shared" si="7"/>
        <v>27.5</v>
      </c>
      <c r="M90" s="809">
        <v>43208</v>
      </c>
      <c r="N90" s="496">
        <v>256</v>
      </c>
      <c r="O90" s="555" t="s">
        <v>742</v>
      </c>
      <c r="P90" s="721">
        <f t="shared" si="1"/>
        <v>0</v>
      </c>
      <c r="Q90" s="722">
        <f t="shared" si="2"/>
        <v>27.5</v>
      </c>
      <c r="R90" s="722">
        <f t="shared" si="3"/>
        <v>0</v>
      </c>
      <c r="S90" s="722">
        <f t="shared" si="8"/>
        <v>27.5</v>
      </c>
      <c r="T90" s="725"/>
      <c r="U90" s="726">
        <v>189</v>
      </c>
      <c r="V90" s="712">
        <f t="shared" si="9"/>
        <v>27.5</v>
      </c>
    </row>
    <row r="91" spans="2:22" ht="24.95" customHeight="1">
      <c r="B91" s="494">
        <v>69</v>
      </c>
      <c r="C91" s="495">
        <v>1570</v>
      </c>
      <c r="D91" s="486" t="s">
        <v>777</v>
      </c>
      <c r="E91" s="486" t="s">
        <v>778</v>
      </c>
      <c r="F91" s="530">
        <v>214</v>
      </c>
      <c r="G91" s="539" t="s">
        <v>779</v>
      </c>
      <c r="H91" s="540" t="s">
        <v>851</v>
      </c>
      <c r="I91" s="549" t="s">
        <v>52</v>
      </c>
      <c r="J91" s="496">
        <v>5</v>
      </c>
      <c r="K91" s="496">
        <v>62.9</v>
      </c>
      <c r="L91" s="703">
        <f t="shared" si="7"/>
        <v>314.5</v>
      </c>
      <c r="M91" s="809">
        <v>43208</v>
      </c>
      <c r="N91" s="496">
        <v>256</v>
      </c>
      <c r="O91" s="555" t="s">
        <v>742</v>
      </c>
      <c r="P91" s="721">
        <f t="shared" si="1"/>
        <v>0</v>
      </c>
      <c r="Q91" s="722">
        <f t="shared" si="2"/>
        <v>314.5</v>
      </c>
      <c r="R91" s="722">
        <f t="shared" si="3"/>
        <v>0</v>
      </c>
      <c r="S91" s="722">
        <f t="shared" si="8"/>
        <v>314.5</v>
      </c>
      <c r="T91" s="725"/>
      <c r="U91" s="726">
        <v>189</v>
      </c>
      <c r="V91" s="712">
        <f t="shared" si="9"/>
        <v>314.5</v>
      </c>
    </row>
    <row r="92" spans="2:22" ht="24.95" customHeight="1">
      <c r="B92" s="494">
        <v>70</v>
      </c>
      <c r="C92" s="495">
        <v>1570</v>
      </c>
      <c r="D92" s="486" t="s">
        <v>777</v>
      </c>
      <c r="E92" s="486" t="s">
        <v>778</v>
      </c>
      <c r="F92" s="530">
        <v>214</v>
      </c>
      <c r="G92" s="539" t="s">
        <v>779</v>
      </c>
      <c r="H92" s="540" t="s">
        <v>852</v>
      </c>
      <c r="I92" s="549" t="s">
        <v>52</v>
      </c>
      <c r="J92" s="496">
        <v>10</v>
      </c>
      <c r="K92" s="496">
        <v>13.9</v>
      </c>
      <c r="L92" s="703">
        <f t="shared" si="7"/>
        <v>139</v>
      </c>
      <c r="M92" s="809">
        <v>43208</v>
      </c>
      <c r="N92" s="496">
        <v>256</v>
      </c>
      <c r="O92" s="555" t="s">
        <v>742</v>
      </c>
      <c r="P92" s="721">
        <f t="shared" si="1"/>
        <v>0</v>
      </c>
      <c r="Q92" s="722">
        <f t="shared" si="2"/>
        <v>139</v>
      </c>
      <c r="R92" s="722">
        <f t="shared" si="3"/>
        <v>0</v>
      </c>
      <c r="S92" s="722">
        <f t="shared" si="8"/>
        <v>139</v>
      </c>
      <c r="T92" s="725"/>
      <c r="U92" s="726">
        <v>189</v>
      </c>
      <c r="V92" s="712">
        <f t="shared" si="9"/>
        <v>139</v>
      </c>
    </row>
    <row r="93" spans="2:22" ht="24.95" customHeight="1">
      <c r="B93" s="494">
        <v>71</v>
      </c>
      <c r="C93" s="495">
        <v>1570</v>
      </c>
      <c r="D93" s="486" t="s">
        <v>777</v>
      </c>
      <c r="E93" s="486" t="s">
        <v>778</v>
      </c>
      <c r="F93" s="530">
        <v>214</v>
      </c>
      <c r="G93" s="539" t="s">
        <v>779</v>
      </c>
      <c r="H93" s="540" t="s">
        <v>853</v>
      </c>
      <c r="I93" s="549" t="s">
        <v>52</v>
      </c>
      <c r="J93" s="496">
        <v>3</v>
      </c>
      <c r="K93" s="496">
        <v>27.9</v>
      </c>
      <c r="L93" s="703">
        <f t="shared" si="7"/>
        <v>83.7</v>
      </c>
      <c r="M93" s="809">
        <v>43208</v>
      </c>
      <c r="N93" s="496">
        <v>256</v>
      </c>
      <c r="O93" s="555" t="s">
        <v>742</v>
      </c>
      <c r="P93" s="721">
        <f t="shared" si="1"/>
        <v>0</v>
      </c>
      <c r="Q93" s="722">
        <f t="shared" si="2"/>
        <v>83.7</v>
      </c>
      <c r="R93" s="722">
        <f t="shared" si="3"/>
        <v>0</v>
      </c>
      <c r="S93" s="722">
        <f t="shared" si="8"/>
        <v>83.7</v>
      </c>
      <c r="T93" s="725"/>
      <c r="U93" s="726">
        <v>189</v>
      </c>
      <c r="V93" s="712">
        <f t="shared" si="9"/>
        <v>83.7</v>
      </c>
    </row>
    <row r="94" spans="2:22" ht="24.95" customHeight="1">
      <c r="B94" s="494">
        <v>72</v>
      </c>
      <c r="C94" s="495">
        <v>1628</v>
      </c>
      <c r="D94" s="486" t="s">
        <v>854</v>
      </c>
      <c r="E94" s="486" t="s">
        <v>778</v>
      </c>
      <c r="F94" s="530">
        <v>240</v>
      </c>
      <c r="G94" s="539" t="s">
        <v>855</v>
      </c>
      <c r="H94" s="540" t="s">
        <v>856</v>
      </c>
      <c r="I94" s="549" t="s">
        <v>52</v>
      </c>
      <c r="J94" s="496">
        <v>269</v>
      </c>
      <c r="K94" s="496">
        <v>6.5</v>
      </c>
      <c r="L94" s="703">
        <f t="shared" si="7"/>
        <v>1748.5</v>
      </c>
      <c r="M94" s="809">
        <v>43216</v>
      </c>
      <c r="N94" s="496">
        <v>671</v>
      </c>
      <c r="O94" s="555" t="s">
        <v>742</v>
      </c>
      <c r="P94" s="721">
        <f t="shared" si="1"/>
        <v>0</v>
      </c>
      <c r="Q94" s="722">
        <f>J94*K94</f>
        <v>1748.5</v>
      </c>
      <c r="R94" s="722">
        <f t="shared" si="3"/>
        <v>0</v>
      </c>
      <c r="S94" s="722">
        <f t="shared" si="8"/>
        <v>1748.5</v>
      </c>
      <c r="T94" s="725"/>
      <c r="U94" s="726">
        <v>227</v>
      </c>
      <c r="V94" s="712">
        <f t="shared" si="9"/>
        <v>1748.5</v>
      </c>
    </row>
    <row r="95" spans="2:22" ht="24.95" customHeight="1">
      <c r="B95" s="494">
        <v>73</v>
      </c>
      <c r="C95" s="495">
        <v>1628</v>
      </c>
      <c r="D95" s="486" t="s">
        <v>854</v>
      </c>
      <c r="E95" s="486" t="s">
        <v>778</v>
      </c>
      <c r="F95" s="530">
        <v>240</v>
      </c>
      <c r="G95" s="539" t="s">
        <v>855</v>
      </c>
      <c r="H95" s="540" t="s">
        <v>857</v>
      </c>
      <c r="I95" s="549" t="s">
        <v>52</v>
      </c>
      <c r="J95" s="496">
        <v>11</v>
      </c>
      <c r="K95" s="496">
        <v>42.8</v>
      </c>
      <c r="L95" s="703">
        <f t="shared" si="7"/>
        <v>470.8</v>
      </c>
      <c r="M95" s="809">
        <v>43216</v>
      </c>
      <c r="N95" s="496">
        <v>671</v>
      </c>
      <c r="O95" s="555" t="s">
        <v>742</v>
      </c>
      <c r="P95" s="721">
        <f t="shared" si="1"/>
        <v>0</v>
      </c>
      <c r="Q95" s="722">
        <f>IF($O95=$Q$15,$L95,)</f>
        <v>470.8</v>
      </c>
      <c r="R95" s="722">
        <f t="shared" si="3"/>
        <v>0</v>
      </c>
      <c r="S95" s="722">
        <f t="shared" si="8"/>
        <v>470.8</v>
      </c>
      <c r="T95" s="725"/>
      <c r="U95" s="726">
        <v>227</v>
      </c>
      <c r="V95" s="712">
        <f t="shared" si="9"/>
        <v>470.8</v>
      </c>
    </row>
    <row r="96" spans="2:22" ht="24.95" customHeight="1">
      <c r="B96" s="494">
        <v>74</v>
      </c>
      <c r="C96" s="495">
        <v>1628</v>
      </c>
      <c r="D96" s="486" t="s">
        <v>854</v>
      </c>
      <c r="E96" s="486" t="s">
        <v>778</v>
      </c>
      <c r="F96" s="530">
        <v>240</v>
      </c>
      <c r="G96" s="539" t="s">
        <v>855</v>
      </c>
      <c r="H96" s="540" t="s">
        <v>858</v>
      </c>
      <c r="I96" s="549" t="s">
        <v>52</v>
      </c>
      <c r="J96" s="496">
        <v>27</v>
      </c>
      <c r="K96" s="496">
        <v>39</v>
      </c>
      <c r="L96" s="703">
        <f t="shared" si="7"/>
        <v>1053</v>
      </c>
      <c r="M96" s="809">
        <v>43216</v>
      </c>
      <c r="N96" s="496">
        <v>671</v>
      </c>
      <c r="O96" s="555" t="s">
        <v>742</v>
      </c>
      <c r="P96" s="721">
        <f t="shared" si="1"/>
        <v>0</v>
      </c>
      <c r="Q96" s="722">
        <f t="shared" si="2"/>
        <v>1053</v>
      </c>
      <c r="R96" s="722">
        <f t="shared" si="3"/>
        <v>0</v>
      </c>
      <c r="S96" s="722">
        <f t="shared" si="8"/>
        <v>1053</v>
      </c>
      <c r="T96" s="725"/>
      <c r="U96" s="726">
        <v>227</v>
      </c>
      <c r="V96" s="712">
        <f t="shared" si="9"/>
        <v>1053</v>
      </c>
    </row>
    <row r="97" spans="2:22" ht="24.95" customHeight="1">
      <c r="B97" s="494">
        <v>75</v>
      </c>
      <c r="C97" s="495">
        <v>1629</v>
      </c>
      <c r="D97" s="486" t="s">
        <v>854</v>
      </c>
      <c r="E97" s="486" t="s">
        <v>778</v>
      </c>
      <c r="F97" s="530">
        <v>239</v>
      </c>
      <c r="G97" s="539" t="s">
        <v>859</v>
      </c>
      <c r="H97" s="540" t="s">
        <v>860</v>
      </c>
      <c r="I97" s="549" t="s">
        <v>52</v>
      </c>
      <c r="J97" s="496">
        <v>22</v>
      </c>
      <c r="K97" s="496">
        <v>11.05</v>
      </c>
      <c r="L97" s="703">
        <f t="shared" si="7"/>
        <v>243.1</v>
      </c>
      <c r="M97" s="809">
        <v>43213</v>
      </c>
      <c r="N97" s="496">
        <v>209</v>
      </c>
      <c r="O97" s="555" t="s">
        <v>742</v>
      </c>
      <c r="P97" s="721">
        <f t="shared" si="1"/>
        <v>0</v>
      </c>
      <c r="Q97" s="722">
        <f t="shared" si="2"/>
        <v>243.1</v>
      </c>
      <c r="R97" s="722">
        <f t="shared" si="3"/>
        <v>0</v>
      </c>
      <c r="S97" s="722">
        <f t="shared" si="8"/>
        <v>243.1</v>
      </c>
      <c r="T97" s="725"/>
      <c r="U97" s="726">
        <v>197</v>
      </c>
      <c r="V97" s="712">
        <f t="shared" si="9"/>
        <v>243.1</v>
      </c>
    </row>
    <row r="98" spans="2:22" ht="24.95" customHeight="1">
      <c r="B98" s="494">
        <v>76</v>
      </c>
      <c r="C98" s="495">
        <v>1792</v>
      </c>
      <c r="D98" s="486" t="s">
        <v>764</v>
      </c>
      <c r="E98" s="486" t="s">
        <v>778</v>
      </c>
      <c r="F98" s="530">
        <v>279</v>
      </c>
      <c r="G98" s="539" t="s">
        <v>779</v>
      </c>
      <c r="H98" s="540" t="s">
        <v>861</v>
      </c>
      <c r="I98" s="549" t="s">
        <v>52</v>
      </c>
      <c r="J98" s="496">
        <v>12</v>
      </c>
      <c r="K98" s="496">
        <v>1.4</v>
      </c>
      <c r="L98" s="703">
        <f t="shared" si="7"/>
        <v>16.8</v>
      </c>
      <c r="M98" s="809">
        <v>43223</v>
      </c>
      <c r="N98" s="496">
        <v>292</v>
      </c>
      <c r="O98" s="555" t="s">
        <v>742</v>
      </c>
      <c r="P98" s="721">
        <f t="shared" si="1"/>
        <v>0</v>
      </c>
      <c r="Q98" s="722">
        <f t="shared" si="2"/>
        <v>16.8</v>
      </c>
      <c r="R98" s="722">
        <f t="shared" si="3"/>
        <v>0</v>
      </c>
      <c r="S98" s="722">
        <f t="shared" si="8"/>
        <v>16.8</v>
      </c>
      <c r="T98" s="725"/>
      <c r="U98" s="726">
        <v>239</v>
      </c>
      <c r="V98" s="712">
        <f t="shared" si="9"/>
        <v>16.8</v>
      </c>
    </row>
    <row r="99" spans="2:22" ht="24.95" customHeight="1">
      <c r="B99" s="494">
        <v>77</v>
      </c>
      <c r="C99" s="495">
        <v>1792</v>
      </c>
      <c r="D99" s="486" t="s">
        <v>764</v>
      </c>
      <c r="E99" s="486" t="s">
        <v>778</v>
      </c>
      <c r="F99" s="530">
        <v>279</v>
      </c>
      <c r="G99" s="539" t="s">
        <v>779</v>
      </c>
      <c r="H99" s="540" t="s">
        <v>862</v>
      </c>
      <c r="I99" s="549" t="s">
        <v>781</v>
      </c>
      <c r="J99" s="496">
        <v>1</v>
      </c>
      <c r="K99" s="496">
        <v>34.9</v>
      </c>
      <c r="L99" s="703">
        <f t="shared" si="7"/>
        <v>34.9</v>
      </c>
      <c r="M99" s="809">
        <v>43223</v>
      </c>
      <c r="N99" s="496">
        <v>292</v>
      </c>
      <c r="O99" s="555" t="s">
        <v>742</v>
      </c>
      <c r="P99" s="721">
        <f t="shared" si="1"/>
        <v>0</v>
      </c>
      <c r="Q99" s="722">
        <f t="shared" si="2"/>
        <v>34.9</v>
      </c>
      <c r="R99" s="722">
        <f t="shared" si="3"/>
        <v>0</v>
      </c>
      <c r="S99" s="722">
        <f t="shared" si="8"/>
        <v>34.9</v>
      </c>
      <c r="T99" s="725"/>
      <c r="U99" s="726">
        <v>239</v>
      </c>
      <c r="V99" s="712">
        <f t="shared" si="9"/>
        <v>34.9</v>
      </c>
    </row>
    <row r="100" spans="2:22" ht="24.95" customHeight="1">
      <c r="B100" s="494">
        <v>78</v>
      </c>
      <c r="C100" s="495">
        <v>1792</v>
      </c>
      <c r="D100" s="486" t="s">
        <v>764</v>
      </c>
      <c r="E100" s="486" t="s">
        <v>778</v>
      </c>
      <c r="F100" s="530">
        <v>279</v>
      </c>
      <c r="G100" s="539" t="s">
        <v>779</v>
      </c>
      <c r="H100" s="540" t="s">
        <v>863</v>
      </c>
      <c r="I100" s="549" t="s">
        <v>52</v>
      </c>
      <c r="J100" s="496">
        <v>6</v>
      </c>
      <c r="K100" s="496">
        <v>10</v>
      </c>
      <c r="L100" s="703">
        <f t="shared" si="7"/>
        <v>60</v>
      </c>
      <c r="M100" s="809">
        <v>43223</v>
      </c>
      <c r="N100" s="496">
        <v>292</v>
      </c>
      <c r="O100" s="555" t="s">
        <v>742</v>
      </c>
      <c r="P100" s="721">
        <f t="shared" si="1"/>
        <v>0</v>
      </c>
      <c r="Q100" s="722">
        <f t="shared" si="2"/>
        <v>60</v>
      </c>
      <c r="R100" s="722">
        <f t="shared" si="3"/>
        <v>0</v>
      </c>
      <c r="S100" s="722">
        <f t="shared" si="8"/>
        <v>60</v>
      </c>
      <c r="T100" s="725"/>
      <c r="U100" s="726">
        <v>239</v>
      </c>
      <c r="V100" s="712">
        <f t="shared" si="9"/>
        <v>60</v>
      </c>
    </row>
    <row r="101" spans="2:22" ht="24.95" customHeight="1">
      <c r="B101" s="494">
        <v>79</v>
      </c>
      <c r="C101" s="495">
        <v>1792</v>
      </c>
      <c r="D101" s="486" t="s">
        <v>764</v>
      </c>
      <c r="E101" s="486" t="s">
        <v>778</v>
      </c>
      <c r="F101" s="530">
        <v>279</v>
      </c>
      <c r="G101" s="539" t="s">
        <v>779</v>
      </c>
      <c r="H101" s="540" t="s">
        <v>864</v>
      </c>
      <c r="I101" s="549" t="s">
        <v>52</v>
      </c>
      <c r="J101" s="496">
        <v>2</v>
      </c>
      <c r="K101" s="496">
        <v>19</v>
      </c>
      <c r="L101" s="703">
        <f t="shared" si="7"/>
        <v>38</v>
      </c>
      <c r="M101" s="809">
        <v>43223</v>
      </c>
      <c r="N101" s="496">
        <v>292</v>
      </c>
      <c r="O101" s="555" t="s">
        <v>742</v>
      </c>
      <c r="P101" s="721">
        <f t="shared" si="1"/>
        <v>0</v>
      </c>
      <c r="Q101" s="722">
        <f t="shared" si="2"/>
        <v>38</v>
      </c>
      <c r="R101" s="722">
        <f t="shared" si="3"/>
        <v>0</v>
      </c>
      <c r="S101" s="722">
        <f t="shared" si="8"/>
        <v>38</v>
      </c>
      <c r="T101" s="725"/>
      <c r="U101" s="726">
        <v>239</v>
      </c>
      <c r="V101" s="712">
        <f t="shared" si="9"/>
        <v>38</v>
      </c>
    </row>
    <row r="102" spans="2:22" ht="24.95" customHeight="1">
      <c r="B102" s="494">
        <v>80</v>
      </c>
      <c r="C102" s="495">
        <v>1792</v>
      </c>
      <c r="D102" s="486" t="s">
        <v>764</v>
      </c>
      <c r="E102" s="486" t="s">
        <v>778</v>
      </c>
      <c r="F102" s="530">
        <v>279</v>
      </c>
      <c r="G102" s="539" t="s">
        <v>779</v>
      </c>
      <c r="H102" s="540" t="s">
        <v>865</v>
      </c>
      <c r="I102" s="549" t="s">
        <v>52</v>
      </c>
      <c r="J102" s="496">
        <v>425</v>
      </c>
      <c r="K102" s="496">
        <v>2.4900000000000002</v>
      </c>
      <c r="L102" s="703">
        <f t="shared" si="7"/>
        <v>1058.25</v>
      </c>
      <c r="M102" s="809">
        <v>43223</v>
      </c>
      <c r="N102" s="496">
        <v>292</v>
      </c>
      <c r="O102" s="555" t="s">
        <v>742</v>
      </c>
      <c r="P102" s="721">
        <f t="shared" si="1"/>
        <v>0</v>
      </c>
      <c r="Q102" s="722">
        <f t="shared" si="2"/>
        <v>1058.25</v>
      </c>
      <c r="R102" s="722">
        <f t="shared" si="3"/>
        <v>0</v>
      </c>
      <c r="S102" s="722">
        <f t="shared" si="8"/>
        <v>1058.25</v>
      </c>
      <c r="T102" s="725"/>
      <c r="U102" s="726">
        <v>239</v>
      </c>
      <c r="V102" s="712">
        <f t="shared" si="9"/>
        <v>1058.25</v>
      </c>
    </row>
    <row r="103" spans="2:22" ht="24.95" customHeight="1">
      <c r="B103" s="494">
        <v>81</v>
      </c>
      <c r="C103" s="495">
        <v>1792</v>
      </c>
      <c r="D103" s="486" t="s">
        <v>764</v>
      </c>
      <c r="E103" s="486" t="s">
        <v>778</v>
      </c>
      <c r="F103" s="530">
        <v>279</v>
      </c>
      <c r="G103" s="539" t="s">
        <v>779</v>
      </c>
      <c r="H103" s="540" t="s">
        <v>866</v>
      </c>
      <c r="I103" s="549" t="s">
        <v>52</v>
      </c>
      <c r="J103" s="496">
        <v>22</v>
      </c>
      <c r="K103" s="496">
        <v>19.3</v>
      </c>
      <c r="L103" s="703">
        <f t="shared" si="7"/>
        <v>424.6</v>
      </c>
      <c r="M103" s="809">
        <v>43223</v>
      </c>
      <c r="N103" s="496">
        <v>292</v>
      </c>
      <c r="O103" s="555" t="s">
        <v>742</v>
      </c>
      <c r="P103" s="721">
        <f t="shared" si="1"/>
        <v>0</v>
      </c>
      <c r="Q103" s="722">
        <f t="shared" si="2"/>
        <v>424.6</v>
      </c>
      <c r="R103" s="722">
        <f t="shared" si="3"/>
        <v>0</v>
      </c>
      <c r="S103" s="722">
        <f t="shared" si="8"/>
        <v>424.6</v>
      </c>
      <c r="T103" s="725"/>
      <c r="U103" s="726">
        <v>239</v>
      </c>
      <c r="V103" s="712">
        <f t="shared" si="9"/>
        <v>424.6</v>
      </c>
    </row>
    <row r="104" spans="2:22" ht="24.95" customHeight="1">
      <c r="B104" s="494">
        <v>82</v>
      </c>
      <c r="C104" s="495">
        <v>1792</v>
      </c>
      <c r="D104" s="486" t="s">
        <v>764</v>
      </c>
      <c r="E104" s="486" t="s">
        <v>778</v>
      </c>
      <c r="F104" s="530">
        <v>279</v>
      </c>
      <c r="G104" s="539" t="s">
        <v>779</v>
      </c>
      <c r="H104" s="540" t="s">
        <v>867</v>
      </c>
      <c r="I104" s="549" t="s">
        <v>52</v>
      </c>
      <c r="J104" s="496">
        <v>5</v>
      </c>
      <c r="K104" s="496">
        <v>10.3</v>
      </c>
      <c r="L104" s="703">
        <f t="shared" si="7"/>
        <v>51.5</v>
      </c>
      <c r="M104" s="809">
        <v>43223</v>
      </c>
      <c r="N104" s="496">
        <v>292</v>
      </c>
      <c r="O104" s="555" t="s">
        <v>742</v>
      </c>
      <c r="P104" s="721">
        <f t="shared" si="1"/>
        <v>0</v>
      </c>
      <c r="Q104" s="722">
        <f t="shared" si="2"/>
        <v>51.5</v>
      </c>
      <c r="R104" s="722">
        <f t="shared" si="3"/>
        <v>0</v>
      </c>
      <c r="S104" s="722">
        <f t="shared" si="8"/>
        <v>51.5</v>
      </c>
      <c r="T104" s="725"/>
      <c r="U104" s="726">
        <v>239</v>
      </c>
      <c r="V104" s="712">
        <f t="shared" si="9"/>
        <v>51.5</v>
      </c>
    </row>
    <row r="105" spans="2:22" ht="24.95" customHeight="1">
      <c r="B105" s="494">
        <v>83</v>
      </c>
      <c r="C105" s="495">
        <v>1792</v>
      </c>
      <c r="D105" s="486" t="s">
        <v>764</v>
      </c>
      <c r="E105" s="486" t="s">
        <v>778</v>
      </c>
      <c r="F105" s="530">
        <v>279</v>
      </c>
      <c r="G105" s="539" t="s">
        <v>779</v>
      </c>
      <c r="H105" s="540" t="s">
        <v>868</v>
      </c>
      <c r="I105" s="549" t="s">
        <v>52</v>
      </c>
      <c r="J105" s="496">
        <v>5</v>
      </c>
      <c r="K105" s="496">
        <v>150</v>
      </c>
      <c r="L105" s="703">
        <f t="shared" si="7"/>
        <v>750</v>
      </c>
      <c r="M105" s="809">
        <v>43223</v>
      </c>
      <c r="N105" s="496">
        <v>292</v>
      </c>
      <c r="O105" s="555" t="s">
        <v>742</v>
      </c>
      <c r="P105" s="721">
        <f t="shared" si="1"/>
        <v>0</v>
      </c>
      <c r="Q105" s="722">
        <f t="shared" si="2"/>
        <v>750</v>
      </c>
      <c r="R105" s="722">
        <f t="shared" si="3"/>
        <v>0</v>
      </c>
      <c r="S105" s="722">
        <f t="shared" si="8"/>
        <v>750</v>
      </c>
      <c r="T105" s="725"/>
      <c r="U105" s="726">
        <v>239</v>
      </c>
      <c r="V105" s="712">
        <f t="shared" si="9"/>
        <v>750</v>
      </c>
    </row>
    <row r="106" spans="2:22" ht="24.95" customHeight="1">
      <c r="B106" s="494">
        <v>84</v>
      </c>
      <c r="C106" s="495">
        <v>1792</v>
      </c>
      <c r="D106" s="486" t="s">
        <v>764</v>
      </c>
      <c r="E106" s="486" t="s">
        <v>778</v>
      </c>
      <c r="F106" s="530">
        <v>279</v>
      </c>
      <c r="G106" s="539" t="s">
        <v>779</v>
      </c>
      <c r="H106" s="540" t="s">
        <v>869</v>
      </c>
      <c r="I106" s="549" t="s">
        <v>52</v>
      </c>
      <c r="J106" s="496">
        <v>3</v>
      </c>
      <c r="K106" s="496">
        <v>106.9</v>
      </c>
      <c r="L106" s="703">
        <f t="shared" si="7"/>
        <v>320.7</v>
      </c>
      <c r="M106" s="809">
        <v>43223</v>
      </c>
      <c r="N106" s="496">
        <v>292</v>
      </c>
      <c r="O106" s="555" t="s">
        <v>742</v>
      </c>
      <c r="P106" s="721">
        <f t="shared" si="1"/>
        <v>0</v>
      </c>
      <c r="Q106" s="722">
        <f t="shared" si="2"/>
        <v>320.7</v>
      </c>
      <c r="R106" s="722">
        <f t="shared" si="3"/>
        <v>0</v>
      </c>
      <c r="S106" s="722">
        <f t="shared" si="8"/>
        <v>320.7</v>
      </c>
      <c r="T106" s="725"/>
      <c r="U106" s="726">
        <v>239</v>
      </c>
      <c r="V106" s="712">
        <f t="shared" si="9"/>
        <v>320.7</v>
      </c>
    </row>
    <row r="107" spans="2:22" ht="24.95" customHeight="1">
      <c r="B107" s="494">
        <v>85</v>
      </c>
      <c r="C107" s="495">
        <v>1792</v>
      </c>
      <c r="D107" s="486" t="s">
        <v>764</v>
      </c>
      <c r="E107" s="486" t="s">
        <v>778</v>
      </c>
      <c r="F107" s="530">
        <v>279</v>
      </c>
      <c r="G107" s="539" t="s">
        <v>779</v>
      </c>
      <c r="H107" s="540" t="s">
        <v>870</v>
      </c>
      <c r="I107" s="549" t="s">
        <v>52</v>
      </c>
      <c r="J107" s="496">
        <v>3</v>
      </c>
      <c r="K107" s="496">
        <v>84.9</v>
      </c>
      <c r="L107" s="703">
        <f t="shared" si="7"/>
        <v>254.7</v>
      </c>
      <c r="M107" s="809">
        <v>43223</v>
      </c>
      <c r="N107" s="496">
        <v>292</v>
      </c>
      <c r="O107" s="555" t="s">
        <v>742</v>
      </c>
      <c r="P107" s="721"/>
      <c r="Q107" s="722">
        <f t="shared" si="2"/>
        <v>254.7</v>
      </c>
      <c r="R107" s="722"/>
      <c r="S107" s="722">
        <f t="shared" si="8"/>
        <v>254.7</v>
      </c>
      <c r="T107" s="725"/>
      <c r="U107" s="726">
        <v>239</v>
      </c>
      <c r="V107" s="712">
        <f t="shared" si="9"/>
        <v>254.7</v>
      </c>
    </row>
    <row r="108" spans="2:22" ht="24.95" customHeight="1">
      <c r="B108" s="494">
        <v>86</v>
      </c>
      <c r="C108" s="495">
        <v>1792</v>
      </c>
      <c r="D108" s="486" t="s">
        <v>764</v>
      </c>
      <c r="E108" s="486" t="s">
        <v>778</v>
      </c>
      <c r="F108" s="530">
        <v>279</v>
      </c>
      <c r="G108" s="539" t="s">
        <v>779</v>
      </c>
      <c r="H108" s="540" t="s">
        <v>871</v>
      </c>
      <c r="I108" s="549" t="s">
        <v>52</v>
      </c>
      <c r="J108" s="496">
        <v>3</v>
      </c>
      <c r="K108" s="496">
        <v>77</v>
      </c>
      <c r="L108" s="703">
        <f t="shared" si="7"/>
        <v>231</v>
      </c>
      <c r="M108" s="809">
        <v>43223</v>
      </c>
      <c r="N108" s="496">
        <v>292</v>
      </c>
      <c r="O108" s="555" t="s">
        <v>742</v>
      </c>
      <c r="P108" s="721"/>
      <c r="Q108" s="722">
        <f t="shared" si="2"/>
        <v>231</v>
      </c>
      <c r="R108" s="722"/>
      <c r="S108" s="722">
        <f t="shared" si="8"/>
        <v>231</v>
      </c>
      <c r="T108" s="725"/>
      <c r="U108" s="726">
        <v>239</v>
      </c>
      <c r="V108" s="712">
        <f t="shared" si="9"/>
        <v>231</v>
      </c>
    </row>
    <row r="109" spans="2:22" ht="24.95" customHeight="1">
      <c r="B109" s="494">
        <v>87</v>
      </c>
      <c r="C109" s="495">
        <v>1792</v>
      </c>
      <c r="D109" s="486" t="s">
        <v>764</v>
      </c>
      <c r="E109" s="486" t="s">
        <v>778</v>
      </c>
      <c r="F109" s="530">
        <v>279</v>
      </c>
      <c r="G109" s="539" t="s">
        <v>779</v>
      </c>
      <c r="H109" s="540" t="s">
        <v>872</v>
      </c>
      <c r="I109" s="549" t="s">
        <v>52</v>
      </c>
      <c r="J109" s="496">
        <v>5</v>
      </c>
      <c r="K109" s="496">
        <v>296</v>
      </c>
      <c r="L109" s="703">
        <f t="shared" si="7"/>
        <v>1480</v>
      </c>
      <c r="M109" s="809">
        <v>43223</v>
      </c>
      <c r="N109" s="496">
        <v>292</v>
      </c>
      <c r="O109" s="555" t="s">
        <v>742</v>
      </c>
      <c r="P109" s="721"/>
      <c r="Q109" s="722">
        <f t="shared" si="2"/>
        <v>1480</v>
      </c>
      <c r="R109" s="722"/>
      <c r="S109" s="722">
        <f t="shared" si="8"/>
        <v>1480</v>
      </c>
      <c r="T109" s="725"/>
      <c r="U109" s="726">
        <v>239</v>
      </c>
      <c r="V109" s="712">
        <f t="shared" si="9"/>
        <v>1480</v>
      </c>
    </row>
    <row r="110" spans="2:22" ht="24.95" customHeight="1" thickBot="1">
      <c r="B110" s="494">
        <v>88</v>
      </c>
      <c r="C110" s="495">
        <v>1792</v>
      </c>
      <c r="D110" s="486" t="s">
        <v>764</v>
      </c>
      <c r="E110" s="486" t="s">
        <v>778</v>
      </c>
      <c r="F110" s="530">
        <v>279</v>
      </c>
      <c r="G110" s="539" t="s">
        <v>779</v>
      </c>
      <c r="H110" s="540" t="s">
        <v>873</v>
      </c>
      <c r="I110" s="549" t="s">
        <v>52</v>
      </c>
      <c r="J110" s="496">
        <v>3</v>
      </c>
      <c r="K110" s="496">
        <v>28.9</v>
      </c>
      <c r="L110" s="703">
        <f t="shared" si="7"/>
        <v>86.7</v>
      </c>
      <c r="M110" s="809">
        <v>43223</v>
      </c>
      <c r="N110" s="496">
        <v>292</v>
      </c>
      <c r="O110" s="555" t="s">
        <v>742</v>
      </c>
      <c r="P110" s="721">
        <f>IF($O110=$P$15,$L110,)</f>
        <v>0</v>
      </c>
      <c r="Q110" s="722">
        <f t="shared" si="2"/>
        <v>86.7</v>
      </c>
      <c r="R110" s="722">
        <f>IF($O110=$R$15,$L110,)</f>
        <v>0</v>
      </c>
      <c r="S110" s="722">
        <f t="shared" si="8"/>
        <v>86.7</v>
      </c>
      <c r="T110" s="725"/>
      <c r="U110" s="726">
        <v>239</v>
      </c>
      <c r="V110" s="715">
        <f t="shared" si="9"/>
        <v>86.7</v>
      </c>
    </row>
    <row r="111" spans="2:22" s="461" customFormat="1" ht="24.95" customHeight="1" thickBot="1">
      <c r="B111" s="464"/>
      <c r="C111" s="465"/>
      <c r="D111" s="498"/>
      <c r="E111" s="415"/>
      <c r="F111" s="465"/>
      <c r="G111" s="466"/>
      <c r="H111" s="460"/>
      <c r="I111" s="415"/>
      <c r="J111" s="415"/>
      <c r="K111" s="415"/>
      <c r="L111" s="415"/>
      <c r="M111" s="415"/>
      <c r="N111" s="415"/>
      <c r="O111" s="415" t="s">
        <v>752</v>
      </c>
      <c r="P111" s="728">
        <f>SUM(P23:P110)</f>
        <v>0</v>
      </c>
      <c r="Q111" s="728">
        <f>SUM(Q23:Q110)</f>
        <v>14250.450000000003</v>
      </c>
      <c r="R111" s="728">
        <f>SUM(R23:R110)</f>
        <v>0</v>
      </c>
      <c r="S111" s="728">
        <f>SUM(S23:S110)</f>
        <v>14250.450000000003</v>
      </c>
      <c r="T111" s="729"/>
      <c r="U111" s="729"/>
      <c r="V111" s="730">
        <f t="shared" si="9"/>
        <v>14250.450000000003</v>
      </c>
    </row>
    <row r="112" spans="2:22" ht="12.75" customHeight="1" thickBot="1">
      <c r="B112" s="455"/>
      <c r="C112" s="456"/>
      <c r="D112" s="489"/>
      <c r="E112" s="435"/>
      <c r="F112" s="456"/>
      <c r="G112" s="457"/>
      <c r="H112" s="459"/>
      <c r="I112" s="435"/>
      <c r="J112" s="435"/>
      <c r="K112" s="435"/>
      <c r="L112" s="435"/>
      <c r="M112" s="435"/>
      <c r="N112" s="435"/>
      <c r="O112" s="435"/>
      <c r="P112" s="719"/>
      <c r="Q112" s="719"/>
      <c r="R112" s="719"/>
      <c r="S112" s="719"/>
      <c r="T112" s="717"/>
      <c r="U112" s="717"/>
      <c r="V112" s="720"/>
    </row>
    <row r="113" spans="2:23" ht="24.95" customHeight="1" thickBot="1">
      <c r="B113" s="822"/>
      <c r="C113" s="823"/>
      <c r="D113" s="823"/>
      <c r="E113" s="823"/>
      <c r="F113" s="823"/>
      <c r="G113" s="823"/>
      <c r="H113" s="823"/>
      <c r="I113" s="824"/>
      <c r="J113" s="824"/>
      <c r="K113" s="824" t="s">
        <v>405</v>
      </c>
      <c r="L113" s="824"/>
      <c r="M113" s="824"/>
      <c r="N113" s="824"/>
      <c r="O113" s="824"/>
      <c r="P113" s="826"/>
      <c r="Q113" s="827"/>
      <c r="R113" s="827"/>
      <c r="S113" s="827"/>
      <c r="T113" s="828"/>
      <c r="U113" s="827"/>
      <c r="V113" s="825">
        <f>SUM(V114:V115)</f>
        <v>0</v>
      </c>
      <c r="W113" s="418"/>
    </row>
    <row r="114" spans="2:23" ht="24.95" customHeight="1">
      <c r="B114" s="490" t="s">
        <v>218</v>
      </c>
      <c r="C114" s="491"/>
      <c r="D114" s="485"/>
      <c r="E114" s="485"/>
      <c r="F114" s="533"/>
      <c r="G114" s="542"/>
      <c r="H114" s="538"/>
      <c r="I114" s="537"/>
      <c r="J114" s="493"/>
      <c r="K114" s="493"/>
      <c r="L114" s="702">
        <f>ROUND(J114*K114,2)</f>
        <v>0</v>
      </c>
      <c r="M114" s="493"/>
      <c r="N114" s="493"/>
      <c r="O114" s="548" t="s">
        <v>744</v>
      </c>
      <c r="P114" s="721">
        <f t="shared" ref="P114:P115" si="10">IF($O114=$P$15,$L114,)</f>
        <v>0</v>
      </c>
      <c r="Q114" s="722">
        <f t="shared" ref="Q114:Q115" si="11">IF($O114=$Q$15,$L114,)</f>
        <v>0</v>
      </c>
      <c r="R114" s="722">
        <f t="shared" ref="R114:R115" si="12">IF($O114=$R$15,$L114,)</f>
        <v>0</v>
      </c>
      <c r="S114" s="722">
        <f t="shared" ref="S114:S115" si="13">SUM(P114:R114)</f>
        <v>0</v>
      </c>
      <c r="T114" s="731"/>
      <c r="U114" s="723"/>
      <c r="V114" s="724">
        <f t="shared" ref="V114:V115" si="14">SUM(S114:T114)</f>
        <v>0</v>
      </c>
      <c r="W114" s="418"/>
    </row>
    <row r="115" spans="2:23" ht="24.95" customHeight="1" thickBot="1">
      <c r="B115" s="494" t="s">
        <v>218</v>
      </c>
      <c r="C115" s="495"/>
      <c r="D115" s="486"/>
      <c r="E115" s="486"/>
      <c r="F115" s="531"/>
      <c r="G115" s="543"/>
      <c r="H115" s="540"/>
      <c r="I115" s="549"/>
      <c r="J115" s="496"/>
      <c r="K115" s="496"/>
      <c r="L115" s="704">
        <f t="shared" ref="L115" si="15">ROUND(J115*K115,2)</f>
        <v>0</v>
      </c>
      <c r="M115" s="496"/>
      <c r="N115" s="496"/>
      <c r="O115" s="550" t="s">
        <v>744</v>
      </c>
      <c r="P115" s="721">
        <f t="shared" si="10"/>
        <v>0</v>
      </c>
      <c r="Q115" s="722">
        <f t="shared" si="11"/>
        <v>0</v>
      </c>
      <c r="R115" s="722">
        <f t="shared" si="12"/>
        <v>0</v>
      </c>
      <c r="S115" s="722">
        <f t="shared" si="13"/>
        <v>0</v>
      </c>
      <c r="T115" s="713"/>
      <c r="U115" s="714"/>
      <c r="V115" s="727">
        <f t="shared" si="14"/>
        <v>0</v>
      </c>
      <c r="W115" s="418"/>
    </row>
    <row r="116" spans="2:23" s="461" customFormat="1" ht="24.95" customHeight="1" thickBot="1">
      <c r="B116" s="464"/>
      <c r="C116" s="465"/>
      <c r="D116" s="498"/>
      <c r="E116" s="415"/>
      <c r="F116" s="465"/>
      <c r="G116" s="466"/>
      <c r="H116" s="460"/>
      <c r="I116" s="415"/>
      <c r="J116" s="415"/>
      <c r="K116" s="415"/>
      <c r="L116" s="415"/>
      <c r="M116" s="415"/>
      <c r="N116" s="415"/>
      <c r="O116" s="415" t="s">
        <v>752</v>
      </c>
      <c r="P116" s="728">
        <f>SUM(P114:P115)</f>
        <v>0</v>
      </c>
      <c r="Q116" s="728">
        <f>SUM(Q114:Q115)</f>
        <v>0</v>
      </c>
      <c r="R116" s="728">
        <f>SUM(R114:R115)</f>
        <v>0</v>
      </c>
      <c r="S116" s="728"/>
      <c r="T116" s="729"/>
      <c r="U116" s="729"/>
      <c r="V116" s="730"/>
    </row>
    <row r="117" spans="2:23" ht="12.75" customHeight="1" thickBot="1">
      <c r="B117" s="455"/>
      <c r="C117" s="456"/>
      <c r="D117" s="489"/>
      <c r="E117" s="435"/>
      <c r="F117" s="456"/>
      <c r="G117" s="457"/>
      <c r="H117" s="459"/>
      <c r="I117" s="435"/>
      <c r="J117" s="435"/>
      <c r="K117" s="435"/>
      <c r="L117" s="435"/>
      <c r="M117" s="435"/>
      <c r="N117" s="435"/>
      <c r="O117" s="435"/>
      <c r="P117" s="719"/>
      <c r="Q117" s="719"/>
      <c r="R117" s="719"/>
      <c r="S117" s="719"/>
      <c r="T117" s="717"/>
      <c r="U117" s="717"/>
      <c r="V117" s="720"/>
    </row>
    <row r="118" spans="2:23" ht="24.95" customHeight="1" thickBot="1">
      <c r="B118" s="822"/>
      <c r="C118" s="823"/>
      <c r="D118" s="823"/>
      <c r="E118" s="823"/>
      <c r="F118" s="823"/>
      <c r="G118" s="823"/>
      <c r="H118" s="823"/>
      <c r="I118" s="824"/>
      <c r="J118" s="824"/>
      <c r="K118" s="824" t="s">
        <v>905</v>
      </c>
      <c r="L118" s="824"/>
      <c r="M118" s="824"/>
      <c r="N118" s="824"/>
      <c r="O118" s="824"/>
      <c r="P118" s="826"/>
      <c r="Q118" s="827"/>
      <c r="R118" s="827"/>
      <c r="S118" s="827"/>
      <c r="T118" s="828"/>
      <c r="U118" s="827"/>
      <c r="V118" s="825">
        <f>SUM(V119:V120)</f>
        <v>3000</v>
      </c>
      <c r="W118" s="418"/>
    </row>
    <row r="119" spans="2:23" ht="24.95" customHeight="1">
      <c r="B119" s="490">
        <v>1</v>
      </c>
      <c r="C119" s="491" t="s">
        <v>218</v>
      </c>
      <c r="D119" s="837" t="s">
        <v>854</v>
      </c>
      <c r="E119" s="837"/>
      <c r="F119" s="533"/>
      <c r="G119" s="838" t="s">
        <v>909</v>
      </c>
      <c r="H119" s="538" t="s">
        <v>908</v>
      </c>
      <c r="I119" s="537" t="s">
        <v>268</v>
      </c>
      <c r="J119" s="493">
        <v>1</v>
      </c>
      <c r="K119" s="493">
        <v>3000</v>
      </c>
      <c r="L119" s="702">
        <f>ROUND(J119*K119,2)</f>
        <v>3000</v>
      </c>
      <c r="M119" s="493"/>
      <c r="N119" s="493"/>
      <c r="O119" s="548" t="s">
        <v>742</v>
      </c>
      <c r="P119" s="721">
        <f t="shared" ref="P119:P120" si="16">IF($O119=$P$15,$L119,)</f>
        <v>0</v>
      </c>
      <c r="Q119" s="722">
        <f t="shared" ref="Q119:Q120" si="17">IF($O119=$Q$15,$L119,)</f>
        <v>3000</v>
      </c>
      <c r="R119" s="722">
        <f t="shared" ref="R119:R120" si="18">IF($O119=$R$15,$L119,)</f>
        <v>0</v>
      </c>
      <c r="S119" s="722">
        <f t="shared" ref="S119:S120" si="19">SUM(P119:R119)</f>
        <v>3000</v>
      </c>
      <c r="T119" s="731"/>
      <c r="U119" s="723"/>
      <c r="V119" s="724">
        <f t="shared" ref="V119:V120" si="20">SUM(S119:T119)</f>
        <v>3000</v>
      </c>
      <c r="W119" s="418"/>
    </row>
    <row r="120" spans="2:23" ht="24.95" customHeight="1" thickBot="1">
      <c r="B120" s="494"/>
      <c r="C120" s="495"/>
      <c r="D120" s="486"/>
      <c r="E120" s="486"/>
      <c r="F120" s="531"/>
      <c r="G120" s="543"/>
      <c r="H120" s="540"/>
      <c r="I120" s="549"/>
      <c r="J120" s="496"/>
      <c r="K120" s="496"/>
      <c r="L120" s="704">
        <f t="shared" ref="L120" si="21">ROUND(J120*K120,2)</f>
        <v>0</v>
      </c>
      <c r="M120" s="496"/>
      <c r="N120" s="496"/>
      <c r="O120" s="550" t="s">
        <v>742</v>
      </c>
      <c r="P120" s="721">
        <f t="shared" si="16"/>
        <v>0</v>
      </c>
      <c r="Q120" s="722">
        <f t="shared" si="17"/>
        <v>0</v>
      </c>
      <c r="R120" s="722">
        <f t="shared" si="18"/>
        <v>0</v>
      </c>
      <c r="S120" s="722">
        <f t="shared" si="19"/>
        <v>0</v>
      </c>
      <c r="T120" s="713"/>
      <c r="U120" s="714"/>
      <c r="V120" s="727">
        <f t="shared" si="20"/>
        <v>0</v>
      </c>
      <c r="W120" s="418"/>
    </row>
    <row r="121" spans="2:23" s="461" customFormat="1" ht="24.95" customHeight="1" thickBot="1">
      <c r="B121" s="464"/>
      <c r="C121" s="465"/>
      <c r="D121" s="498"/>
      <c r="E121" s="415"/>
      <c r="F121" s="465"/>
      <c r="G121" s="466"/>
      <c r="H121" s="460"/>
      <c r="I121" s="415"/>
      <c r="J121" s="415"/>
      <c r="K121" s="415"/>
      <c r="L121" s="415"/>
      <c r="M121" s="415"/>
      <c r="N121" s="415"/>
      <c r="O121" s="415" t="s">
        <v>752</v>
      </c>
      <c r="P121" s="728">
        <f>SUM(P119:P120)</f>
        <v>0</v>
      </c>
      <c r="Q121" s="728">
        <f>SUM(Q119:Q120)</f>
        <v>3000</v>
      </c>
      <c r="R121" s="728">
        <f>SUM(R119:R120)</f>
        <v>0</v>
      </c>
      <c r="S121" s="728">
        <f>SUM(S119:S120)</f>
        <v>3000</v>
      </c>
      <c r="T121" s="729"/>
      <c r="U121" s="729"/>
      <c r="V121" s="730"/>
    </row>
    <row r="122" spans="2:23" ht="12.75" customHeight="1" thickBot="1">
      <c r="B122" s="455"/>
      <c r="C122" s="456"/>
      <c r="D122" s="489"/>
      <c r="E122" s="435"/>
      <c r="F122" s="456"/>
      <c r="G122" s="457"/>
      <c r="H122" s="459"/>
      <c r="I122" s="435"/>
      <c r="J122" s="435"/>
      <c r="K122" s="435"/>
      <c r="L122" s="435"/>
      <c r="M122" s="435"/>
      <c r="N122" s="435"/>
      <c r="O122" s="435"/>
      <c r="P122" s="719"/>
      <c r="Q122" s="719"/>
      <c r="R122" s="719"/>
      <c r="S122" s="719"/>
      <c r="T122" s="717"/>
      <c r="U122" s="717"/>
      <c r="V122" s="720"/>
    </row>
    <row r="123" spans="2:23" ht="24.95" customHeight="1" thickBot="1">
      <c r="B123" s="430"/>
      <c r="C123" s="499"/>
      <c r="D123" s="500"/>
      <c r="E123" s="431"/>
      <c r="F123" s="501"/>
      <c r="G123" s="504"/>
      <c r="H123" s="502"/>
      <c r="I123" s="502"/>
      <c r="J123" s="502"/>
      <c r="K123" s="502"/>
      <c r="L123" s="502"/>
      <c r="M123" s="502"/>
      <c r="N123" s="502"/>
      <c r="O123" s="503"/>
      <c r="P123" s="732"/>
      <c r="Q123" s="733"/>
      <c r="R123" s="732"/>
      <c r="S123" s="733"/>
      <c r="T123" s="732"/>
      <c r="U123" s="732"/>
      <c r="V123" s="734"/>
      <c r="W123" s="418"/>
    </row>
    <row r="124" spans="2:23" ht="24.95" customHeight="1" thickBot="1">
      <c r="B124" s="505"/>
      <c r="C124" s="506"/>
      <c r="D124" s="506"/>
      <c r="E124" s="506"/>
      <c r="F124" s="506"/>
      <c r="G124" s="506"/>
      <c r="H124" s="506"/>
      <c r="I124" s="506"/>
      <c r="J124" s="506"/>
      <c r="K124" s="558" t="s">
        <v>108</v>
      </c>
      <c r="L124" s="506"/>
      <c r="M124" s="506"/>
      <c r="N124" s="506"/>
      <c r="O124" s="506"/>
      <c r="P124" s="830" t="s">
        <v>743</v>
      </c>
      <c r="Q124" s="830" t="s">
        <v>742</v>
      </c>
      <c r="R124" s="830" t="s">
        <v>744</v>
      </c>
      <c r="S124" s="735"/>
      <c r="T124" s="736"/>
      <c r="U124" s="735"/>
      <c r="V124" s="507">
        <f>V125+V130+V135</f>
        <v>18803</v>
      </c>
      <c r="W124" s="418"/>
    </row>
    <row r="125" spans="2:23" ht="24.95" customHeight="1" thickBot="1">
      <c r="B125" s="505"/>
      <c r="C125" s="506"/>
      <c r="D125" s="506"/>
      <c r="E125" s="506"/>
      <c r="F125" s="506"/>
      <c r="G125" s="506"/>
      <c r="H125" s="816"/>
      <c r="I125" s="558"/>
      <c r="J125" s="558"/>
      <c r="K125" s="558" t="s">
        <v>223</v>
      </c>
      <c r="L125" s="558"/>
      <c r="M125" s="558"/>
      <c r="N125" s="558"/>
      <c r="O125" s="558"/>
      <c r="P125" s="817"/>
      <c r="Q125" s="818"/>
      <c r="R125" s="818"/>
      <c r="S125" s="818"/>
      <c r="T125" s="819"/>
      <c r="U125" s="820"/>
      <c r="V125" s="821">
        <f>SUM(V126:V127)</f>
        <v>0</v>
      </c>
      <c r="W125" s="418"/>
    </row>
    <row r="126" spans="2:23" ht="24.95" customHeight="1">
      <c r="B126" s="490"/>
      <c r="C126" s="491"/>
      <c r="D126" s="485"/>
      <c r="E126" s="485"/>
      <c r="F126" s="533"/>
      <c r="G126" s="542"/>
      <c r="H126" s="538"/>
      <c r="I126" s="537"/>
      <c r="J126" s="493"/>
      <c r="K126" s="492"/>
      <c r="L126" s="702">
        <f>ROUND(J126*K126,2)</f>
        <v>0</v>
      </c>
      <c r="M126" s="493"/>
      <c r="N126" s="493"/>
      <c r="O126" s="548" t="s">
        <v>744</v>
      </c>
      <c r="P126" s="721">
        <f>IF($O126=$P$15,$L126,)</f>
        <v>0</v>
      </c>
      <c r="Q126" s="722">
        <f>IF($O126=$Q$15,$L126,)</f>
        <v>0</v>
      </c>
      <c r="R126" s="722">
        <f>IF($O126=$R$15,$L126,)</f>
        <v>0</v>
      </c>
      <c r="S126" s="737"/>
      <c r="T126" s="738">
        <f>SUM(P126:R126)</f>
        <v>0</v>
      </c>
      <c r="U126" s="739"/>
      <c r="V126" s="724">
        <f>SUM(S126:T126)</f>
        <v>0</v>
      </c>
      <c r="W126" s="418"/>
    </row>
    <row r="127" spans="2:23" ht="24.95" customHeight="1" thickBot="1">
      <c r="B127" s="497"/>
      <c r="C127" s="511"/>
      <c r="D127" s="487"/>
      <c r="E127" s="487"/>
      <c r="F127" s="532"/>
      <c r="G127" s="544"/>
      <c r="H127" s="541"/>
      <c r="I127" s="551"/>
      <c r="J127" s="512"/>
      <c r="K127" s="512"/>
      <c r="L127" s="704">
        <f t="shared" ref="L127" si="22">ROUND(J127*K127,2)</f>
        <v>0</v>
      </c>
      <c r="M127" s="512"/>
      <c r="N127" s="512"/>
      <c r="O127" s="552" t="s">
        <v>744</v>
      </c>
      <c r="P127" s="741">
        <f>IF($O127=$P$15,$L127,)</f>
        <v>0</v>
      </c>
      <c r="Q127" s="742">
        <f>IF($O127=$Q$15,$L127,)</f>
        <v>0</v>
      </c>
      <c r="R127" s="742">
        <f>IF($O127=$R$15,$L127,)</f>
        <v>0</v>
      </c>
      <c r="S127" s="743"/>
      <c r="T127" s="744">
        <f t="shared" ref="T127" si="23">SUM(P127:R127)</f>
        <v>0</v>
      </c>
      <c r="U127" s="745"/>
      <c r="V127" s="727">
        <f t="shared" ref="V127" si="24">SUM(S127:T127)</f>
        <v>0</v>
      </c>
      <c r="W127" s="418"/>
    </row>
    <row r="128" spans="2:23" s="461" customFormat="1" ht="24.95" customHeight="1" thickBot="1">
      <c r="B128" s="464"/>
      <c r="C128" s="465"/>
      <c r="D128" s="498"/>
      <c r="E128" s="415"/>
      <c r="F128" s="465"/>
      <c r="G128" s="466"/>
      <c r="H128" s="460"/>
      <c r="I128" s="415"/>
      <c r="J128" s="415"/>
      <c r="K128" s="415"/>
      <c r="L128" s="415"/>
      <c r="M128" s="415"/>
      <c r="N128" s="415"/>
      <c r="O128" s="415" t="s">
        <v>752</v>
      </c>
      <c r="P128" s="728">
        <f>SUM(P126:P127)</f>
        <v>0</v>
      </c>
      <c r="Q128" s="728">
        <f>SUM(Q126:Q127)</f>
        <v>0</v>
      </c>
      <c r="R128" s="728">
        <f>SUM(R126:R127)</f>
        <v>0</v>
      </c>
      <c r="S128" s="728"/>
      <c r="T128" s="728">
        <f>SUM(T126:T127)</f>
        <v>0</v>
      </c>
      <c r="U128" s="729"/>
      <c r="V128" s="730"/>
    </row>
    <row r="129" spans="2:23" ht="12.75" customHeight="1" thickBot="1">
      <c r="B129" s="455"/>
      <c r="C129" s="456"/>
      <c r="D129" s="489"/>
      <c r="E129" s="435"/>
      <c r="F129" s="456"/>
      <c r="G129" s="457"/>
      <c r="H129" s="459"/>
      <c r="I129" s="435"/>
      <c r="J129" s="435"/>
      <c r="K129" s="435"/>
      <c r="L129" s="435"/>
      <c r="M129" s="435"/>
      <c r="N129" s="435"/>
      <c r="O129" s="435"/>
      <c r="P129" s="719"/>
      <c r="Q129" s="719"/>
      <c r="R129" s="719"/>
      <c r="S129" s="719"/>
      <c r="T129" s="717"/>
      <c r="U129" s="717"/>
      <c r="V129" s="720"/>
    </row>
    <row r="130" spans="2:23" ht="24.95" customHeight="1" thickBot="1">
      <c r="B130" s="505"/>
      <c r="C130" s="506"/>
      <c r="D130" s="506"/>
      <c r="E130" s="506"/>
      <c r="F130" s="506"/>
      <c r="G130" s="506"/>
      <c r="H130" s="816"/>
      <c r="I130" s="558"/>
      <c r="J130" s="558"/>
      <c r="K130" s="558" t="s">
        <v>751</v>
      </c>
      <c r="L130" s="558"/>
      <c r="M130" s="558"/>
      <c r="N130" s="558"/>
      <c r="O130" s="558"/>
      <c r="P130" s="817"/>
      <c r="Q130" s="818"/>
      <c r="R130" s="818"/>
      <c r="S130" s="818"/>
      <c r="T130" s="819"/>
      <c r="U130" s="820"/>
      <c r="V130" s="821">
        <f>SUM(V131:V132)</f>
        <v>0</v>
      </c>
      <c r="W130" s="418"/>
    </row>
    <row r="131" spans="2:23" ht="24.95" customHeight="1">
      <c r="B131" s="490"/>
      <c r="C131" s="491"/>
      <c r="D131" s="485"/>
      <c r="E131" s="485"/>
      <c r="F131" s="533"/>
      <c r="G131" s="542"/>
      <c r="H131" s="538"/>
      <c r="I131" s="537"/>
      <c r="J131" s="493"/>
      <c r="K131" s="493"/>
      <c r="L131" s="702">
        <f>ROUND(J131*K131,2)</f>
        <v>0</v>
      </c>
      <c r="M131" s="493"/>
      <c r="N131" s="493"/>
      <c r="O131" s="548" t="s">
        <v>744</v>
      </c>
      <c r="P131" s="721">
        <f>IF($O131=$P$15,$L131,)</f>
        <v>0</v>
      </c>
      <c r="Q131" s="722">
        <f>IF($O131=$Q$15,$L131,)</f>
        <v>0</v>
      </c>
      <c r="R131" s="722">
        <f>IF($O131=$R$15,$L131,)</f>
        <v>0</v>
      </c>
      <c r="S131" s="737"/>
      <c r="T131" s="738">
        <f>SUM(P131:R131)</f>
        <v>0</v>
      </c>
      <c r="U131" s="739"/>
      <c r="V131" s="724">
        <f>SUM(S131:T131)</f>
        <v>0</v>
      </c>
      <c r="W131" s="418"/>
    </row>
    <row r="132" spans="2:23" ht="24.95" customHeight="1" thickBot="1">
      <c r="B132" s="497"/>
      <c r="C132" s="511"/>
      <c r="D132" s="487"/>
      <c r="E132" s="487"/>
      <c r="F132" s="532"/>
      <c r="G132" s="544"/>
      <c r="H132" s="541"/>
      <c r="I132" s="551"/>
      <c r="J132" s="512"/>
      <c r="K132" s="512"/>
      <c r="L132" s="704">
        <f t="shared" ref="L132" si="25">ROUND(J132*K132,2)</f>
        <v>0</v>
      </c>
      <c r="M132" s="512"/>
      <c r="N132" s="512"/>
      <c r="O132" s="552" t="s">
        <v>744</v>
      </c>
      <c r="P132" s="741">
        <f>IF($O132=$P$15,$L132,)</f>
        <v>0</v>
      </c>
      <c r="Q132" s="742">
        <f>IF($O132=$Q$15,$L132,)</f>
        <v>0</v>
      </c>
      <c r="R132" s="742">
        <f>IF($O132=$R$15,$L132,)</f>
        <v>0</v>
      </c>
      <c r="S132" s="743"/>
      <c r="T132" s="744">
        <f t="shared" ref="T132" si="26">SUM(P132:R132)</f>
        <v>0</v>
      </c>
      <c r="U132" s="745"/>
      <c r="V132" s="727">
        <f t="shared" ref="V132" si="27">SUM(S132:T132)</f>
        <v>0</v>
      </c>
      <c r="W132" s="418"/>
    </row>
    <row r="133" spans="2:23" s="461" customFormat="1" ht="24.95" customHeight="1" thickBot="1">
      <c r="B133" s="464"/>
      <c r="C133" s="465"/>
      <c r="D133" s="498"/>
      <c r="E133" s="415"/>
      <c r="F133" s="465"/>
      <c r="G133" s="466"/>
      <c r="H133" s="460"/>
      <c r="I133" s="415"/>
      <c r="J133" s="415"/>
      <c r="K133" s="415"/>
      <c r="L133" s="415"/>
      <c r="M133" s="415"/>
      <c r="N133" s="415"/>
      <c r="O133" s="415" t="s">
        <v>752</v>
      </c>
      <c r="P133" s="728">
        <f>SUM(P131:P132)</f>
        <v>0</v>
      </c>
      <c r="Q133" s="728">
        <f>SUM(Q131:Q132)</f>
        <v>0</v>
      </c>
      <c r="R133" s="728">
        <f>SUM(R131:R132)</f>
        <v>0</v>
      </c>
      <c r="S133" s="728"/>
      <c r="T133" s="728">
        <f>SUM(T131:T132)</f>
        <v>0</v>
      </c>
      <c r="U133" s="729"/>
      <c r="V133" s="730"/>
    </row>
    <row r="134" spans="2:23" ht="12.75" customHeight="1" thickBot="1">
      <c r="B134" s="455"/>
      <c r="C134" s="456"/>
      <c r="D134" s="489"/>
      <c r="E134" s="435"/>
      <c r="F134" s="456"/>
      <c r="G134" s="457"/>
      <c r="H134" s="459"/>
      <c r="I134" s="435"/>
      <c r="J134" s="435"/>
      <c r="K134" s="435"/>
      <c r="L134" s="435"/>
      <c r="M134" s="435"/>
      <c r="N134" s="435"/>
      <c r="O134" s="435"/>
      <c r="P134" s="719"/>
      <c r="Q134" s="719"/>
      <c r="R134" s="719"/>
      <c r="S134" s="719"/>
      <c r="T134" s="717"/>
      <c r="U134" s="717"/>
      <c r="V134" s="720"/>
    </row>
    <row r="135" spans="2:23" ht="24.95" customHeight="1" thickBot="1">
      <c r="B135" s="505"/>
      <c r="C135" s="506"/>
      <c r="D135" s="506"/>
      <c r="E135" s="506"/>
      <c r="F135" s="506"/>
      <c r="G135" s="506"/>
      <c r="H135" s="816"/>
      <c r="I135" s="558"/>
      <c r="J135" s="558"/>
      <c r="K135" s="558" t="s">
        <v>405</v>
      </c>
      <c r="L135" s="558"/>
      <c r="M135" s="558"/>
      <c r="N135" s="558"/>
      <c r="O135" s="558"/>
      <c r="P135" s="817"/>
      <c r="Q135" s="818"/>
      <c r="R135" s="818"/>
      <c r="S135" s="818"/>
      <c r="T135" s="819"/>
      <c r="U135" s="820"/>
      <c r="V135" s="821">
        <f>SUM(V136:V143)</f>
        <v>18803</v>
      </c>
      <c r="W135" s="418"/>
    </row>
    <row r="136" spans="2:23" ht="24.95" customHeight="1">
      <c r="B136" s="494">
        <v>1</v>
      </c>
      <c r="C136" s="495">
        <v>1785</v>
      </c>
      <c r="D136" s="486" t="s">
        <v>874</v>
      </c>
      <c r="E136" s="486" t="s">
        <v>875</v>
      </c>
      <c r="F136" s="531" t="s">
        <v>891</v>
      </c>
      <c r="G136" s="543" t="s">
        <v>876</v>
      </c>
      <c r="H136" s="540" t="s">
        <v>877</v>
      </c>
      <c r="I136" s="549" t="s">
        <v>268</v>
      </c>
      <c r="J136" s="496">
        <v>1</v>
      </c>
      <c r="K136" s="496">
        <v>1000</v>
      </c>
      <c r="L136" s="703">
        <f t="shared" ref="L136:L142" si="28">ROUND(J136*K136,2)</f>
        <v>1000</v>
      </c>
      <c r="M136" s="496"/>
      <c r="N136" s="496"/>
      <c r="O136" s="550" t="s">
        <v>744</v>
      </c>
      <c r="P136" s="721">
        <f>IF($O136=$P$15,$L136,)</f>
        <v>0</v>
      </c>
      <c r="Q136" s="722">
        <f>IF($O136=$Q$15,$L136,)</f>
        <v>0</v>
      </c>
      <c r="R136" s="722">
        <f>IF($O136=$R$15,$L136,)</f>
        <v>1000</v>
      </c>
      <c r="S136" s="740"/>
      <c r="T136" s="738">
        <f t="shared" ref="T136:T143" si="29">SUM(P136:R136)</f>
        <v>1000</v>
      </c>
      <c r="U136" s="739"/>
      <c r="V136" s="724">
        <f>SUM(S136:T136)</f>
        <v>1000</v>
      </c>
      <c r="W136" s="418"/>
    </row>
    <row r="137" spans="2:23" ht="24.95" customHeight="1">
      <c r="B137" s="494">
        <v>2</v>
      </c>
      <c r="C137" s="495">
        <v>1840</v>
      </c>
      <c r="D137" s="486" t="s">
        <v>878</v>
      </c>
      <c r="E137" s="486" t="s">
        <v>875</v>
      </c>
      <c r="F137" s="531" t="s">
        <v>879</v>
      </c>
      <c r="G137" s="543" t="s">
        <v>880</v>
      </c>
      <c r="H137" s="540" t="s">
        <v>881</v>
      </c>
      <c r="I137" s="549" t="s">
        <v>268</v>
      </c>
      <c r="J137" s="496">
        <v>1</v>
      </c>
      <c r="K137" s="496">
        <v>1800</v>
      </c>
      <c r="L137" s="703">
        <f t="shared" si="28"/>
        <v>1800</v>
      </c>
      <c r="M137" s="496"/>
      <c r="N137" s="496"/>
      <c r="O137" s="550" t="s">
        <v>744</v>
      </c>
      <c r="P137" s="721">
        <f>IF($O137=$P$15,$L137,)</f>
        <v>0</v>
      </c>
      <c r="Q137" s="722">
        <f>IF($O137=$Q$15,$L137,)</f>
        <v>0</v>
      </c>
      <c r="R137" s="722">
        <f t="shared" ref="R137:R143" si="30">IF($O137=$R$15,$L137,)</f>
        <v>1800</v>
      </c>
      <c r="S137" s="740"/>
      <c r="T137" s="738">
        <f t="shared" si="29"/>
        <v>1800</v>
      </c>
      <c r="U137" s="739"/>
      <c r="V137" s="724">
        <f>SUM(S137:T137)</f>
        <v>1800</v>
      </c>
      <c r="W137" s="418"/>
    </row>
    <row r="138" spans="2:23" ht="24.95" customHeight="1">
      <c r="B138" s="494">
        <v>3</v>
      </c>
      <c r="C138" s="495">
        <v>1668</v>
      </c>
      <c r="D138" s="486" t="s">
        <v>882</v>
      </c>
      <c r="E138" s="486" t="s">
        <v>875</v>
      </c>
      <c r="F138" s="531" t="s">
        <v>883</v>
      </c>
      <c r="G138" s="543" t="s">
        <v>884</v>
      </c>
      <c r="H138" s="540" t="s">
        <v>885</v>
      </c>
      <c r="I138" s="549" t="s">
        <v>268</v>
      </c>
      <c r="J138" s="496">
        <v>1</v>
      </c>
      <c r="K138" s="496">
        <v>720</v>
      </c>
      <c r="L138" s="703">
        <f t="shared" si="28"/>
        <v>720</v>
      </c>
      <c r="M138" s="496"/>
      <c r="N138" s="496"/>
      <c r="O138" s="550" t="s">
        <v>744</v>
      </c>
      <c r="P138" s="721"/>
      <c r="Q138" s="722"/>
      <c r="R138" s="722">
        <f t="shared" si="30"/>
        <v>720</v>
      </c>
      <c r="S138" s="740"/>
      <c r="T138" s="738">
        <f t="shared" si="29"/>
        <v>720</v>
      </c>
      <c r="U138" s="739"/>
      <c r="V138" s="724">
        <f t="shared" ref="V138:V143" si="31">SUM(S138:T138)</f>
        <v>720</v>
      </c>
      <c r="W138" s="418"/>
    </row>
    <row r="139" spans="2:23" ht="24.95" customHeight="1">
      <c r="B139" s="494">
        <v>4</v>
      </c>
      <c r="C139" s="495">
        <v>2040</v>
      </c>
      <c r="D139" s="486" t="s">
        <v>886</v>
      </c>
      <c r="E139" s="486" t="s">
        <v>875</v>
      </c>
      <c r="F139" s="531" t="s">
        <v>887</v>
      </c>
      <c r="G139" s="543" t="s">
        <v>888</v>
      </c>
      <c r="H139" s="540" t="s">
        <v>889</v>
      </c>
      <c r="I139" s="549" t="s">
        <v>268</v>
      </c>
      <c r="J139" s="496">
        <v>1</v>
      </c>
      <c r="K139" s="496">
        <v>4000</v>
      </c>
      <c r="L139" s="703">
        <f t="shared" si="28"/>
        <v>4000</v>
      </c>
      <c r="M139" s="496"/>
      <c r="N139" s="496"/>
      <c r="O139" s="550" t="s">
        <v>744</v>
      </c>
      <c r="P139" s="721"/>
      <c r="Q139" s="722"/>
      <c r="R139" s="722">
        <f t="shared" si="30"/>
        <v>4000</v>
      </c>
      <c r="S139" s="740"/>
      <c r="T139" s="738">
        <f t="shared" si="29"/>
        <v>4000</v>
      </c>
      <c r="U139" s="739"/>
      <c r="V139" s="724">
        <f t="shared" si="31"/>
        <v>4000</v>
      </c>
      <c r="W139" s="418"/>
    </row>
    <row r="140" spans="2:23" ht="24.95" customHeight="1">
      <c r="B140" s="494">
        <v>5</v>
      </c>
      <c r="C140" s="495">
        <v>1801</v>
      </c>
      <c r="D140" s="486" t="s">
        <v>890</v>
      </c>
      <c r="E140" s="486" t="s">
        <v>875</v>
      </c>
      <c r="F140" s="531" t="s">
        <v>891</v>
      </c>
      <c r="G140" s="543" t="s">
        <v>892</v>
      </c>
      <c r="H140" s="540" t="s">
        <v>893</v>
      </c>
      <c r="I140" s="549" t="s">
        <v>268</v>
      </c>
      <c r="J140" s="496">
        <v>1</v>
      </c>
      <c r="K140" s="496">
        <v>1600</v>
      </c>
      <c r="L140" s="703">
        <f t="shared" si="28"/>
        <v>1600</v>
      </c>
      <c r="M140" s="496"/>
      <c r="N140" s="496"/>
      <c r="O140" s="550" t="s">
        <v>744</v>
      </c>
      <c r="P140" s="721"/>
      <c r="Q140" s="722"/>
      <c r="R140" s="722">
        <f t="shared" si="30"/>
        <v>1600</v>
      </c>
      <c r="S140" s="740"/>
      <c r="T140" s="738">
        <f t="shared" si="29"/>
        <v>1600</v>
      </c>
      <c r="U140" s="739"/>
      <c r="V140" s="724">
        <f t="shared" si="31"/>
        <v>1600</v>
      </c>
      <c r="W140" s="418"/>
    </row>
    <row r="141" spans="2:23" ht="24.95" customHeight="1">
      <c r="B141" s="494">
        <v>6</v>
      </c>
      <c r="C141" s="495">
        <v>2286</v>
      </c>
      <c r="D141" s="486" t="s">
        <v>894</v>
      </c>
      <c r="E141" s="486" t="s">
        <v>875</v>
      </c>
      <c r="F141" s="531" t="s">
        <v>895</v>
      </c>
      <c r="G141" s="543" t="s">
        <v>896</v>
      </c>
      <c r="H141" s="540" t="s">
        <v>897</v>
      </c>
      <c r="I141" s="549" t="s">
        <v>268</v>
      </c>
      <c r="J141" s="496">
        <v>1</v>
      </c>
      <c r="K141" s="496">
        <v>1050</v>
      </c>
      <c r="L141" s="703">
        <f t="shared" si="28"/>
        <v>1050</v>
      </c>
      <c r="M141" s="496"/>
      <c r="N141" s="496"/>
      <c r="O141" s="550" t="s">
        <v>744</v>
      </c>
      <c r="P141" s="721"/>
      <c r="Q141" s="722"/>
      <c r="R141" s="722">
        <f t="shared" si="30"/>
        <v>1050</v>
      </c>
      <c r="S141" s="740"/>
      <c r="T141" s="738">
        <f t="shared" si="29"/>
        <v>1050</v>
      </c>
      <c r="U141" s="739"/>
      <c r="V141" s="724">
        <f t="shared" si="31"/>
        <v>1050</v>
      </c>
      <c r="W141" s="418"/>
    </row>
    <row r="142" spans="2:23" ht="24.95" customHeight="1">
      <c r="B142" s="494">
        <v>7</v>
      </c>
      <c r="C142" s="495">
        <v>2344</v>
      </c>
      <c r="D142" s="486" t="s">
        <v>898</v>
      </c>
      <c r="E142" s="486" t="s">
        <v>875</v>
      </c>
      <c r="F142" s="531" t="s">
        <v>899</v>
      </c>
      <c r="G142" s="543" t="s">
        <v>892</v>
      </c>
      <c r="H142" s="540" t="s">
        <v>900</v>
      </c>
      <c r="I142" s="549" t="s">
        <v>268</v>
      </c>
      <c r="J142" s="496">
        <v>1</v>
      </c>
      <c r="K142" s="496">
        <v>2133</v>
      </c>
      <c r="L142" s="703">
        <f t="shared" si="28"/>
        <v>2133</v>
      </c>
      <c r="M142" s="496"/>
      <c r="N142" s="496"/>
      <c r="O142" s="550" t="s">
        <v>744</v>
      </c>
      <c r="P142" s="721"/>
      <c r="Q142" s="722"/>
      <c r="R142" s="722">
        <f t="shared" si="30"/>
        <v>2133</v>
      </c>
      <c r="S142" s="740"/>
      <c r="T142" s="738">
        <f t="shared" si="29"/>
        <v>2133</v>
      </c>
      <c r="U142" s="739"/>
      <c r="V142" s="724">
        <f t="shared" si="31"/>
        <v>2133</v>
      </c>
      <c r="W142" s="418"/>
    </row>
    <row r="143" spans="2:23" ht="24.95" customHeight="1" thickBot="1">
      <c r="B143" s="494">
        <v>8</v>
      </c>
      <c r="C143" s="495">
        <v>2393</v>
      </c>
      <c r="D143" s="486" t="s">
        <v>901</v>
      </c>
      <c r="E143" s="486" t="s">
        <v>875</v>
      </c>
      <c r="F143" s="531" t="s">
        <v>902</v>
      </c>
      <c r="G143" s="543" t="s">
        <v>903</v>
      </c>
      <c r="H143" s="540" t="s">
        <v>904</v>
      </c>
      <c r="I143" s="549" t="s">
        <v>268</v>
      </c>
      <c r="J143" s="496">
        <v>1</v>
      </c>
      <c r="K143" s="496">
        <v>6500</v>
      </c>
      <c r="L143" s="703">
        <v>6500</v>
      </c>
      <c r="M143" s="496"/>
      <c r="N143" s="496"/>
      <c r="O143" s="550" t="s">
        <v>744</v>
      </c>
      <c r="P143" s="721"/>
      <c r="Q143" s="722"/>
      <c r="R143" s="722">
        <f t="shared" si="30"/>
        <v>6500</v>
      </c>
      <c r="S143" s="740"/>
      <c r="T143" s="738">
        <f t="shared" si="29"/>
        <v>6500</v>
      </c>
      <c r="U143" s="739"/>
      <c r="V143" s="724">
        <f t="shared" si="31"/>
        <v>6500</v>
      </c>
      <c r="W143" s="418"/>
    </row>
    <row r="144" spans="2:23" s="461" customFormat="1" ht="24.95" customHeight="1" thickBot="1">
      <c r="B144" s="464"/>
      <c r="C144" s="465"/>
      <c r="D144" s="498"/>
      <c r="E144" s="415"/>
      <c r="F144" s="465"/>
      <c r="G144" s="466"/>
      <c r="H144" s="460"/>
      <c r="I144" s="415"/>
      <c r="J144" s="415"/>
      <c r="K144" s="415"/>
      <c r="L144" s="415"/>
      <c r="M144" s="415"/>
      <c r="N144" s="415"/>
      <c r="O144" s="415" t="s">
        <v>752</v>
      </c>
      <c r="P144" s="728">
        <f>SUM(P136:P143)</f>
        <v>0</v>
      </c>
      <c r="Q144" s="728">
        <f>SUM(Q136:Q143)</f>
        <v>0</v>
      </c>
      <c r="R144" s="728">
        <f>SUM(R136:R143)</f>
        <v>18803</v>
      </c>
      <c r="S144" s="728">
        <f>SUM(S136:S143)</f>
        <v>0</v>
      </c>
      <c r="T144" s="728">
        <f>SUM(T136:T143)</f>
        <v>18803</v>
      </c>
      <c r="U144" s="729"/>
      <c r="V144" s="730"/>
    </row>
    <row r="145" spans="2:23" ht="12.75" customHeight="1" thickBot="1">
      <c r="B145" s="455"/>
      <c r="C145" s="456"/>
      <c r="D145" s="489"/>
      <c r="E145" s="435"/>
      <c r="F145" s="456"/>
      <c r="G145" s="457"/>
      <c r="H145" s="459"/>
      <c r="I145" s="435"/>
      <c r="J145" s="435"/>
      <c r="K145" s="435"/>
      <c r="L145" s="435"/>
      <c r="M145" s="435"/>
      <c r="N145" s="435"/>
      <c r="O145" s="435"/>
      <c r="P145" s="719"/>
      <c r="Q145" s="719"/>
      <c r="R145" s="719"/>
      <c r="S145" s="719"/>
      <c r="T145" s="717"/>
      <c r="U145" s="717"/>
      <c r="V145" s="720"/>
    </row>
    <row r="146" spans="2:23" ht="24.95" customHeight="1" thickBot="1">
      <c r="B146" s="430"/>
      <c r="C146" s="499"/>
      <c r="D146" s="500"/>
      <c r="E146" s="431"/>
      <c r="F146" s="501"/>
      <c r="G146" s="504"/>
      <c r="H146" s="502"/>
      <c r="I146" s="502"/>
      <c r="J146" s="502"/>
      <c r="K146" s="502"/>
      <c r="L146" s="502"/>
      <c r="M146" s="502"/>
      <c r="N146" s="502"/>
      <c r="O146" s="503"/>
      <c r="P146" s="732"/>
      <c r="Q146" s="733"/>
      <c r="R146" s="732"/>
      <c r="S146" s="733"/>
      <c r="T146" s="732"/>
      <c r="U146" s="732"/>
      <c r="V146" s="734"/>
      <c r="W146" s="418"/>
    </row>
    <row r="147" spans="2:23" ht="24.95" customHeight="1" thickBot="1">
      <c r="B147" s="513"/>
      <c r="C147" s="514"/>
      <c r="D147" s="514"/>
      <c r="E147" s="514"/>
      <c r="F147" s="514"/>
      <c r="G147" s="514"/>
      <c r="H147" s="514"/>
      <c r="I147" s="514"/>
      <c r="J147" s="514"/>
      <c r="K147" s="559" t="s">
        <v>765</v>
      </c>
      <c r="L147" s="514"/>
      <c r="M147" s="514"/>
      <c r="N147" s="514"/>
      <c r="O147" s="514"/>
      <c r="P147" s="829" t="s">
        <v>743</v>
      </c>
      <c r="Q147" s="829" t="s">
        <v>742</v>
      </c>
      <c r="R147" s="829" t="s">
        <v>744</v>
      </c>
      <c r="S147" s="746"/>
      <c r="T147" s="747"/>
      <c r="U147" s="746"/>
      <c r="V147" s="515">
        <f>V148+V153+V158</f>
        <v>0</v>
      </c>
      <c r="W147" s="418"/>
    </row>
    <row r="148" spans="2:23" ht="24.95" customHeight="1" thickBot="1">
      <c r="B148" s="513"/>
      <c r="C148" s="514"/>
      <c r="D148" s="514"/>
      <c r="E148" s="514"/>
      <c r="F148" s="514"/>
      <c r="G148" s="514"/>
      <c r="H148" s="810"/>
      <c r="I148" s="559"/>
      <c r="J148" s="559"/>
      <c r="K148" s="559" t="s">
        <v>223</v>
      </c>
      <c r="L148" s="559"/>
      <c r="M148" s="559"/>
      <c r="N148" s="559"/>
      <c r="O148" s="559"/>
      <c r="P148" s="811"/>
      <c r="Q148" s="812"/>
      <c r="R148" s="812"/>
      <c r="S148" s="812"/>
      <c r="T148" s="813"/>
      <c r="U148" s="814"/>
      <c r="V148" s="815">
        <f>SUM(V149:V150)</f>
        <v>0</v>
      </c>
      <c r="W148" s="418"/>
    </row>
    <row r="149" spans="2:23" ht="24.95" customHeight="1">
      <c r="B149" s="490"/>
      <c r="C149" s="491"/>
      <c r="D149" s="485"/>
      <c r="E149" s="485"/>
      <c r="F149" s="533"/>
      <c r="G149" s="542"/>
      <c r="H149" s="538"/>
      <c r="I149" s="536"/>
      <c r="J149" s="492"/>
      <c r="K149" s="492"/>
      <c r="L149" s="702">
        <f>ROUND(J149*K149,2)</f>
        <v>0</v>
      </c>
      <c r="M149" s="492"/>
      <c r="N149" s="492"/>
      <c r="O149" s="554" t="s">
        <v>744</v>
      </c>
      <c r="P149" s="721">
        <f>IF($O149=$P$15,$L149,)</f>
        <v>0</v>
      </c>
      <c r="Q149" s="722">
        <f>IF($O149=$Q$15,$L149,)</f>
        <v>0</v>
      </c>
      <c r="R149" s="722">
        <f>IF($O149=$R$15,$L149,)</f>
        <v>0</v>
      </c>
      <c r="S149" s="737"/>
      <c r="T149" s="738">
        <f>SUM(P149:R149)</f>
        <v>0</v>
      </c>
      <c r="U149" s="739"/>
      <c r="V149" s="724">
        <f>SUM(S149:T149)</f>
        <v>0</v>
      </c>
      <c r="W149" s="418"/>
    </row>
    <row r="150" spans="2:23" ht="24.95" customHeight="1" thickBot="1">
      <c r="B150" s="497"/>
      <c r="C150" s="511"/>
      <c r="D150" s="487"/>
      <c r="E150" s="487"/>
      <c r="F150" s="532"/>
      <c r="G150" s="544"/>
      <c r="H150" s="541"/>
      <c r="I150" s="545"/>
      <c r="J150" s="512"/>
      <c r="K150" s="512"/>
      <c r="L150" s="704">
        <f t="shared" ref="L150" si="32">ROUND(J150*K150,2)</f>
        <v>0</v>
      </c>
      <c r="M150" s="512"/>
      <c r="N150" s="512"/>
      <c r="O150" s="556" t="s">
        <v>744</v>
      </c>
      <c r="P150" s="741">
        <f>IF($O150=$P$15,$L150,)</f>
        <v>0</v>
      </c>
      <c r="Q150" s="742">
        <f>IF($O150=$Q$15,$L150,)</f>
        <v>0</v>
      </c>
      <c r="R150" s="742">
        <f>IF($O150=$R$15,$L150,)</f>
        <v>0</v>
      </c>
      <c r="S150" s="743"/>
      <c r="T150" s="744">
        <f t="shared" ref="T150" si="33">SUM(P150:R150)</f>
        <v>0</v>
      </c>
      <c r="U150" s="745"/>
      <c r="V150" s="727">
        <f t="shared" ref="V150" si="34">SUM(S150:T150)</f>
        <v>0</v>
      </c>
      <c r="W150" s="418"/>
    </row>
    <row r="151" spans="2:23" s="461" customFormat="1" ht="24.95" customHeight="1" thickBot="1">
      <c r="B151" s="464"/>
      <c r="C151" s="465"/>
      <c r="D151" s="498"/>
      <c r="E151" s="415"/>
      <c r="F151" s="465"/>
      <c r="G151" s="466"/>
      <c r="H151" s="460"/>
      <c r="I151" s="415"/>
      <c r="J151" s="415"/>
      <c r="K151" s="415"/>
      <c r="L151" s="415"/>
      <c r="M151" s="415"/>
      <c r="N151" s="415"/>
      <c r="O151" s="415" t="s">
        <v>752</v>
      </c>
      <c r="P151" s="728">
        <f>SUM(P149:P150)</f>
        <v>0</v>
      </c>
      <c r="Q151" s="728">
        <f>SUM(Q149:Q150)</f>
        <v>0</v>
      </c>
      <c r="R151" s="728">
        <f>SUM(R149:R150)</f>
        <v>0</v>
      </c>
      <c r="S151" s="728"/>
      <c r="T151" s="728">
        <f>SUM(T149:T150)</f>
        <v>0</v>
      </c>
      <c r="U151" s="729"/>
      <c r="V151" s="730"/>
    </row>
    <row r="152" spans="2:23" ht="12.75" customHeight="1" thickBot="1">
      <c r="B152" s="455"/>
      <c r="C152" s="456"/>
      <c r="D152" s="489"/>
      <c r="E152" s="435"/>
      <c r="F152" s="456"/>
      <c r="G152" s="457"/>
      <c r="H152" s="459"/>
      <c r="I152" s="435"/>
      <c r="J152" s="435"/>
      <c r="K152" s="435"/>
      <c r="L152" s="435"/>
      <c r="M152" s="435"/>
      <c r="N152" s="435"/>
      <c r="O152" s="435"/>
      <c r="P152" s="719"/>
      <c r="Q152" s="719"/>
      <c r="R152" s="719"/>
      <c r="S152" s="719"/>
      <c r="T152" s="717"/>
      <c r="U152" s="717"/>
      <c r="V152" s="720"/>
    </row>
    <row r="153" spans="2:23" ht="24.95" customHeight="1" thickBot="1">
      <c r="B153" s="513"/>
      <c r="C153" s="514"/>
      <c r="D153" s="514"/>
      <c r="E153" s="514"/>
      <c r="F153" s="514"/>
      <c r="G153" s="514"/>
      <c r="H153" s="810"/>
      <c r="I153" s="559"/>
      <c r="J153" s="559"/>
      <c r="K153" s="559" t="s">
        <v>751</v>
      </c>
      <c r="L153" s="559"/>
      <c r="M153" s="559"/>
      <c r="N153" s="559"/>
      <c r="O153" s="559"/>
      <c r="P153" s="811"/>
      <c r="Q153" s="812"/>
      <c r="R153" s="812"/>
      <c r="S153" s="812"/>
      <c r="T153" s="813"/>
      <c r="U153" s="814"/>
      <c r="V153" s="815">
        <f>SUM(V154:V155)</f>
        <v>0</v>
      </c>
      <c r="W153" s="418"/>
    </row>
    <row r="154" spans="2:23" ht="24.95" customHeight="1">
      <c r="B154" s="490"/>
      <c r="C154" s="491"/>
      <c r="D154" s="485"/>
      <c r="E154" s="485"/>
      <c r="F154" s="533"/>
      <c r="G154" s="542"/>
      <c r="H154" s="538"/>
      <c r="I154" s="537"/>
      <c r="J154" s="493"/>
      <c r="K154" s="493"/>
      <c r="L154" s="702">
        <f>ROUND(J154*K154,2)</f>
        <v>0</v>
      </c>
      <c r="M154" s="493"/>
      <c r="N154" s="493"/>
      <c r="O154" s="548" t="s">
        <v>744</v>
      </c>
      <c r="P154" s="748">
        <f>IF($O154=$P$15,$L154,)</f>
        <v>0</v>
      </c>
      <c r="Q154" s="722">
        <f>IF($O154=$Q$15,$L154,)</f>
        <v>0</v>
      </c>
      <c r="R154" s="722">
        <f>IF($O154=$R$15,$L154,)</f>
        <v>0</v>
      </c>
      <c r="S154" s="737"/>
      <c r="T154" s="749">
        <f>SUM(P154:R154)</f>
        <v>0</v>
      </c>
      <c r="U154" s="750"/>
      <c r="V154" s="724">
        <f>SUM(S154:T154)</f>
        <v>0</v>
      </c>
      <c r="W154" s="418"/>
    </row>
    <row r="155" spans="2:23" ht="24.95" customHeight="1" thickBot="1">
      <c r="B155" s="497"/>
      <c r="C155" s="511"/>
      <c r="D155" s="487"/>
      <c r="E155" s="487"/>
      <c r="F155" s="532"/>
      <c r="G155" s="544"/>
      <c r="H155" s="541"/>
      <c r="I155" s="551"/>
      <c r="J155" s="512"/>
      <c r="K155" s="512"/>
      <c r="L155" s="704">
        <f t="shared" ref="L155" si="35">ROUND(J155*K155,2)</f>
        <v>0</v>
      </c>
      <c r="M155" s="512"/>
      <c r="N155" s="512"/>
      <c r="O155" s="552" t="s">
        <v>744</v>
      </c>
      <c r="P155" s="751">
        <f>IF($O155=$P$15,$L155,)</f>
        <v>0</v>
      </c>
      <c r="Q155" s="742">
        <f>IF($O155=$Q$15,$L155,)</f>
        <v>0</v>
      </c>
      <c r="R155" s="742">
        <f>IF($O155=$R$15,$L155,)</f>
        <v>0</v>
      </c>
      <c r="S155" s="743"/>
      <c r="T155" s="752">
        <f t="shared" ref="T155" si="36">SUM(P155:R155)</f>
        <v>0</v>
      </c>
      <c r="U155" s="753"/>
      <c r="V155" s="727">
        <f t="shared" ref="V155" si="37">SUM(S155:T155)</f>
        <v>0</v>
      </c>
      <c r="W155" s="418"/>
    </row>
    <row r="156" spans="2:23" s="461" customFormat="1" ht="24.95" customHeight="1" thickBot="1">
      <c r="B156" s="464"/>
      <c r="C156" s="465"/>
      <c r="D156" s="498"/>
      <c r="E156" s="415"/>
      <c r="F156" s="465"/>
      <c r="G156" s="466"/>
      <c r="H156" s="460"/>
      <c r="I156" s="415"/>
      <c r="J156" s="415"/>
      <c r="K156" s="415"/>
      <c r="L156" s="415"/>
      <c r="M156" s="415"/>
      <c r="N156" s="415"/>
      <c r="O156" s="415" t="s">
        <v>752</v>
      </c>
      <c r="P156" s="728">
        <f>SUM(P154:P155)</f>
        <v>0</v>
      </c>
      <c r="Q156" s="728">
        <f>SUM(Q154:Q155)</f>
        <v>0</v>
      </c>
      <c r="R156" s="728">
        <f>SUM(R154:R155)</f>
        <v>0</v>
      </c>
      <c r="S156" s="728"/>
      <c r="T156" s="728">
        <f>SUM(T154:T155)</f>
        <v>0</v>
      </c>
      <c r="U156" s="729"/>
      <c r="V156" s="730"/>
    </row>
    <row r="157" spans="2:23" ht="12.75" customHeight="1" thickBot="1">
      <c r="B157" s="455"/>
      <c r="C157" s="456"/>
      <c r="D157" s="489"/>
      <c r="E157" s="435"/>
      <c r="F157" s="456"/>
      <c r="G157" s="457"/>
      <c r="H157" s="459"/>
      <c r="I157" s="435"/>
      <c r="J157" s="435"/>
      <c r="K157" s="435"/>
      <c r="L157" s="435"/>
      <c r="M157" s="435"/>
      <c r="N157" s="435"/>
      <c r="O157" s="435"/>
      <c r="P157" s="719"/>
      <c r="Q157" s="719"/>
      <c r="R157" s="719"/>
      <c r="S157" s="719"/>
      <c r="T157" s="717"/>
      <c r="U157" s="717"/>
      <c r="V157" s="720"/>
    </row>
    <row r="158" spans="2:23" ht="24.95" customHeight="1" thickBot="1">
      <c r="B158" s="513"/>
      <c r="C158" s="514"/>
      <c r="D158" s="514"/>
      <c r="E158" s="514"/>
      <c r="F158" s="514"/>
      <c r="G158" s="514"/>
      <c r="H158" s="810"/>
      <c r="I158" s="559"/>
      <c r="J158" s="559"/>
      <c r="K158" s="559" t="s">
        <v>405</v>
      </c>
      <c r="L158" s="559"/>
      <c r="M158" s="559"/>
      <c r="N158" s="559"/>
      <c r="O158" s="559"/>
      <c r="P158" s="811"/>
      <c r="Q158" s="812"/>
      <c r="R158" s="812"/>
      <c r="S158" s="812"/>
      <c r="T158" s="813"/>
      <c r="U158" s="814"/>
      <c r="V158" s="815">
        <f>SUM(V159:V160)</f>
        <v>0</v>
      </c>
      <c r="W158" s="418"/>
    </row>
    <row r="159" spans="2:23" ht="24.95" customHeight="1">
      <c r="B159" s="508"/>
      <c r="C159" s="509"/>
      <c r="D159" s="510"/>
      <c r="E159" s="510"/>
      <c r="F159" s="546"/>
      <c r="G159" s="542"/>
      <c r="H159" s="538"/>
      <c r="I159" s="537"/>
      <c r="J159" s="493"/>
      <c r="K159" s="493"/>
      <c r="L159" s="702">
        <f>ROUND(J159*K159,2)</f>
        <v>0</v>
      </c>
      <c r="M159" s="493"/>
      <c r="N159" s="493"/>
      <c r="O159" s="548" t="s">
        <v>744</v>
      </c>
      <c r="P159" s="721">
        <f>IF($O159=$P$15,$L159,)</f>
        <v>0</v>
      </c>
      <c r="Q159" s="722">
        <f>IF($O159=$Q$15,$L159,)</f>
        <v>0</v>
      </c>
      <c r="R159" s="722">
        <f>IF($O159=$R$15,$L159,)</f>
        <v>0</v>
      </c>
      <c r="S159" s="737"/>
      <c r="T159" s="738">
        <f>SUM(P159:R159)</f>
        <v>0</v>
      </c>
      <c r="U159" s="739"/>
      <c r="V159" s="724">
        <f>SUM(S159:T159)</f>
        <v>0</v>
      </c>
      <c r="W159" s="418"/>
    </row>
    <row r="160" spans="2:23" ht="24.95" customHeight="1" thickBot="1">
      <c r="B160" s="497"/>
      <c r="C160" s="511"/>
      <c r="D160" s="487"/>
      <c r="E160" s="487"/>
      <c r="F160" s="547"/>
      <c r="G160" s="544"/>
      <c r="H160" s="541"/>
      <c r="I160" s="551"/>
      <c r="J160" s="512"/>
      <c r="K160" s="512"/>
      <c r="L160" s="704">
        <f t="shared" ref="L160" si="38">ROUND(J160*K160,2)</f>
        <v>0</v>
      </c>
      <c r="M160" s="512"/>
      <c r="N160" s="512"/>
      <c r="O160" s="552" t="s">
        <v>744</v>
      </c>
      <c r="P160" s="741">
        <f>IF($O160=$P$15,$L160,)</f>
        <v>0</v>
      </c>
      <c r="Q160" s="742">
        <f>IF($O160=$Q$15,$L160,)</f>
        <v>0</v>
      </c>
      <c r="R160" s="742">
        <f>IF($O160=$R$15,$L160,)</f>
        <v>0</v>
      </c>
      <c r="S160" s="743"/>
      <c r="T160" s="744">
        <f t="shared" ref="T160" si="39">SUM(P160:R160)</f>
        <v>0</v>
      </c>
      <c r="U160" s="745"/>
      <c r="V160" s="727">
        <f t="shared" ref="V160" si="40">SUM(S160:T160)</f>
        <v>0</v>
      </c>
      <c r="W160" s="418"/>
    </row>
    <row r="161" spans="2:23" s="461" customFormat="1" ht="24.95" customHeight="1" thickBot="1">
      <c r="B161" s="464"/>
      <c r="C161" s="465"/>
      <c r="D161" s="498"/>
      <c r="E161" s="415"/>
      <c r="F161" s="465"/>
      <c r="G161" s="466"/>
      <c r="H161" s="460"/>
      <c r="I161" s="415"/>
      <c r="J161" s="415"/>
      <c r="K161" s="415"/>
      <c r="L161" s="415"/>
      <c r="M161" s="415"/>
      <c r="N161" s="415"/>
      <c r="O161" s="415" t="s">
        <v>752</v>
      </c>
      <c r="P161" s="728">
        <f>SUM(P159:P160)</f>
        <v>0</v>
      </c>
      <c r="Q161" s="728">
        <f>SUM(Q159:Q160)</f>
        <v>0</v>
      </c>
      <c r="R161" s="728">
        <f>SUM(R159:R160)</f>
        <v>0</v>
      </c>
      <c r="S161" s="728"/>
      <c r="T161" s="728">
        <f>SUM(T159:T160)</f>
        <v>0</v>
      </c>
      <c r="U161" s="729"/>
      <c r="V161" s="730"/>
    </row>
    <row r="162" spans="2:23" ht="12.75" customHeight="1" thickBot="1">
      <c r="B162" s="455"/>
      <c r="C162" s="456"/>
      <c r="D162" s="489"/>
      <c r="E162" s="435"/>
      <c r="F162" s="456"/>
      <c r="G162" s="457"/>
      <c r="H162" s="459"/>
      <c r="I162" s="435"/>
      <c r="J162" s="435"/>
      <c r="K162" s="435"/>
      <c r="L162" s="435"/>
      <c r="M162" s="435"/>
      <c r="N162" s="435"/>
      <c r="O162" s="435"/>
      <c r="P162" s="719"/>
      <c r="Q162" s="719"/>
      <c r="R162" s="719"/>
      <c r="S162" s="719"/>
      <c r="T162" s="717"/>
      <c r="U162" s="717"/>
      <c r="V162" s="720"/>
    </row>
    <row r="163" spans="2:23" ht="24.95" customHeight="1" thickBot="1">
      <c r="B163" s="432"/>
      <c r="C163" s="433"/>
      <c r="D163" s="434"/>
      <c r="E163" s="435"/>
      <c r="F163" s="436"/>
      <c r="G163" s="437"/>
      <c r="H163" s="438"/>
      <c r="I163" s="438"/>
      <c r="J163" s="438"/>
      <c r="K163" s="438"/>
      <c r="L163" s="438"/>
      <c r="M163" s="438"/>
      <c r="N163" s="438"/>
      <c r="O163" s="439"/>
      <c r="P163" s="832" t="s">
        <v>743</v>
      </c>
      <c r="Q163" s="832" t="s">
        <v>742</v>
      </c>
      <c r="R163" s="832" t="s">
        <v>744</v>
      </c>
      <c r="S163" s="754" t="s">
        <v>906</v>
      </c>
      <c r="T163" s="831" t="s">
        <v>907</v>
      </c>
      <c r="U163" s="831"/>
      <c r="V163" s="755"/>
      <c r="W163" s="418"/>
    </row>
    <row r="164" spans="2:23" ht="34.5" customHeight="1" thickBot="1">
      <c r="B164" s="467"/>
      <c r="C164" s="468"/>
      <c r="D164" s="468"/>
      <c r="E164" s="468"/>
      <c r="F164" s="468"/>
      <c r="G164" s="468"/>
      <c r="H164" s="471" t="s">
        <v>10</v>
      </c>
      <c r="I164" s="469"/>
      <c r="J164" s="469"/>
      <c r="K164" s="469"/>
      <c r="L164" s="469"/>
      <c r="M164" s="469"/>
      <c r="N164" s="469"/>
      <c r="O164" s="470"/>
      <c r="P164" s="833">
        <f>P20+P111+P116+P121+P128+P133+P144+P151+P156+P161</f>
        <v>9854.6200000000008</v>
      </c>
      <c r="Q164" s="833">
        <f t="shared" ref="Q164:T164" si="41">Q20+Q111+Q116+Q121+Q128+Q133+Q144+Q151+Q156+Q161</f>
        <v>17250.450000000004</v>
      </c>
      <c r="R164" s="833">
        <f t="shared" si="41"/>
        <v>18803</v>
      </c>
      <c r="S164" s="835">
        <f t="shared" si="41"/>
        <v>27105.070000000003</v>
      </c>
      <c r="T164" s="835">
        <f t="shared" si="41"/>
        <v>18803</v>
      </c>
      <c r="U164" s="836"/>
      <c r="V164" s="834">
        <f>V17+V124+V147</f>
        <v>45908.070000000007</v>
      </c>
      <c r="W164" s="418"/>
    </row>
    <row r="165" spans="2:23" ht="24.95" customHeight="1">
      <c r="B165" s="419"/>
      <c r="C165" s="419"/>
      <c r="D165" s="419"/>
      <c r="E165" s="419"/>
      <c r="F165" s="419"/>
      <c r="G165" s="419"/>
      <c r="H165" s="419"/>
      <c r="I165" s="419"/>
      <c r="J165" s="419"/>
      <c r="K165" s="419"/>
      <c r="L165" s="419"/>
      <c r="M165" s="419"/>
      <c r="N165" s="419"/>
      <c r="O165" s="80"/>
      <c r="P165" s="420"/>
      <c r="Q165" s="420"/>
      <c r="R165" s="420"/>
      <c r="S165" s="420"/>
      <c r="T165" s="420"/>
      <c r="U165" s="420"/>
      <c r="V165" s="420"/>
    </row>
  </sheetData>
  <mergeCells count="1">
    <mergeCell ref="E5:V5"/>
  </mergeCells>
  <pageMargins left="0.23622047244094491" right="0.23622047244094491" top="0.82677165354330717" bottom="0.23622047244094491" header="0.31496062992125984" footer="0.15748031496062992"/>
  <pageSetup paperSize="9" scale="52" orientation="landscape" horizontalDpi="4294967293" verticalDpi="200" r:id="rId1"/>
  <rowBreaks count="6" manualBreakCount="6">
    <brk id="36" max="21" man="1"/>
    <brk id="56" max="21" man="1"/>
    <brk id="77" max="21" man="1"/>
    <brk id="99" max="21" man="1"/>
    <brk id="121" max="21" man="1"/>
    <brk id="144" max="21"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Q27"/>
  <sheetViews>
    <sheetView zoomScale="70" zoomScaleNormal="70" workbookViewId="0">
      <selection activeCell="Q27" sqref="Q27"/>
    </sheetView>
  </sheetViews>
  <sheetFormatPr baseColWidth="10" defaultColWidth="11.42578125" defaultRowHeight="14.25"/>
  <cols>
    <col min="1" max="1" width="11" style="386" customWidth="1"/>
    <col min="2" max="2" width="3.5703125" style="11" customWidth="1"/>
    <col min="3" max="3" width="5.7109375" style="11" customWidth="1"/>
    <col min="4" max="4" width="14" style="11" customWidth="1"/>
    <col min="5" max="5" width="5.42578125" style="11" customWidth="1"/>
    <col min="6" max="6" width="9.85546875" style="11" customWidth="1"/>
    <col min="7" max="7" width="13.42578125" style="11" customWidth="1"/>
    <col min="8" max="8" width="21.42578125" style="11" customWidth="1"/>
    <col min="9" max="9" width="19.140625" style="11" customWidth="1"/>
    <col min="10" max="11" width="13.28515625" style="11" customWidth="1"/>
    <col min="12" max="12" width="9.140625" style="11" customWidth="1"/>
    <col min="13" max="13" width="30.42578125" style="11" customWidth="1"/>
    <col min="14" max="14" width="23.7109375" style="11" customWidth="1"/>
    <col min="15" max="15" width="13.28515625" style="11" customWidth="1"/>
    <col min="16" max="16" width="11.42578125" style="11"/>
    <col min="17" max="17" width="4.7109375" style="11" customWidth="1"/>
    <col min="18" max="256" width="11.42578125" style="11"/>
    <col min="257" max="257" width="8" style="11" customWidth="1"/>
    <col min="258" max="258" width="14" style="11" customWidth="1"/>
    <col min="259" max="259" width="6.28515625" style="11" customWidth="1"/>
    <col min="260" max="260" width="9.85546875" style="11" customWidth="1"/>
    <col min="261" max="261" width="11.85546875" style="11" customWidth="1"/>
    <col min="262" max="262" width="0" style="11" hidden="1" customWidth="1"/>
    <col min="263" max="264" width="11.42578125" style="11"/>
    <col min="265" max="265" width="19.140625" style="11" customWidth="1"/>
    <col min="266" max="266" width="9.42578125" style="11" customWidth="1"/>
    <col min="267" max="267" width="9.140625" style="11" customWidth="1"/>
    <col min="268" max="268" width="0" style="11" hidden="1" customWidth="1"/>
    <col min="269" max="269" width="30.42578125" style="11" customWidth="1"/>
    <col min="270" max="270" width="26" style="11" customWidth="1"/>
    <col min="271" max="271" width="10.85546875" style="11" customWidth="1"/>
    <col min="272" max="512" width="11.42578125" style="11"/>
    <col min="513" max="513" width="8" style="11" customWidth="1"/>
    <col min="514" max="514" width="14" style="11" customWidth="1"/>
    <col min="515" max="515" width="6.28515625" style="11" customWidth="1"/>
    <col min="516" max="516" width="9.85546875" style="11" customWidth="1"/>
    <col min="517" max="517" width="11.85546875" style="11" customWidth="1"/>
    <col min="518" max="518" width="0" style="11" hidden="1" customWidth="1"/>
    <col min="519" max="520" width="11.42578125" style="11"/>
    <col min="521" max="521" width="19.140625" style="11" customWidth="1"/>
    <col min="522" max="522" width="9.42578125" style="11" customWidth="1"/>
    <col min="523" max="523" width="9.140625" style="11" customWidth="1"/>
    <col min="524" max="524" width="0" style="11" hidden="1" customWidth="1"/>
    <col min="525" max="525" width="30.42578125" style="11" customWidth="1"/>
    <col min="526" max="526" width="26" style="11" customWidth="1"/>
    <col min="527" max="527" width="10.85546875" style="11" customWidth="1"/>
    <col min="528" max="768" width="11.42578125" style="11"/>
    <col min="769" max="769" width="8" style="11" customWidth="1"/>
    <col min="770" max="770" width="14" style="11" customWidth="1"/>
    <col min="771" max="771" width="6.28515625" style="11" customWidth="1"/>
    <col min="772" max="772" width="9.85546875" style="11" customWidth="1"/>
    <col min="773" max="773" width="11.85546875" style="11" customWidth="1"/>
    <col min="774" max="774" width="0" style="11" hidden="1" customWidth="1"/>
    <col min="775" max="776" width="11.42578125" style="11"/>
    <col min="777" max="777" width="19.140625" style="11" customWidth="1"/>
    <col min="778" max="778" width="9.42578125" style="11" customWidth="1"/>
    <col min="779" max="779" width="9.140625" style="11" customWidth="1"/>
    <col min="780" max="780" width="0" style="11" hidden="1" customWidth="1"/>
    <col min="781" max="781" width="30.42578125" style="11" customWidth="1"/>
    <col min="782" max="782" width="26" style="11" customWidth="1"/>
    <col min="783" max="783" width="10.85546875" style="11" customWidth="1"/>
    <col min="784" max="1024" width="11.42578125" style="11"/>
    <col min="1025" max="1025" width="8" style="11" customWidth="1"/>
    <col min="1026" max="1026" width="14" style="11" customWidth="1"/>
    <col min="1027" max="1027" width="6.28515625" style="11" customWidth="1"/>
    <col min="1028" max="1028" width="9.85546875" style="11" customWidth="1"/>
    <col min="1029" max="1029" width="11.85546875" style="11" customWidth="1"/>
    <col min="1030" max="1030" width="0" style="11" hidden="1" customWidth="1"/>
    <col min="1031" max="1032" width="11.42578125" style="11"/>
    <col min="1033" max="1033" width="19.140625" style="11" customWidth="1"/>
    <col min="1034" max="1034" width="9.42578125" style="11" customWidth="1"/>
    <col min="1035" max="1035" width="9.140625" style="11" customWidth="1"/>
    <col min="1036" max="1036" width="0" style="11" hidden="1" customWidth="1"/>
    <col min="1037" max="1037" width="30.42578125" style="11" customWidth="1"/>
    <col min="1038" max="1038" width="26" style="11" customWidth="1"/>
    <col min="1039" max="1039" width="10.85546875" style="11" customWidth="1"/>
    <col min="1040" max="1280" width="11.42578125" style="11"/>
    <col min="1281" max="1281" width="8" style="11" customWidth="1"/>
    <col min="1282" max="1282" width="14" style="11" customWidth="1"/>
    <col min="1283" max="1283" width="6.28515625" style="11" customWidth="1"/>
    <col min="1284" max="1284" width="9.85546875" style="11" customWidth="1"/>
    <col min="1285" max="1285" width="11.85546875" style="11" customWidth="1"/>
    <col min="1286" max="1286" width="0" style="11" hidden="1" customWidth="1"/>
    <col min="1287" max="1288" width="11.42578125" style="11"/>
    <col min="1289" max="1289" width="19.140625" style="11" customWidth="1"/>
    <col min="1290" max="1290" width="9.42578125" style="11" customWidth="1"/>
    <col min="1291" max="1291" width="9.140625" style="11" customWidth="1"/>
    <col min="1292" max="1292" width="0" style="11" hidden="1" customWidth="1"/>
    <col min="1293" max="1293" width="30.42578125" style="11" customWidth="1"/>
    <col min="1294" max="1294" width="26" style="11" customWidth="1"/>
    <col min="1295" max="1295" width="10.85546875" style="11" customWidth="1"/>
    <col min="1296" max="1536" width="11.42578125" style="11"/>
    <col min="1537" max="1537" width="8" style="11" customWidth="1"/>
    <col min="1538" max="1538" width="14" style="11" customWidth="1"/>
    <col min="1539" max="1539" width="6.28515625" style="11" customWidth="1"/>
    <col min="1540" max="1540" width="9.85546875" style="11" customWidth="1"/>
    <col min="1541" max="1541" width="11.85546875" style="11" customWidth="1"/>
    <col min="1542" max="1542" width="0" style="11" hidden="1" customWidth="1"/>
    <col min="1543" max="1544" width="11.42578125" style="11"/>
    <col min="1545" max="1545" width="19.140625" style="11" customWidth="1"/>
    <col min="1546" max="1546" width="9.42578125" style="11" customWidth="1"/>
    <col min="1547" max="1547" width="9.140625" style="11" customWidth="1"/>
    <col min="1548" max="1548" width="0" style="11" hidden="1" customWidth="1"/>
    <col min="1549" max="1549" width="30.42578125" style="11" customWidth="1"/>
    <col min="1550" max="1550" width="26" style="11" customWidth="1"/>
    <col min="1551" max="1551" width="10.85546875" style="11" customWidth="1"/>
    <col min="1552" max="1792" width="11.42578125" style="11"/>
    <col min="1793" max="1793" width="8" style="11" customWidth="1"/>
    <col min="1794" max="1794" width="14" style="11" customWidth="1"/>
    <col min="1795" max="1795" width="6.28515625" style="11" customWidth="1"/>
    <col min="1796" max="1796" width="9.85546875" style="11" customWidth="1"/>
    <col min="1797" max="1797" width="11.85546875" style="11" customWidth="1"/>
    <col min="1798" max="1798" width="0" style="11" hidden="1" customWidth="1"/>
    <col min="1799" max="1800" width="11.42578125" style="11"/>
    <col min="1801" max="1801" width="19.140625" style="11" customWidth="1"/>
    <col min="1802" max="1802" width="9.42578125" style="11" customWidth="1"/>
    <col min="1803" max="1803" width="9.140625" style="11" customWidth="1"/>
    <col min="1804" max="1804" width="0" style="11" hidden="1" customWidth="1"/>
    <col min="1805" max="1805" width="30.42578125" style="11" customWidth="1"/>
    <col min="1806" max="1806" width="26" style="11" customWidth="1"/>
    <col min="1807" max="1807" width="10.85546875" style="11" customWidth="1"/>
    <col min="1808" max="2048" width="11.42578125" style="11"/>
    <col min="2049" max="2049" width="8" style="11" customWidth="1"/>
    <col min="2050" max="2050" width="14" style="11" customWidth="1"/>
    <col min="2051" max="2051" width="6.28515625" style="11" customWidth="1"/>
    <col min="2052" max="2052" width="9.85546875" style="11" customWidth="1"/>
    <col min="2053" max="2053" width="11.85546875" style="11" customWidth="1"/>
    <col min="2054" max="2054" width="0" style="11" hidden="1" customWidth="1"/>
    <col min="2055" max="2056" width="11.42578125" style="11"/>
    <col min="2057" max="2057" width="19.140625" style="11" customWidth="1"/>
    <col min="2058" max="2058" width="9.42578125" style="11" customWidth="1"/>
    <col min="2059" max="2059" width="9.140625" style="11" customWidth="1"/>
    <col min="2060" max="2060" width="0" style="11" hidden="1" customWidth="1"/>
    <col min="2061" max="2061" width="30.42578125" style="11" customWidth="1"/>
    <col min="2062" max="2062" width="26" style="11" customWidth="1"/>
    <col min="2063" max="2063" width="10.85546875" style="11" customWidth="1"/>
    <col min="2064" max="2304" width="11.42578125" style="11"/>
    <col min="2305" max="2305" width="8" style="11" customWidth="1"/>
    <col min="2306" max="2306" width="14" style="11" customWidth="1"/>
    <col min="2307" max="2307" width="6.28515625" style="11" customWidth="1"/>
    <col min="2308" max="2308" width="9.85546875" style="11" customWidth="1"/>
    <col min="2309" max="2309" width="11.85546875" style="11" customWidth="1"/>
    <col min="2310" max="2310" width="0" style="11" hidden="1" customWidth="1"/>
    <col min="2311" max="2312" width="11.42578125" style="11"/>
    <col min="2313" max="2313" width="19.140625" style="11" customWidth="1"/>
    <col min="2314" max="2314" width="9.42578125" style="11" customWidth="1"/>
    <col min="2315" max="2315" width="9.140625" style="11" customWidth="1"/>
    <col min="2316" max="2316" width="0" style="11" hidden="1" customWidth="1"/>
    <col min="2317" max="2317" width="30.42578125" style="11" customWidth="1"/>
    <col min="2318" max="2318" width="26" style="11" customWidth="1"/>
    <col min="2319" max="2319" width="10.85546875" style="11" customWidth="1"/>
    <col min="2320" max="2560" width="11.42578125" style="11"/>
    <col min="2561" max="2561" width="8" style="11" customWidth="1"/>
    <col min="2562" max="2562" width="14" style="11" customWidth="1"/>
    <col min="2563" max="2563" width="6.28515625" style="11" customWidth="1"/>
    <col min="2564" max="2564" width="9.85546875" style="11" customWidth="1"/>
    <col min="2565" max="2565" width="11.85546875" style="11" customWidth="1"/>
    <col min="2566" max="2566" width="0" style="11" hidden="1" customWidth="1"/>
    <col min="2567" max="2568" width="11.42578125" style="11"/>
    <col min="2569" max="2569" width="19.140625" style="11" customWidth="1"/>
    <col min="2570" max="2570" width="9.42578125" style="11" customWidth="1"/>
    <col min="2571" max="2571" width="9.140625" style="11" customWidth="1"/>
    <col min="2572" max="2572" width="0" style="11" hidden="1" customWidth="1"/>
    <col min="2573" max="2573" width="30.42578125" style="11" customWidth="1"/>
    <col min="2574" max="2574" width="26" style="11" customWidth="1"/>
    <col min="2575" max="2575" width="10.85546875" style="11" customWidth="1"/>
    <col min="2576" max="2816" width="11.42578125" style="11"/>
    <col min="2817" max="2817" width="8" style="11" customWidth="1"/>
    <col min="2818" max="2818" width="14" style="11" customWidth="1"/>
    <col min="2819" max="2819" width="6.28515625" style="11" customWidth="1"/>
    <col min="2820" max="2820" width="9.85546875" style="11" customWidth="1"/>
    <col min="2821" max="2821" width="11.85546875" style="11" customWidth="1"/>
    <col min="2822" max="2822" width="0" style="11" hidden="1" customWidth="1"/>
    <col min="2823" max="2824" width="11.42578125" style="11"/>
    <col min="2825" max="2825" width="19.140625" style="11" customWidth="1"/>
    <col min="2826" max="2826" width="9.42578125" style="11" customWidth="1"/>
    <col min="2827" max="2827" width="9.140625" style="11" customWidth="1"/>
    <col min="2828" max="2828" width="0" style="11" hidden="1" customWidth="1"/>
    <col min="2829" max="2829" width="30.42578125" style="11" customWidth="1"/>
    <col min="2830" max="2830" width="26" style="11" customWidth="1"/>
    <col min="2831" max="2831" width="10.85546875" style="11" customWidth="1"/>
    <col min="2832" max="3072" width="11.42578125" style="11"/>
    <col min="3073" max="3073" width="8" style="11" customWidth="1"/>
    <col min="3074" max="3074" width="14" style="11" customWidth="1"/>
    <col min="3075" max="3075" width="6.28515625" style="11" customWidth="1"/>
    <col min="3076" max="3076" width="9.85546875" style="11" customWidth="1"/>
    <col min="3077" max="3077" width="11.85546875" style="11" customWidth="1"/>
    <col min="3078" max="3078" width="0" style="11" hidden="1" customWidth="1"/>
    <col min="3079" max="3080" width="11.42578125" style="11"/>
    <col min="3081" max="3081" width="19.140625" style="11" customWidth="1"/>
    <col min="3082" max="3082" width="9.42578125" style="11" customWidth="1"/>
    <col min="3083" max="3083" width="9.140625" style="11" customWidth="1"/>
    <col min="3084" max="3084" width="0" style="11" hidden="1" customWidth="1"/>
    <col min="3085" max="3085" width="30.42578125" style="11" customWidth="1"/>
    <col min="3086" max="3086" width="26" style="11" customWidth="1"/>
    <col min="3087" max="3087" width="10.85546875" style="11" customWidth="1"/>
    <col min="3088" max="3328" width="11.42578125" style="11"/>
    <col min="3329" max="3329" width="8" style="11" customWidth="1"/>
    <col min="3330" max="3330" width="14" style="11" customWidth="1"/>
    <col min="3331" max="3331" width="6.28515625" style="11" customWidth="1"/>
    <col min="3332" max="3332" width="9.85546875" style="11" customWidth="1"/>
    <col min="3333" max="3333" width="11.85546875" style="11" customWidth="1"/>
    <col min="3334" max="3334" width="0" style="11" hidden="1" customWidth="1"/>
    <col min="3335" max="3336" width="11.42578125" style="11"/>
    <col min="3337" max="3337" width="19.140625" style="11" customWidth="1"/>
    <col min="3338" max="3338" width="9.42578125" style="11" customWidth="1"/>
    <col min="3339" max="3339" width="9.140625" style="11" customWidth="1"/>
    <col min="3340" max="3340" width="0" style="11" hidden="1" customWidth="1"/>
    <col min="3341" max="3341" width="30.42578125" style="11" customWidth="1"/>
    <col min="3342" max="3342" width="26" style="11" customWidth="1"/>
    <col min="3343" max="3343" width="10.85546875" style="11" customWidth="1"/>
    <col min="3344" max="3584" width="11.42578125" style="11"/>
    <col min="3585" max="3585" width="8" style="11" customWidth="1"/>
    <col min="3586" max="3586" width="14" style="11" customWidth="1"/>
    <col min="3587" max="3587" width="6.28515625" style="11" customWidth="1"/>
    <col min="3588" max="3588" width="9.85546875" style="11" customWidth="1"/>
    <col min="3589" max="3589" width="11.85546875" style="11" customWidth="1"/>
    <col min="3590" max="3590" width="0" style="11" hidden="1" customWidth="1"/>
    <col min="3591" max="3592" width="11.42578125" style="11"/>
    <col min="3593" max="3593" width="19.140625" style="11" customWidth="1"/>
    <col min="3594" max="3594" width="9.42578125" style="11" customWidth="1"/>
    <col min="3595" max="3595" width="9.140625" style="11" customWidth="1"/>
    <col min="3596" max="3596" width="0" style="11" hidden="1" customWidth="1"/>
    <col min="3597" max="3597" width="30.42578125" style="11" customWidth="1"/>
    <col min="3598" max="3598" width="26" style="11" customWidth="1"/>
    <col min="3599" max="3599" width="10.85546875" style="11" customWidth="1"/>
    <col min="3600" max="3840" width="11.42578125" style="11"/>
    <col min="3841" max="3841" width="8" style="11" customWidth="1"/>
    <col min="3842" max="3842" width="14" style="11" customWidth="1"/>
    <col min="3843" max="3843" width="6.28515625" style="11" customWidth="1"/>
    <col min="3844" max="3844" width="9.85546875" style="11" customWidth="1"/>
    <col min="3845" max="3845" width="11.85546875" style="11" customWidth="1"/>
    <col min="3846" max="3846" width="0" style="11" hidden="1" customWidth="1"/>
    <col min="3847" max="3848" width="11.42578125" style="11"/>
    <col min="3849" max="3849" width="19.140625" style="11" customWidth="1"/>
    <col min="3850" max="3850" width="9.42578125" style="11" customWidth="1"/>
    <col min="3851" max="3851" width="9.140625" style="11" customWidth="1"/>
    <col min="3852" max="3852" width="0" style="11" hidden="1" customWidth="1"/>
    <col min="3853" max="3853" width="30.42578125" style="11" customWidth="1"/>
    <col min="3854" max="3854" width="26" style="11" customWidth="1"/>
    <col min="3855" max="3855" width="10.85546875" style="11" customWidth="1"/>
    <col min="3856" max="4096" width="11.42578125" style="11"/>
    <col min="4097" max="4097" width="8" style="11" customWidth="1"/>
    <col min="4098" max="4098" width="14" style="11" customWidth="1"/>
    <col min="4099" max="4099" width="6.28515625" style="11" customWidth="1"/>
    <col min="4100" max="4100" width="9.85546875" style="11" customWidth="1"/>
    <col min="4101" max="4101" width="11.85546875" style="11" customWidth="1"/>
    <col min="4102" max="4102" width="0" style="11" hidden="1" customWidth="1"/>
    <col min="4103" max="4104" width="11.42578125" style="11"/>
    <col min="4105" max="4105" width="19.140625" style="11" customWidth="1"/>
    <col min="4106" max="4106" width="9.42578125" style="11" customWidth="1"/>
    <col min="4107" max="4107" width="9.140625" style="11" customWidth="1"/>
    <col min="4108" max="4108" width="0" style="11" hidden="1" customWidth="1"/>
    <col min="4109" max="4109" width="30.42578125" style="11" customWidth="1"/>
    <col min="4110" max="4110" width="26" style="11" customWidth="1"/>
    <col min="4111" max="4111" width="10.85546875" style="11" customWidth="1"/>
    <col min="4112" max="4352" width="11.42578125" style="11"/>
    <col min="4353" max="4353" width="8" style="11" customWidth="1"/>
    <col min="4354" max="4354" width="14" style="11" customWidth="1"/>
    <col min="4355" max="4355" width="6.28515625" style="11" customWidth="1"/>
    <col min="4356" max="4356" width="9.85546875" style="11" customWidth="1"/>
    <col min="4357" max="4357" width="11.85546875" style="11" customWidth="1"/>
    <col min="4358" max="4358" width="0" style="11" hidden="1" customWidth="1"/>
    <col min="4359" max="4360" width="11.42578125" style="11"/>
    <col min="4361" max="4361" width="19.140625" style="11" customWidth="1"/>
    <col min="4362" max="4362" width="9.42578125" style="11" customWidth="1"/>
    <col min="4363" max="4363" width="9.140625" style="11" customWidth="1"/>
    <col min="4364" max="4364" width="0" style="11" hidden="1" customWidth="1"/>
    <col min="4365" max="4365" width="30.42578125" style="11" customWidth="1"/>
    <col min="4366" max="4366" width="26" style="11" customWidth="1"/>
    <col min="4367" max="4367" width="10.85546875" style="11" customWidth="1"/>
    <col min="4368" max="4608" width="11.42578125" style="11"/>
    <col min="4609" max="4609" width="8" style="11" customWidth="1"/>
    <col min="4610" max="4610" width="14" style="11" customWidth="1"/>
    <col min="4611" max="4611" width="6.28515625" style="11" customWidth="1"/>
    <col min="4612" max="4612" width="9.85546875" style="11" customWidth="1"/>
    <col min="4613" max="4613" width="11.85546875" style="11" customWidth="1"/>
    <col min="4614" max="4614" width="0" style="11" hidden="1" customWidth="1"/>
    <col min="4615" max="4616" width="11.42578125" style="11"/>
    <col min="4617" max="4617" width="19.140625" style="11" customWidth="1"/>
    <col min="4618" max="4618" width="9.42578125" style="11" customWidth="1"/>
    <col min="4619" max="4619" width="9.140625" style="11" customWidth="1"/>
    <col min="4620" max="4620" width="0" style="11" hidden="1" customWidth="1"/>
    <col min="4621" max="4621" width="30.42578125" style="11" customWidth="1"/>
    <col min="4622" max="4622" width="26" style="11" customWidth="1"/>
    <col min="4623" max="4623" width="10.85546875" style="11" customWidth="1"/>
    <col min="4624" max="4864" width="11.42578125" style="11"/>
    <col min="4865" max="4865" width="8" style="11" customWidth="1"/>
    <col min="4866" max="4866" width="14" style="11" customWidth="1"/>
    <col min="4867" max="4867" width="6.28515625" style="11" customWidth="1"/>
    <col min="4868" max="4868" width="9.85546875" style="11" customWidth="1"/>
    <col min="4869" max="4869" width="11.85546875" style="11" customWidth="1"/>
    <col min="4870" max="4870" width="0" style="11" hidden="1" customWidth="1"/>
    <col min="4871" max="4872" width="11.42578125" style="11"/>
    <col min="4873" max="4873" width="19.140625" style="11" customWidth="1"/>
    <col min="4874" max="4874" width="9.42578125" style="11" customWidth="1"/>
    <col min="4875" max="4875" width="9.140625" style="11" customWidth="1"/>
    <col min="4876" max="4876" width="0" style="11" hidden="1" customWidth="1"/>
    <col min="4877" max="4877" width="30.42578125" style="11" customWidth="1"/>
    <col min="4878" max="4878" width="26" style="11" customWidth="1"/>
    <col min="4879" max="4879" width="10.85546875" style="11" customWidth="1"/>
    <col min="4880" max="5120" width="11.42578125" style="11"/>
    <col min="5121" max="5121" width="8" style="11" customWidth="1"/>
    <col min="5122" max="5122" width="14" style="11" customWidth="1"/>
    <col min="5123" max="5123" width="6.28515625" style="11" customWidth="1"/>
    <col min="5124" max="5124" width="9.85546875" style="11" customWidth="1"/>
    <col min="5125" max="5125" width="11.85546875" style="11" customWidth="1"/>
    <col min="5126" max="5126" width="0" style="11" hidden="1" customWidth="1"/>
    <col min="5127" max="5128" width="11.42578125" style="11"/>
    <col min="5129" max="5129" width="19.140625" style="11" customWidth="1"/>
    <col min="5130" max="5130" width="9.42578125" style="11" customWidth="1"/>
    <col min="5131" max="5131" width="9.140625" style="11" customWidth="1"/>
    <col min="5132" max="5132" width="0" style="11" hidden="1" customWidth="1"/>
    <col min="5133" max="5133" width="30.42578125" style="11" customWidth="1"/>
    <col min="5134" max="5134" width="26" style="11" customWidth="1"/>
    <col min="5135" max="5135" width="10.85546875" style="11" customWidth="1"/>
    <col min="5136" max="5376" width="11.42578125" style="11"/>
    <col min="5377" max="5377" width="8" style="11" customWidth="1"/>
    <col min="5378" max="5378" width="14" style="11" customWidth="1"/>
    <col min="5379" max="5379" width="6.28515625" style="11" customWidth="1"/>
    <col min="5380" max="5380" width="9.85546875" style="11" customWidth="1"/>
    <col min="5381" max="5381" width="11.85546875" style="11" customWidth="1"/>
    <col min="5382" max="5382" width="0" style="11" hidden="1" customWidth="1"/>
    <col min="5383" max="5384" width="11.42578125" style="11"/>
    <col min="5385" max="5385" width="19.140625" style="11" customWidth="1"/>
    <col min="5386" max="5386" width="9.42578125" style="11" customWidth="1"/>
    <col min="5387" max="5387" width="9.140625" style="11" customWidth="1"/>
    <col min="5388" max="5388" width="0" style="11" hidden="1" customWidth="1"/>
    <col min="5389" max="5389" width="30.42578125" style="11" customWidth="1"/>
    <col min="5390" max="5390" width="26" style="11" customWidth="1"/>
    <col min="5391" max="5391" width="10.85546875" style="11" customWidth="1"/>
    <col min="5392" max="5632" width="11.42578125" style="11"/>
    <col min="5633" max="5633" width="8" style="11" customWidth="1"/>
    <col min="5634" max="5634" width="14" style="11" customWidth="1"/>
    <col min="5635" max="5635" width="6.28515625" style="11" customWidth="1"/>
    <col min="5636" max="5636" width="9.85546875" style="11" customWidth="1"/>
    <col min="5637" max="5637" width="11.85546875" style="11" customWidth="1"/>
    <col min="5638" max="5638" width="0" style="11" hidden="1" customWidth="1"/>
    <col min="5639" max="5640" width="11.42578125" style="11"/>
    <col min="5641" max="5641" width="19.140625" style="11" customWidth="1"/>
    <col min="5642" max="5642" width="9.42578125" style="11" customWidth="1"/>
    <col min="5643" max="5643" width="9.140625" style="11" customWidth="1"/>
    <col min="5644" max="5644" width="0" style="11" hidden="1" customWidth="1"/>
    <col min="5645" max="5645" width="30.42578125" style="11" customWidth="1"/>
    <col min="5646" max="5646" width="26" style="11" customWidth="1"/>
    <col min="5647" max="5647" width="10.85546875" style="11" customWidth="1"/>
    <col min="5648" max="5888" width="11.42578125" style="11"/>
    <col min="5889" max="5889" width="8" style="11" customWidth="1"/>
    <col min="5890" max="5890" width="14" style="11" customWidth="1"/>
    <col min="5891" max="5891" width="6.28515625" style="11" customWidth="1"/>
    <col min="5892" max="5892" width="9.85546875" style="11" customWidth="1"/>
    <col min="5893" max="5893" width="11.85546875" style="11" customWidth="1"/>
    <col min="5894" max="5894" width="0" style="11" hidden="1" customWidth="1"/>
    <col min="5895" max="5896" width="11.42578125" style="11"/>
    <col min="5897" max="5897" width="19.140625" style="11" customWidth="1"/>
    <col min="5898" max="5898" width="9.42578125" style="11" customWidth="1"/>
    <col min="5899" max="5899" width="9.140625" style="11" customWidth="1"/>
    <col min="5900" max="5900" width="0" style="11" hidden="1" customWidth="1"/>
    <col min="5901" max="5901" width="30.42578125" style="11" customWidth="1"/>
    <col min="5902" max="5902" width="26" style="11" customWidth="1"/>
    <col min="5903" max="5903" width="10.85546875" style="11" customWidth="1"/>
    <col min="5904" max="6144" width="11.42578125" style="11"/>
    <col min="6145" max="6145" width="8" style="11" customWidth="1"/>
    <col min="6146" max="6146" width="14" style="11" customWidth="1"/>
    <col min="6147" max="6147" width="6.28515625" style="11" customWidth="1"/>
    <col min="6148" max="6148" width="9.85546875" style="11" customWidth="1"/>
    <col min="6149" max="6149" width="11.85546875" style="11" customWidth="1"/>
    <col min="6150" max="6150" width="0" style="11" hidden="1" customWidth="1"/>
    <col min="6151" max="6152" width="11.42578125" style="11"/>
    <col min="6153" max="6153" width="19.140625" style="11" customWidth="1"/>
    <col min="6154" max="6154" width="9.42578125" style="11" customWidth="1"/>
    <col min="6155" max="6155" width="9.140625" style="11" customWidth="1"/>
    <col min="6156" max="6156" width="0" style="11" hidden="1" customWidth="1"/>
    <col min="6157" max="6157" width="30.42578125" style="11" customWidth="1"/>
    <col min="6158" max="6158" width="26" style="11" customWidth="1"/>
    <col min="6159" max="6159" width="10.85546875" style="11" customWidth="1"/>
    <col min="6160" max="6400" width="11.42578125" style="11"/>
    <col min="6401" max="6401" width="8" style="11" customWidth="1"/>
    <col min="6402" max="6402" width="14" style="11" customWidth="1"/>
    <col min="6403" max="6403" width="6.28515625" style="11" customWidth="1"/>
    <col min="6404" max="6404" width="9.85546875" style="11" customWidth="1"/>
    <col min="6405" max="6405" width="11.85546875" style="11" customWidth="1"/>
    <col min="6406" max="6406" width="0" style="11" hidden="1" customWidth="1"/>
    <col min="6407" max="6408" width="11.42578125" style="11"/>
    <col min="6409" max="6409" width="19.140625" style="11" customWidth="1"/>
    <col min="6410" max="6410" width="9.42578125" style="11" customWidth="1"/>
    <col min="6411" max="6411" width="9.140625" style="11" customWidth="1"/>
    <col min="6412" max="6412" width="0" style="11" hidden="1" customWidth="1"/>
    <col min="6413" max="6413" width="30.42578125" style="11" customWidth="1"/>
    <col min="6414" max="6414" width="26" style="11" customWidth="1"/>
    <col min="6415" max="6415" width="10.85546875" style="11" customWidth="1"/>
    <col min="6416" max="6656" width="11.42578125" style="11"/>
    <col min="6657" max="6657" width="8" style="11" customWidth="1"/>
    <col min="6658" max="6658" width="14" style="11" customWidth="1"/>
    <col min="6659" max="6659" width="6.28515625" style="11" customWidth="1"/>
    <col min="6660" max="6660" width="9.85546875" style="11" customWidth="1"/>
    <col min="6661" max="6661" width="11.85546875" style="11" customWidth="1"/>
    <col min="6662" max="6662" width="0" style="11" hidden="1" customWidth="1"/>
    <col min="6663" max="6664" width="11.42578125" style="11"/>
    <col min="6665" max="6665" width="19.140625" style="11" customWidth="1"/>
    <col min="6666" max="6666" width="9.42578125" style="11" customWidth="1"/>
    <col min="6667" max="6667" width="9.140625" style="11" customWidth="1"/>
    <col min="6668" max="6668" width="0" style="11" hidden="1" customWidth="1"/>
    <col min="6669" max="6669" width="30.42578125" style="11" customWidth="1"/>
    <col min="6670" max="6670" width="26" style="11" customWidth="1"/>
    <col min="6671" max="6671" width="10.85546875" style="11" customWidth="1"/>
    <col min="6672" max="6912" width="11.42578125" style="11"/>
    <col min="6913" max="6913" width="8" style="11" customWidth="1"/>
    <col min="6914" max="6914" width="14" style="11" customWidth="1"/>
    <col min="6915" max="6915" width="6.28515625" style="11" customWidth="1"/>
    <col min="6916" max="6916" width="9.85546875" style="11" customWidth="1"/>
    <col min="6917" max="6917" width="11.85546875" style="11" customWidth="1"/>
    <col min="6918" max="6918" width="0" style="11" hidden="1" customWidth="1"/>
    <col min="6919" max="6920" width="11.42578125" style="11"/>
    <col min="6921" max="6921" width="19.140625" style="11" customWidth="1"/>
    <col min="6922" max="6922" width="9.42578125" style="11" customWidth="1"/>
    <col min="6923" max="6923" width="9.140625" style="11" customWidth="1"/>
    <col min="6924" max="6924" width="0" style="11" hidden="1" customWidth="1"/>
    <col min="6925" max="6925" width="30.42578125" style="11" customWidth="1"/>
    <col min="6926" max="6926" width="26" style="11" customWidth="1"/>
    <col min="6927" max="6927" width="10.85546875" style="11" customWidth="1"/>
    <col min="6928" max="7168" width="11.42578125" style="11"/>
    <col min="7169" max="7169" width="8" style="11" customWidth="1"/>
    <col min="7170" max="7170" width="14" style="11" customWidth="1"/>
    <col min="7171" max="7171" width="6.28515625" style="11" customWidth="1"/>
    <col min="7172" max="7172" width="9.85546875" style="11" customWidth="1"/>
    <col min="7173" max="7173" width="11.85546875" style="11" customWidth="1"/>
    <col min="7174" max="7174" width="0" style="11" hidden="1" customWidth="1"/>
    <col min="7175" max="7176" width="11.42578125" style="11"/>
    <col min="7177" max="7177" width="19.140625" style="11" customWidth="1"/>
    <col min="7178" max="7178" width="9.42578125" style="11" customWidth="1"/>
    <col min="7179" max="7179" width="9.140625" style="11" customWidth="1"/>
    <col min="7180" max="7180" width="0" style="11" hidden="1" customWidth="1"/>
    <col min="7181" max="7181" width="30.42578125" style="11" customWidth="1"/>
    <col min="7182" max="7182" width="26" style="11" customWidth="1"/>
    <col min="7183" max="7183" width="10.85546875" style="11" customWidth="1"/>
    <col min="7184" max="7424" width="11.42578125" style="11"/>
    <col min="7425" max="7425" width="8" style="11" customWidth="1"/>
    <col min="7426" max="7426" width="14" style="11" customWidth="1"/>
    <col min="7427" max="7427" width="6.28515625" style="11" customWidth="1"/>
    <col min="7428" max="7428" width="9.85546875" style="11" customWidth="1"/>
    <col min="7429" max="7429" width="11.85546875" style="11" customWidth="1"/>
    <col min="7430" max="7430" width="0" style="11" hidden="1" customWidth="1"/>
    <col min="7431" max="7432" width="11.42578125" style="11"/>
    <col min="7433" max="7433" width="19.140625" style="11" customWidth="1"/>
    <col min="7434" max="7434" width="9.42578125" style="11" customWidth="1"/>
    <col min="7435" max="7435" width="9.140625" style="11" customWidth="1"/>
    <col min="7436" max="7436" width="0" style="11" hidden="1" customWidth="1"/>
    <col min="7437" max="7437" width="30.42578125" style="11" customWidth="1"/>
    <col min="7438" max="7438" width="26" style="11" customWidth="1"/>
    <col min="7439" max="7439" width="10.85546875" style="11" customWidth="1"/>
    <col min="7440" max="7680" width="11.42578125" style="11"/>
    <col min="7681" max="7681" width="8" style="11" customWidth="1"/>
    <col min="7682" max="7682" width="14" style="11" customWidth="1"/>
    <col min="7683" max="7683" width="6.28515625" style="11" customWidth="1"/>
    <col min="7684" max="7684" width="9.85546875" style="11" customWidth="1"/>
    <col min="7685" max="7685" width="11.85546875" style="11" customWidth="1"/>
    <col min="7686" max="7686" width="0" style="11" hidden="1" customWidth="1"/>
    <col min="7687" max="7688" width="11.42578125" style="11"/>
    <col min="7689" max="7689" width="19.140625" style="11" customWidth="1"/>
    <col min="7690" max="7690" width="9.42578125" style="11" customWidth="1"/>
    <col min="7691" max="7691" width="9.140625" style="11" customWidth="1"/>
    <col min="7692" max="7692" width="0" style="11" hidden="1" customWidth="1"/>
    <col min="7693" max="7693" width="30.42578125" style="11" customWidth="1"/>
    <col min="7694" max="7694" width="26" style="11" customWidth="1"/>
    <col min="7695" max="7695" width="10.85546875" style="11" customWidth="1"/>
    <col min="7696" max="7936" width="11.42578125" style="11"/>
    <col min="7937" max="7937" width="8" style="11" customWidth="1"/>
    <col min="7938" max="7938" width="14" style="11" customWidth="1"/>
    <col min="7939" max="7939" width="6.28515625" style="11" customWidth="1"/>
    <col min="7940" max="7940" width="9.85546875" style="11" customWidth="1"/>
    <col min="7941" max="7941" width="11.85546875" style="11" customWidth="1"/>
    <col min="7942" max="7942" width="0" style="11" hidden="1" customWidth="1"/>
    <col min="7943" max="7944" width="11.42578125" style="11"/>
    <col min="7945" max="7945" width="19.140625" style="11" customWidth="1"/>
    <col min="7946" max="7946" width="9.42578125" style="11" customWidth="1"/>
    <col min="7947" max="7947" width="9.140625" style="11" customWidth="1"/>
    <col min="7948" max="7948" width="0" style="11" hidden="1" customWidth="1"/>
    <col min="7949" max="7949" width="30.42578125" style="11" customWidth="1"/>
    <col min="7950" max="7950" width="26" style="11" customWidth="1"/>
    <col min="7951" max="7951" width="10.85546875" style="11" customWidth="1"/>
    <col min="7952" max="8192" width="11.42578125" style="11"/>
    <col min="8193" max="8193" width="8" style="11" customWidth="1"/>
    <col min="8194" max="8194" width="14" style="11" customWidth="1"/>
    <col min="8195" max="8195" width="6.28515625" style="11" customWidth="1"/>
    <col min="8196" max="8196" width="9.85546875" style="11" customWidth="1"/>
    <col min="8197" max="8197" width="11.85546875" style="11" customWidth="1"/>
    <col min="8198" max="8198" width="0" style="11" hidden="1" customWidth="1"/>
    <col min="8199" max="8200" width="11.42578125" style="11"/>
    <col min="8201" max="8201" width="19.140625" style="11" customWidth="1"/>
    <col min="8202" max="8202" width="9.42578125" style="11" customWidth="1"/>
    <col min="8203" max="8203" width="9.140625" style="11" customWidth="1"/>
    <col min="8204" max="8204" width="0" style="11" hidden="1" customWidth="1"/>
    <col min="8205" max="8205" width="30.42578125" style="11" customWidth="1"/>
    <col min="8206" max="8206" width="26" style="11" customWidth="1"/>
    <col min="8207" max="8207" width="10.85546875" style="11" customWidth="1"/>
    <col min="8208" max="8448" width="11.42578125" style="11"/>
    <col min="8449" max="8449" width="8" style="11" customWidth="1"/>
    <col min="8450" max="8450" width="14" style="11" customWidth="1"/>
    <col min="8451" max="8451" width="6.28515625" style="11" customWidth="1"/>
    <col min="8452" max="8452" width="9.85546875" style="11" customWidth="1"/>
    <col min="8453" max="8453" width="11.85546875" style="11" customWidth="1"/>
    <col min="8454" max="8454" width="0" style="11" hidden="1" customWidth="1"/>
    <col min="8455" max="8456" width="11.42578125" style="11"/>
    <col min="8457" max="8457" width="19.140625" style="11" customWidth="1"/>
    <col min="8458" max="8458" width="9.42578125" style="11" customWidth="1"/>
    <col min="8459" max="8459" width="9.140625" style="11" customWidth="1"/>
    <col min="8460" max="8460" width="0" style="11" hidden="1" customWidth="1"/>
    <col min="8461" max="8461" width="30.42578125" style="11" customWidth="1"/>
    <col min="8462" max="8462" width="26" style="11" customWidth="1"/>
    <col min="8463" max="8463" width="10.85546875" style="11" customWidth="1"/>
    <col min="8464" max="8704" width="11.42578125" style="11"/>
    <col min="8705" max="8705" width="8" style="11" customWidth="1"/>
    <col min="8706" max="8706" width="14" style="11" customWidth="1"/>
    <col min="8707" max="8707" width="6.28515625" style="11" customWidth="1"/>
    <col min="8708" max="8708" width="9.85546875" style="11" customWidth="1"/>
    <col min="8709" max="8709" width="11.85546875" style="11" customWidth="1"/>
    <col min="8710" max="8710" width="0" style="11" hidden="1" customWidth="1"/>
    <col min="8711" max="8712" width="11.42578125" style="11"/>
    <col min="8713" max="8713" width="19.140625" style="11" customWidth="1"/>
    <col min="8714" max="8714" width="9.42578125" style="11" customWidth="1"/>
    <col min="8715" max="8715" width="9.140625" style="11" customWidth="1"/>
    <col min="8716" max="8716" width="0" style="11" hidden="1" customWidth="1"/>
    <col min="8717" max="8717" width="30.42578125" style="11" customWidth="1"/>
    <col min="8718" max="8718" width="26" style="11" customWidth="1"/>
    <col min="8719" max="8719" width="10.85546875" style="11" customWidth="1"/>
    <col min="8720" max="8960" width="11.42578125" style="11"/>
    <col min="8961" max="8961" width="8" style="11" customWidth="1"/>
    <col min="8962" max="8962" width="14" style="11" customWidth="1"/>
    <col min="8963" max="8963" width="6.28515625" style="11" customWidth="1"/>
    <col min="8964" max="8964" width="9.85546875" style="11" customWidth="1"/>
    <col min="8965" max="8965" width="11.85546875" style="11" customWidth="1"/>
    <col min="8966" max="8966" width="0" style="11" hidden="1" customWidth="1"/>
    <col min="8967" max="8968" width="11.42578125" style="11"/>
    <col min="8969" max="8969" width="19.140625" style="11" customWidth="1"/>
    <col min="8970" max="8970" width="9.42578125" style="11" customWidth="1"/>
    <col min="8971" max="8971" width="9.140625" style="11" customWidth="1"/>
    <col min="8972" max="8972" width="0" style="11" hidden="1" customWidth="1"/>
    <col min="8973" max="8973" width="30.42578125" style="11" customWidth="1"/>
    <col min="8974" max="8974" width="26" style="11" customWidth="1"/>
    <col min="8975" max="8975" width="10.85546875" style="11" customWidth="1"/>
    <col min="8976" max="9216" width="11.42578125" style="11"/>
    <col min="9217" max="9217" width="8" style="11" customWidth="1"/>
    <col min="9218" max="9218" width="14" style="11" customWidth="1"/>
    <col min="9219" max="9219" width="6.28515625" style="11" customWidth="1"/>
    <col min="9220" max="9220" width="9.85546875" style="11" customWidth="1"/>
    <col min="9221" max="9221" width="11.85546875" style="11" customWidth="1"/>
    <col min="9222" max="9222" width="0" style="11" hidden="1" customWidth="1"/>
    <col min="9223" max="9224" width="11.42578125" style="11"/>
    <col min="9225" max="9225" width="19.140625" style="11" customWidth="1"/>
    <col min="9226" max="9226" width="9.42578125" style="11" customWidth="1"/>
    <col min="9227" max="9227" width="9.140625" style="11" customWidth="1"/>
    <col min="9228" max="9228" width="0" style="11" hidden="1" customWidth="1"/>
    <col min="9229" max="9229" width="30.42578125" style="11" customWidth="1"/>
    <col min="9230" max="9230" width="26" style="11" customWidth="1"/>
    <col min="9231" max="9231" width="10.85546875" style="11" customWidth="1"/>
    <col min="9232" max="9472" width="11.42578125" style="11"/>
    <col min="9473" max="9473" width="8" style="11" customWidth="1"/>
    <col min="9474" max="9474" width="14" style="11" customWidth="1"/>
    <col min="9475" max="9475" width="6.28515625" style="11" customWidth="1"/>
    <col min="9476" max="9476" width="9.85546875" style="11" customWidth="1"/>
    <col min="9477" max="9477" width="11.85546875" style="11" customWidth="1"/>
    <col min="9478" max="9478" width="0" style="11" hidden="1" customWidth="1"/>
    <col min="9479" max="9480" width="11.42578125" style="11"/>
    <col min="9481" max="9481" width="19.140625" style="11" customWidth="1"/>
    <col min="9482" max="9482" width="9.42578125" style="11" customWidth="1"/>
    <col min="9483" max="9483" width="9.140625" style="11" customWidth="1"/>
    <col min="9484" max="9484" width="0" style="11" hidden="1" customWidth="1"/>
    <col min="9485" max="9485" width="30.42578125" style="11" customWidth="1"/>
    <col min="9486" max="9486" width="26" style="11" customWidth="1"/>
    <col min="9487" max="9487" width="10.85546875" style="11" customWidth="1"/>
    <col min="9488" max="9728" width="11.42578125" style="11"/>
    <col min="9729" max="9729" width="8" style="11" customWidth="1"/>
    <col min="9730" max="9730" width="14" style="11" customWidth="1"/>
    <col min="9731" max="9731" width="6.28515625" style="11" customWidth="1"/>
    <col min="9732" max="9732" width="9.85546875" style="11" customWidth="1"/>
    <col min="9733" max="9733" width="11.85546875" style="11" customWidth="1"/>
    <col min="9734" max="9734" width="0" style="11" hidden="1" customWidth="1"/>
    <col min="9735" max="9736" width="11.42578125" style="11"/>
    <col min="9737" max="9737" width="19.140625" style="11" customWidth="1"/>
    <col min="9738" max="9738" width="9.42578125" style="11" customWidth="1"/>
    <col min="9739" max="9739" width="9.140625" style="11" customWidth="1"/>
    <col min="9740" max="9740" width="0" style="11" hidden="1" customWidth="1"/>
    <col min="9741" max="9741" width="30.42578125" style="11" customWidth="1"/>
    <col min="9742" max="9742" width="26" style="11" customWidth="1"/>
    <col min="9743" max="9743" width="10.85546875" style="11" customWidth="1"/>
    <col min="9744" max="9984" width="11.42578125" style="11"/>
    <col min="9985" max="9985" width="8" style="11" customWidth="1"/>
    <col min="9986" max="9986" width="14" style="11" customWidth="1"/>
    <col min="9987" max="9987" width="6.28515625" style="11" customWidth="1"/>
    <col min="9988" max="9988" width="9.85546875" style="11" customWidth="1"/>
    <col min="9989" max="9989" width="11.85546875" style="11" customWidth="1"/>
    <col min="9990" max="9990" width="0" style="11" hidden="1" customWidth="1"/>
    <col min="9991" max="9992" width="11.42578125" style="11"/>
    <col min="9993" max="9993" width="19.140625" style="11" customWidth="1"/>
    <col min="9994" max="9994" width="9.42578125" style="11" customWidth="1"/>
    <col min="9995" max="9995" width="9.140625" style="11" customWidth="1"/>
    <col min="9996" max="9996" width="0" style="11" hidden="1" customWidth="1"/>
    <col min="9997" max="9997" width="30.42578125" style="11" customWidth="1"/>
    <col min="9998" max="9998" width="26" style="11" customWidth="1"/>
    <col min="9999" max="9999" width="10.85546875" style="11" customWidth="1"/>
    <col min="10000" max="10240" width="11.42578125" style="11"/>
    <col min="10241" max="10241" width="8" style="11" customWidth="1"/>
    <col min="10242" max="10242" width="14" style="11" customWidth="1"/>
    <col min="10243" max="10243" width="6.28515625" style="11" customWidth="1"/>
    <col min="10244" max="10244" width="9.85546875" style="11" customWidth="1"/>
    <col min="10245" max="10245" width="11.85546875" style="11" customWidth="1"/>
    <col min="10246" max="10246" width="0" style="11" hidden="1" customWidth="1"/>
    <col min="10247" max="10248" width="11.42578125" style="11"/>
    <col min="10249" max="10249" width="19.140625" style="11" customWidth="1"/>
    <col min="10250" max="10250" width="9.42578125" style="11" customWidth="1"/>
    <col min="10251" max="10251" width="9.140625" style="11" customWidth="1"/>
    <col min="10252" max="10252" width="0" style="11" hidden="1" customWidth="1"/>
    <col min="10253" max="10253" width="30.42578125" style="11" customWidth="1"/>
    <col min="10254" max="10254" width="26" style="11" customWidth="1"/>
    <col min="10255" max="10255" width="10.85546875" style="11" customWidth="1"/>
    <col min="10256" max="10496" width="11.42578125" style="11"/>
    <col min="10497" max="10497" width="8" style="11" customWidth="1"/>
    <col min="10498" max="10498" width="14" style="11" customWidth="1"/>
    <col min="10499" max="10499" width="6.28515625" style="11" customWidth="1"/>
    <col min="10500" max="10500" width="9.85546875" style="11" customWidth="1"/>
    <col min="10501" max="10501" width="11.85546875" style="11" customWidth="1"/>
    <col min="10502" max="10502" width="0" style="11" hidden="1" customWidth="1"/>
    <col min="10503" max="10504" width="11.42578125" style="11"/>
    <col min="10505" max="10505" width="19.140625" style="11" customWidth="1"/>
    <col min="10506" max="10506" width="9.42578125" style="11" customWidth="1"/>
    <col min="10507" max="10507" width="9.140625" style="11" customWidth="1"/>
    <col min="10508" max="10508" width="0" style="11" hidden="1" customWidth="1"/>
    <col min="10509" max="10509" width="30.42578125" style="11" customWidth="1"/>
    <col min="10510" max="10510" width="26" style="11" customWidth="1"/>
    <col min="10511" max="10511" width="10.85546875" style="11" customWidth="1"/>
    <col min="10512" max="10752" width="11.42578125" style="11"/>
    <col min="10753" max="10753" width="8" style="11" customWidth="1"/>
    <col min="10754" max="10754" width="14" style="11" customWidth="1"/>
    <col min="10755" max="10755" width="6.28515625" style="11" customWidth="1"/>
    <col min="10756" max="10756" width="9.85546875" style="11" customWidth="1"/>
    <col min="10757" max="10757" width="11.85546875" style="11" customWidth="1"/>
    <col min="10758" max="10758" width="0" style="11" hidden="1" customWidth="1"/>
    <col min="10759" max="10760" width="11.42578125" style="11"/>
    <col min="10761" max="10761" width="19.140625" style="11" customWidth="1"/>
    <col min="10762" max="10762" width="9.42578125" style="11" customWidth="1"/>
    <col min="10763" max="10763" width="9.140625" style="11" customWidth="1"/>
    <col min="10764" max="10764" width="0" style="11" hidden="1" customWidth="1"/>
    <col min="10765" max="10765" width="30.42578125" style="11" customWidth="1"/>
    <col min="10766" max="10766" width="26" style="11" customWidth="1"/>
    <col min="10767" max="10767" width="10.85546875" style="11" customWidth="1"/>
    <col min="10768" max="11008" width="11.42578125" style="11"/>
    <col min="11009" max="11009" width="8" style="11" customWidth="1"/>
    <col min="11010" max="11010" width="14" style="11" customWidth="1"/>
    <col min="11011" max="11011" width="6.28515625" style="11" customWidth="1"/>
    <col min="11012" max="11012" width="9.85546875" style="11" customWidth="1"/>
    <col min="11013" max="11013" width="11.85546875" style="11" customWidth="1"/>
    <col min="11014" max="11014" width="0" style="11" hidden="1" customWidth="1"/>
    <col min="11015" max="11016" width="11.42578125" style="11"/>
    <col min="11017" max="11017" width="19.140625" style="11" customWidth="1"/>
    <col min="11018" max="11018" width="9.42578125" style="11" customWidth="1"/>
    <col min="11019" max="11019" width="9.140625" style="11" customWidth="1"/>
    <col min="11020" max="11020" width="0" style="11" hidden="1" customWidth="1"/>
    <col min="11021" max="11021" width="30.42578125" style="11" customWidth="1"/>
    <col min="11022" max="11022" width="26" style="11" customWidth="1"/>
    <col min="11023" max="11023" width="10.85546875" style="11" customWidth="1"/>
    <col min="11024" max="11264" width="11.42578125" style="11"/>
    <col min="11265" max="11265" width="8" style="11" customWidth="1"/>
    <col min="11266" max="11266" width="14" style="11" customWidth="1"/>
    <col min="11267" max="11267" width="6.28515625" style="11" customWidth="1"/>
    <col min="11268" max="11268" width="9.85546875" style="11" customWidth="1"/>
    <col min="11269" max="11269" width="11.85546875" style="11" customWidth="1"/>
    <col min="11270" max="11270" width="0" style="11" hidden="1" customWidth="1"/>
    <col min="11271" max="11272" width="11.42578125" style="11"/>
    <col min="11273" max="11273" width="19.140625" style="11" customWidth="1"/>
    <col min="11274" max="11274" width="9.42578125" style="11" customWidth="1"/>
    <col min="11275" max="11275" width="9.140625" style="11" customWidth="1"/>
    <col min="11276" max="11276" width="0" style="11" hidden="1" customWidth="1"/>
    <col min="11277" max="11277" width="30.42578125" style="11" customWidth="1"/>
    <col min="11278" max="11278" width="26" style="11" customWidth="1"/>
    <col min="11279" max="11279" width="10.85546875" style="11" customWidth="1"/>
    <col min="11280" max="11520" width="11.42578125" style="11"/>
    <col min="11521" max="11521" width="8" style="11" customWidth="1"/>
    <col min="11522" max="11522" width="14" style="11" customWidth="1"/>
    <col min="11523" max="11523" width="6.28515625" style="11" customWidth="1"/>
    <col min="11524" max="11524" width="9.85546875" style="11" customWidth="1"/>
    <col min="11525" max="11525" width="11.85546875" style="11" customWidth="1"/>
    <col min="11526" max="11526" width="0" style="11" hidden="1" customWidth="1"/>
    <col min="11527" max="11528" width="11.42578125" style="11"/>
    <col min="11529" max="11529" width="19.140625" style="11" customWidth="1"/>
    <col min="11530" max="11530" width="9.42578125" style="11" customWidth="1"/>
    <col min="11531" max="11531" width="9.140625" style="11" customWidth="1"/>
    <col min="11532" max="11532" width="0" style="11" hidden="1" customWidth="1"/>
    <col min="11533" max="11533" width="30.42578125" style="11" customWidth="1"/>
    <col min="11534" max="11534" width="26" style="11" customWidth="1"/>
    <col min="11535" max="11535" width="10.85546875" style="11" customWidth="1"/>
    <col min="11536" max="11776" width="11.42578125" style="11"/>
    <col min="11777" max="11777" width="8" style="11" customWidth="1"/>
    <col min="11778" max="11778" width="14" style="11" customWidth="1"/>
    <col min="11779" max="11779" width="6.28515625" style="11" customWidth="1"/>
    <col min="11780" max="11780" width="9.85546875" style="11" customWidth="1"/>
    <col min="11781" max="11781" width="11.85546875" style="11" customWidth="1"/>
    <col min="11782" max="11782" width="0" style="11" hidden="1" customWidth="1"/>
    <col min="11783" max="11784" width="11.42578125" style="11"/>
    <col min="11785" max="11785" width="19.140625" style="11" customWidth="1"/>
    <col min="11786" max="11786" width="9.42578125" style="11" customWidth="1"/>
    <col min="11787" max="11787" width="9.140625" style="11" customWidth="1"/>
    <col min="11788" max="11788" width="0" style="11" hidden="1" customWidth="1"/>
    <col min="11789" max="11789" width="30.42578125" style="11" customWidth="1"/>
    <col min="11790" max="11790" width="26" style="11" customWidth="1"/>
    <col min="11791" max="11791" width="10.85546875" style="11" customWidth="1"/>
    <col min="11792" max="12032" width="11.42578125" style="11"/>
    <col min="12033" max="12033" width="8" style="11" customWidth="1"/>
    <col min="12034" max="12034" width="14" style="11" customWidth="1"/>
    <col min="12035" max="12035" width="6.28515625" style="11" customWidth="1"/>
    <col min="12036" max="12036" width="9.85546875" style="11" customWidth="1"/>
    <col min="12037" max="12037" width="11.85546875" style="11" customWidth="1"/>
    <col min="12038" max="12038" width="0" style="11" hidden="1" customWidth="1"/>
    <col min="12039" max="12040" width="11.42578125" style="11"/>
    <col min="12041" max="12041" width="19.140625" style="11" customWidth="1"/>
    <col min="12042" max="12042" width="9.42578125" style="11" customWidth="1"/>
    <col min="12043" max="12043" width="9.140625" style="11" customWidth="1"/>
    <col min="12044" max="12044" width="0" style="11" hidden="1" customWidth="1"/>
    <col min="12045" max="12045" width="30.42578125" style="11" customWidth="1"/>
    <col min="12046" max="12046" width="26" style="11" customWidth="1"/>
    <col min="12047" max="12047" width="10.85546875" style="11" customWidth="1"/>
    <col min="12048" max="12288" width="11.42578125" style="11"/>
    <col min="12289" max="12289" width="8" style="11" customWidth="1"/>
    <col min="12290" max="12290" width="14" style="11" customWidth="1"/>
    <col min="12291" max="12291" width="6.28515625" style="11" customWidth="1"/>
    <col min="12292" max="12292" width="9.85546875" style="11" customWidth="1"/>
    <col min="12293" max="12293" width="11.85546875" style="11" customWidth="1"/>
    <col min="12294" max="12294" width="0" style="11" hidden="1" customWidth="1"/>
    <col min="12295" max="12296" width="11.42578125" style="11"/>
    <col min="12297" max="12297" width="19.140625" style="11" customWidth="1"/>
    <col min="12298" max="12298" width="9.42578125" style="11" customWidth="1"/>
    <col min="12299" max="12299" width="9.140625" style="11" customWidth="1"/>
    <col min="12300" max="12300" width="0" style="11" hidden="1" customWidth="1"/>
    <col min="12301" max="12301" width="30.42578125" style="11" customWidth="1"/>
    <col min="12302" max="12302" width="26" style="11" customWidth="1"/>
    <col min="12303" max="12303" width="10.85546875" style="11" customWidth="1"/>
    <col min="12304" max="12544" width="11.42578125" style="11"/>
    <col min="12545" max="12545" width="8" style="11" customWidth="1"/>
    <col min="12546" max="12546" width="14" style="11" customWidth="1"/>
    <col min="12547" max="12547" width="6.28515625" style="11" customWidth="1"/>
    <col min="12548" max="12548" width="9.85546875" style="11" customWidth="1"/>
    <col min="12549" max="12549" width="11.85546875" style="11" customWidth="1"/>
    <col min="12550" max="12550" width="0" style="11" hidden="1" customWidth="1"/>
    <col min="12551" max="12552" width="11.42578125" style="11"/>
    <col min="12553" max="12553" width="19.140625" style="11" customWidth="1"/>
    <col min="12554" max="12554" width="9.42578125" style="11" customWidth="1"/>
    <col min="12555" max="12555" width="9.140625" style="11" customWidth="1"/>
    <col min="12556" max="12556" width="0" style="11" hidden="1" customWidth="1"/>
    <col min="12557" max="12557" width="30.42578125" style="11" customWidth="1"/>
    <col min="12558" max="12558" width="26" style="11" customWidth="1"/>
    <col min="12559" max="12559" width="10.85546875" style="11" customWidth="1"/>
    <col min="12560" max="12800" width="11.42578125" style="11"/>
    <col min="12801" max="12801" width="8" style="11" customWidth="1"/>
    <col min="12802" max="12802" width="14" style="11" customWidth="1"/>
    <col min="12803" max="12803" width="6.28515625" style="11" customWidth="1"/>
    <col min="12804" max="12804" width="9.85546875" style="11" customWidth="1"/>
    <col min="12805" max="12805" width="11.85546875" style="11" customWidth="1"/>
    <col min="12806" max="12806" width="0" style="11" hidden="1" customWidth="1"/>
    <col min="12807" max="12808" width="11.42578125" style="11"/>
    <col min="12809" max="12809" width="19.140625" style="11" customWidth="1"/>
    <col min="12810" max="12810" width="9.42578125" style="11" customWidth="1"/>
    <col min="12811" max="12811" width="9.140625" style="11" customWidth="1"/>
    <col min="12812" max="12812" width="0" style="11" hidden="1" customWidth="1"/>
    <col min="12813" max="12813" width="30.42578125" style="11" customWidth="1"/>
    <col min="12814" max="12814" width="26" style="11" customWidth="1"/>
    <col min="12815" max="12815" width="10.85546875" style="11" customWidth="1"/>
    <col min="12816" max="13056" width="11.42578125" style="11"/>
    <col min="13057" max="13057" width="8" style="11" customWidth="1"/>
    <col min="13058" max="13058" width="14" style="11" customWidth="1"/>
    <col min="13059" max="13059" width="6.28515625" style="11" customWidth="1"/>
    <col min="13060" max="13060" width="9.85546875" style="11" customWidth="1"/>
    <col min="13061" max="13061" width="11.85546875" style="11" customWidth="1"/>
    <col min="13062" max="13062" width="0" style="11" hidden="1" customWidth="1"/>
    <col min="13063" max="13064" width="11.42578125" style="11"/>
    <col min="13065" max="13065" width="19.140625" style="11" customWidth="1"/>
    <col min="13066" max="13066" width="9.42578125" style="11" customWidth="1"/>
    <col min="13067" max="13067" width="9.140625" style="11" customWidth="1"/>
    <col min="13068" max="13068" width="0" style="11" hidden="1" customWidth="1"/>
    <col min="13069" max="13069" width="30.42578125" style="11" customWidth="1"/>
    <col min="13070" max="13070" width="26" style="11" customWidth="1"/>
    <col min="13071" max="13071" width="10.85546875" style="11" customWidth="1"/>
    <col min="13072" max="13312" width="11.42578125" style="11"/>
    <col min="13313" max="13313" width="8" style="11" customWidth="1"/>
    <col min="13314" max="13314" width="14" style="11" customWidth="1"/>
    <col min="13315" max="13315" width="6.28515625" style="11" customWidth="1"/>
    <col min="13316" max="13316" width="9.85546875" style="11" customWidth="1"/>
    <col min="13317" max="13317" width="11.85546875" style="11" customWidth="1"/>
    <col min="13318" max="13318" width="0" style="11" hidden="1" customWidth="1"/>
    <col min="13319" max="13320" width="11.42578125" style="11"/>
    <col min="13321" max="13321" width="19.140625" style="11" customWidth="1"/>
    <col min="13322" max="13322" width="9.42578125" style="11" customWidth="1"/>
    <col min="13323" max="13323" width="9.140625" style="11" customWidth="1"/>
    <col min="13324" max="13324" width="0" style="11" hidden="1" customWidth="1"/>
    <col min="13325" max="13325" width="30.42578125" style="11" customWidth="1"/>
    <col min="13326" max="13326" width="26" style="11" customWidth="1"/>
    <col min="13327" max="13327" width="10.85546875" style="11" customWidth="1"/>
    <col min="13328" max="13568" width="11.42578125" style="11"/>
    <col min="13569" max="13569" width="8" style="11" customWidth="1"/>
    <col min="13570" max="13570" width="14" style="11" customWidth="1"/>
    <col min="13571" max="13571" width="6.28515625" style="11" customWidth="1"/>
    <col min="13572" max="13572" width="9.85546875" style="11" customWidth="1"/>
    <col min="13573" max="13573" width="11.85546875" style="11" customWidth="1"/>
    <col min="13574" max="13574" width="0" style="11" hidden="1" customWidth="1"/>
    <col min="13575" max="13576" width="11.42578125" style="11"/>
    <col min="13577" max="13577" width="19.140625" style="11" customWidth="1"/>
    <col min="13578" max="13578" width="9.42578125" style="11" customWidth="1"/>
    <col min="13579" max="13579" width="9.140625" style="11" customWidth="1"/>
    <col min="13580" max="13580" width="0" style="11" hidden="1" customWidth="1"/>
    <col min="13581" max="13581" width="30.42578125" style="11" customWidth="1"/>
    <col min="13582" max="13582" width="26" style="11" customWidth="1"/>
    <col min="13583" max="13583" width="10.85546875" style="11" customWidth="1"/>
    <col min="13584" max="13824" width="11.42578125" style="11"/>
    <col min="13825" max="13825" width="8" style="11" customWidth="1"/>
    <col min="13826" max="13826" width="14" style="11" customWidth="1"/>
    <col min="13827" max="13827" width="6.28515625" style="11" customWidth="1"/>
    <col min="13828" max="13828" width="9.85546875" style="11" customWidth="1"/>
    <col min="13829" max="13829" width="11.85546875" style="11" customWidth="1"/>
    <col min="13830" max="13830" width="0" style="11" hidden="1" customWidth="1"/>
    <col min="13831" max="13832" width="11.42578125" style="11"/>
    <col min="13833" max="13833" width="19.140625" style="11" customWidth="1"/>
    <col min="13834" max="13834" width="9.42578125" style="11" customWidth="1"/>
    <col min="13835" max="13835" width="9.140625" style="11" customWidth="1"/>
    <col min="13836" max="13836" width="0" style="11" hidden="1" customWidth="1"/>
    <col min="13837" max="13837" width="30.42578125" style="11" customWidth="1"/>
    <col min="13838" max="13838" width="26" style="11" customWidth="1"/>
    <col min="13839" max="13839" width="10.85546875" style="11" customWidth="1"/>
    <col min="13840" max="14080" width="11.42578125" style="11"/>
    <col min="14081" max="14081" width="8" style="11" customWidth="1"/>
    <col min="14082" max="14082" width="14" style="11" customWidth="1"/>
    <col min="14083" max="14083" width="6.28515625" style="11" customWidth="1"/>
    <col min="14084" max="14084" width="9.85546875" style="11" customWidth="1"/>
    <col min="14085" max="14085" width="11.85546875" style="11" customWidth="1"/>
    <col min="14086" max="14086" width="0" style="11" hidden="1" customWidth="1"/>
    <col min="14087" max="14088" width="11.42578125" style="11"/>
    <col min="14089" max="14089" width="19.140625" style="11" customWidth="1"/>
    <col min="14090" max="14090" width="9.42578125" style="11" customWidth="1"/>
    <col min="14091" max="14091" width="9.140625" style="11" customWidth="1"/>
    <col min="14092" max="14092" width="0" style="11" hidden="1" customWidth="1"/>
    <col min="14093" max="14093" width="30.42578125" style="11" customWidth="1"/>
    <col min="14094" max="14094" width="26" style="11" customWidth="1"/>
    <col min="14095" max="14095" width="10.85546875" style="11" customWidth="1"/>
    <col min="14096" max="14336" width="11.42578125" style="11"/>
    <col min="14337" max="14337" width="8" style="11" customWidth="1"/>
    <col min="14338" max="14338" width="14" style="11" customWidth="1"/>
    <col min="14339" max="14339" width="6.28515625" style="11" customWidth="1"/>
    <col min="14340" max="14340" width="9.85546875" style="11" customWidth="1"/>
    <col min="14341" max="14341" width="11.85546875" style="11" customWidth="1"/>
    <col min="14342" max="14342" width="0" style="11" hidden="1" customWidth="1"/>
    <col min="14343" max="14344" width="11.42578125" style="11"/>
    <col min="14345" max="14345" width="19.140625" style="11" customWidth="1"/>
    <col min="14346" max="14346" width="9.42578125" style="11" customWidth="1"/>
    <col min="14347" max="14347" width="9.140625" style="11" customWidth="1"/>
    <col min="14348" max="14348" width="0" style="11" hidden="1" customWidth="1"/>
    <col min="14349" max="14349" width="30.42578125" style="11" customWidth="1"/>
    <col min="14350" max="14350" width="26" style="11" customWidth="1"/>
    <col min="14351" max="14351" width="10.85546875" style="11" customWidth="1"/>
    <col min="14352" max="14592" width="11.42578125" style="11"/>
    <col min="14593" max="14593" width="8" style="11" customWidth="1"/>
    <col min="14594" max="14594" width="14" style="11" customWidth="1"/>
    <col min="14595" max="14595" width="6.28515625" style="11" customWidth="1"/>
    <col min="14596" max="14596" width="9.85546875" style="11" customWidth="1"/>
    <col min="14597" max="14597" width="11.85546875" style="11" customWidth="1"/>
    <col min="14598" max="14598" width="0" style="11" hidden="1" customWidth="1"/>
    <col min="14599" max="14600" width="11.42578125" style="11"/>
    <col min="14601" max="14601" width="19.140625" style="11" customWidth="1"/>
    <col min="14602" max="14602" width="9.42578125" style="11" customWidth="1"/>
    <col min="14603" max="14603" width="9.140625" style="11" customWidth="1"/>
    <col min="14604" max="14604" width="0" style="11" hidden="1" customWidth="1"/>
    <col min="14605" max="14605" width="30.42578125" style="11" customWidth="1"/>
    <col min="14606" max="14606" width="26" style="11" customWidth="1"/>
    <col min="14607" max="14607" width="10.85546875" style="11" customWidth="1"/>
    <col min="14608" max="14848" width="11.42578125" style="11"/>
    <col min="14849" max="14849" width="8" style="11" customWidth="1"/>
    <col min="14850" max="14850" width="14" style="11" customWidth="1"/>
    <col min="14851" max="14851" width="6.28515625" style="11" customWidth="1"/>
    <col min="14852" max="14852" width="9.85546875" style="11" customWidth="1"/>
    <col min="14853" max="14853" width="11.85546875" style="11" customWidth="1"/>
    <col min="14854" max="14854" width="0" style="11" hidden="1" customWidth="1"/>
    <col min="14855" max="14856" width="11.42578125" style="11"/>
    <col min="14857" max="14857" width="19.140625" style="11" customWidth="1"/>
    <col min="14858" max="14858" width="9.42578125" style="11" customWidth="1"/>
    <col min="14859" max="14859" width="9.140625" style="11" customWidth="1"/>
    <col min="14860" max="14860" width="0" style="11" hidden="1" customWidth="1"/>
    <col min="14861" max="14861" width="30.42578125" style="11" customWidth="1"/>
    <col min="14862" max="14862" width="26" style="11" customWidth="1"/>
    <col min="14863" max="14863" width="10.85546875" style="11" customWidth="1"/>
    <col min="14864" max="15104" width="11.42578125" style="11"/>
    <col min="15105" max="15105" width="8" style="11" customWidth="1"/>
    <col min="15106" max="15106" width="14" style="11" customWidth="1"/>
    <col min="15107" max="15107" width="6.28515625" style="11" customWidth="1"/>
    <col min="15108" max="15108" width="9.85546875" style="11" customWidth="1"/>
    <col min="15109" max="15109" width="11.85546875" style="11" customWidth="1"/>
    <col min="15110" max="15110" width="0" style="11" hidden="1" customWidth="1"/>
    <col min="15111" max="15112" width="11.42578125" style="11"/>
    <col min="15113" max="15113" width="19.140625" style="11" customWidth="1"/>
    <col min="15114" max="15114" width="9.42578125" style="11" customWidth="1"/>
    <col min="15115" max="15115" width="9.140625" style="11" customWidth="1"/>
    <col min="15116" max="15116" width="0" style="11" hidden="1" customWidth="1"/>
    <col min="15117" max="15117" width="30.42578125" style="11" customWidth="1"/>
    <col min="15118" max="15118" width="26" style="11" customWidth="1"/>
    <col min="15119" max="15119" width="10.85546875" style="11" customWidth="1"/>
    <col min="15120" max="15360" width="11.42578125" style="11"/>
    <col min="15361" max="15361" width="8" style="11" customWidth="1"/>
    <col min="15362" max="15362" width="14" style="11" customWidth="1"/>
    <col min="15363" max="15363" width="6.28515625" style="11" customWidth="1"/>
    <col min="15364" max="15364" width="9.85546875" style="11" customWidth="1"/>
    <col min="15365" max="15365" width="11.85546875" style="11" customWidth="1"/>
    <col min="15366" max="15366" width="0" style="11" hidden="1" customWidth="1"/>
    <col min="15367" max="15368" width="11.42578125" style="11"/>
    <col min="15369" max="15369" width="19.140625" style="11" customWidth="1"/>
    <col min="15370" max="15370" width="9.42578125" style="11" customWidth="1"/>
    <col min="15371" max="15371" width="9.140625" style="11" customWidth="1"/>
    <col min="15372" max="15372" width="0" style="11" hidden="1" customWidth="1"/>
    <col min="15373" max="15373" width="30.42578125" style="11" customWidth="1"/>
    <col min="15374" max="15374" width="26" style="11" customWidth="1"/>
    <col min="15375" max="15375" width="10.85546875" style="11" customWidth="1"/>
    <col min="15376" max="15616" width="11.42578125" style="11"/>
    <col min="15617" max="15617" width="8" style="11" customWidth="1"/>
    <col min="15618" max="15618" width="14" style="11" customWidth="1"/>
    <col min="15619" max="15619" width="6.28515625" style="11" customWidth="1"/>
    <col min="15620" max="15620" width="9.85546875" style="11" customWidth="1"/>
    <col min="15621" max="15621" width="11.85546875" style="11" customWidth="1"/>
    <col min="15622" max="15622" width="0" style="11" hidden="1" customWidth="1"/>
    <col min="15623" max="15624" width="11.42578125" style="11"/>
    <col min="15625" max="15625" width="19.140625" style="11" customWidth="1"/>
    <col min="15626" max="15626" width="9.42578125" style="11" customWidth="1"/>
    <col min="15627" max="15627" width="9.140625" style="11" customWidth="1"/>
    <col min="15628" max="15628" width="0" style="11" hidden="1" customWidth="1"/>
    <col min="15629" max="15629" width="30.42578125" style="11" customWidth="1"/>
    <col min="15630" max="15630" width="26" style="11" customWidth="1"/>
    <col min="15631" max="15631" width="10.85546875" style="11" customWidth="1"/>
    <col min="15632" max="15872" width="11.42578125" style="11"/>
    <col min="15873" max="15873" width="8" style="11" customWidth="1"/>
    <col min="15874" max="15874" width="14" style="11" customWidth="1"/>
    <col min="15875" max="15875" width="6.28515625" style="11" customWidth="1"/>
    <col min="15876" max="15876" width="9.85546875" style="11" customWidth="1"/>
    <col min="15877" max="15877" width="11.85546875" style="11" customWidth="1"/>
    <col min="15878" max="15878" width="0" style="11" hidden="1" customWidth="1"/>
    <col min="15879" max="15880" width="11.42578125" style="11"/>
    <col min="15881" max="15881" width="19.140625" style="11" customWidth="1"/>
    <col min="15882" max="15882" width="9.42578125" style="11" customWidth="1"/>
    <col min="15883" max="15883" width="9.140625" style="11" customWidth="1"/>
    <col min="15884" max="15884" width="0" style="11" hidden="1" customWidth="1"/>
    <col min="15885" max="15885" width="30.42578125" style="11" customWidth="1"/>
    <col min="15886" max="15886" width="26" style="11" customWidth="1"/>
    <col min="15887" max="15887" width="10.85546875" style="11" customWidth="1"/>
    <col min="15888" max="16128" width="11.42578125" style="11"/>
    <col min="16129" max="16129" width="8" style="11" customWidth="1"/>
    <col min="16130" max="16130" width="14" style="11" customWidth="1"/>
    <col min="16131" max="16131" width="6.28515625" style="11" customWidth="1"/>
    <col min="16132" max="16132" width="9.85546875" style="11" customWidth="1"/>
    <col min="16133" max="16133" width="11.85546875" style="11" customWidth="1"/>
    <col min="16134" max="16134" width="0" style="11" hidden="1" customWidth="1"/>
    <col min="16135" max="16136" width="11.42578125" style="11"/>
    <col min="16137" max="16137" width="19.140625" style="11" customWidth="1"/>
    <col min="16138" max="16138" width="9.42578125" style="11" customWidth="1"/>
    <col min="16139" max="16139" width="9.140625" style="11" customWidth="1"/>
    <col min="16140" max="16140" width="0" style="11" hidden="1" customWidth="1"/>
    <col min="16141" max="16141" width="30.42578125" style="11" customWidth="1"/>
    <col min="16142" max="16142" width="26" style="11" customWidth="1"/>
    <col min="16143" max="16143" width="10.85546875" style="11" customWidth="1"/>
    <col min="16144" max="16384" width="11.42578125" style="11"/>
  </cols>
  <sheetData>
    <row r="1" spans="1:17" ht="15" customHeight="1">
      <c r="D1" s="322"/>
      <c r="E1" s="322"/>
      <c r="F1" s="322"/>
      <c r="G1" s="322"/>
      <c r="H1" s="322"/>
      <c r="I1" s="322"/>
      <c r="J1" s="323" t="s">
        <v>410</v>
      </c>
      <c r="K1" s="323"/>
      <c r="L1" s="322"/>
      <c r="M1" s="322"/>
      <c r="N1" s="322"/>
      <c r="O1" s="322"/>
      <c r="P1" s="322"/>
    </row>
    <row r="2" spans="1:17" ht="19.5" customHeight="1">
      <c r="D2" s="321"/>
      <c r="E2" s="321"/>
      <c r="F2" s="321"/>
      <c r="G2" s="321"/>
      <c r="H2" s="321"/>
      <c r="J2" s="320" t="s">
        <v>411</v>
      </c>
      <c r="K2" s="320"/>
      <c r="L2" s="321"/>
      <c r="M2" s="321"/>
      <c r="N2" s="321"/>
      <c r="O2" s="321"/>
      <c r="P2" s="321"/>
    </row>
    <row r="3" spans="1:17" ht="19.5" customHeight="1">
      <c r="C3" s="320"/>
      <c r="D3" s="320"/>
      <c r="E3" s="320"/>
      <c r="F3" s="320"/>
      <c r="G3" s="320"/>
      <c r="H3" s="320"/>
      <c r="I3" s="320"/>
      <c r="J3" s="320"/>
      <c r="K3" s="320"/>
      <c r="L3" s="320"/>
      <c r="M3" s="320"/>
      <c r="N3" s="320"/>
      <c r="O3" s="320"/>
      <c r="P3" s="320"/>
    </row>
    <row r="4" spans="1:17" ht="19.5" customHeight="1">
      <c r="A4" s="386" t="s">
        <v>730</v>
      </c>
      <c r="B4" s="375"/>
      <c r="C4" s="376"/>
      <c r="D4" s="376"/>
      <c r="E4" s="376"/>
      <c r="F4" s="376"/>
      <c r="G4" s="376"/>
      <c r="H4" s="376"/>
      <c r="I4" s="376"/>
      <c r="J4" s="376"/>
      <c r="K4" s="376"/>
      <c r="L4" s="376"/>
      <c r="M4" s="376"/>
      <c r="N4" s="376"/>
      <c r="O4" s="376"/>
      <c r="P4" s="376"/>
      <c r="Q4" s="377"/>
    </row>
    <row r="5" spans="1:17" s="331" customFormat="1" ht="19.5" customHeight="1">
      <c r="A5" s="387">
        <v>2010.3</v>
      </c>
      <c r="B5" s="380"/>
      <c r="C5" s="328" t="s">
        <v>717</v>
      </c>
      <c r="D5" s="328"/>
      <c r="E5" s="381" t="s">
        <v>733</v>
      </c>
      <c r="F5" s="329"/>
      <c r="G5" s="330"/>
      <c r="H5" s="330"/>
      <c r="I5" s="330"/>
      <c r="J5" s="330"/>
      <c r="K5" s="330"/>
      <c r="L5" s="330"/>
      <c r="M5" s="330"/>
      <c r="N5" s="330"/>
      <c r="O5" s="330"/>
      <c r="P5" s="330"/>
      <c r="Q5" s="382"/>
    </row>
    <row r="6" spans="1:17" ht="33.75" customHeight="1">
      <c r="B6" s="378"/>
      <c r="C6" s="324" t="s">
        <v>718</v>
      </c>
      <c r="D6" s="318"/>
      <c r="E6" s="2510" t="str">
        <f>Datos!$C$4</f>
        <v>“MEJORAMIENTO DE LA GESTIÓN MUNICIPAL Y SERVICIO ADMINISTRATIVO DE LA MUNICIPALIDAD PROVINCIAL DE ABANCAY, DISTRITO DE ABANCAY - PROVINCIA DE ABANCAY - DEPARTAMENTO DE APURIMAC”.</v>
      </c>
      <c r="F6" s="2510"/>
      <c r="G6" s="2510"/>
      <c r="H6" s="2510"/>
      <c r="I6" s="2510"/>
      <c r="J6" s="2510"/>
      <c r="K6" s="2510"/>
      <c r="L6" s="2510"/>
      <c r="M6" s="2510"/>
      <c r="N6" s="2510"/>
      <c r="O6" s="2510"/>
      <c r="P6" s="2510"/>
      <c r="Q6" s="379"/>
    </row>
    <row r="7" spans="1:17" ht="19.5" customHeight="1">
      <c r="B7" s="378"/>
      <c r="C7" s="325" t="s">
        <v>719</v>
      </c>
      <c r="D7" s="318"/>
      <c r="E7" s="314" t="s">
        <v>731</v>
      </c>
      <c r="F7" s="314"/>
      <c r="G7" s="318"/>
      <c r="H7" s="318"/>
      <c r="I7" s="318"/>
      <c r="J7" s="318"/>
      <c r="K7" s="318"/>
      <c r="L7" s="318"/>
      <c r="M7" s="318"/>
      <c r="N7" s="318"/>
      <c r="O7" s="318"/>
      <c r="P7" s="318"/>
      <c r="Q7" s="379"/>
    </row>
    <row r="8" spans="1:17" ht="19.5" customHeight="1">
      <c r="B8" s="378"/>
      <c r="C8" s="325" t="s">
        <v>727</v>
      </c>
      <c r="D8" s="318"/>
      <c r="E8" s="326" t="s">
        <v>709</v>
      </c>
      <c r="F8" s="314"/>
      <c r="G8" s="318"/>
      <c r="H8" s="318"/>
      <c r="I8" s="318"/>
      <c r="J8" s="318"/>
      <c r="K8" s="318"/>
      <c r="L8" s="318"/>
      <c r="M8" s="318"/>
      <c r="N8" s="318"/>
      <c r="O8" s="318"/>
      <c r="P8" s="318"/>
      <c r="Q8" s="379"/>
    </row>
    <row r="9" spans="1:17" ht="19.5" customHeight="1">
      <c r="B9" s="378"/>
      <c r="C9" s="327" t="s">
        <v>722</v>
      </c>
      <c r="D9" s="318"/>
      <c r="E9" s="314" t="s">
        <v>732</v>
      </c>
      <c r="F9" s="314"/>
      <c r="G9" s="318"/>
      <c r="H9" s="318"/>
      <c r="I9" s="318"/>
      <c r="J9" s="318"/>
      <c r="K9" s="318"/>
      <c r="L9" s="318"/>
      <c r="M9" s="318"/>
      <c r="N9" s="318"/>
      <c r="O9" s="318"/>
      <c r="P9" s="318"/>
      <c r="Q9" s="379"/>
    </row>
    <row r="10" spans="1:17" ht="19.5" customHeight="1">
      <c r="B10" s="378"/>
      <c r="C10" s="327" t="s">
        <v>723</v>
      </c>
      <c r="D10" s="318"/>
      <c r="E10" s="314" t="s">
        <v>710</v>
      </c>
      <c r="F10" s="314"/>
      <c r="G10" s="318"/>
      <c r="H10" s="318"/>
      <c r="I10" s="318"/>
      <c r="J10" s="318"/>
      <c r="K10" s="318"/>
      <c r="L10" s="318"/>
      <c r="M10" s="318"/>
      <c r="N10" s="318"/>
      <c r="O10" s="318"/>
      <c r="P10" s="318"/>
      <c r="Q10" s="379"/>
    </row>
    <row r="11" spans="1:17" ht="19.5" customHeight="1">
      <c r="B11" s="378"/>
      <c r="C11" s="327" t="s">
        <v>724</v>
      </c>
      <c r="D11" s="318"/>
      <c r="E11" s="314" t="s">
        <v>519</v>
      </c>
      <c r="F11" s="314"/>
      <c r="G11" s="318"/>
      <c r="H11" s="318"/>
      <c r="I11" s="318"/>
      <c r="J11" s="318"/>
      <c r="K11" s="318"/>
      <c r="L11" s="318"/>
      <c r="M11" s="318" t="s">
        <v>716</v>
      </c>
      <c r="N11" s="318" t="s">
        <v>521</v>
      </c>
      <c r="O11" s="318"/>
      <c r="P11" s="318"/>
      <c r="Q11" s="379"/>
    </row>
    <row r="12" spans="1:17" ht="19.5" customHeight="1" thickBot="1">
      <c r="B12" s="378"/>
      <c r="C12" s="319"/>
      <c r="D12" s="319"/>
      <c r="E12" s="319"/>
      <c r="F12" s="319"/>
      <c r="G12" s="319"/>
      <c r="H12" s="319"/>
      <c r="I12" s="319"/>
      <c r="J12" s="319"/>
      <c r="K12" s="319"/>
      <c r="L12" s="319"/>
      <c r="M12" s="319"/>
      <c r="N12" s="319"/>
      <c r="O12" s="319"/>
      <c r="P12" s="319"/>
      <c r="Q12" s="379"/>
    </row>
    <row r="13" spans="1:17" ht="19.5" customHeight="1">
      <c r="B13" s="378"/>
      <c r="C13" s="332"/>
      <c r="D13" s="333"/>
      <c r="E13" s="334"/>
      <c r="F13" s="335"/>
      <c r="G13" s="336"/>
      <c r="H13" s="337" t="s">
        <v>412</v>
      </c>
      <c r="I13" s="336"/>
      <c r="J13" s="338"/>
      <c r="K13" s="333"/>
      <c r="L13" s="334"/>
      <c r="M13" s="339"/>
      <c r="N13" s="339" t="s">
        <v>413</v>
      </c>
      <c r="O13" s="340"/>
      <c r="P13" s="341"/>
      <c r="Q13" s="379"/>
    </row>
    <row r="14" spans="1:17" ht="19.5" customHeight="1">
      <c r="B14" s="378"/>
      <c r="C14" s="342" t="s">
        <v>424</v>
      </c>
      <c r="D14" s="343" t="s">
        <v>85</v>
      </c>
      <c r="E14" s="344" t="s">
        <v>86</v>
      </c>
      <c r="F14" s="345"/>
      <c r="G14" s="346" t="s">
        <v>414</v>
      </c>
      <c r="H14" s="347"/>
      <c r="I14" s="348" t="s">
        <v>713</v>
      </c>
      <c r="J14" s="349" t="s">
        <v>715</v>
      </c>
      <c r="K14" s="343" t="s">
        <v>85</v>
      </c>
      <c r="L14" s="344" t="s">
        <v>712</v>
      </c>
      <c r="M14" s="348" t="s">
        <v>415</v>
      </c>
      <c r="N14" s="348" t="s">
        <v>416</v>
      </c>
      <c r="O14" s="348" t="s">
        <v>715</v>
      </c>
      <c r="P14" s="350" t="s">
        <v>92</v>
      </c>
      <c r="Q14" s="379"/>
    </row>
    <row r="15" spans="1:17" ht="19.5" customHeight="1" thickBot="1">
      <c r="B15" s="378"/>
      <c r="C15" s="351"/>
      <c r="D15" s="352"/>
      <c r="E15" s="353"/>
      <c r="F15" s="354" t="s">
        <v>712</v>
      </c>
      <c r="G15" s="355" t="s">
        <v>417</v>
      </c>
      <c r="H15" s="354" t="s">
        <v>711</v>
      </c>
      <c r="I15" s="356" t="s">
        <v>714</v>
      </c>
      <c r="J15" s="357"/>
      <c r="K15" s="352"/>
      <c r="L15" s="353"/>
      <c r="M15" s="353"/>
      <c r="N15" s="353"/>
      <c r="O15" s="353"/>
      <c r="P15" s="357"/>
      <c r="Q15" s="379"/>
    </row>
    <row r="16" spans="1:17" ht="19.5" customHeight="1">
      <c r="B16" s="378"/>
      <c r="C16" s="358">
        <v>1</v>
      </c>
      <c r="D16" s="359">
        <v>43207</v>
      </c>
      <c r="E16" s="360" t="s">
        <v>734</v>
      </c>
      <c r="F16" s="360">
        <v>200</v>
      </c>
      <c r="G16" s="361" t="s">
        <v>735</v>
      </c>
      <c r="H16" s="360" t="s">
        <v>418</v>
      </c>
      <c r="I16" s="360" t="s">
        <v>736</v>
      </c>
      <c r="J16" s="362"/>
      <c r="K16" s="388">
        <v>43213</v>
      </c>
      <c r="L16" s="360">
        <v>20</v>
      </c>
      <c r="M16" s="389" t="s">
        <v>737</v>
      </c>
      <c r="N16" s="360" t="s">
        <v>738</v>
      </c>
      <c r="O16" s="360"/>
      <c r="P16" s="362">
        <f>F16-L16</f>
        <v>180</v>
      </c>
      <c r="Q16" s="379"/>
    </row>
    <row r="17" spans="2:17" ht="19.5" customHeight="1">
      <c r="B17" s="378"/>
      <c r="C17" s="363">
        <v>2</v>
      </c>
      <c r="D17" s="364"/>
      <c r="E17" s="365"/>
      <c r="F17" s="365"/>
      <c r="G17" s="366"/>
      <c r="H17" s="365"/>
      <c r="I17" s="365"/>
      <c r="J17" s="367"/>
      <c r="K17" s="391">
        <v>43214</v>
      </c>
      <c r="L17" s="365">
        <v>15</v>
      </c>
      <c r="M17" s="390" t="s">
        <v>739</v>
      </c>
      <c r="N17" s="365" t="s">
        <v>741</v>
      </c>
      <c r="O17" s="365" t="s">
        <v>740</v>
      </c>
      <c r="P17" s="367">
        <f>F17+P16-L17</f>
        <v>165</v>
      </c>
      <c r="Q17" s="379"/>
    </row>
    <row r="18" spans="2:17" ht="19.5" customHeight="1">
      <c r="B18" s="378"/>
      <c r="C18" s="363"/>
      <c r="D18" s="364"/>
      <c r="E18" s="365"/>
      <c r="F18" s="365"/>
      <c r="G18" s="366"/>
      <c r="H18" s="365"/>
      <c r="I18" s="365"/>
      <c r="J18" s="367"/>
      <c r="K18" s="363"/>
      <c r="L18" s="365"/>
      <c r="M18" s="390"/>
      <c r="N18" s="365"/>
      <c r="O18" s="365"/>
      <c r="P18" s="367">
        <f>F18+P17-L18</f>
        <v>165</v>
      </c>
      <c r="Q18" s="379"/>
    </row>
    <row r="19" spans="2:17" ht="19.5" customHeight="1">
      <c r="B19" s="378"/>
      <c r="C19" s="363"/>
      <c r="D19" s="364"/>
      <c r="E19" s="365"/>
      <c r="F19" s="365"/>
      <c r="G19" s="366"/>
      <c r="H19" s="365"/>
      <c r="I19" s="365"/>
      <c r="J19" s="367"/>
      <c r="K19" s="363"/>
      <c r="L19" s="365"/>
      <c r="M19" s="390"/>
      <c r="N19" s="365"/>
      <c r="O19" s="365"/>
      <c r="P19" s="367">
        <f>F19+P18-L19</f>
        <v>165</v>
      </c>
      <c r="Q19" s="379"/>
    </row>
    <row r="20" spans="2:17" ht="19.5" customHeight="1">
      <c r="B20" s="378"/>
      <c r="C20" s="363"/>
      <c r="D20" s="364"/>
      <c r="E20" s="365"/>
      <c r="F20" s="365"/>
      <c r="G20" s="366"/>
      <c r="H20" s="365"/>
      <c r="I20" s="365"/>
      <c r="J20" s="367"/>
      <c r="K20" s="363"/>
      <c r="L20" s="365"/>
      <c r="M20" s="390"/>
      <c r="N20" s="365"/>
      <c r="O20" s="365"/>
      <c r="P20" s="367">
        <f>F20+P19-L20</f>
        <v>165</v>
      </c>
      <c r="Q20" s="379"/>
    </row>
    <row r="21" spans="2:17" ht="19.5" customHeight="1">
      <c r="B21" s="378"/>
      <c r="C21" s="363"/>
      <c r="D21" s="364"/>
      <c r="E21" s="365"/>
      <c r="F21" s="365"/>
      <c r="G21" s="366"/>
      <c r="H21" s="365"/>
      <c r="I21" s="365"/>
      <c r="J21" s="367"/>
      <c r="K21" s="363"/>
      <c r="L21" s="365"/>
      <c r="M21" s="390"/>
      <c r="N21" s="365"/>
      <c r="O21" s="365"/>
      <c r="P21" s="367">
        <f>F21+P20-L21</f>
        <v>165</v>
      </c>
      <c r="Q21" s="379"/>
    </row>
    <row r="22" spans="2:17" ht="19.5" customHeight="1">
      <c r="B22" s="378"/>
      <c r="C22" s="363"/>
      <c r="D22" s="364"/>
      <c r="E22" s="365"/>
      <c r="F22" s="365"/>
      <c r="G22" s="366"/>
      <c r="H22" s="366"/>
      <c r="I22" s="365"/>
      <c r="J22" s="367"/>
      <c r="K22" s="363"/>
      <c r="L22" s="365"/>
      <c r="M22" s="390"/>
      <c r="N22" s="365"/>
      <c r="O22" s="365"/>
      <c r="P22" s="367"/>
      <c r="Q22" s="379"/>
    </row>
    <row r="23" spans="2:17" ht="19.5" customHeight="1">
      <c r="B23" s="378"/>
      <c r="C23" s="363"/>
      <c r="D23" s="364"/>
      <c r="E23" s="365"/>
      <c r="F23" s="365"/>
      <c r="G23" s="366"/>
      <c r="H23" s="366"/>
      <c r="I23" s="365"/>
      <c r="J23" s="367"/>
      <c r="K23" s="363"/>
      <c r="L23" s="365"/>
      <c r="M23" s="390"/>
      <c r="N23" s="365"/>
      <c r="O23" s="365"/>
      <c r="P23" s="367"/>
      <c r="Q23" s="379"/>
    </row>
    <row r="24" spans="2:17" ht="19.5" customHeight="1">
      <c r="B24" s="378"/>
      <c r="C24" s="363"/>
      <c r="D24" s="364"/>
      <c r="E24" s="365"/>
      <c r="F24" s="365"/>
      <c r="G24" s="366"/>
      <c r="H24" s="366"/>
      <c r="I24" s="365"/>
      <c r="J24" s="367"/>
      <c r="K24" s="363"/>
      <c r="L24" s="365"/>
      <c r="M24" s="390"/>
      <c r="N24" s="365"/>
      <c r="O24" s="365"/>
      <c r="P24" s="367"/>
      <c r="Q24" s="379"/>
    </row>
    <row r="25" spans="2:17" ht="19.5" customHeight="1">
      <c r="B25" s="378"/>
      <c r="C25" s="363"/>
      <c r="D25" s="364"/>
      <c r="E25" s="365"/>
      <c r="F25" s="365"/>
      <c r="G25" s="365"/>
      <c r="H25" s="366"/>
      <c r="I25" s="365"/>
      <c r="J25" s="367"/>
      <c r="K25" s="363"/>
      <c r="L25" s="365"/>
      <c r="M25" s="390"/>
      <c r="N25" s="365"/>
      <c r="O25" s="365"/>
      <c r="P25" s="367">
        <f>F25+P21-L25</f>
        <v>165</v>
      </c>
      <c r="Q25" s="379"/>
    </row>
    <row r="26" spans="2:17" ht="19.5" customHeight="1" thickBot="1">
      <c r="B26" s="378"/>
      <c r="C26" s="368"/>
      <c r="D26" s="369"/>
      <c r="E26" s="369"/>
      <c r="F26" s="369"/>
      <c r="G26" s="370"/>
      <c r="H26" s="369"/>
      <c r="I26" s="369"/>
      <c r="J26" s="371"/>
      <c r="K26" s="368"/>
      <c r="L26" s="369"/>
      <c r="M26" s="372"/>
      <c r="N26" s="373" t="s">
        <v>419</v>
      </c>
      <c r="O26" s="374"/>
      <c r="P26" s="371">
        <f>P25</f>
        <v>165</v>
      </c>
      <c r="Q26" s="379"/>
    </row>
    <row r="27" spans="2:17" ht="19.5" customHeight="1">
      <c r="B27" s="383"/>
      <c r="C27" s="384"/>
      <c r="D27" s="384"/>
      <c r="E27" s="384"/>
      <c r="F27" s="384"/>
      <c r="G27" s="384"/>
      <c r="H27" s="384"/>
      <c r="I27" s="384"/>
      <c r="J27" s="384"/>
      <c r="K27" s="384"/>
      <c r="L27" s="384"/>
      <c r="M27" s="384"/>
      <c r="N27" s="384"/>
      <c r="O27" s="384"/>
      <c r="P27" s="384"/>
      <c r="Q27" s="385"/>
    </row>
  </sheetData>
  <mergeCells count="1">
    <mergeCell ref="E6:P6"/>
  </mergeCells>
  <pageMargins left="0.43307086614173229" right="0.31496062992125984" top="0.74803149606299213" bottom="0.74803149606299213" header="0.31496062992125984" footer="0.31496062992125984"/>
  <pageSetup paperSize="9" scale="65" orientation="landscape"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FF0000"/>
  </sheetPr>
  <dimension ref="B3:L27"/>
  <sheetViews>
    <sheetView view="pageBreakPreview" zoomScaleNormal="100" zoomScaleSheetLayoutView="100" workbookViewId="0">
      <selection activeCell="E21" sqref="E21"/>
    </sheetView>
  </sheetViews>
  <sheetFormatPr baseColWidth="10" defaultColWidth="11.42578125" defaultRowHeight="12.75"/>
  <cols>
    <col min="1" max="1" width="4.7109375" style="9" customWidth="1"/>
    <col min="2" max="2" width="4" style="9" customWidth="1"/>
    <col min="3" max="3" width="13.42578125" style="9" customWidth="1"/>
    <col min="4" max="4" width="3.5703125" style="9" customWidth="1"/>
    <col min="5" max="5" width="32.28515625" style="9" customWidth="1"/>
    <col min="6" max="7" width="9" style="9" customWidth="1"/>
    <col min="8" max="8" width="10.5703125" style="9" customWidth="1"/>
    <col min="9" max="11" width="8.5703125" style="9" customWidth="1"/>
    <col min="12" max="12" width="3.42578125" style="9" customWidth="1"/>
    <col min="13" max="13" width="5.42578125" style="9" customWidth="1"/>
    <col min="14" max="259" width="11.42578125" style="9"/>
    <col min="260" max="260" width="9" style="9" customWidth="1"/>
    <col min="261" max="261" width="22" style="9" customWidth="1"/>
    <col min="262" max="262" width="15.140625" style="9" customWidth="1"/>
    <col min="263" max="263" width="14.42578125" style="9" customWidth="1"/>
    <col min="264" max="264" width="14.5703125" style="9" customWidth="1"/>
    <col min="265" max="515" width="11.42578125" style="9"/>
    <col min="516" max="516" width="9" style="9" customWidth="1"/>
    <col min="517" max="517" width="22" style="9" customWidth="1"/>
    <col min="518" max="518" width="15.140625" style="9" customWidth="1"/>
    <col min="519" max="519" width="14.42578125" style="9" customWidth="1"/>
    <col min="520" max="520" width="14.5703125" style="9" customWidth="1"/>
    <col min="521" max="771" width="11.42578125" style="9"/>
    <col min="772" max="772" width="9" style="9" customWidth="1"/>
    <col min="773" max="773" width="22" style="9" customWidth="1"/>
    <col min="774" max="774" width="15.140625" style="9" customWidth="1"/>
    <col min="775" max="775" width="14.42578125" style="9" customWidth="1"/>
    <col min="776" max="776" width="14.5703125" style="9" customWidth="1"/>
    <col min="777" max="1027" width="11.42578125" style="9"/>
    <col min="1028" max="1028" width="9" style="9" customWidth="1"/>
    <col min="1029" max="1029" width="22" style="9" customWidth="1"/>
    <col min="1030" max="1030" width="15.140625" style="9" customWidth="1"/>
    <col min="1031" max="1031" width="14.42578125" style="9" customWidth="1"/>
    <col min="1032" max="1032" width="14.5703125" style="9" customWidth="1"/>
    <col min="1033" max="1283" width="11.42578125" style="9"/>
    <col min="1284" max="1284" width="9" style="9" customWidth="1"/>
    <col min="1285" max="1285" width="22" style="9" customWidth="1"/>
    <col min="1286" max="1286" width="15.140625" style="9" customWidth="1"/>
    <col min="1287" max="1287" width="14.42578125" style="9" customWidth="1"/>
    <col min="1288" max="1288" width="14.5703125" style="9" customWidth="1"/>
    <col min="1289" max="1539" width="11.42578125" style="9"/>
    <col min="1540" max="1540" width="9" style="9" customWidth="1"/>
    <col min="1541" max="1541" width="22" style="9" customWidth="1"/>
    <col min="1542" max="1542" width="15.140625" style="9" customWidth="1"/>
    <col min="1543" max="1543" width="14.42578125" style="9" customWidth="1"/>
    <col min="1544" max="1544" width="14.5703125" style="9" customWidth="1"/>
    <col min="1545" max="1795" width="11.42578125" style="9"/>
    <col min="1796" max="1796" width="9" style="9" customWidth="1"/>
    <col min="1797" max="1797" width="22" style="9" customWidth="1"/>
    <col min="1798" max="1798" width="15.140625" style="9" customWidth="1"/>
    <col min="1799" max="1799" width="14.42578125" style="9" customWidth="1"/>
    <col min="1800" max="1800" width="14.5703125" style="9" customWidth="1"/>
    <col min="1801" max="2051" width="11.42578125" style="9"/>
    <col min="2052" max="2052" width="9" style="9" customWidth="1"/>
    <col min="2053" max="2053" width="22" style="9" customWidth="1"/>
    <col min="2054" max="2054" width="15.140625" style="9" customWidth="1"/>
    <col min="2055" max="2055" width="14.42578125" style="9" customWidth="1"/>
    <col min="2056" max="2056" width="14.5703125" style="9" customWidth="1"/>
    <col min="2057" max="2307" width="11.42578125" style="9"/>
    <col min="2308" max="2308" width="9" style="9" customWidth="1"/>
    <col min="2309" max="2309" width="22" style="9" customWidth="1"/>
    <col min="2310" max="2310" width="15.140625" style="9" customWidth="1"/>
    <col min="2311" max="2311" width="14.42578125" style="9" customWidth="1"/>
    <col min="2312" max="2312" width="14.5703125" style="9" customWidth="1"/>
    <col min="2313" max="2563" width="11.42578125" style="9"/>
    <col min="2564" max="2564" width="9" style="9" customWidth="1"/>
    <col min="2565" max="2565" width="22" style="9" customWidth="1"/>
    <col min="2566" max="2566" width="15.140625" style="9" customWidth="1"/>
    <col min="2567" max="2567" width="14.42578125" style="9" customWidth="1"/>
    <col min="2568" max="2568" width="14.5703125" style="9" customWidth="1"/>
    <col min="2569" max="2819" width="11.42578125" style="9"/>
    <col min="2820" max="2820" width="9" style="9" customWidth="1"/>
    <col min="2821" max="2821" width="22" style="9" customWidth="1"/>
    <col min="2822" max="2822" width="15.140625" style="9" customWidth="1"/>
    <col min="2823" max="2823" width="14.42578125" style="9" customWidth="1"/>
    <col min="2824" max="2824" width="14.5703125" style="9" customWidth="1"/>
    <col min="2825" max="3075" width="11.42578125" style="9"/>
    <col min="3076" max="3076" width="9" style="9" customWidth="1"/>
    <col min="3077" max="3077" width="22" style="9" customWidth="1"/>
    <col min="3078" max="3078" width="15.140625" style="9" customWidth="1"/>
    <col min="3079" max="3079" width="14.42578125" style="9" customWidth="1"/>
    <col min="3080" max="3080" width="14.5703125" style="9" customWidth="1"/>
    <col min="3081" max="3331" width="11.42578125" style="9"/>
    <col min="3332" max="3332" width="9" style="9" customWidth="1"/>
    <col min="3333" max="3333" width="22" style="9" customWidth="1"/>
    <col min="3334" max="3334" width="15.140625" style="9" customWidth="1"/>
    <col min="3335" max="3335" width="14.42578125" style="9" customWidth="1"/>
    <col min="3336" max="3336" width="14.5703125" style="9" customWidth="1"/>
    <col min="3337" max="3587" width="11.42578125" style="9"/>
    <col min="3588" max="3588" width="9" style="9" customWidth="1"/>
    <col min="3589" max="3589" width="22" style="9" customWidth="1"/>
    <col min="3590" max="3590" width="15.140625" style="9" customWidth="1"/>
    <col min="3591" max="3591" width="14.42578125" style="9" customWidth="1"/>
    <col min="3592" max="3592" width="14.5703125" style="9" customWidth="1"/>
    <col min="3593" max="3843" width="11.42578125" style="9"/>
    <col min="3844" max="3844" width="9" style="9" customWidth="1"/>
    <col min="3845" max="3845" width="22" style="9" customWidth="1"/>
    <col min="3846" max="3846" width="15.140625" style="9" customWidth="1"/>
    <col min="3847" max="3847" width="14.42578125" style="9" customWidth="1"/>
    <col min="3848" max="3848" width="14.5703125" style="9" customWidth="1"/>
    <col min="3849" max="4099" width="11.42578125" style="9"/>
    <col min="4100" max="4100" width="9" style="9" customWidth="1"/>
    <col min="4101" max="4101" width="22" style="9" customWidth="1"/>
    <col min="4102" max="4102" width="15.140625" style="9" customWidth="1"/>
    <col min="4103" max="4103" width="14.42578125" style="9" customWidth="1"/>
    <col min="4104" max="4104" width="14.5703125" style="9" customWidth="1"/>
    <col min="4105" max="4355" width="11.42578125" style="9"/>
    <col min="4356" max="4356" width="9" style="9" customWidth="1"/>
    <col min="4357" max="4357" width="22" style="9" customWidth="1"/>
    <col min="4358" max="4358" width="15.140625" style="9" customWidth="1"/>
    <col min="4359" max="4359" width="14.42578125" style="9" customWidth="1"/>
    <col min="4360" max="4360" width="14.5703125" style="9" customWidth="1"/>
    <col min="4361" max="4611" width="11.42578125" style="9"/>
    <col min="4612" max="4612" width="9" style="9" customWidth="1"/>
    <col min="4613" max="4613" width="22" style="9" customWidth="1"/>
    <col min="4614" max="4614" width="15.140625" style="9" customWidth="1"/>
    <col min="4615" max="4615" width="14.42578125" style="9" customWidth="1"/>
    <col min="4616" max="4616" width="14.5703125" style="9" customWidth="1"/>
    <col min="4617" max="4867" width="11.42578125" style="9"/>
    <col min="4868" max="4868" width="9" style="9" customWidth="1"/>
    <col min="4869" max="4869" width="22" style="9" customWidth="1"/>
    <col min="4870" max="4870" width="15.140625" style="9" customWidth="1"/>
    <col min="4871" max="4871" width="14.42578125" style="9" customWidth="1"/>
    <col min="4872" max="4872" width="14.5703125" style="9" customWidth="1"/>
    <col min="4873" max="5123" width="11.42578125" style="9"/>
    <col min="5124" max="5124" width="9" style="9" customWidth="1"/>
    <col min="5125" max="5125" width="22" style="9" customWidth="1"/>
    <col min="5126" max="5126" width="15.140625" style="9" customWidth="1"/>
    <col min="5127" max="5127" width="14.42578125" style="9" customWidth="1"/>
    <col min="5128" max="5128" width="14.5703125" style="9" customWidth="1"/>
    <col min="5129" max="5379" width="11.42578125" style="9"/>
    <col min="5380" max="5380" width="9" style="9" customWidth="1"/>
    <col min="5381" max="5381" width="22" style="9" customWidth="1"/>
    <col min="5382" max="5382" width="15.140625" style="9" customWidth="1"/>
    <col min="5383" max="5383" width="14.42578125" style="9" customWidth="1"/>
    <col min="5384" max="5384" width="14.5703125" style="9" customWidth="1"/>
    <col min="5385" max="5635" width="11.42578125" style="9"/>
    <col min="5636" max="5636" width="9" style="9" customWidth="1"/>
    <col min="5637" max="5637" width="22" style="9" customWidth="1"/>
    <col min="5638" max="5638" width="15.140625" style="9" customWidth="1"/>
    <col min="5639" max="5639" width="14.42578125" style="9" customWidth="1"/>
    <col min="5640" max="5640" width="14.5703125" style="9" customWidth="1"/>
    <col min="5641" max="5891" width="11.42578125" style="9"/>
    <col min="5892" max="5892" width="9" style="9" customWidth="1"/>
    <col min="5893" max="5893" width="22" style="9" customWidth="1"/>
    <col min="5894" max="5894" width="15.140625" style="9" customWidth="1"/>
    <col min="5895" max="5895" width="14.42578125" style="9" customWidth="1"/>
    <col min="5896" max="5896" width="14.5703125" style="9" customWidth="1"/>
    <col min="5897" max="6147" width="11.42578125" style="9"/>
    <col min="6148" max="6148" width="9" style="9" customWidth="1"/>
    <col min="6149" max="6149" width="22" style="9" customWidth="1"/>
    <col min="6150" max="6150" width="15.140625" style="9" customWidth="1"/>
    <col min="6151" max="6151" width="14.42578125" style="9" customWidth="1"/>
    <col min="6152" max="6152" width="14.5703125" style="9" customWidth="1"/>
    <col min="6153" max="6403" width="11.42578125" style="9"/>
    <col min="6404" max="6404" width="9" style="9" customWidth="1"/>
    <col min="6405" max="6405" width="22" style="9" customWidth="1"/>
    <col min="6406" max="6406" width="15.140625" style="9" customWidth="1"/>
    <col min="6407" max="6407" width="14.42578125" style="9" customWidth="1"/>
    <col min="6408" max="6408" width="14.5703125" style="9" customWidth="1"/>
    <col min="6409" max="6659" width="11.42578125" style="9"/>
    <col min="6660" max="6660" width="9" style="9" customWidth="1"/>
    <col min="6661" max="6661" width="22" style="9" customWidth="1"/>
    <col min="6662" max="6662" width="15.140625" style="9" customWidth="1"/>
    <col min="6663" max="6663" width="14.42578125" style="9" customWidth="1"/>
    <col min="6664" max="6664" width="14.5703125" style="9" customWidth="1"/>
    <col min="6665" max="6915" width="11.42578125" style="9"/>
    <col min="6916" max="6916" width="9" style="9" customWidth="1"/>
    <col min="6917" max="6917" width="22" style="9" customWidth="1"/>
    <col min="6918" max="6918" width="15.140625" style="9" customWidth="1"/>
    <col min="6919" max="6919" width="14.42578125" style="9" customWidth="1"/>
    <col min="6920" max="6920" width="14.5703125" style="9" customWidth="1"/>
    <col min="6921" max="7171" width="11.42578125" style="9"/>
    <col min="7172" max="7172" width="9" style="9" customWidth="1"/>
    <col min="7173" max="7173" width="22" style="9" customWidth="1"/>
    <col min="7174" max="7174" width="15.140625" style="9" customWidth="1"/>
    <col min="7175" max="7175" width="14.42578125" style="9" customWidth="1"/>
    <col min="7176" max="7176" width="14.5703125" style="9" customWidth="1"/>
    <col min="7177" max="7427" width="11.42578125" style="9"/>
    <col min="7428" max="7428" width="9" style="9" customWidth="1"/>
    <col min="7429" max="7429" width="22" style="9" customWidth="1"/>
    <col min="7430" max="7430" width="15.140625" style="9" customWidth="1"/>
    <col min="7431" max="7431" width="14.42578125" style="9" customWidth="1"/>
    <col min="7432" max="7432" width="14.5703125" style="9" customWidth="1"/>
    <col min="7433" max="7683" width="11.42578125" style="9"/>
    <col min="7684" max="7684" width="9" style="9" customWidth="1"/>
    <col min="7685" max="7685" width="22" style="9" customWidth="1"/>
    <col min="7686" max="7686" width="15.140625" style="9" customWidth="1"/>
    <col min="7687" max="7687" width="14.42578125" style="9" customWidth="1"/>
    <col min="7688" max="7688" width="14.5703125" style="9" customWidth="1"/>
    <col min="7689" max="7939" width="11.42578125" style="9"/>
    <col min="7940" max="7940" width="9" style="9" customWidth="1"/>
    <col min="7941" max="7941" width="22" style="9" customWidth="1"/>
    <col min="7942" max="7942" width="15.140625" style="9" customWidth="1"/>
    <col min="7943" max="7943" width="14.42578125" style="9" customWidth="1"/>
    <col min="7944" max="7944" width="14.5703125" style="9" customWidth="1"/>
    <col min="7945" max="8195" width="11.42578125" style="9"/>
    <col min="8196" max="8196" width="9" style="9" customWidth="1"/>
    <col min="8197" max="8197" width="22" style="9" customWidth="1"/>
    <col min="8198" max="8198" width="15.140625" style="9" customWidth="1"/>
    <col min="8199" max="8199" width="14.42578125" style="9" customWidth="1"/>
    <col min="8200" max="8200" width="14.5703125" style="9" customWidth="1"/>
    <col min="8201" max="8451" width="11.42578125" style="9"/>
    <col min="8452" max="8452" width="9" style="9" customWidth="1"/>
    <col min="8453" max="8453" width="22" style="9" customWidth="1"/>
    <col min="8454" max="8454" width="15.140625" style="9" customWidth="1"/>
    <col min="8455" max="8455" width="14.42578125" style="9" customWidth="1"/>
    <col min="8456" max="8456" width="14.5703125" style="9" customWidth="1"/>
    <col min="8457" max="8707" width="11.42578125" style="9"/>
    <col min="8708" max="8708" width="9" style="9" customWidth="1"/>
    <col min="8709" max="8709" width="22" style="9" customWidth="1"/>
    <col min="8710" max="8710" width="15.140625" style="9" customWidth="1"/>
    <col min="8711" max="8711" width="14.42578125" style="9" customWidth="1"/>
    <col min="8712" max="8712" width="14.5703125" style="9" customWidth="1"/>
    <col min="8713" max="8963" width="11.42578125" style="9"/>
    <col min="8964" max="8964" width="9" style="9" customWidth="1"/>
    <col min="8965" max="8965" width="22" style="9" customWidth="1"/>
    <col min="8966" max="8966" width="15.140625" style="9" customWidth="1"/>
    <col min="8967" max="8967" width="14.42578125" style="9" customWidth="1"/>
    <col min="8968" max="8968" width="14.5703125" style="9" customWidth="1"/>
    <col min="8969" max="9219" width="11.42578125" style="9"/>
    <col min="9220" max="9220" width="9" style="9" customWidth="1"/>
    <col min="9221" max="9221" width="22" style="9" customWidth="1"/>
    <col min="9222" max="9222" width="15.140625" style="9" customWidth="1"/>
    <col min="9223" max="9223" width="14.42578125" style="9" customWidth="1"/>
    <col min="9224" max="9224" width="14.5703125" style="9" customWidth="1"/>
    <col min="9225" max="9475" width="11.42578125" style="9"/>
    <col min="9476" max="9476" width="9" style="9" customWidth="1"/>
    <col min="9477" max="9477" width="22" style="9" customWidth="1"/>
    <col min="9478" max="9478" width="15.140625" style="9" customWidth="1"/>
    <col min="9479" max="9479" width="14.42578125" style="9" customWidth="1"/>
    <col min="9480" max="9480" width="14.5703125" style="9" customWidth="1"/>
    <col min="9481" max="9731" width="11.42578125" style="9"/>
    <col min="9732" max="9732" width="9" style="9" customWidth="1"/>
    <col min="9733" max="9733" width="22" style="9" customWidth="1"/>
    <col min="9734" max="9734" width="15.140625" style="9" customWidth="1"/>
    <col min="9735" max="9735" width="14.42578125" style="9" customWidth="1"/>
    <col min="9736" max="9736" width="14.5703125" style="9" customWidth="1"/>
    <col min="9737" max="9987" width="11.42578125" style="9"/>
    <col min="9988" max="9988" width="9" style="9" customWidth="1"/>
    <col min="9989" max="9989" width="22" style="9" customWidth="1"/>
    <col min="9990" max="9990" width="15.140625" style="9" customWidth="1"/>
    <col min="9991" max="9991" width="14.42578125" style="9" customWidth="1"/>
    <col min="9992" max="9992" width="14.5703125" style="9" customWidth="1"/>
    <col min="9993" max="10243" width="11.42578125" style="9"/>
    <col min="10244" max="10244" width="9" style="9" customWidth="1"/>
    <col min="10245" max="10245" width="22" style="9" customWidth="1"/>
    <col min="10246" max="10246" width="15.140625" style="9" customWidth="1"/>
    <col min="10247" max="10247" width="14.42578125" style="9" customWidth="1"/>
    <col min="10248" max="10248" width="14.5703125" style="9" customWidth="1"/>
    <col min="10249" max="10499" width="11.42578125" style="9"/>
    <col min="10500" max="10500" width="9" style="9" customWidth="1"/>
    <col min="10501" max="10501" width="22" style="9" customWidth="1"/>
    <col min="10502" max="10502" width="15.140625" style="9" customWidth="1"/>
    <col min="10503" max="10503" width="14.42578125" style="9" customWidth="1"/>
    <col min="10504" max="10504" width="14.5703125" style="9" customWidth="1"/>
    <col min="10505" max="10755" width="11.42578125" style="9"/>
    <col min="10756" max="10756" width="9" style="9" customWidth="1"/>
    <col min="10757" max="10757" width="22" style="9" customWidth="1"/>
    <col min="10758" max="10758" width="15.140625" style="9" customWidth="1"/>
    <col min="10759" max="10759" width="14.42578125" style="9" customWidth="1"/>
    <col min="10760" max="10760" width="14.5703125" style="9" customWidth="1"/>
    <col min="10761" max="11011" width="11.42578125" style="9"/>
    <col min="11012" max="11012" width="9" style="9" customWidth="1"/>
    <col min="11013" max="11013" width="22" style="9" customWidth="1"/>
    <col min="11014" max="11014" width="15.140625" style="9" customWidth="1"/>
    <col min="11015" max="11015" width="14.42578125" style="9" customWidth="1"/>
    <col min="11016" max="11016" width="14.5703125" style="9" customWidth="1"/>
    <col min="11017" max="11267" width="11.42578125" style="9"/>
    <col min="11268" max="11268" width="9" style="9" customWidth="1"/>
    <col min="11269" max="11269" width="22" style="9" customWidth="1"/>
    <col min="11270" max="11270" width="15.140625" style="9" customWidth="1"/>
    <col min="11271" max="11271" width="14.42578125" style="9" customWidth="1"/>
    <col min="11272" max="11272" width="14.5703125" style="9" customWidth="1"/>
    <col min="11273" max="11523" width="11.42578125" style="9"/>
    <col min="11524" max="11524" width="9" style="9" customWidth="1"/>
    <col min="11525" max="11525" width="22" style="9" customWidth="1"/>
    <col min="11526" max="11526" width="15.140625" style="9" customWidth="1"/>
    <col min="11527" max="11527" width="14.42578125" style="9" customWidth="1"/>
    <col min="11528" max="11528" width="14.5703125" style="9" customWidth="1"/>
    <col min="11529" max="11779" width="11.42578125" style="9"/>
    <col min="11780" max="11780" width="9" style="9" customWidth="1"/>
    <col min="11781" max="11781" width="22" style="9" customWidth="1"/>
    <col min="11782" max="11782" width="15.140625" style="9" customWidth="1"/>
    <col min="11783" max="11783" width="14.42578125" style="9" customWidth="1"/>
    <col min="11784" max="11784" width="14.5703125" style="9" customWidth="1"/>
    <col min="11785" max="12035" width="11.42578125" style="9"/>
    <col min="12036" max="12036" width="9" style="9" customWidth="1"/>
    <col min="12037" max="12037" width="22" style="9" customWidth="1"/>
    <col min="12038" max="12038" width="15.140625" style="9" customWidth="1"/>
    <col min="12039" max="12039" width="14.42578125" style="9" customWidth="1"/>
    <col min="12040" max="12040" width="14.5703125" style="9" customWidth="1"/>
    <col min="12041" max="12291" width="11.42578125" style="9"/>
    <col min="12292" max="12292" width="9" style="9" customWidth="1"/>
    <col min="12293" max="12293" width="22" style="9" customWidth="1"/>
    <col min="12294" max="12294" width="15.140625" style="9" customWidth="1"/>
    <col min="12295" max="12295" width="14.42578125" style="9" customWidth="1"/>
    <col min="12296" max="12296" width="14.5703125" style="9" customWidth="1"/>
    <col min="12297" max="12547" width="11.42578125" style="9"/>
    <col min="12548" max="12548" width="9" style="9" customWidth="1"/>
    <col min="12549" max="12549" width="22" style="9" customWidth="1"/>
    <col min="12550" max="12550" width="15.140625" style="9" customWidth="1"/>
    <col min="12551" max="12551" width="14.42578125" style="9" customWidth="1"/>
    <col min="12552" max="12552" width="14.5703125" style="9" customWidth="1"/>
    <col min="12553" max="12803" width="11.42578125" style="9"/>
    <col min="12804" max="12804" width="9" style="9" customWidth="1"/>
    <col min="12805" max="12805" width="22" style="9" customWidth="1"/>
    <col min="12806" max="12806" width="15.140625" style="9" customWidth="1"/>
    <col min="12807" max="12807" width="14.42578125" style="9" customWidth="1"/>
    <col min="12808" max="12808" width="14.5703125" style="9" customWidth="1"/>
    <col min="12809" max="13059" width="11.42578125" style="9"/>
    <col min="13060" max="13060" width="9" style="9" customWidth="1"/>
    <col min="13061" max="13061" width="22" style="9" customWidth="1"/>
    <col min="13062" max="13062" width="15.140625" style="9" customWidth="1"/>
    <col min="13063" max="13063" width="14.42578125" style="9" customWidth="1"/>
    <col min="13064" max="13064" width="14.5703125" style="9" customWidth="1"/>
    <col min="13065" max="13315" width="11.42578125" style="9"/>
    <col min="13316" max="13316" width="9" style="9" customWidth="1"/>
    <col min="13317" max="13317" width="22" style="9" customWidth="1"/>
    <col min="13318" max="13318" width="15.140625" style="9" customWidth="1"/>
    <col min="13319" max="13319" width="14.42578125" style="9" customWidth="1"/>
    <col min="13320" max="13320" width="14.5703125" style="9" customWidth="1"/>
    <col min="13321" max="13571" width="11.42578125" style="9"/>
    <col min="13572" max="13572" width="9" style="9" customWidth="1"/>
    <col min="13573" max="13573" width="22" style="9" customWidth="1"/>
    <col min="13574" max="13574" width="15.140625" style="9" customWidth="1"/>
    <col min="13575" max="13575" width="14.42578125" style="9" customWidth="1"/>
    <col min="13576" max="13576" width="14.5703125" style="9" customWidth="1"/>
    <col min="13577" max="13827" width="11.42578125" style="9"/>
    <col min="13828" max="13828" width="9" style="9" customWidth="1"/>
    <col min="13829" max="13829" width="22" style="9" customWidth="1"/>
    <col min="13830" max="13830" width="15.140625" style="9" customWidth="1"/>
    <col min="13831" max="13831" width="14.42578125" style="9" customWidth="1"/>
    <col min="13832" max="13832" width="14.5703125" style="9" customWidth="1"/>
    <col min="13833" max="14083" width="11.42578125" style="9"/>
    <col min="14084" max="14084" width="9" style="9" customWidth="1"/>
    <col min="14085" max="14085" width="22" style="9" customWidth="1"/>
    <col min="14086" max="14086" width="15.140625" style="9" customWidth="1"/>
    <col min="14087" max="14087" width="14.42578125" style="9" customWidth="1"/>
    <col min="14088" max="14088" width="14.5703125" style="9" customWidth="1"/>
    <col min="14089" max="14339" width="11.42578125" style="9"/>
    <col min="14340" max="14340" width="9" style="9" customWidth="1"/>
    <col min="14341" max="14341" width="22" style="9" customWidth="1"/>
    <col min="14342" max="14342" width="15.140625" style="9" customWidth="1"/>
    <col min="14343" max="14343" width="14.42578125" style="9" customWidth="1"/>
    <col min="14344" max="14344" width="14.5703125" style="9" customWidth="1"/>
    <col min="14345" max="14595" width="11.42578125" style="9"/>
    <col min="14596" max="14596" width="9" style="9" customWidth="1"/>
    <col min="14597" max="14597" width="22" style="9" customWidth="1"/>
    <col min="14598" max="14598" width="15.140625" style="9" customWidth="1"/>
    <col min="14599" max="14599" width="14.42578125" style="9" customWidth="1"/>
    <col min="14600" max="14600" width="14.5703125" style="9" customWidth="1"/>
    <col min="14601" max="14851" width="11.42578125" style="9"/>
    <col min="14852" max="14852" width="9" style="9" customWidth="1"/>
    <col min="14853" max="14853" width="22" style="9" customWidth="1"/>
    <col min="14854" max="14854" width="15.140625" style="9" customWidth="1"/>
    <col min="14855" max="14855" width="14.42578125" style="9" customWidth="1"/>
    <col min="14856" max="14856" width="14.5703125" style="9" customWidth="1"/>
    <col min="14857" max="15107" width="11.42578125" style="9"/>
    <col min="15108" max="15108" width="9" style="9" customWidth="1"/>
    <col min="15109" max="15109" width="22" style="9" customWidth="1"/>
    <col min="15110" max="15110" width="15.140625" style="9" customWidth="1"/>
    <col min="15111" max="15111" width="14.42578125" style="9" customWidth="1"/>
    <col min="15112" max="15112" width="14.5703125" style="9" customWidth="1"/>
    <col min="15113" max="15363" width="11.42578125" style="9"/>
    <col min="15364" max="15364" width="9" style="9" customWidth="1"/>
    <col min="15365" max="15365" width="22" style="9" customWidth="1"/>
    <col min="15366" max="15366" width="15.140625" style="9" customWidth="1"/>
    <col min="15367" max="15367" width="14.42578125" style="9" customWidth="1"/>
    <col min="15368" max="15368" width="14.5703125" style="9" customWidth="1"/>
    <col min="15369" max="15619" width="11.42578125" style="9"/>
    <col min="15620" max="15620" width="9" style="9" customWidth="1"/>
    <col min="15621" max="15621" width="22" style="9" customWidth="1"/>
    <col min="15622" max="15622" width="15.140625" style="9" customWidth="1"/>
    <col min="15623" max="15623" width="14.42578125" style="9" customWidth="1"/>
    <col min="15624" max="15624" width="14.5703125" style="9" customWidth="1"/>
    <col min="15625" max="15875" width="11.42578125" style="9"/>
    <col min="15876" max="15876" width="9" style="9" customWidth="1"/>
    <col min="15877" max="15877" width="22" style="9" customWidth="1"/>
    <col min="15878" max="15878" width="15.140625" style="9" customWidth="1"/>
    <col min="15879" max="15879" width="14.42578125" style="9" customWidth="1"/>
    <col min="15880" max="15880" width="14.5703125" style="9" customWidth="1"/>
    <col min="15881" max="16131" width="11.42578125" style="9"/>
    <col min="16132" max="16132" width="9" style="9" customWidth="1"/>
    <col min="16133" max="16133" width="22" style="9" customWidth="1"/>
    <col min="16134" max="16134" width="15.140625" style="9" customWidth="1"/>
    <col min="16135" max="16135" width="14.42578125" style="9" customWidth="1"/>
    <col min="16136" max="16136" width="14.5703125" style="9" customWidth="1"/>
    <col min="16137" max="16384" width="11.42578125" style="9"/>
  </cols>
  <sheetData>
    <row r="3" spans="2:12">
      <c r="B3" s="654"/>
      <c r="C3" s="655"/>
      <c r="D3" s="655"/>
      <c r="E3" s="655"/>
      <c r="F3" s="655"/>
      <c r="G3" s="655"/>
      <c r="H3" s="655"/>
      <c r="I3" s="655"/>
      <c r="J3" s="655"/>
      <c r="K3" s="655"/>
      <c r="L3" s="656"/>
    </row>
    <row r="4" spans="2:12" ht="15.75">
      <c r="B4" s="657"/>
      <c r="E4" s="658"/>
      <c r="F4" s="17" t="s">
        <v>175</v>
      </c>
      <c r="H4" s="658"/>
      <c r="L4" s="659"/>
    </row>
    <row r="5" spans="2:12" ht="15.75">
      <c r="B5" s="657"/>
      <c r="E5" s="658"/>
      <c r="F5" s="17" t="s">
        <v>176</v>
      </c>
      <c r="H5" s="658"/>
      <c r="L5" s="659"/>
    </row>
    <row r="6" spans="2:12">
      <c r="B6" s="657"/>
      <c r="E6" s="15"/>
      <c r="F6" s="71" t="s">
        <v>758</v>
      </c>
      <c r="H6" s="15"/>
      <c r="L6" s="659"/>
    </row>
    <row r="7" spans="2:12" ht="36.75" customHeight="1">
      <c r="B7" s="657"/>
      <c r="C7" s="560" t="s">
        <v>109</v>
      </c>
      <c r="D7" s="560"/>
      <c r="E7" s="2511" t="s">
        <v>450</v>
      </c>
      <c r="F7" s="2511"/>
      <c r="G7" s="2511"/>
      <c r="H7" s="2511"/>
      <c r="I7" s="2511"/>
      <c r="J7" s="2511"/>
      <c r="K7" s="2511"/>
      <c r="L7" s="659"/>
    </row>
    <row r="8" spans="2:12">
      <c r="B8" s="657"/>
      <c r="C8" s="561" t="s">
        <v>143</v>
      </c>
      <c r="D8" s="561"/>
      <c r="E8" s="55" t="s">
        <v>731</v>
      </c>
      <c r="F8" s="55"/>
      <c r="G8" s="55"/>
      <c r="H8" s="55"/>
      <c r="I8" s="55"/>
      <c r="J8" s="54"/>
      <c r="L8" s="659"/>
    </row>
    <row r="9" spans="2:12">
      <c r="B9" s="657"/>
      <c r="C9" s="56" t="s">
        <v>152</v>
      </c>
      <c r="D9" s="56"/>
      <c r="E9" s="54" t="s">
        <v>459</v>
      </c>
      <c r="F9" s="54"/>
      <c r="G9" s="54"/>
      <c r="H9" s="54"/>
      <c r="I9" s="54"/>
      <c r="J9" s="54"/>
      <c r="L9" s="659"/>
    </row>
    <row r="10" spans="2:12">
      <c r="B10" s="657"/>
      <c r="C10" s="56" t="s">
        <v>209</v>
      </c>
      <c r="D10" s="54" t="s">
        <v>39</v>
      </c>
      <c r="E10" s="54" t="s">
        <v>505</v>
      </c>
      <c r="F10" s="54"/>
      <c r="G10" s="562" t="s">
        <v>270</v>
      </c>
      <c r="I10" s="576"/>
      <c r="J10" s="54"/>
      <c r="L10" s="659"/>
    </row>
    <row r="11" spans="2:12" s="45" customFormat="1" ht="15" customHeight="1">
      <c r="B11" s="660"/>
      <c r="C11" s="237" t="s">
        <v>112</v>
      </c>
      <c r="D11" s="237"/>
      <c r="E11" s="238" t="s">
        <v>710</v>
      </c>
      <c r="F11" s="238"/>
      <c r="G11" s="564" t="s">
        <v>178</v>
      </c>
      <c r="H11" s="565"/>
      <c r="J11" s="563"/>
      <c r="L11" s="661"/>
    </row>
    <row r="12" spans="2:12" ht="13.5">
      <c r="B12" s="657"/>
      <c r="C12" s="56" t="s">
        <v>210</v>
      </c>
      <c r="D12" s="56"/>
      <c r="E12" s="55" t="s">
        <v>519</v>
      </c>
      <c r="F12" s="55"/>
      <c r="G12" s="564" t="s">
        <v>271</v>
      </c>
      <c r="H12" s="565"/>
      <c r="J12" s="565"/>
      <c r="L12" s="659"/>
    </row>
    <row r="13" spans="2:12" ht="13.5">
      <c r="B13" s="657"/>
      <c r="C13" s="56" t="s">
        <v>211</v>
      </c>
      <c r="D13" s="56"/>
      <c r="E13" s="55" t="s">
        <v>521</v>
      </c>
      <c r="F13" s="55"/>
      <c r="G13" s="564" t="s">
        <v>180</v>
      </c>
      <c r="H13" s="568"/>
      <c r="J13" s="565"/>
      <c r="L13" s="659"/>
    </row>
    <row r="14" spans="2:12" ht="13.5" thickBot="1">
      <c r="B14" s="657"/>
      <c r="C14" s="561" t="s">
        <v>212</v>
      </c>
      <c r="D14" s="561"/>
      <c r="E14" s="566" t="s">
        <v>533</v>
      </c>
      <c r="F14" s="567"/>
      <c r="J14" s="569"/>
      <c r="L14" s="659"/>
    </row>
    <row r="15" spans="2:12" ht="14.25" customHeight="1">
      <c r="B15" s="657"/>
      <c r="C15" s="597" t="s">
        <v>38</v>
      </c>
      <c r="D15" s="598"/>
      <c r="E15" s="598" t="s">
        <v>181</v>
      </c>
      <c r="F15" s="599"/>
      <c r="G15" s="594" t="s">
        <v>182</v>
      </c>
      <c r="H15" s="600"/>
      <c r="I15" s="593"/>
      <c r="J15" s="594" t="s">
        <v>757</v>
      </c>
      <c r="K15" s="595"/>
      <c r="L15" s="659"/>
    </row>
    <row r="16" spans="2:12" ht="16.5" customHeight="1" thickBot="1">
      <c r="B16" s="657"/>
      <c r="C16" s="609"/>
      <c r="D16" s="610"/>
      <c r="E16" s="611"/>
      <c r="F16" s="612" t="s">
        <v>89</v>
      </c>
      <c r="G16" s="612" t="s">
        <v>90</v>
      </c>
      <c r="H16" s="613" t="s">
        <v>91</v>
      </c>
      <c r="I16" s="614" t="s">
        <v>756</v>
      </c>
      <c r="J16" s="615" t="s">
        <v>712</v>
      </c>
      <c r="K16" s="616" t="s">
        <v>86</v>
      </c>
      <c r="L16" s="659"/>
    </row>
    <row r="17" spans="2:12" ht="16.5" customHeight="1">
      <c r="B17" s="657"/>
      <c r="C17" s="622">
        <v>43082</v>
      </c>
      <c r="D17" s="623"/>
      <c r="E17" s="624" t="s">
        <v>426</v>
      </c>
      <c r="F17" s="625"/>
      <c r="G17" s="626"/>
      <c r="H17" s="627"/>
      <c r="I17" s="628">
        <v>11</v>
      </c>
      <c r="J17" s="629">
        <f>I17*15</f>
        <v>165</v>
      </c>
      <c r="K17" s="630" t="s">
        <v>50</v>
      </c>
      <c r="L17" s="659"/>
    </row>
    <row r="18" spans="2:12" ht="16.5" customHeight="1">
      <c r="B18" s="657"/>
      <c r="C18" s="601">
        <v>43083</v>
      </c>
      <c r="D18" s="572"/>
      <c r="E18" s="573" t="s">
        <v>426</v>
      </c>
      <c r="F18" s="571"/>
      <c r="G18" s="574"/>
      <c r="H18" s="602"/>
      <c r="I18" s="596"/>
      <c r="J18" s="575"/>
      <c r="K18" s="586"/>
      <c r="L18" s="659"/>
    </row>
    <row r="19" spans="2:12" ht="16.5" customHeight="1">
      <c r="B19" s="657"/>
      <c r="C19" s="601">
        <v>43084</v>
      </c>
      <c r="D19" s="572"/>
      <c r="E19" s="573" t="s">
        <v>426</v>
      </c>
      <c r="F19" s="571"/>
      <c r="G19" s="574"/>
      <c r="H19" s="602"/>
      <c r="I19" s="596"/>
      <c r="J19" s="575"/>
      <c r="K19" s="586"/>
      <c r="L19" s="659"/>
    </row>
    <row r="20" spans="2:12" ht="16.5" customHeight="1">
      <c r="B20" s="657"/>
      <c r="C20" s="601">
        <v>43085</v>
      </c>
      <c r="D20" s="572"/>
      <c r="E20" s="573" t="s">
        <v>426</v>
      </c>
      <c r="F20" s="571"/>
      <c r="G20" s="574"/>
      <c r="H20" s="602"/>
      <c r="I20" s="596"/>
      <c r="J20" s="575"/>
      <c r="K20" s="586"/>
      <c r="L20" s="659"/>
    </row>
    <row r="21" spans="2:12" ht="16.5" customHeight="1">
      <c r="B21" s="657"/>
      <c r="C21" s="601">
        <v>43087</v>
      </c>
      <c r="D21" s="572"/>
      <c r="E21" s="573" t="s">
        <v>426</v>
      </c>
      <c r="F21" s="571"/>
      <c r="G21" s="574"/>
      <c r="H21" s="602"/>
      <c r="I21" s="596"/>
      <c r="J21" s="575"/>
      <c r="K21" s="586"/>
      <c r="L21" s="659"/>
    </row>
    <row r="22" spans="2:12" ht="16.5" customHeight="1" thickBot="1">
      <c r="B22" s="657"/>
      <c r="C22" s="631">
        <v>43088</v>
      </c>
      <c r="D22" s="632"/>
      <c r="E22" s="633" t="s">
        <v>426</v>
      </c>
      <c r="F22" s="634"/>
      <c r="G22" s="635"/>
      <c r="H22" s="636"/>
      <c r="I22" s="637"/>
      <c r="J22" s="638"/>
      <c r="K22" s="592"/>
      <c r="L22" s="659"/>
    </row>
    <row r="23" spans="2:12" ht="17.25" thickBot="1">
      <c r="B23" s="657"/>
      <c r="C23" s="617"/>
      <c r="D23" s="618"/>
      <c r="E23" s="618"/>
      <c r="F23" s="618"/>
      <c r="G23" s="618"/>
      <c r="H23" s="619">
        <f>SUM(H17:H22)</f>
        <v>0</v>
      </c>
      <c r="I23" s="620">
        <f t="shared" ref="I23:J23" si="0">SUM(I17:I22)</f>
        <v>11</v>
      </c>
      <c r="J23" s="621">
        <f t="shared" si="0"/>
        <v>165</v>
      </c>
      <c r="K23" s="619" t="s">
        <v>50</v>
      </c>
      <c r="L23" s="659"/>
    </row>
    <row r="24" spans="2:12" ht="16.5">
      <c r="B24" s="657"/>
      <c r="C24" s="579" t="s">
        <v>10</v>
      </c>
      <c r="D24" s="580"/>
      <c r="E24" s="580"/>
      <c r="F24" s="581"/>
      <c r="G24" s="582"/>
      <c r="H24" s="606"/>
      <c r="I24" s="603"/>
      <c r="J24" s="583">
        <f>J23</f>
        <v>165</v>
      </c>
      <c r="K24" s="584" t="s">
        <v>50</v>
      </c>
      <c r="L24" s="659"/>
    </row>
    <row r="25" spans="2:12" ht="16.5">
      <c r="B25" s="657"/>
      <c r="C25" s="585" t="s">
        <v>184</v>
      </c>
      <c r="D25" s="577"/>
      <c r="E25" s="577"/>
      <c r="F25" s="577"/>
      <c r="G25" s="575" t="s">
        <v>728</v>
      </c>
      <c r="H25" s="607"/>
      <c r="I25" s="604"/>
      <c r="J25" s="578">
        <v>9.98</v>
      </c>
      <c r="K25" s="586"/>
      <c r="L25" s="659"/>
    </row>
    <row r="26" spans="2:12" ht="17.25" thickBot="1">
      <c r="B26" s="657"/>
      <c r="C26" s="587"/>
      <c r="D26" s="588"/>
      <c r="E26" s="588"/>
      <c r="F26" s="589" t="s">
        <v>10</v>
      </c>
      <c r="G26" s="590" t="s">
        <v>728</v>
      </c>
      <c r="H26" s="608">
        <f>H24*H25</f>
        <v>0</v>
      </c>
      <c r="I26" s="605"/>
      <c r="J26" s="591">
        <f>J24*J25</f>
        <v>1646.7</v>
      </c>
      <c r="K26" s="592"/>
      <c r="L26" s="659"/>
    </row>
    <row r="27" spans="2:12" ht="16.5">
      <c r="B27" s="662"/>
      <c r="C27" s="663"/>
      <c r="D27" s="663"/>
      <c r="E27" s="663"/>
      <c r="F27" s="570"/>
      <c r="G27" s="570"/>
      <c r="H27" s="664"/>
      <c r="I27" s="663"/>
      <c r="J27" s="663"/>
      <c r="K27" s="665"/>
      <c r="L27" s="666"/>
    </row>
  </sheetData>
  <mergeCells count="1">
    <mergeCell ref="E7:K7"/>
  </mergeCells>
  <printOptions horizontalCentered="1"/>
  <pageMargins left="0.2" right="0.55118110236220474" top="0.36" bottom="0.98425196850393704" header="0" footer="0"/>
  <pageSetup paperSize="9" scale="74" orientation="portrait" horizontalDpi="4294967293" r:id="rId1"/>
  <headerFooter alignWithMargins="0">
    <oddHeader>&amp;C&amp;9FORMATO FE - 09&amp;R&amp;9MUNICIPALIDAD PROVINCIAL DE ABANCAY</oddHeader>
    <oddFooter>&amp;C&amp;8DIRECTIVA PARA FORMULACIÓN, EJECUCION y SUPERVISION DE PROYECTOS EN LA FASE DE  INVERSION POR ADMINISTRACION DIRECTA O ENCARGO</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3">
    <tabColor rgb="FFFF0000"/>
  </sheetPr>
  <dimension ref="B1:I27"/>
  <sheetViews>
    <sheetView view="pageBreakPreview" zoomScale="85" zoomScaleNormal="90" zoomScaleSheetLayoutView="85" workbookViewId="0">
      <selection activeCell="C22" sqref="C22"/>
    </sheetView>
  </sheetViews>
  <sheetFormatPr baseColWidth="10" defaultColWidth="11.42578125" defaultRowHeight="12.75"/>
  <cols>
    <col min="1" max="1" width="5.42578125" style="9" customWidth="1"/>
    <col min="2" max="2" width="29" style="9" customWidth="1"/>
    <col min="3" max="3" width="50.28515625" style="9" customWidth="1"/>
    <col min="4" max="4" width="14" style="9" customWidth="1"/>
    <col min="5" max="6" width="11.42578125" style="9"/>
    <col min="7" max="7" width="8.5703125" style="9" customWidth="1"/>
    <col min="8" max="8" width="9.5703125" style="9" customWidth="1"/>
    <col min="9" max="9" width="14.42578125" style="9" customWidth="1"/>
    <col min="10" max="10" width="3.85546875" style="9" customWidth="1"/>
    <col min="11" max="258" width="11.42578125" style="9"/>
    <col min="259" max="259" width="22.42578125" style="9" customWidth="1"/>
    <col min="260" max="260" width="32" style="9" customWidth="1"/>
    <col min="261" max="263" width="11.42578125" style="9"/>
    <col min="264" max="264" width="13.140625" style="9" customWidth="1"/>
    <col min="265" max="265" width="14.42578125" style="9" customWidth="1"/>
    <col min="266" max="514" width="11.42578125" style="9"/>
    <col min="515" max="515" width="22.42578125" style="9" customWidth="1"/>
    <col min="516" max="516" width="32" style="9" customWidth="1"/>
    <col min="517" max="519" width="11.42578125" style="9"/>
    <col min="520" max="520" width="13.140625" style="9" customWidth="1"/>
    <col min="521" max="521" width="14.42578125" style="9" customWidth="1"/>
    <col min="522" max="770" width="11.42578125" style="9"/>
    <col min="771" max="771" width="22.42578125" style="9" customWidth="1"/>
    <col min="772" max="772" width="32" style="9" customWidth="1"/>
    <col min="773" max="775" width="11.42578125" style="9"/>
    <col min="776" max="776" width="13.140625" style="9" customWidth="1"/>
    <col min="777" max="777" width="14.42578125" style="9" customWidth="1"/>
    <col min="778" max="1026" width="11.42578125" style="9"/>
    <col min="1027" max="1027" width="22.42578125" style="9" customWidth="1"/>
    <col min="1028" max="1028" width="32" style="9" customWidth="1"/>
    <col min="1029" max="1031" width="11.42578125" style="9"/>
    <col min="1032" max="1032" width="13.140625" style="9" customWidth="1"/>
    <col min="1033" max="1033" width="14.42578125" style="9" customWidth="1"/>
    <col min="1034" max="1282" width="11.42578125" style="9"/>
    <col min="1283" max="1283" width="22.42578125" style="9" customWidth="1"/>
    <col min="1284" max="1284" width="32" style="9" customWidth="1"/>
    <col min="1285" max="1287" width="11.42578125" style="9"/>
    <col min="1288" max="1288" width="13.140625" style="9" customWidth="1"/>
    <col min="1289" max="1289" width="14.42578125" style="9" customWidth="1"/>
    <col min="1290" max="1538" width="11.42578125" style="9"/>
    <col min="1539" max="1539" width="22.42578125" style="9" customWidth="1"/>
    <col min="1540" max="1540" width="32" style="9" customWidth="1"/>
    <col min="1541" max="1543" width="11.42578125" style="9"/>
    <col min="1544" max="1544" width="13.140625" style="9" customWidth="1"/>
    <col min="1545" max="1545" width="14.42578125" style="9" customWidth="1"/>
    <col min="1546" max="1794" width="11.42578125" style="9"/>
    <col min="1795" max="1795" width="22.42578125" style="9" customWidth="1"/>
    <col min="1796" max="1796" width="32" style="9" customWidth="1"/>
    <col min="1797" max="1799" width="11.42578125" style="9"/>
    <col min="1800" max="1800" width="13.140625" style="9" customWidth="1"/>
    <col min="1801" max="1801" width="14.42578125" style="9" customWidth="1"/>
    <col min="1802" max="2050" width="11.42578125" style="9"/>
    <col min="2051" max="2051" width="22.42578125" style="9" customWidth="1"/>
    <col min="2052" max="2052" width="32" style="9" customWidth="1"/>
    <col min="2053" max="2055" width="11.42578125" style="9"/>
    <col min="2056" max="2056" width="13.140625" style="9" customWidth="1"/>
    <col min="2057" max="2057" width="14.42578125" style="9" customWidth="1"/>
    <col min="2058" max="2306" width="11.42578125" style="9"/>
    <col min="2307" max="2307" width="22.42578125" style="9" customWidth="1"/>
    <col min="2308" max="2308" width="32" style="9" customWidth="1"/>
    <col min="2309" max="2311" width="11.42578125" style="9"/>
    <col min="2312" max="2312" width="13.140625" style="9" customWidth="1"/>
    <col min="2313" max="2313" width="14.42578125" style="9" customWidth="1"/>
    <col min="2314" max="2562" width="11.42578125" style="9"/>
    <col min="2563" max="2563" width="22.42578125" style="9" customWidth="1"/>
    <col min="2564" max="2564" width="32" style="9" customWidth="1"/>
    <col min="2565" max="2567" width="11.42578125" style="9"/>
    <col min="2568" max="2568" width="13.140625" style="9" customWidth="1"/>
    <col min="2569" max="2569" width="14.42578125" style="9" customWidth="1"/>
    <col min="2570" max="2818" width="11.42578125" style="9"/>
    <col min="2819" max="2819" width="22.42578125" style="9" customWidth="1"/>
    <col min="2820" max="2820" width="32" style="9" customWidth="1"/>
    <col min="2821" max="2823" width="11.42578125" style="9"/>
    <col min="2824" max="2824" width="13.140625" style="9" customWidth="1"/>
    <col min="2825" max="2825" width="14.42578125" style="9" customWidth="1"/>
    <col min="2826" max="3074" width="11.42578125" style="9"/>
    <col min="3075" max="3075" width="22.42578125" style="9" customWidth="1"/>
    <col min="3076" max="3076" width="32" style="9" customWidth="1"/>
    <col min="3077" max="3079" width="11.42578125" style="9"/>
    <col min="3080" max="3080" width="13.140625" style="9" customWidth="1"/>
    <col min="3081" max="3081" width="14.42578125" style="9" customWidth="1"/>
    <col min="3082" max="3330" width="11.42578125" style="9"/>
    <col min="3331" max="3331" width="22.42578125" style="9" customWidth="1"/>
    <col min="3332" max="3332" width="32" style="9" customWidth="1"/>
    <col min="3333" max="3335" width="11.42578125" style="9"/>
    <col min="3336" max="3336" width="13.140625" style="9" customWidth="1"/>
    <col min="3337" max="3337" width="14.42578125" style="9" customWidth="1"/>
    <col min="3338" max="3586" width="11.42578125" style="9"/>
    <col min="3587" max="3587" width="22.42578125" style="9" customWidth="1"/>
    <col min="3588" max="3588" width="32" style="9" customWidth="1"/>
    <col min="3589" max="3591" width="11.42578125" style="9"/>
    <col min="3592" max="3592" width="13.140625" style="9" customWidth="1"/>
    <col min="3593" max="3593" width="14.42578125" style="9" customWidth="1"/>
    <col min="3594" max="3842" width="11.42578125" style="9"/>
    <col min="3843" max="3843" width="22.42578125" style="9" customWidth="1"/>
    <col min="3844" max="3844" width="32" style="9" customWidth="1"/>
    <col min="3845" max="3847" width="11.42578125" style="9"/>
    <col min="3848" max="3848" width="13.140625" style="9" customWidth="1"/>
    <col min="3849" max="3849" width="14.42578125" style="9" customWidth="1"/>
    <col min="3850" max="4098" width="11.42578125" style="9"/>
    <col min="4099" max="4099" width="22.42578125" style="9" customWidth="1"/>
    <col min="4100" max="4100" width="32" style="9" customWidth="1"/>
    <col min="4101" max="4103" width="11.42578125" style="9"/>
    <col min="4104" max="4104" width="13.140625" style="9" customWidth="1"/>
    <col min="4105" max="4105" width="14.42578125" style="9" customWidth="1"/>
    <col min="4106" max="4354" width="11.42578125" style="9"/>
    <col min="4355" max="4355" width="22.42578125" style="9" customWidth="1"/>
    <col min="4356" max="4356" width="32" style="9" customWidth="1"/>
    <col min="4357" max="4359" width="11.42578125" style="9"/>
    <col min="4360" max="4360" width="13.140625" style="9" customWidth="1"/>
    <col min="4361" max="4361" width="14.42578125" style="9" customWidth="1"/>
    <col min="4362" max="4610" width="11.42578125" style="9"/>
    <col min="4611" max="4611" width="22.42578125" style="9" customWidth="1"/>
    <col min="4612" max="4612" width="32" style="9" customWidth="1"/>
    <col min="4613" max="4615" width="11.42578125" style="9"/>
    <col min="4616" max="4616" width="13.140625" style="9" customWidth="1"/>
    <col min="4617" max="4617" width="14.42578125" style="9" customWidth="1"/>
    <col min="4618" max="4866" width="11.42578125" style="9"/>
    <col min="4867" max="4867" width="22.42578125" style="9" customWidth="1"/>
    <col min="4868" max="4868" width="32" style="9" customWidth="1"/>
    <col min="4869" max="4871" width="11.42578125" style="9"/>
    <col min="4872" max="4872" width="13.140625" style="9" customWidth="1"/>
    <col min="4873" max="4873" width="14.42578125" style="9" customWidth="1"/>
    <col min="4874" max="5122" width="11.42578125" style="9"/>
    <col min="5123" max="5123" width="22.42578125" style="9" customWidth="1"/>
    <col min="5124" max="5124" width="32" style="9" customWidth="1"/>
    <col min="5125" max="5127" width="11.42578125" style="9"/>
    <col min="5128" max="5128" width="13.140625" style="9" customWidth="1"/>
    <col min="5129" max="5129" width="14.42578125" style="9" customWidth="1"/>
    <col min="5130" max="5378" width="11.42578125" style="9"/>
    <col min="5379" max="5379" width="22.42578125" style="9" customWidth="1"/>
    <col min="5380" max="5380" width="32" style="9" customWidth="1"/>
    <col min="5381" max="5383" width="11.42578125" style="9"/>
    <col min="5384" max="5384" width="13.140625" style="9" customWidth="1"/>
    <col min="5385" max="5385" width="14.42578125" style="9" customWidth="1"/>
    <col min="5386" max="5634" width="11.42578125" style="9"/>
    <col min="5635" max="5635" width="22.42578125" style="9" customWidth="1"/>
    <col min="5636" max="5636" width="32" style="9" customWidth="1"/>
    <col min="5637" max="5639" width="11.42578125" style="9"/>
    <col min="5640" max="5640" width="13.140625" style="9" customWidth="1"/>
    <col min="5641" max="5641" width="14.42578125" style="9" customWidth="1"/>
    <col min="5642" max="5890" width="11.42578125" style="9"/>
    <col min="5891" max="5891" width="22.42578125" style="9" customWidth="1"/>
    <col min="5892" max="5892" width="32" style="9" customWidth="1"/>
    <col min="5893" max="5895" width="11.42578125" style="9"/>
    <col min="5896" max="5896" width="13.140625" style="9" customWidth="1"/>
    <col min="5897" max="5897" width="14.42578125" style="9" customWidth="1"/>
    <col min="5898" max="6146" width="11.42578125" style="9"/>
    <col min="6147" max="6147" width="22.42578125" style="9" customWidth="1"/>
    <col min="6148" max="6148" width="32" style="9" customWidth="1"/>
    <col min="6149" max="6151" width="11.42578125" style="9"/>
    <col min="6152" max="6152" width="13.140625" style="9" customWidth="1"/>
    <col min="6153" max="6153" width="14.42578125" style="9" customWidth="1"/>
    <col min="6154" max="6402" width="11.42578125" style="9"/>
    <col min="6403" max="6403" width="22.42578125" style="9" customWidth="1"/>
    <col min="6404" max="6404" width="32" style="9" customWidth="1"/>
    <col min="6405" max="6407" width="11.42578125" style="9"/>
    <col min="6408" max="6408" width="13.140625" style="9" customWidth="1"/>
    <col min="6409" max="6409" width="14.42578125" style="9" customWidth="1"/>
    <col min="6410" max="6658" width="11.42578125" style="9"/>
    <col min="6659" max="6659" width="22.42578125" style="9" customWidth="1"/>
    <col min="6660" max="6660" width="32" style="9" customWidth="1"/>
    <col min="6661" max="6663" width="11.42578125" style="9"/>
    <col min="6664" max="6664" width="13.140625" style="9" customWidth="1"/>
    <col min="6665" max="6665" width="14.42578125" style="9" customWidth="1"/>
    <col min="6666" max="6914" width="11.42578125" style="9"/>
    <col min="6915" max="6915" width="22.42578125" style="9" customWidth="1"/>
    <col min="6916" max="6916" width="32" style="9" customWidth="1"/>
    <col min="6917" max="6919" width="11.42578125" style="9"/>
    <col min="6920" max="6920" width="13.140625" style="9" customWidth="1"/>
    <col min="6921" max="6921" width="14.42578125" style="9" customWidth="1"/>
    <col min="6922" max="7170" width="11.42578125" style="9"/>
    <col min="7171" max="7171" width="22.42578125" style="9" customWidth="1"/>
    <col min="7172" max="7172" width="32" style="9" customWidth="1"/>
    <col min="7173" max="7175" width="11.42578125" style="9"/>
    <col min="7176" max="7176" width="13.140625" style="9" customWidth="1"/>
    <col min="7177" max="7177" width="14.42578125" style="9" customWidth="1"/>
    <col min="7178" max="7426" width="11.42578125" style="9"/>
    <col min="7427" max="7427" width="22.42578125" style="9" customWidth="1"/>
    <col min="7428" max="7428" width="32" style="9" customWidth="1"/>
    <col min="7429" max="7431" width="11.42578125" style="9"/>
    <col min="7432" max="7432" width="13.140625" style="9" customWidth="1"/>
    <col min="7433" max="7433" width="14.42578125" style="9" customWidth="1"/>
    <col min="7434" max="7682" width="11.42578125" style="9"/>
    <col min="7683" max="7683" width="22.42578125" style="9" customWidth="1"/>
    <col min="7684" max="7684" width="32" style="9" customWidth="1"/>
    <col min="7685" max="7687" width="11.42578125" style="9"/>
    <col min="7688" max="7688" width="13.140625" style="9" customWidth="1"/>
    <col min="7689" max="7689" width="14.42578125" style="9" customWidth="1"/>
    <col min="7690" max="7938" width="11.42578125" style="9"/>
    <col min="7939" max="7939" width="22.42578125" style="9" customWidth="1"/>
    <col min="7940" max="7940" width="32" style="9" customWidth="1"/>
    <col min="7941" max="7943" width="11.42578125" style="9"/>
    <col min="7944" max="7944" width="13.140625" style="9" customWidth="1"/>
    <col min="7945" max="7945" width="14.42578125" style="9" customWidth="1"/>
    <col min="7946" max="8194" width="11.42578125" style="9"/>
    <col min="8195" max="8195" width="22.42578125" style="9" customWidth="1"/>
    <col min="8196" max="8196" width="32" style="9" customWidth="1"/>
    <col min="8197" max="8199" width="11.42578125" style="9"/>
    <col min="8200" max="8200" width="13.140625" style="9" customWidth="1"/>
    <col min="8201" max="8201" width="14.42578125" style="9" customWidth="1"/>
    <col min="8202" max="8450" width="11.42578125" style="9"/>
    <col min="8451" max="8451" width="22.42578125" style="9" customWidth="1"/>
    <col min="8452" max="8452" width="32" style="9" customWidth="1"/>
    <col min="8453" max="8455" width="11.42578125" style="9"/>
    <col min="8456" max="8456" width="13.140625" style="9" customWidth="1"/>
    <col min="8457" max="8457" width="14.42578125" style="9" customWidth="1"/>
    <col min="8458" max="8706" width="11.42578125" style="9"/>
    <col min="8707" max="8707" width="22.42578125" style="9" customWidth="1"/>
    <col min="8708" max="8708" width="32" style="9" customWidth="1"/>
    <col min="8709" max="8711" width="11.42578125" style="9"/>
    <col min="8712" max="8712" width="13.140625" style="9" customWidth="1"/>
    <col min="8713" max="8713" width="14.42578125" style="9" customWidth="1"/>
    <col min="8714" max="8962" width="11.42578125" style="9"/>
    <col min="8963" max="8963" width="22.42578125" style="9" customWidth="1"/>
    <col min="8964" max="8964" width="32" style="9" customWidth="1"/>
    <col min="8965" max="8967" width="11.42578125" style="9"/>
    <col min="8968" max="8968" width="13.140625" style="9" customWidth="1"/>
    <col min="8969" max="8969" width="14.42578125" style="9" customWidth="1"/>
    <col min="8970" max="9218" width="11.42578125" style="9"/>
    <col min="9219" max="9219" width="22.42578125" style="9" customWidth="1"/>
    <col min="9220" max="9220" width="32" style="9" customWidth="1"/>
    <col min="9221" max="9223" width="11.42578125" style="9"/>
    <col min="9224" max="9224" width="13.140625" style="9" customWidth="1"/>
    <col min="9225" max="9225" width="14.42578125" style="9" customWidth="1"/>
    <col min="9226" max="9474" width="11.42578125" style="9"/>
    <col min="9475" max="9475" width="22.42578125" style="9" customWidth="1"/>
    <col min="9476" max="9476" width="32" style="9" customWidth="1"/>
    <col min="9477" max="9479" width="11.42578125" style="9"/>
    <col min="9480" max="9480" width="13.140625" style="9" customWidth="1"/>
    <col min="9481" max="9481" width="14.42578125" style="9" customWidth="1"/>
    <col min="9482" max="9730" width="11.42578125" style="9"/>
    <col min="9731" max="9731" width="22.42578125" style="9" customWidth="1"/>
    <col min="9732" max="9732" width="32" style="9" customWidth="1"/>
    <col min="9733" max="9735" width="11.42578125" style="9"/>
    <col min="9736" max="9736" width="13.140625" style="9" customWidth="1"/>
    <col min="9737" max="9737" width="14.42578125" style="9" customWidth="1"/>
    <col min="9738" max="9986" width="11.42578125" style="9"/>
    <col min="9987" max="9987" width="22.42578125" style="9" customWidth="1"/>
    <col min="9988" max="9988" width="32" style="9" customWidth="1"/>
    <col min="9989" max="9991" width="11.42578125" style="9"/>
    <col min="9992" max="9992" width="13.140625" style="9" customWidth="1"/>
    <col min="9993" max="9993" width="14.42578125" style="9" customWidth="1"/>
    <col min="9994" max="10242" width="11.42578125" style="9"/>
    <col min="10243" max="10243" width="22.42578125" style="9" customWidth="1"/>
    <col min="10244" max="10244" width="32" style="9" customWidth="1"/>
    <col min="10245" max="10247" width="11.42578125" style="9"/>
    <col min="10248" max="10248" width="13.140625" style="9" customWidth="1"/>
    <col min="10249" max="10249" width="14.42578125" style="9" customWidth="1"/>
    <col min="10250" max="10498" width="11.42578125" style="9"/>
    <col min="10499" max="10499" width="22.42578125" style="9" customWidth="1"/>
    <col min="10500" max="10500" width="32" style="9" customWidth="1"/>
    <col min="10501" max="10503" width="11.42578125" style="9"/>
    <col min="10504" max="10504" width="13.140625" style="9" customWidth="1"/>
    <col min="10505" max="10505" width="14.42578125" style="9" customWidth="1"/>
    <col min="10506" max="10754" width="11.42578125" style="9"/>
    <col min="10755" max="10755" width="22.42578125" style="9" customWidth="1"/>
    <col min="10756" max="10756" width="32" style="9" customWidth="1"/>
    <col min="10757" max="10759" width="11.42578125" style="9"/>
    <col min="10760" max="10760" width="13.140625" style="9" customWidth="1"/>
    <col min="10761" max="10761" width="14.42578125" style="9" customWidth="1"/>
    <col min="10762" max="11010" width="11.42578125" style="9"/>
    <col min="11011" max="11011" width="22.42578125" style="9" customWidth="1"/>
    <col min="11012" max="11012" width="32" style="9" customWidth="1"/>
    <col min="11013" max="11015" width="11.42578125" style="9"/>
    <col min="11016" max="11016" width="13.140625" style="9" customWidth="1"/>
    <col min="11017" max="11017" width="14.42578125" style="9" customWidth="1"/>
    <col min="11018" max="11266" width="11.42578125" style="9"/>
    <col min="11267" max="11267" width="22.42578125" style="9" customWidth="1"/>
    <col min="11268" max="11268" width="32" style="9" customWidth="1"/>
    <col min="11269" max="11271" width="11.42578125" style="9"/>
    <col min="11272" max="11272" width="13.140625" style="9" customWidth="1"/>
    <col min="11273" max="11273" width="14.42578125" style="9" customWidth="1"/>
    <col min="11274" max="11522" width="11.42578125" style="9"/>
    <col min="11523" max="11523" width="22.42578125" style="9" customWidth="1"/>
    <col min="11524" max="11524" width="32" style="9" customWidth="1"/>
    <col min="11525" max="11527" width="11.42578125" style="9"/>
    <col min="11528" max="11528" width="13.140625" style="9" customWidth="1"/>
    <col min="11529" max="11529" width="14.42578125" style="9" customWidth="1"/>
    <col min="11530" max="11778" width="11.42578125" style="9"/>
    <col min="11779" max="11779" width="22.42578125" style="9" customWidth="1"/>
    <col min="11780" max="11780" width="32" style="9" customWidth="1"/>
    <col min="11781" max="11783" width="11.42578125" style="9"/>
    <col min="11784" max="11784" width="13.140625" style="9" customWidth="1"/>
    <col min="11785" max="11785" width="14.42578125" style="9" customWidth="1"/>
    <col min="11786" max="12034" width="11.42578125" style="9"/>
    <col min="12035" max="12035" width="22.42578125" style="9" customWidth="1"/>
    <col min="12036" max="12036" width="32" style="9" customWidth="1"/>
    <col min="12037" max="12039" width="11.42578125" style="9"/>
    <col min="12040" max="12040" width="13.140625" style="9" customWidth="1"/>
    <col min="12041" max="12041" width="14.42578125" style="9" customWidth="1"/>
    <col min="12042" max="12290" width="11.42578125" style="9"/>
    <col min="12291" max="12291" width="22.42578125" style="9" customWidth="1"/>
    <col min="12292" max="12292" width="32" style="9" customWidth="1"/>
    <col min="12293" max="12295" width="11.42578125" style="9"/>
    <col min="12296" max="12296" width="13.140625" style="9" customWidth="1"/>
    <col min="12297" max="12297" width="14.42578125" style="9" customWidth="1"/>
    <col min="12298" max="12546" width="11.42578125" style="9"/>
    <col min="12547" max="12547" width="22.42578125" style="9" customWidth="1"/>
    <col min="12548" max="12548" width="32" style="9" customWidth="1"/>
    <col min="12549" max="12551" width="11.42578125" style="9"/>
    <col min="12552" max="12552" width="13.140625" style="9" customWidth="1"/>
    <col min="12553" max="12553" width="14.42578125" style="9" customWidth="1"/>
    <col min="12554" max="12802" width="11.42578125" style="9"/>
    <col min="12803" max="12803" width="22.42578125" style="9" customWidth="1"/>
    <col min="12804" max="12804" width="32" style="9" customWidth="1"/>
    <col min="12805" max="12807" width="11.42578125" style="9"/>
    <col min="12808" max="12808" width="13.140625" style="9" customWidth="1"/>
    <col min="12809" max="12809" width="14.42578125" style="9" customWidth="1"/>
    <col min="12810" max="13058" width="11.42578125" style="9"/>
    <col min="13059" max="13059" width="22.42578125" style="9" customWidth="1"/>
    <col min="13060" max="13060" width="32" style="9" customWidth="1"/>
    <col min="13061" max="13063" width="11.42578125" style="9"/>
    <col min="13064" max="13064" width="13.140625" style="9" customWidth="1"/>
    <col min="13065" max="13065" width="14.42578125" style="9" customWidth="1"/>
    <col min="13066" max="13314" width="11.42578125" style="9"/>
    <col min="13315" max="13315" width="22.42578125" style="9" customWidth="1"/>
    <col min="13316" max="13316" width="32" style="9" customWidth="1"/>
    <col min="13317" max="13319" width="11.42578125" style="9"/>
    <col min="13320" max="13320" width="13.140625" style="9" customWidth="1"/>
    <col min="13321" max="13321" width="14.42578125" style="9" customWidth="1"/>
    <col min="13322" max="13570" width="11.42578125" style="9"/>
    <col min="13571" max="13571" width="22.42578125" style="9" customWidth="1"/>
    <col min="13572" max="13572" width="32" style="9" customWidth="1"/>
    <col min="13573" max="13575" width="11.42578125" style="9"/>
    <col min="13576" max="13576" width="13.140625" style="9" customWidth="1"/>
    <col min="13577" max="13577" width="14.42578125" style="9" customWidth="1"/>
    <col min="13578" max="13826" width="11.42578125" style="9"/>
    <col min="13827" max="13827" width="22.42578125" style="9" customWidth="1"/>
    <col min="13828" max="13828" width="32" style="9" customWidth="1"/>
    <col min="13829" max="13831" width="11.42578125" style="9"/>
    <col min="13832" max="13832" width="13.140625" style="9" customWidth="1"/>
    <col min="13833" max="13833" width="14.42578125" style="9" customWidth="1"/>
    <col min="13834" max="14082" width="11.42578125" style="9"/>
    <col min="14083" max="14083" width="22.42578125" style="9" customWidth="1"/>
    <col min="14084" max="14084" width="32" style="9" customWidth="1"/>
    <col min="14085" max="14087" width="11.42578125" style="9"/>
    <col min="14088" max="14088" width="13.140625" style="9" customWidth="1"/>
    <col min="14089" max="14089" width="14.42578125" style="9" customWidth="1"/>
    <col min="14090" max="14338" width="11.42578125" style="9"/>
    <col min="14339" max="14339" width="22.42578125" style="9" customWidth="1"/>
    <col min="14340" max="14340" width="32" style="9" customWidth="1"/>
    <col min="14341" max="14343" width="11.42578125" style="9"/>
    <col min="14344" max="14344" width="13.140625" style="9" customWidth="1"/>
    <col min="14345" max="14345" width="14.42578125" style="9" customWidth="1"/>
    <col min="14346" max="14594" width="11.42578125" style="9"/>
    <col min="14595" max="14595" width="22.42578125" style="9" customWidth="1"/>
    <col min="14596" max="14596" width="32" style="9" customWidth="1"/>
    <col min="14597" max="14599" width="11.42578125" style="9"/>
    <col min="14600" max="14600" width="13.140625" style="9" customWidth="1"/>
    <col min="14601" max="14601" width="14.42578125" style="9" customWidth="1"/>
    <col min="14602" max="14850" width="11.42578125" style="9"/>
    <col min="14851" max="14851" width="22.42578125" style="9" customWidth="1"/>
    <col min="14852" max="14852" width="32" style="9" customWidth="1"/>
    <col min="14853" max="14855" width="11.42578125" style="9"/>
    <col min="14856" max="14856" width="13.140625" style="9" customWidth="1"/>
    <col min="14857" max="14857" width="14.42578125" style="9" customWidth="1"/>
    <col min="14858" max="15106" width="11.42578125" style="9"/>
    <col min="15107" max="15107" width="22.42578125" style="9" customWidth="1"/>
    <col min="15108" max="15108" width="32" style="9" customWidth="1"/>
    <col min="15109" max="15111" width="11.42578125" style="9"/>
    <col min="15112" max="15112" width="13.140625" style="9" customWidth="1"/>
    <col min="15113" max="15113" width="14.42578125" style="9" customWidth="1"/>
    <col min="15114" max="15362" width="11.42578125" style="9"/>
    <col min="15363" max="15363" width="22.42578125" style="9" customWidth="1"/>
    <col min="15364" max="15364" width="32" style="9" customWidth="1"/>
    <col min="15365" max="15367" width="11.42578125" style="9"/>
    <col min="15368" max="15368" width="13.140625" style="9" customWidth="1"/>
    <col min="15369" max="15369" width="14.42578125" style="9" customWidth="1"/>
    <col min="15370" max="15618" width="11.42578125" style="9"/>
    <col min="15619" max="15619" width="22.42578125" style="9" customWidth="1"/>
    <col min="15620" max="15620" width="32" style="9" customWidth="1"/>
    <col min="15621" max="15623" width="11.42578125" style="9"/>
    <col min="15624" max="15624" width="13.140625" style="9" customWidth="1"/>
    <col min="15625" max="15625" width="14.42578125" style="9" customWidth="1"/>
    <col min="15626" max="15874" width="11.42578125" style="9"/>
    <col min="15875" max="15875" width="22.42578125" style="9" customWidth="1"/>
    <col min="15876" max="15876" width="32" style="9" customWidth="1"/>
    <col min="15877" max="15879" width="11.42578125" style="9"/>
    <col min="15880" max="15880" width="13.140625" style="9" customWidth="1"/>
    <col min="15881" max="15881" width="14.42578125" style="9" customWidth="1"/>
    <col min="15882" max="16130" width="11.42578125" style="9"/>
    <col min="16131" max="16131" width="22.42578125" style="9" customWidth="1"/>
    <col min="16132" max="16132" width="32" style="9" customWidth="1"/>
    <col min="16133" max="16135" width="11.42578125" style="9"/>
    <col min="16136" max="16136" width="13.140625" style="9" customWidth="1"/>
    <col min="16137" max="16137" width="14.42578125" style="9" customWidth="1"/>
    <col min="16138" max="16384" width="11.42578125" style="9"/>
  </cols>
  <sheetData>
    <row r="1" spans="2:9" s="58" customFormat="1" ht="18">
      <c r="B1" s="2514" t="s">
        <v>185</v>
      </c>
      <c r="C1" s="2514"/>
      <c r="D1" s="2514"/>
      <c r="E1" s="2514"/>
      <c r="F1" s="2514"/>
      <c r="G1" s="2514"/>
      <c r="H1" s="2514"/>
      <c r="I1" s="2514"/>
    </row>
    <row r="2" spans="2:9" s="58" customFormat="1" ht="18">
      <c r="B2" s="2514" t="s">
        <v>186</v>
      </c>
      <c r="C2" s="2514"/>
      <c r="D2" s="2514"/>
      <c r="E2" s="2514"/>
      <c r="F2" s="2514"/>
      <c r="G2" s="2514"/>
      <c r="H2" s="2514"/>
      <c r="I2" s="2514"/>
    </row>
    <row r="3" spans="2:9" s="58" customFormat="1" ht="18">
      <c r="B3" s="2514" t="s">
        <v>769</v>
      </c>
      <c r="C3" s="2514"/>
      <c r="D3" s="2514"/>
      <c r="E3" s="2514"/>
      <c r="F3" s="2514"/>
      <c r="G3" s="2514"/>
      <c r="H3" s="2514"/>
      <c r="I3" s="2514"/>
    </row>
    <row r="4" spans="2:9" ht="15.75">
      <c r="B4" s="17"/>
      <c r="C4" s="17"/>
      <c r="D4" s="17"/>
      <c r="E4" s="17"/>
      <c r="F4" s="17"/>
      <c r="G4" s="17"/>
      <c r="H4" s="17"/>
      <c r="I4" s="17"/>
    </row>
    <row r="5" spans="2:9" ht="36.75" customHeight="1">
      <c r="B5" s="560" t="s">
        <v>109</v>
      </c>
      <c r="C5" s="2511" t="s">
        <v>450</v>
      </c>
      <c r="D5" s="2511"/>
      <c r="E5" s="2511"/>
      <c r="F5" s="2511"/>
      <c r="G5" s="2511"/>
      <c r="H5" s="2511"/>
      <c r="I5" s="2511"/>
    </row>
    <row r="6" spans="2:9">
      <c r="B6" s="561" t="s">
        <v>143</v>
      </c>
      <c r="C6" s="55" t="s">
        <v>731</v>
      </c>
      <c r="D6" s="55"/>
      <c r="E6" s="55"/>
      <c r="F6" s="55"/>
      <c r="G6" s="55"/>
      <c r="H6" s="54"/>
    </row>
    <row r="7" spans="2:9">
      <c r="B7" s="56" t="s">
        <v>152</v>
      </c>
      <c r="C7" s="54" t="s">
        <v>459</v>
      </c>
      <c r="D7" s="54"/>
      <c r="E7" s="54"/>
      <c r="F7" s="54"/>
      <c r="G7" s="54"/>
      <c r="H7" s="54"/>
    </row>
    <row r="8" spans="2:9">
      <c r="B8" s="56" t="s">
        <v>209</v>
      </c>
      <c r="C8" s="54" t="s">
        <v>505</v>
      </c>
      <c r="D8" s="54"/>
      <c r="E8" s="562"/>
      <c r="G8" s="576"/>
      <c r="H8" s="54"/>
    </row>
    <row r="9" spans="2:9" s="45" customFormat="1" ht="15" customHeight="1">
      <c r="B9" s="237" t="s">
        <v>112</v>
      </c>
      <c r="C9" s="238" t="s">
        <v>710</v>
      </c>
      <c r="D9" s="238"/>
      <c r="E9" s="564"/>
      <c r="F9" s="565"/>
      <c r="H9" s="563"/>
    </row>
    <row r="10" spans="2:9" ht="13.5">
      <c r="B10" s="56" t="s">
        <v>210</v>
      </c>
      <c r="C10" s="55" t="s">
        <v>519</v>
      </c>
      <c r="D10" s="55"/>
      <c r="E10" s="564"/>
      <c r="F10" s="565"/>
      <c r="H10" s="565"/>
    </row>
    <row r="11" spans="2:9" ht="13.5">
      <c r="B11" s="56" t="s">
        <v>211</v>
      </c>
      <c r="C11" s="55" t="s">
        <v>521</v>
      </c>
      <c r="D11" s="55"/>
      <c r="E11" s="564"/>
      <c r="F11" s="568"/>
      <c r="H11" s="565"/>
    </row>
    <row r="12" spans="2:9">
      <c r="B12" s="561" t="s">
        <v>212</v>
      </c>
      <c r="C12" s="566" t="s">
        <v>533</v>
      </c>
      <c r="D12" s="567"/>
      <c r="H12" s="569"/>
    </row>
    <row r="13" spans="2:9" s="57" customFormat="1" ht="16.5" customHeight="1">
      <c r="B13" s="2512" t="s">
        <v>187</v>
      </c>
      <c r="C13" s="2512" t="s">
        <v>188</v>
      </c>
      <c r="D13" s="642"/>
      <c r="E13" s="643" t="s">
        <v>760</v>
      </c>
      <c r="F13" s="642"/>
      <c r="G13" s="518" t="s">
        <v>52</v>
      </c>
      <c r="H13" s="516" t="s">
        <v>759</v>
      </c>
      <c r="I13" s="518" t="s">
        <v>24</v>
      </c>
    </row>
    <row r="14" spans="2:9" s="57" customFormat="1" ht="16.5" customHeight="1">
      <c r="B14" s="2513"/>
      <c r="C14" s="2513"/>
      <c r="D14" s="645" t="s">
        <v>89</v>
      </c>
      <c r="E14" s="645" t="s">
        <v>90</v>
      </c>
      <c r="F14" s="645" t="s">
        <v>91</v>
      </c>
      <c r="G14" s="519"/>
      <c r="H14" s="517"/>
      <c r="I14" s="519" t="s">
        <v>10</v>
      </c>
    </row>
    <row r="15" spans="2:9" s="57" customFormat="1" ht="16.5" customHeight="1">
      <c r="B15" s="649" t="s">
        <v>427</v>
      </c>
      <c r="C15" s="650" t="s">
        <v>425</v>
      </c>
      <c r="D15" s="240">
        <v>0</v>
      </c>
      <c r="E15" s="240">
        <v>570</v>
      </c>
      <c r="F15" s="644">
        <f>SUM(D15:E15)</f>
        <v>570</v>
      </c>
      <c r="G15" s="651" t="s">
        <v>50</v>
      </c>
      <c r="H15" s="652">
        <v>9.8000000000000007</v>
      </c>
      <c r="I15" s="646">
        <f>+F15*H15</f>
        <v>5586</v>
      </c>
    </row>
    <row r="16" spans="2:9" s="57" customFormat="1" ht="16.5" customHeight="1">
      <c r="B16" s="649"/>
      <c r="C16" s="650"/>
      <c r="D16" s="240"/>
      <c r="E16" s="240"/>
      <c r="F16" s="644"/>
      <c r="G16" s="651"/>
      <c r="H16" s="652"/>
      <c r="I16" s="646"/>
    </row>
    <row r="17" spans="2:9" s="57" customFormat="1" ht="16.5" customHeight="1">
      <c r="B17" s="649"/>
      <c r="C17" s="650"/>
      <c r="D17" s="240"/>
      <c r="E17" s="240"/>
      <c r="F17" s="644"/>
      <c r="G17" s="651"/>
      <c r="H17" s="652"/>
      <c r="I17" s="646"/>
    </row>
    <row r="18" spans="2:9" s="57" customFormat="1" ht="16.5" customHeight="1">
      <c r="B18" s="649"/>
      <c r="C18" s="650"/>
      <c r="D18" s="240"/>
      <c r="E18" s="240"/>
      <c r="F18" s="644"/>
      <c r="G18" s="651"/>
      <c r="H18" s="652"/>
      <c r="I18" s="646"/>
    </row>
    <row r="19" spans="2:9" s="57" customFormat="1" ht="16.5" customHeight="1">
      <c r="B19" s="649"/>
      <c r="C19" s="650"/>
      <c r="D19" s="240"/>
      <c r="E19" s="240"/>
      <c r="F19" s="644"/>
      <c r="G19" s="651"/>
      <c r="H19" s="652"/>
      <c r="I19" s="646"/>
    </row>
    <row r="20" spans="2:9" s="57" customFormat="1" ht="16.5" customHeight="1">
      <c r="B20" s="649"/>
      <c r="C20" s="650"/>
      <c r="D20" s="240"/>
      <c r="E20" s="240"/>
      <c r="F20" s="644"/>
      <c r="G20" s="651"/>
      <c r="H20" s="652"/>
      <c r="I20" s="646"/>
    </row>
    <row r="21" spans="2:9" s="57" customFormat="1" ht="16.5" customHeight="1">
      <c r="B21" s="649"/>
      <c r="C21" s="650"/>
      <c r="D21" s="240"/>
      <c r="E21" s="240"/>
      <c r="F21" s="644"/>
      <c r="G21" s="651"/>
      <c r="H21" s="652"/>
      <c r="I21" s="646"/>
    </row>
    <row r="22" spans="2:9" s="57" customFormat="1" ht="16.5" customHeight="1">
      <c r="B22" s="649"/>
      <c r="C22" s="650"/>
      <c r="D22" s="240"/>
      <c r="E22" s="240"/>
      <c r="F22" s="644"/>
      <c r="G22" s="651"/>
      <c r="H22" s="652"/>
      <c r="I22" s="646"/>
    </row>
    <row r="23" spans="2:9" s="57" customFormat="1" ht="16.5" customHeight="1">
      <c r="B23" s="649"/>
      <c r="C23" s="650"/>
      <c r="D23" s="240"/>
      <c r="E23" s="240"/>
      <c r="F23" s="644"/>
      <c r="G23" s="651"/>
      <c r="H23" s="652"/>
      <c r="I23" s="646"/>
    </row>
    <row r="24" spans="2:9" s="57" customFormat="1" ht="16.5" customHeight="1">
      <c r="B24" s="649"/>
      <c r="C24" s="650"/>
      <c r="D24" s="240"/>
      <c r="E24" s="240"/>
      <c r="F24" s="644"/>
      <c r="G24" s="651"/>
      <c r="H24" s="652"/>
      <c r="I24" s="646"/>
    </row>
    <row r="25" spans="2:9" s="57" customFormat="1" ht="16.5" customHeight="1">
      <c r="B25" s="649"/>
      <c r="C25" s="650"/>
      <c r="D25" s="240"/>
      <c r="E25" s="240"/>
      <c r="F25" s="644"/>
      <c r="G25" s="651"/>
      <c r="H25" s="652"/>
      <c r="I25" s="646"/>
    </row>
    <row r="26" spans="2:9" s="57" customFormat="1" ht="15" customHeight="1">
      <c r="B26" s="647"/>
      <c r="C26" s="79"/>
      <c r="D26" s="79"/>
      <c r="E26" s="79" t="s">
        <v>10</v>
      </c>
      <c r="F26" s="79"/>
      <c r="G26" s="79"/>
      <c r="H26" s="648"/>
      <c r="I26" s="646">
        <f>SUM(I15:I25)</f>
        <v>5586</v>
      </c>
    </row>
    <row r="27" spans="2:9" s="57" customFormat="1" ht="15" customHeight="1">
      <c r="B27" s="239"/>
      <c r="C27" s="239"/>
      <c r="D27" s="239"/>
      <c r="E27" s="239"/>
      <c r="F27" s="239"/>
      <c r="G27" s="239"/>
      <c r="H27" s="239"/>
      <c r="I27" s="241"/>
    </row>
  </sheetData>
  <mergeCells count="6">
    <mergeCell ref="C5:I5"/>
    <mergeCell ref="B13:B14"/>
    <mergeCell ref="C13:C14"/>
    <mergeCell ref="B1:I1"/>
    <mergeCell ref="B2:I2"/>
    <mergeCell ref="B3:I3"/>
  </mergeCells>
  <printOptions horizontalCentered="1"/>
  <pageMargins left="0.78740157480314965" right="0.78740157480314965" top="0.98425196850393704" bottom="0.98425196850393704" header="0" footer="0"/>
  <pageSetup paperSize="9" scale="53" orientation="portrait" horizontalDpi="4294967293" r:id="rId1"/>
  <headerFooter alignWithMargins="0">
    <oddHeader>&amp;C&amp;9FORMATO FE - 10&amp;R&amp;9MUNICIPALIDAD PROVINCIAL DE ABANCAY</oddHeader>
    <oddFooter>&amp;C&amp;8DIRECTIVA PARA FORMULACIÓN, EJECUCION y SUPERVISION DE PROYECTOS EN LA FASE DE  INVERSION POR ADMINISTRACION DIRECTA O ENCARGO</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4"/>
  <dimension ref="A2:N41"/>
  <sheetViews>
    <sheetView view="pageBreakPreview" zoomScale="115" zoomScaleSheetLayoutView="115" workbookViewId="0">
      <selection activeCell="B7" sqref="B7:N7"/>
    </sheetView>
  </sheetViews>
  <sheetFormatPr baseColWidth="10" defaultColWidth="11.42578125" defaultRowHeight="12.75"/>
  <cols>
    <col min="1" max="1" width="13.7109375" style="9" customWidth="1"/>
    <col min="2" max="16384" width="11.42578125" style="9"/>
  </cols>
  <sheetData>
    <row r="2" spans="1:14" ht="17.100000000000001" customHeight="1">
      <c r="A2" s="2515" t="s">
        <v>199</v>
      </c>
      <c r="B2" s="2515"/>
      <c r="C2" s="2515"/>
      <c r="D2" s="2515"/>
      <c r="E2" s="2515"/>
      <c r="F2" s="2515"/>
      <c r="G2" s="2515"/>
      <c r="H2" s="2515"/>
      <c r="I2" s="2515"/>
      <c r="J2" s="2515"/>
      <c r="K2" s="2515"/>
      <c r="L2" s="2515"/>
      <c r="M2" s="2515"/>
      <c r="N2" s="2515"/>
    </row>
    <row r="3" spans="1:14" ht="17.100000000000001" customHeight="1">
      <c r="A3" s="2516" t="s">
        <v>198</v>
      </c>
      <c r="B3" s="2516"/>
      <c r="C3" s="2516"/>
      <c r="D3" s="2516"/>
      <c r="E3" s="2516"/>
      <c r="F3" s="2516"/>
      <c r="G3" s="2516"/>
      <c r="H3" s="2516"/>
      <c r="I3" s="2516"/>
      <c r="J3" s="2516"/>
      <c r="K3" s="2516"/>
      <c r="L3" s="2516"/>
      <c r="M3" s="2516"/>
      <c r="N3" s="2516"/>
    </row>
    <row r="4" spans="1:14" ht="17.100000000000001" customHeight="1">
      <c r="A4" s="2516" t="s">
        <v>197</v>
      </c>
      <c r="B4" s="2516"/>
      <c r="C4" s="2516"/>
      <c r="D4" s="2516"/>
      <c r="E4" s="2516"/>
      <c r="F4" s="2516"/>
      <c r="G4" s="2516"/>
      <c r="H4" s="2516"/>
      <c r="I4" s="2516"/>
      <c r="J4" s="2516"/>
      <c r="K4" s="2516"/>
      <c r="L4" s="2516"/>
      <c r="M4" s="2516"/>
      <c r="N4" s="2516"/>
    </row>
    <row r="5" spans="1:14" ht="17.100000000000001" customHeight="1">
      <c r="A5" s="2517"/>
      <c r="B5" s="2516"/>
      <c r="C5" s="2516"/>
      <c r="D5" s="2516"/>
      <c r="E5" s="2516"/>
      <c r="F5" s="2516"/>
      <c r="G5" s="2516"/>
      <c r="H5" s="2516"/>
      <c r="I5" s="2516"/>
      <c r="J5" s="2516"/>
      <c r="K5" s="2516"/>
      <c r="L5" s="2516"/>
      <c r="M5" s="2516"/>
      <c r="N5" s="2516"/>
    </row>
    <row r="6" spans="1:14" ht="17.100000000000001" customHeight="1">
      <c r="A6" s="17"/>
      <c r="B6" s="17"/>
      <c r="C6" s="17"/>
      <c r="D6" s="17"/>
      <c r="E6" s="17"/>
      <c r="F6" s="17"/>
      <c r="G6" s="17"/>
      <c r="H6" s="17"/>
      <c r="I6" s="17"/>
      <c r="J6" s="17"/>
      <c r="K6" s="17"/>
      <c r="L6" s="17"/>
      <c r="M6" s="17"/>
      <c r="N6" s="17"/>
    </row>
    <row r="7" spans="1:14" ht="25.5" customHeight="1">
      <c r="A7" s="640" t="s">
        <v>109</v>
      </c>
      <c r="B7" s="2527"/>
      <c r="C7" s="2527"/>
      <c r="D7" s="2527"/>
      <c r="E7" s="2527"/>
      <c r="F7" s="2527"/>
      <c r="G7" s="2527"/>
      <c r="H7" s="2527"/>
      <c r="I7" s="2527"/>
      <c r="J7" s="2527"/>
      <c r="K7" s="2527"/>
      <c r="L7" s="2527"/>
      <c r="M7" s="2527"/>
      <c r="N7" s="2527"/>
    </row>
    <row r="8" spans="1:14" ht="15">
      <c r="A8" s="18" t="s">
        <v>143</v>
      </c>
      <c r="B8" s="12" t="s">
        <v>731</v>
      </c>
      <c r="C8" s="14"/>
      <c r="D8" s="19"/>
      <c r="E8" s="16"/>
      <c r="F8" s="13"/>
      <c r="G8" s="14"/>
      <c r="H8" s="14"/>
      <c r="I8" s="14"/>
      <c r="K8" s="13"/>
      <c r="L8" s="14"/>
      <c r="M8" s="14"/>
      <c r="N8" s="13"/>
    </row>
    <row r="9" spans="1:14" ht="15">
      <c r="A9" s="18" t="s">
        <v>110</v>
      </c>
      <c r="B9" s="639" t="s">
        <v>459</v>
      </c>
      <c r="C9" s="14"/>
      <c r="D9" s="19"/>
      <c r="E9" s="15"/>
      <c r="F9" s="13"/>
      <c r="G9" s="14"/>
      <c r="H9" s="14"/>
      <c r="I9" s="14"/>
      <c r="J9" s="13" t="s">
        <v>177</v>
      </c>
      <c r="K9" s="13"/>
      <c r="L9" s="14"/>
      <c r="M9" s="14"/>
      <c r="N9" s="13"/>
    </row>
    <row r="10" spans="1:14">
      <c r="A10" s="18" t="s">
        <v>111</v>
      </c>
      <c r="B10" s="12" t="s">
        <v>505</v>
      </c>
      <c r="C10" s="14"/>
      <c r="D10" s="14"/>
      <c r="E10" s="14"/>
      <c r="F10" s="14"/>
      <c r="G10" s="14"/>
      <c r="H10" s="14"/>
      <c r="I10" s="14"/>
      <c r="J10" s="13" t="s">
        <v>178</v>
      </c>
      <c r="K10" s="14"/>
      <c r="L10" s="14"/>
      <c r="M10" s="14"/>
      <c r="N10" s="14"/>
    </row>
    <row r="11" spans="1:14">
      <c r="A11" s="18" t="s">
        <v>112</v>
      </c>
      <c r="B11" s="12" t="s">
        <v>138</v>
      </c>
      <c r="C11" s="14"/>
      <c r="D11" s="14"/>
      <c r="E11" s="14"/>
      <c r="F11" s="14"/>
      <c r="G11" s="14"/>
      <c r="H11" s="14"/>
      <c r="I11" s="14"/>
      <c r="J11" s="13" t="s">
        <v>179</v>
      </c>
      <c r="K11" s="14"/>
      <c r="L11" s="14"/>
      <c r="M11" s="14"/>
      <c r="N11" s="14"/>
    </row>
    <row r="12" spans="1:14">
      <c r="A12" s="18" t="s">
        <v>212</v>
      </c>
      <c r="B12" s="653" t="s">
        <v>754</v>
      </c>
      <c r="C12" s="14"/>
      <c r="D12" s="15"/>
      <c r="E12" s="14"/>
      <c r="F12" s="14"/>
      <c r="G12" s="14"/>
      <c r="H12" s="14"/>
      <c r="I12" s="14"/>
      <c r="J12" s="13" t="s">
        <v>196</v>
      </c>
      <c r="K12" s="14"/>
      <c r="L12" s="14"/>
      <c r="M12" s="14"/>
      <c r="N12" s="14"/>
    </row>
    <row r="14" spans="1:14" ht="12.75" customHeight="1">
      <c r="A14" s="2518" t="s">
        <v>38</v>
      </c>
      <c r="B14" s="2521" t="s">
        <v>195</v>
      </c>
      <c r="C14" s="2522"/>
      <c r="D14" s="2523"/>
      <c r="E14" s="2521" t="s">
        <v>194</v>
      </c>
      <c r="F14" s="2522"/>
      <c r="G14" s="2523"/>
      <c r="H14" s="2521" t="s">
        <v>193</v>
      </c>
      <c r="I14" s="2522"/>
      <c r="J14" s="2523"/>
      <c r="K14" s="2521" t="s">
        <v>41</v>
      </c>
      <c r="L14" s="2522"/>
      <c r="M14" s="2523"/>
      <c r="N14" s="41" t="s">
        <v>24</v>
      </c>
    </row>
    <row r="15" spans="1:14">
      <c r="A15" s="2519"/>
      <c r="B15" s="2524"/>
      <c r="C15" s="2525"/>
      <c r="D15" s="2526"/>
      <c r="E15" s="2524"/>
      <c r="F15" s="2525"/>
      <c r="G15" s="2526"/>
      <c r="H15" s="2524"/>
      <c r="I15" s="2525"/>
      <c r="J15" s="2526"/>
      <c r="K15" s="2524"/>
      <c r="L15" s="2525"/>
      <c r="M15" s="2526"/>
      <c r="N15" s="40" t="s">
        <v>10</v>
      </c>
    </row>
    <row r="16" spans="1:14">
      <c r="A16" s="2520"/>
      <c r="B16" s="39" t="s">
        <v>191</v>
      </c>
      <c r="C16" s="39" t="s">
        <v>190</v>
      </c>
      <c r="D16" s="38" t="s">
        <v>113</v>
      </c>
      <c r="E16" s="39" t="s">
        <v>191</v>
      </c>
      <c r="F16" s="39" t="s">
        <v>190</v>
      </c>
      <c r="G16" s="38" t="s">
        <v>113</v>
      </c>
      <c r="H16" s="39" t="s">
        <v>192</v>
      </c>
      <c r="I16" s="39" t="s">
        <v>190</v>
      </c>
      <c r="J16" s="38" t="s">
        <v>113</v>
      </c>
      <c r="K16" s="39" t="s">
        <v>191</v>
      </c>
      <c r="L16" s="39" t="s">
        <v>190</v>
      </c>
      <c r="M16" s="38" t="s">
        <v>113</v>
      </c>
      <c r="N16" s="37" t="s">
        <v>189</v>
      </c>
    </row>
    <row r="17" spans="1:14">
      <c r="A17" s="32"/>
      <c r="B17" s="33"/>
      <c r="C17" s="33"/>
      <c r="D17" s="29"/>
      <c r="E17" s="36"/>
      <c r="F17" s="36"/>
      <c r="G17" s="29"/>
      <c r="H17" s="36"/>
      <c r="I17" s="36"/>
      <c r="J17" s="29"/>
      <c r="K17" s="36"/>
      <c r="L17" s="36"/>
      <c r="M17" s="29"/>
      <c r="N17" s="28">
        <f t="shared" ref="N17:N25" si="0">M17+J17+G17+D17</f>
        <v>0</v>
      </c>
    </row>
    <row r="18" spans="1:14">
      <c r="A18" s="34"/>
      <c r="B18" s="641"/>
      <c r="C18" s="641"/>
      <c r="D18" s="29"/>
      <c r="E18" s="35"/>
      <c r="F18" s="35"/>
      <c r="G18" s="29"/>
      <c r="H18" s="35"/>
      <c r="I18" s="35"/>
      <c r="J18" s="29"/>
      <c r="K18" s="35"/>
      <c r="L18" s="35"/>
      <c r="M18" s="29"/>
      <c r="N18" s="28">
        <f t="shared" si="0"/>
        <v>0</v>
      </c>
    </row>
    <row r="19" spans="1:14">
      <c r="A19" s="34"/>
      <c r="B19" s="641"/>
      <c r="C19" s="641"/>
      <c r="D19" s="29"/>
      <c r="E19" s="35"/>
      <c r="F19" s="35"/>
      <c r="G19" s="29"/>
      <c r="H19" s="35"/>
      <c r="I19" s="35"/>
      <c r="J19" s="29"/>
      <c r="K19" s="35"/>
      <c r="L19" s="35"/>
      <c r="M19" s="29"/>
      <c r="N19" s="28">
        <f t="shared" si="0"/>
        <v>0</v>
      </c>
    </row>
    <row r="20" spans="1:14">
      <c r="A20" s="34"/>
      <c r="B20" s="641"/>
      <c r="C20" s="641"/>
      <c r="D20" s="29"/>
      <c r="E20" s="35"/>
      <c r="F20" s="35"/>
      <c r="G20" s="29"/>
      <c r="H20" s="35"/>
      <c r="I20" s="35"/>
      <c r="J20" s="29"/>
      <c r="K20" s="35"/>
      <c r="L20" s="35"/>
      <c r="M20" s="29"/>
      <c r="N20" s="28">
        <f t="shared" si="0"/>
        <v>0</v>
      </c>
    </row>
    <row r="21" spans="1:14">
      <c r="A21" s="34"/>
      <c r="B21" s="641"/>
      <c r="C21" s="641"/>
      <c r="D21" s="29"/>
      <c r="E21" s="35"/>
      <c r="F21" s="35"/>
      <c r="G21" s="29"/>
      <c r="H21" s="35"/>
      <c r="I21" s="35"/>
      <c r="J21" s="29"/>
      <c r="K21" s="35"/>
      <c r="L21" s="35"/>
      <c r="M21" s="29"/>
      <c r="N21" s="28">
        <f t="shared" si="0"/>
        <v>0</v>
      </c>
    </row>
    <row r="22" spans="1:14">
      <c r="A22" s="34"/>
      <c r="B22" s="641"/>
      <c r="C22" s="641"/>
      <c r="D22" s="29"/>
      <c r="E22" s="35"/>
      <c r="F22" s="35"/>
      <c r="G22" s="29"/>
      <c r="H22" s="35"/>
      <c r="I22" s="35"/>
      <c r="J22" s="29"/>
      <c r="K22" s="35"/>
      <c r="L22" s="35"/>
      <c r="M22" s="29"/>
      <c r="N22" s="28">
        <f t="shared" si="0"/>
        <v>0</v>
      </c>
    </row>
    <row r="23" spans="1:14">
      <c r="A23" s="34"/>
      <c r="B23" s="641"/>
      <c r="C23" s="641"/>
      <c r="D23" s="29"/>
      <c r="E23" s="35"/>
      <c r="F23" s="35"/>
      <c r="G23" s="29"/>
      <c r="H23" s="35"/>
      <c r="I23" s="35"/>
      <c r="J23" s="29"/>
      <c r="K23" s="35"/>
      <c r="L23" s="35"/>
      <c r="M23" s="29"/>
      <c r="N23" s="28">
        <f t="shared" si="0"/>
        <v>0</v>
      </c>
    </row>
    <row r="24" spans="1:14">
      <c r="A24" s="34"/>
      <c r="B24" s="641"/>
      <c r="C24" s="641"/>
      <c r="D24" s="29"/>
      <c r="E24" s="29"/>
      <c r="F24" s="29"/>
      <c r="G24" s="29"/>
      <c r="H24" s="29"/>
      <c r="I24" s="29"/>
      <c r="J24" s="29"/>
      <c r="K24" s="29"/>
      <c r="L24" s="29"/>
      <c r="M24" s="29"/>
      <c r="N24" s="28">
        <f t="shared" si="0"/>
        <v>0</v>
      </c>
    </row>
    <row r="25" spans="1:14">
      <c r="A25" s="32"/>
      <c r="B25" s="31"/>
      <c r="C25" s="30"/>
      <c r="D25" s="29"/>
      <c r="E25" s="29"/>
      <c r="F25" s="29"/>
      <c r="G25" s="29"/>
      <c r="H25" s="29"/>
      <c r="I25" s="29"/>
      <c r="J25" s="29"/>
      <c r="K25" s="29"/>
      <c r="L25" s="29"/>
      <c r="M25" s="29"/>
      <c r="N25" s="28">
        <f t="shared" si="0"/>
        <v>0</v>
      </c>
    </row>
    <row r="26" spans="1:14">
      <c r="A26" s="27"/>
      <c r="B26" s="27"/>
      <c r="C26" s="26"/>
      <c r="D26" s="26"/>
      <c r="E26" s="26"/>
      <c r="F26" s="26"/>
      <c r="G26" s="26"/>
      <c r="H26" s="26"/>
      <c r="I26" s="26"/>
      <c r="J26" s="26"/>
      <c r="K26" s="26"/>
      <c r="L26" s="26"/>
      <c r="M26" s="26"/>
      <c r="N26" s="26"/>
    </row>
    <row r="27" spans="1:14">
      <c r="A27" s="25"/>
      <c r="B27" s="25"/>
      <c r="C27" s="24"/>
      <c r="D27" s="24"/>
      <c r="E27" s="24"/>
      <c r="F27" s="24"/>
      <c r="G27" s="24"/>
      <c r="H27" s="24"/>
      <c r="I27" s="24"/>
      <c r="J27" s="24"/>
      <c r="K27" s="24"/>
      <c r="L27" s="24"/>
      <c r="M27" s="24"/>
      <c r="N27" s="24"/>
    </row>
    <row r="28" spans="1:14">
      <c r="A28" s="23" t="s">
        <v>10</v>
      </c>
      <c r="B28" s="21">
        <f>SUM(B17:B26)</f>
        <v>0</v>
      </c>
      <c r="C28" s="21"/>
      <c r="D28" s="21">
        <f>SUM(D17:D26)</f>
        <v>0</v>
      </c>
      <c r="E28" s="21">
        <f>SUM(E17:E26)</f>
        <v>0</v>
      </c>
      <c r="F28" s="22"/>
      <c r="G28" s="21">
        <f>SUM(G17:G26)</f>
        <v>0</v>
      </c>
      <c r="H28" s="21">
        <f>SUM(H24:H25)</f>
        <v>0</v>
      </c>
      <c r="I28" s="22"/>
      <c r="J28" s="21">
        <f>SUM(J17:J26)</f>
        <v>0</v>
      </c>
      <c r="K28" s="21">
        <f>SUM(K24:K25)</f>
        <v>0</v>
      </c>
      <c r="L28" s="22"/>
      <c r="M28" s="21">
        <f>SUM(M17:M26)</f>
        <v>0</v>
      </c>
      <c r="N28" s="20">
        <f>SUM(N17:N26)</f>
        <v>0</v>
      </c>
    </row>
    <row r="38" spans="2:14">
      <c r="B38" s="14"/>
      <c r="C38" s="14"/>
      <c r="D38" s="14"/>
      <c r="E38" s="14"/>
      <c r="G38" s="14"/>
      <c r="H38" s="14"/>
      <c r="I38" s="14"/>
      <c r="J38" s="14"/>
      <c r="K38" s="14"/>
      <c r="L38" s="14"/>
      <c r="M38" s="14"/>
      <c r="N38" s="14"/>
    </row>
    <row r="39" spans="2:14">
      <c r="B39" s="14"/>
      <c r="C39" s="14"/>
      <c r="D39" s="14"/>
      <c r="E39" s="14"/>
      <c r="G39" s="14"/>
      <c r="H39" s="14"/>
      <c r="I39" s="14"/>
      <c r="J39" s="14"/>
      <c r="K39" s="14"/>
      <c r="L39" s="14"/>
      <c r="M39" s="14"/>
      <c r="N39" s="14"/>
    </row>
    <row r="40" spans="2:14">
      <c r="B40" s="14"/>
      <c r="C40" s="14"/>
      <c r="D40" s="14"/>
      <c r="E40" s="14"/>
      <c r="G40" s="14"/>
      <c r="H40" s="14"/>
      <c r="I40" s="14"/>
      <c r="J40" s="14"/>
      <c r="K40" s="14"/>
      <c r="L40" s="14"/>
      <c r="M40" s="14"/>
      <c r="N40" s="14"/>
    </row>
    <row r="41" spans="2:14">
      <c r="B41" s="14"/>
      <c r="C41" s="14"/>
      <c r="D41" s="14"/>
      <c r="E41" s="14"/>
      <c r="G41" s="14"/>
      <c r="H41" s="14"/>
      <c r="I41" s="14"/>
      <c r="J41" s="14"/>
      <c r="K41" s="14"/>
      <c r="L41" s="14"/>
      <c r="M41" s="14"/>
      <c r="N41" s="14"/>
    </row>
  </sheetData>
  <mergeCells count="10">
    <mergeCell ref="A2:N2"/>
    <mergeCell ref="A3:N3"/>
    <mergeCell ref="A4:N4"/>
    <mergeCell ref="A5:N5"/>
    <mergeCell ref="A14:A16"/>
    <mergeCell ref="B14:D15"/>
    <mergeCell ref="E14:G15"/>
    <mergeCell ref="H14:J15"/>
    <mergeCell ref="K14:M15"/>
    <mergeCell ref="B7:N7"/>
  </mergeCells>
  <printOptions horizontalCentered="1" verticalCentered="1"/>
  <pageMargins left="0.35433070866141736" right="0.31496062992125984" top="0.98425196850393704" bottom="0.98425196850393704" header="0" footer="0"/>
  <pageSetup paperSize="9" scale="86" orientation="landscape" r:id="rId1"/>
  <headerFooter alignWithMargins="0">
    <oddHeader>&amp;C&amp;9FORMATO FE - 11&amp;R&amp;9MUNICIPALIDAD PROVINCIAL DE ABANCAY</oddHeader>
    <oddFooter>&amp;C&amp;8DIRECTIVA PARA FORMULACIÓN, EJECUCION y SUPERVISION DE PROYECTOS EN LA FASE DE  INVERSION POR ADMINISTRACION DIRECTA O ENCARGO</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rgb="FFFFFF00"/>
    <pageSetUpPr fitToPage="1"/>
  </sheetPr>
  <dimension ref="A1:AL45"/>
  <sheetViews>
    <sheetView view="pageBreakPreview" topLeftCell="A10" zoomScale="85" zoomScaleSheetLayoutView="85" workbookViewId="0">
      <selection activeCell="AK23" sqref="AK23"/>
    </sheetView>
  </sheetViews>
  <sheetFormatPr baseColWidth="10" defaultColWidth="11.42578125" defaultRowHeight="12.75"/>
  <cols>
    <col min="1" max="1" width="3.7109375" style="9" customWidth="1"/>
    <col min="2" max="2" width="5.140625" style="9" customWidth="1"/>
    <col min="3" max="3" width="16.140625" style="9" customWidth="1"/>
    <col min="4" max="4" width="5.140625" style="9" customWidth="1"/>
    <col min="5" max="35" width="3.140625" style="9" customWidth="1"/>
    <col min="36" max="256" width="11.42578125" style="9"/>
    <col min="257" max="257" width="3.7109375" style="9" customWidth="1"/>
    <col min="258" max="258" width="5.140625" style="9" customWidth="1"/>
    <col min="259" max="259" width="4.85546875" style="9" customWidth="1"/>
    <col min="260" max="260" width="24.140625" style="9" customWidth="1"/>
    <col min="261" max="261" width="3.140625" style="9" customWidth="1"/>
    <col min="262" max="262" width="3" style="9" customWidth="1"/>
    <col min="263" max="263" width="3.140625" style="9" customWidth="1"/>
    <col min="264" max="264" width="2.85546875" style="9" customWidth="1"/>
    <col min="265" max="265" width="3.28515625" style="9" customWidth="1"/>
    <col min="266" max="266" width="3.42578125" style="9" customWidth="1"/>
    <col min="267" max="267" width="3.28515625" style="9" customWidth="1"/>
    <col min="268" max="269" width="3.85546875" style="9" customWidth="1"/>
    <col min="270" max="270" width="3.5703125" style="9" customWidth="1"/>
    <col min="271" max="271" width="3.42578125" style="9" customWidth="1"/>
    <col min="272" max="272" width="3.28515625" style="9" customWidth="1"/>
    <col min="273" max="273" width="3.5703125" style="9" customWidth="1"/>
    <col min="274" max="274" width="3.28515625" style="9" customWidth="1"/>
    <col min="275" max="275" width="3.42578125" style="9" customWidth="1"/>
    <col min="276" max="276" width="3" style="9" customWidth="1"/>
    <col min="277" max="278" width="3.42578125" style="9" customWidth="1"/>
    <col min="279" max="279" width="3.28515625" style="9" customWidth="1"/>
    <col min="280" max="280" width="3" style="9" customWidth="1"/>
    <col min="281" max="281" width="3.28515625" style="9" customWidth="1"/>
    <col min="282" max="282" width="3.140625" style="9" customWidth="1"/>
    <col min="283" max="283" width="3.5703125" style="9" customWidth="1"/>
    <col min="284" max="284" width="4" style="9" customWidth="1"/>
    <col min="285" max="285" width="3.7109375" style="9" customWidth="1"/>
    <col min="286" max="286" width="3.5703125" style="9" customWidth="1"/>
    <col min="287" max="287" width="3.7109375" style="9" customWidth="1"/>
    <col min="288" max="288" width="3.85546875" style="9" customWidth="1"/>
    <col min="289" max="289" width="4" style="9" customWidth="1"/>
    <col min="290" max="290" width="3.42578125" style="9" customWidth="1"/>
    <col min="291" max="291" width="3.5703125" style="9" customWidth="1"/>
    <col min="292" max="512" width="11.42578125" style="9"/>
    <col min="513" max="513" width="3.7109375" style="9" customWidth="1"/>
    <col min="514" max="514" width="5.140625" style="9" customWidth="1"/>
    <col min="515" max="515" width="4.85546875" style="9" customWidth="1"/>
    <col min="516" max="516" width="24.140625" style="9" customWidth="1"/>
    <col min="517" max="517" width="3.140625" style="9" customWidth="1"/>
    <col min="518" max="518" width="3" style="9" customWidth="1"/>
    <col min="519" max="519" width="3.140625" style="9" customWidth="1"/>
    <col min="520" max="520" width="2.85546875" style="9" customWidth="1"/>
    <col min="521" max="521" width="3.28515625" style="9" customWidth="1"/>
    <col min="522" max="522" width="3.42578125" style="9" customWidth="1"/>
    <col min="523" max="523" width="3.28515625" style="9" customWidth="1"/>
    <col min="524" max="525" width="3.85546875" style="9" customWidth="1"/>
    <col min="526" max="526" width="3.5703125" style="9" customWidth="1"/>
    <col min="527" max="527" width="3.42578125" style="9" customWidth="1"/>
    <col min="528" max="528" width="3.28515625" style="9" customWidth="1"/>
    <col min="529" max="529" width="3.5703125" style="9" customWidth="1"/>
    <col min="530" max="530" width="3.28515625" style="9" customWidth="1"/>
    <col min="531" max="531" width="3.42578125" style="9" customWidth="1"/>
    <col min="532" max="532" width="3" style="9" customWidth="1"/>
    <col min="533" max="534" width="3.42578125" style="9" customWidth="1"/>
    <col min="535" max="535" width="3.28515625" style="9" customWidth="1"/>
    <col min="536" max="536" width="3" style="9" customWidth="1"/>
    <col min="537" max="537" width="3.28515625" style="9" customWidth="1"/>
    <col min="538" max="538" width="3.140625" style="9" customWidth="1"/>
    <col min="539" max="539" width="3.5703125" style="9" customWidth="1"/>
    <col min="540" max="540" width="4" style="9" customWidth="1"/>
    <col min="541" max="541" width="3.7109375" style="9" customWidth="1"/>
    <col min="542" max="542" width="3.5703125" style="9" customWidth="1"/>
    <col min="543" max="543" width="3.7109375" style="9" customWidth="1"/>
    <col min="544" max="544" width="3.85546875" style="9" customWidth="1"/>
    <col min="545" max="545" width="4" style="9" customWidth="1"/>
    <col min="546" max="546" width="3.42578125" style="9" customWidth="1"/>
    <col min="547" max="547" width="3.5703125" style="9" customWidth="1"/>
    <col min="548" max="768" width="11.42578125" style="9"/>
    <col min="769" max="769" width="3.7109375" style="9" customWidth="1"/>
    <col min="770" max="770" width="5.140625" style="9" customWidth="1"/>
    <col min="771" max="771" width="4.85546875" style="9" customWidth="1"/>
    <col min="772" max="772" width="24.140625" style="9" customWidth="1"/>
    <col min="773" max="773" width="3.140625" style="9" customWidth="1"/>
    <col min="774" max="774" width="3" style="9" customWidth="1"/>
    <col min="775" max="775" width="3.140625" style="9" customWidth="1"/>
    <col min="776" max="776" width="2.85546875" style="9" customWidth="1"/>
    <col min="777" max="777" width="3.28515625" style="9" customWidth="1"/>
    <col min="778" max="778" width="3.42578125" style="9" customWidth="1"/>
    <col min="779" max="779" width="3.28515625" style="9" customWidth="1"/>
    <col min="780" max="781" width="3.85546875" style="9" customWidth="1"/>
    <col min="782" max="782" width="3.5703125" style="9" customWidth="1"/>
    <col min="783" max="783" width="3.42578125" style="9" customWidth="1"/>
    <col min="784" max="784" width="3.28515625" style="9" customWidth="1"/>
    <col min="785" max="785" width="3.5703125" style="9" customWidth="1"/>
    <col min="786" max="786" width="3.28515625" style="9" customWidth="1"/>
    <col min="787" max="787" width="3.42578125" style="9" customWidth="1"/>
    <col min="788" max="788" width="3" style="9" customWidth="1"/>
    <col min="789" max="790" width="3.42578125" style="9" customWidth="1"/>
    <col min="791" max="791" width="3.28515625" style="9" customWidth="1"/>
    <col min="792" max="792" width="3" style="9" customWidth="1"/>
    <col min="793" max="793" width="3.28515625" style="9" customWidth="1"/>
    <col min="794" max="794" width="3.140625" style="9" customWidth="1"/>
    <col min="795" max="795" width="3.5703125" style="9" customWidth="1"/>
    <col min="796" max="796" width="4" style="9" customWidth="1"/>
    <col min="797" max="797" width="3.7109375" style="9" customWidth="1"/>
    <col min="798" max="798" width="3.5703125" style="9" customWidth="1"/>
    <col min="799" max="799" width="3.7109375" style="9" customWidth="1"/>
    <col min="800" max="800" width="3.85546875" style="9" customWidth="1"/>
    <col min="801" max="801" width="4" style="9" customWidth="1"/>
    <col min="802" max="802" width="3.42578125" style="9" customWidth="1"/>
    <col min="803" max="803" width="3.5703125" style="9" customWidth="1"/>
    <col min="804" max="1024" width="11.42578125" style="9"/>
    <col min="1025" max="1025" width="3.7109375" style="9" customWidth="1"/>
    <col min="1026" max="1026" width="5.140625" style="9" customWidth="1"/>
    <col min="1027" max="1027" width="4.85546875" style="9" customWidth="1"/>
    <col min="1028" max="1028" width="24.140625" style="9" customWidth="1"/>
    <col min="1029" max="1029" width="3.140625" style="9" customWidth="1"/>
    <col min="1030" max="1030" width="3" style="9" customWidth="1"/>
    <col min="1031" max="1031" width="3.140625" style="9" customWidth="1"/>
    <col min="1032" max="1032" width="2.85546875" style="9" customWidth="1"/>
    <col min="1033" max="1033" width="3.28515625" style="9" customWidth="1"/>
    <col min="1034" max="1034" width="3.42578125" style="9" customWidth="1"/>
    <col min="1035" max="1035" width="3.28515625" style="9" customWidth="1"/>
    <col min="1036" max="1037" width="3.85546875" style="9" customWidth="1"/>
    <col min="1038" max="1038" width="3.5703125" style="9" customWidth="1"/>
    <col min="1039" max="1039" width="3.42578125" style="9" customWidth="1"/>
    <col min="1040" max="1040" width="3.28515625" style="9" customWidth="1"/>
    <col min="1041" max="1041" width="3.5703125" style="9" customWidth="1"/>
    <col min="1042" max="1042" width="3.28515625" style="9" customWidth="1"/>
    <col min="1043" max="1043" width="3.42578125" style="9" customWidth="1"/>
    <col min="1044" max="1044" width="3" style="9" customWidth="1"/>
    <col min="1045" max="1046" width="3.42578125" style="9" customWidth="1"/>
    <col min="1047" max="1047" width="3.28515625" style="9" customWidth="1"/>
    <col min="1048" max="1048" width="3" style="9" customWidth="1"/>
    <col min="1049" max="1049" width="3.28515625" style="9" customWidth="1"/>
    <col min="1050" max="1050" width="3.140625" style="9" customWidth="1"/>
    <col min="1051" max="1051" width="3.5703125" style="9" customWidth="1"/>
    <col min="1052" max="1052" width="4" style="9" customWidth="1"/>
    <col min="1053" max="1053" width="3.7109375" style="9" customWidth="1"/>
    <col min="1054" max="1054" width="3.5703125" style="9" customWidth="1"/>
    <col min="1055" max="1055" width="3.7109375" style="9" customWidth="1"/>
    <col min="1056" max="1056" width="3.85546875" style="9" customWidth="1"/>
    <col min="1057" max="1057" width="4" style="9" customWidth="1"/>
    <col min="1058" max="1058" width="3.42578125" style="9" customWidth="1"/>
    <col min="1059" max="1059" width="3.5703125" style="9" customWidth="1"/>
    <col min="1060" max="1280" width="11.42578125" style="9"/>
    <col min="1281" max="1281" width="3.7109375" style="9" customWidth="1"/>
    <col min="1282" max="1282" width="5.140625" style="9" customWidth="1"/>
    <col min="1283" max="1283" width="4.85546875" style="9" customWidth="1"/>
    <col min="1284" max="1284" width="24.140625" style="9" customWidth="1"/>
    <col min="1285" max="1285" width="3.140625" style="9" customWidth="1"/>
    <col min="1286" max="1286" width="3" style="9" customWidth="1"/>
    <col min="1287" max="1287" width="3.140625" style="9" customWidth="1"/>
    <col min="1288" max="1288" width="2.85546875" style="9" customWidth="1"/>
    <col min="1289" max="1289" width="3.28515625" style="9" customWidth="1"/>
    <col min="1290" max="1290" width="3.42578125" style="9" customWidth="1"/>
    <col min="1291" max="1291" width="3.28515625" style="9" customWidth="1"/>
    <col min="1292" max="1293" width="3.85546875" style="9" customWidth="1"/>
    <col min="1294" max="1294" width="3.5703125" style="9" customWidth="1"/>
    <col min="1295" max="1295" width="3.42578125" style="9" customWidth="1"/>
    <col min="1296" max="1296" width="3.28515625" style="9" customWidth="1"/>
    <col min="1297" max="1297" width="3.5703125" style="9" customWidth="1"/>
    <col min="1298" max="1298" width="3.28515625" style="9" customWidth="1"/>
    <col min="1299" max="1299" width="3.42578125" style="9" customWidth="1"/>
    <col min="1300" max="1300" width="3" style="9" customWidth="1"/>
    <col min="1301" max="1302" width="3.42578125" style="9" customWidth="1"/>
    <col min="1303" max="1303" width="3.28515625" style="9" customWidth="1"/>
    <col min="1304" max="1304" width="3" style="9" customWidth="1"/>
    <col min="1305" max="1305" width="3.28515625" style="9" customWidth="1"/>
    <col min="1306" max="1306" width="3.140625" style="9" customWidth="1"/>
    <col min="1307" max="1307" width="3.5703125" style="9" customWidth="1"/>
    <col min="1308" max="1308" width="4" style="9" customWidth="1"/>
    <col min="1309" max="1309" width="3.7109375" style="9" customWidth="1"/>
    <col min="1310" max="1310" width="3.5703125" style="9" customWidth="1"/>
    <col min="1311" max="1311" width="3.7109375" style="9" customWidth="1"/>
    <col min="1312" max="1312" width="3.85546875" style="9" customWidth="1"/>
    <col min="1313" max="1313" width="4" style="9" customWidth="1"/>
    <col min="1314" max="1314" width="3.42578125" style="9" customWidth="1"/>
    <col min="1315" max="1315" width="3.5703125" style="9" customWidth="1"/>
    <col min="1316" max="1536" width="11.42578125" style="9"/>
    <col min="1537" max="1537" width="3.7109375" style="9" customWidth="1"/>
    <col min="1538" max="1538" width="5.140625" style="9" customWidth="1"/>
    <col min="1539" max="1539" width="4.85546875" style="9" customWidth="1"/>
    <col min="1540" max="1540" width="24.140625" style="9" customWidth="1"/>
    <col min="1541" max="1541" width="3.140625" style="9" customWidth="1"/>
    <col min="1542" max="1542" width="3" style="9" customWidth="1"/>
    <col min="1543" max="1543" width="3.140625" style="9" customWidth="1"/>
    <col min="1544" max="1544" width="2.85546875" style="9" customWidth="1"/>
    <col min="1545" max="1545" width="3.28515625" style="9" customWidth="1"/>
    <col min="1546" max="1546" width="3.42578125" style="9" customWidth="1"/>
    <col min="1547" max="1547" width="3.28515625" style="9" customWidth="1"/>
    <col min="1548" max="1549" width="3.85546875" style="9" customWidth="1"/>
    <col min="1550" max="1550" width="3.5703125" style="9" customWidth="1"/>
    <col min="1551" max="1551" width="3.42578125" style="9" customWidth="1"/>
    <col min="1552" max="1552" width="3.28515625" style="9" customWidth="1"/>
    <col min="1553" max="1553" width="3.5703125" style="9" customWidth="1"/>
    <col min="1554" max="1554" width="3.28515625" style="9" customWidth="1"/>
    <col min="1555" max="1555" width="3.42578125" style="9" customWidth="1"/>
    <col min="1556" max="1556" width="3" style="9" customWidth="1"/>
    <col min="1557" max="1558" width="3.42578125" style="9" customWidth="1"/>
    <col min="1559" max="1559" width="3.28515625" style="9" customWidth="1"/>
    <col min="1560" max="1560" width="3" style="9" customWidth="1"/>
    <col min="1561" max="1561" width="3.28515625" style="9" customWidth="1"/>
    <col min="1562" max="1562" width="3.140625" style="9" customWidth="1"/>
    <col min="1563" max="1563" width="3.5703125" style="9" customWidth="1"/>
    <col min="1564" max="1564" width="4" style="9" customWidth="1"/>
    <col min="1565" max="1565" width="3.7109375" style="9" customWidth="1"/>
    <col min="1566" max="1566" width="3.5703125" style="9" customWidth="1"/>
    <col min="1567" max="1567" width="3.7109375" style="9" customWidth="1"/>
    <col min="1568" max="1568" width="3.85546875" style="9" customWidth="1"/>
    <col min="1569" max="1569" width="4" style="9" customWidth="1"/>
    <col min="1570" max="1570" width="3.42578125" style="9" customWidth="1"/>
    <col min="1571" max="1571" width="3.5703125" style="9" customWidth="1"/>
    <col min="1572" max="1792" width="11.42578125" style="9"/>
    <col min="1793" max="1793" width="3.7109375" style="9" customWidth="1"/>
    <col min="1794" max="1794" width="5.140625" style="9" customWidth="1"/>
    <col min="1795" max="1795" width="4.85546875" style="9" customWidth="1"/>
    <col min="1796" max="1796" width="24.140625" style="9" customWidth="1"/>
    <col min="1797" max="1797" width="3.140625" style="9" customWidth="1"/>
    <col min="1798" max="1798" width="3" style="9" customWidth="1"/>
    <col min="1799" max="1799" width="3.140625" style="9" customWidth="1"/>
    <col min="1800" max="1800" width="2.85546875" style="9" customWidth="1"/>
    <col min="1801" max="1801" width="3.28515625" style="9" customWidth="1"/>
    <col min="1802" max="1802" width="3.42578125" style="9" customWidth="1"/>
    <col min="1803" max="1803" width="3.28515625" style="9" customWidth="1"/>
    <col min="1804" max="1805" width="3.85546875" style="9" customWidth="1"/>
    <col min="1806" max="1806" width="3.5703125" style="9" customWidth="1"/>
    <col min="1807" max="1807" width="3.42578125" style="9" customWidth="1"/>
    <col min="1808" max="1808" width="3.28515625" style="9" customWidth="1"/>
    <col min="1809" max="1809" width="3.5703125" style="9" customWidth="1"/>
    <col min="1810" max="1810" width="3.28515625" style="9" customWidth="1"/>
    <col min="1811" max="1811" width="3.42578125" style="9" customWidth="1"/>
    <col min="1812" max="1812" width="3" style="9" customWidth="1"/>
    <col min="1813" max="1814" width="3.42578125" style="9" customWidth="1"/>
    <col min="1815" max="1815" width="3.28515625" style="9" customWidth="1"/>
    <col min="1816" max="1816" width="3" style="9" customWidth="1"/>
    <col min="1817" max="1817" width="3.28515625" style="9" customWidth="1"/>
    <col min="1818" max="1818" width="3.140625" style="9" customWidth="1"/>
    <col min="1819" max="1819" width="3.5703125" style="9" customWidth="1"/>
    <col min="1820" max="1820" width="4" style="9" customWidth="1"/>
    <col min="1821" max="1821" width="3.7109375" style="9" customWidth="1"/>
    <col min="1822" max="1822" width="3.5703125" style="9" customWidth="1"/>
    <col min="1823" max="1823" width="3.7109375" style="9" customWidth="1"/>
    <col min="1824" max="1824" width="3.85546875" style="9" customWidth="1"/>
    <col min="1825" max="1825" width="4" style="9" customWidth="1"/>
    <col min="1826" max="1826" width="3.42578125" style="9" customWidth="1"/>
    <col min="1827" max="1827" width="3.5703125" style="9" customWidth="1"/>
    <col min="1828" max="2048" width="11.42578125" style="9"/>
    <col min="2049" max="2049" width="3.7109375" style="9" customWidth="1"/>
    <col min="2050" max="2050" width="5.140625" style="9" customWidth="1"/>
    <col min="2051" max="2051" width="4.85546875" style="9" customWidth="1"/>
    <col min="2052" max="2052" width="24.140625" style="9" customWidth="1"/>
    <col min="2053" max="2053" width="3.140625" style="9" customWidth="1"/>
    <col min="2054" max="2054" width="3" style="9" customWidth="1"/>
    <col min="2055" max="2055" width="3.140625" style="9" customWidth="1"/>
    <col min="2056" max="2056" width="2.85546875" style="9" customWidth="1"/>
    <col min="2057" max="2057" width="3.28515625" style="9" customWidth="1"/>
    <col min="2058" max="2058" width="3.42578125" style="9" customWidth="1"/>
    <col min="2059" max="2059" width="3.28515625" style="9" customWidth="1"/>
    <col min="2060" max="2061" width="3.85546875" style="9" customWidth="1"/>
    <col min="2062" max="2062" width="3.5703125" style="9" customWidth="1"/>
    <col min="2063" max="2063" width="3.42578125" style="9" customWidth="1"/>
    <col min="2064" max="2064" width="3.28515625" style="9" customWidth="1"/>
    <col min="2065" max="2065" width="3.5703125" style="9" customWidth="1"/>
    <col min="2066" max="2066" width="3.28515625" style="9" customWidth="1"/>
    <col min="2067" max="2067" width="3.42578125" style="9" customWidth="1"/>
    <col min="2068" max="2068" width="3" style="9" customWidth="1"/>
    <col min="2069" max="2070" width="3.42578125" style="9" customWidth="1"/>
    <col min="2071" max="2071" width="3.28515625" style="9" customWidth="1"/>
    <col min="2072" max="2072" width="3" style="9" customWidth="1"/>
    <col min="2073" max="2073" width="3.28515625" style="9" customWidth="1"/>
    <col min="2074" max="2074" width="3.140625" style="9" customWidth="1"/>
    <col min="2075" max="2075" width="3.5703125" style="9" customWidth="1"/>
    <col min="2076" max="2076" width="4" style="9" customWidth="1"/>
    <col min="2077" max="2077" width="3.7109375" style="9" customWidth="1"/>
    <col min="2078" max="2078" width="3.5703125" style="9" customWidth="1"/>
    <col min="2079" max="2079" width="3.7109375" style="9" customWidth="1"/>
    <col min="2080" max="2080" width="3.85546875" style="9" customWidth="1"/>
    <col min="2081" max="2081" width="4" style="9" customWidth="1"/>
    <col min="2082" max="2082" width="3.42578125" style="9" customWidth="1"/>
    <col min="2083" max="2083" width="3.5703125" style="9" customWidth="1"/>
    <col min="2084" max="2304" width="11.42578125" style="9"/>
    <col min="2305" max="2305" width="3.7109375" style="9" customWidth="1"/>
    <col min="2306" max="2306" width="5.140625" style="9" customWidth="1"/>
    <col min="2307" max="2307" width="4.85546875" style="9" customWidth="1"/>
    <col min="2308" max="2308" width="24.140625" style="9" customWidth="1"/>
    <col min="2309" max="2309" width="3.140625" style="9" customWidth="1"/>
    <col min="2310" max="2310" width="3" style="9" customWidth="1"/>
    <col min="2311" max="2311" width="3.140625" style="9" customWidth="1"/>
    <col min="2312" max="2312" width="2.85546875" style="9" customWidth="1"/>
    <col min="2313" max="2313" width="3.28515625" style="9" customWidth="1"/>
    <col min="2314" max="2314" width="3.42578125" style="9" customWidth="1"/>
    <col min="2315" max="2315" width="3.28515625" style="9" customWidth="1"/>
    <col min="2316" max="2317" width="3.85546875" style="9" customWidth="1"/>
    <col min="2318" max="2318" width="3.5703125" style="9" customWidth="1"/>
    <col min="2319" max="2319" width="3.42578125" style="9" customWidth="1"/>
    <col min="2320" max="2320" width="3.28515625" style="9" customWidth="1"/>
    <col min="2321" max="2321" width="3.5703125" style="9" customWidth="1"/>
    <col min="2322" max="2322" width="3.28515625" style="9" customWidth="1"/>
    <col min="2323" max="2323" width="3.42578125" style="9" customWidth="1"/>
    <col min="2324" max="2324" width="3" style="9" customWidth="1"/>
    <col min="2325" max="2326" width="3.42578125" style="9" customWidth="1"/>
    <col min="2327" max="2327" width="3.28515625" style="9" customWidth="1"/>
    <col min="2328" max="2328" width="3" style="9" customWidth="1"/>
    <col min="2329" max="2329" width="3.28515625" style="9" customWidth="1"/>
    <col min="2330" max="2330" width="3.140625" style="9" customWidth="1"/>
    <col min="2331" max="2331" width="3.5703125" style="9" customWidth="1"/>
    <col min="2332" max="2332" width="4" style="9" customWidth="1"/>
    <col min="2333" max="2333" width="3.7109375" style="9" customWidth="1"/>
    <col min="2334" max="2334" width="3.5703125" style="9" customWidth="1"/>
    <col min="2335" max="2335" width="3.7109375" style="9" customWidth="1"/>
    <col min="2336" max="2336" width="3.85546875" style="9" customWidth="1"/>
    <col min="2337" max="2337" width="4" style="9" customWidth="1"/>
    <col min="2338" max="2338" width="3.42578125" style="9" customWidth="1"/>
    <col min="2339" max="2339" width="3.5703125" style="9" customWidth="1"/>
    <col min="2340" max="2560" width="11.42578125" style="9"/>
    <col min="2561" max="2561" width="3.7109375" style="9" customWidth="1"/>
    <col min="2562" max="2562" width="5.140625" style="9" customWidth="1"/>
    <col min="2563" max="2563" width="4.85546875" style="9" customWidth="1"/>
    <col min="2564" max="2564" width="24.140625" style="9" customWidth="1"/>
    <col min="2565" max="2565" width="3.140625" style="9" customWidth="1"/>
    <col min="2566" max="2566" width="3" style="9" customWidth="1"/>
    <col min="2567" max="2567" width="3.140625" style="9" customWidth="1"/>
    <col min="2568" max="2568" width="2.85546875" style="9" customWidth="1"/>
    <col min="2569" max="2569" width="3.28515625" style="9" customWidth="1"/>
    <col min="2570" max="2570" width="3.42578125" style="9" customWidth="1"/>
    <col min="2571" max="2571" width="3.28515625" style="9" customWidth="1"/>
    <col min="2572" max="2573" width="3.85546875" style="9" customWidth="1"/>
    <col min="2574" max="2574" width="3.5703125" style="9" customWidth="1"/>
    <col min="2575" max="2575" width="3.42578125" style="9" customWidth="1"/>
    <col min="2576" max="2576" width="3.28515625" style="9" customWidth="1"/>
    <col min="2577" max="2577" width="3.5703125" style="9" customWidth="1"/>
    <col min="2578" max="2578" width="3.28515625" style="9" customWidth="1"/>
    <col min="2579" max="2579" width="3.42578125" style="9" customWidth="1"/>
    <col min="2580" max="2580" width="3" style="9" customWidth="1"/>
    <col min="2581" max="2582" width="3.42578125" style="9" customWidth="1"/>
    <col min="2583" max="2583" width="3.28515625" style="9" customWidth="1"/>
    <col min="2584" max="2584" width="3" style="9" customWidth="1"/>
    <col min="2585" max="2585" width="3.28515625" style="9" customWidth="1"/>
    <col min="2586" max="2586" width="3.140625" style="9" customWidth="1"/>
    <col min="2587" max="2587" width="3.5703125" style="9" customWidth="1"/>
    <col min="2588" max="2588" width="4" style="9" customWidth="1"/>
    <col min="2589" max="2589" width="3.7109375" style="9" customWidth="1"/>
    <col min="2590" max="2590" width="3.5703125" style="9" customWidth="1"/>
    <col min="2591" max="2591" width="3.7109375" style="9" customWidth="1"/>
    <col min="2592" max="2592" width="3.85546875" style="9" customWidth="1"/>
    <col min="2593" max="2593" width="4" style="9" customWidth="1"/>
    <col min="2594" max="2594" width="3.42578125" style="9" customWidth="1"/>
    <col min="2595" max="2595" width="3.5703125" style="9" customWidth="1"/>
    <col min="2596" max="2816" width="11.42578125" style="9"/>
    <col min="2817" max="2817" width="3.7109375" style="9" customWidth="1"/>
    <col min="2818" max="2818" width="5.140625" style="9" customWidth="1"/>
    <col min="2819" max="2819" width="4.85546875" style="9" customWidth="1"/>
    <col min="2820" max="2820" width="24.140625" style="9" customWidth="1"/>
    <col min="2821" max="2821" width="3.140625" style="9" customWidth="1"/>
    <col min="2822" max="2822" width="3" style="9" customWidth="1"/>
    <col min="2823" max="2823" width="3.140625" style="9" customWidth="1"/>
    <col min="2824" max="2824" width="2.85546875" style="9" customWidth="1"/>
    <col min="2825" max="2825" width="3.28515625" style="9" customWidth="1"/>
    <col min="2826" max="2826" width="3.42578125" style="9" customWidth="1"/>
    <col min="2827" max="2827" width="3.28515625" style="9" customWidth="1"/>
    <col min="2828" max="2829" width="3.85546875" style="9" customWidth="1"/>
    <col min="2830" max="2830" width="3.5703125" style="9" customWidth="1"/>
    <col min="2831" max="2831" width="3.42578125" style="9" customWidth="1"/>
    <col min="2832" max="2832" width="3.28515625" style="9" customWidth="1"/>
    <col min="2833" max="2833" width="3.5703125" style="9" customWidth="1"/>
    <col min="2834" max="2834" width="3.28515625" style="9" customWidth="1"/>
    <col min="2835" max="2835" width="3.42578125" style="9" customWidth="1"/>
    <col min="2836" max="2836" width="3" style="9" customWidth="1"/>
    <col min="2837" max="2838" width="3.42578125" style="9" customWidth="1"/>
    <col min="2839" max="2839" width="3.28515625" style="9" customWidth="1"/>
    <col min="2840" max="2840" width="3" style="9" customWidth="1"/>
    <col min="2841" max="2841" width="3.28515625" style="9" customWidth="1"/>
    <col min="2842" max="2842" width="3.140625" style="9" customWidth="1"/>
    <col min="2843" max="2843" width="3.5703125" style="9" customWidth="1"/>
    <col min="2844" max="2844" width="4" style="9" customWidth="1"/>
    <col min="2845" max="2845" width="3.7109375" style="9" customWidth="1"/>
    <col min="2846" max="2846" width="3.5703125" style="9" customWidth="1"/>
    <col min="2847" max="2847" width="3.7109375" style="9" customWidth="1"/>
    <col min="2848" max="2848" width="3.85546875" style="9" customWidth="1"/>
    <col min="2849" max="2849" width="4" style="9" customWidth="1"/>
    <col min="2850" max="2850" width="3.42578125" style="9" customWidth="1"/>
    <col min="2851" max="2851" width="3.5703125" style="9" customWidth="1"/>
    <col min="2852" max="3072" width="11.42578125" style="9"/>
    <col min="3073" max="3073" width="3.7109375" style="9" customWidth="1"/>
    <col min="3074" max="3074" width="5.140625" style="9" customWidth="1"/>
    <col min="3075" max="3075" width="4.85546875" style="9" customWidth="1"/>
    <col min="3076" max="3076" width="24.140625" style="9" customWidth="1"/>
    <col min="3077" max="3077" width="3.140625" style="9" customWidth="1"/>
    <col min="3078" max="3078" width="3" style="9" customWidth="1"/>
    <col min="3079" max="3079" width="3.140625" style="9" customWidth="1"/>
    <col min="3080" max="3080" width="2.85546875" style="9" customWidth="1"/>
    <col min="3081" max="3081" width="3.28515625" style="9" customWidth="1"/>
    <col min="3082" max="3082" width="3.42578125" style="9" customWidth="1"/>
    <col min="3083" max="3083" width="3.28515625" style="9" customWidth="1"/>
    <col min="3084" max="3085" width="3.85546875" style="9" customWidth="1"/>
    <col min="3086" max="3086" width="3.5703125" style="9" customWidth="1"/>
    <col min="3087" max="3087" width="3.42578125" style="9" customWidth="1"/>
    <col min="3088" max="3088" width="3.28515625" style="9" customWidth="1"/>
    <col min="3089" max="3089" width="3.5703125" style="9" customWidth="1"/>
    <col min="3090" max="3090" width="3.28515625" style="9" customWidth="1"/>
    <col min="3091" max="3091" width="3.42578125" style="9" customWidth="1"/>
    <col min="3092" max="3092" width="3" style="9" customWidth="1"/>
    <col min="3093" max="3094" width="3.42578125" style="9" customWidth="1"/>
    <col min="3095" max="3095" width="3.28515625" style="9" customWidth="1"/>
    <col min="3096" max="3096" width="3" style="9" customWidth="1"/>
    <col min="3097" max="3097" width="3.28515625" style="9" customWidth="1"/>
    <col min="3098" max="3098" width="3.140625" style="9" customWidth="1"/>
    <col min="3099" max="3099" width="3.5703125" style="9" customWidth="1"/>
    <col min="3100" max="3100" width="4" style="9" customWidth="1"/>
    <col min="3101" max="3101" width="3.7109375" style="9" customWidth="1"/>
    <col min="3102" max="3102" width="3.5703125" style="9" customWidth="1"/>
    <col min="3103" max="3103" width="3.7109375" style="9" customWidth="1"/>
    <col min="3104" max="3104" width="3.85546875" style="9" customWidth="1"/>
    <col min="3105" max="3105" width="4" style="9" customWidth="1"/>
    <col min="3106" max="3106" width="3.42578125" style="9" customWidth="1"/>
    <col min="3107" max="3107" width="3.5703125" style="9" customWidth="1"/>
    <col min="3108" max="3328" width="11.42578125" style="9"/>
    <col min="3329" max="3329" width="3.7109375" style="9" customWidth="1"/>
    <col min="3330" max="3330" width="5.140625" style="9" customWidth="1"/>
    <col min="3331" max="3331" width="4.85546875" style="9" customWidth="1"/>
    <col min="3332" max="3332" width="24.140625" style="9" customWidth="1"/>
    <col min="3333" max="3333" width="3.140625" style="9" customWidth="1"/>
    <col min="3334" max="3334" width="3" style="9" customWidth="1"/>
    <col min="3335" max="3335" width="3.140625" style="9" customWidth="1"/>
    <col min="3336" max="3336" width="2.85546875" style="9" customWidth="1"/>
    <col min="3337" max="3337" width="3.28515625" style="9" customWidth="1"/>
    <col min="3338" max="3338" width="3.42578125" style="9" customWidth="1"/>
    <col min="3339" max="3339" width="3.28515625" style="9" customWidth="1"/>
    <col min="3340" max="3341" width="3.85546875" style="9" customWidth="1"/>
    <col min="3342" max="3342" width="3.5703125" style="9" customWidth="1"/>
    <col min="3343" max="3343" width="3.42578125" style="9" customWidth="1"/>
    <col min="3344" max="3344" width="3.28515625" style="9" customWidth="1"/>
    <col min="3345" max="3345" width="3.5703125" style="9" customWidth="1"/>
    <col min="3346" max="3346" width="3.28515625" style="9" customWidth="1"/>
    <col min="3347" max="3347" width="3.42578125" style="9" customWidth="1"/>
    <col min="3348" max="3348" width="3" style="9" customWidth="1"/>
    <col min="3349" max="3350" width="3.42578125" style="9" customWidth="1"/>
    <col min="3351" max="3351" width="3.28515625" style="9" customWidth="1"/>
    <col min="3352" max="3352" width="3" style="9" customWidth="1"/>
    <col min="3353" max="3353" width="3.28515625" style="9" customWidth="1"/>
    <col min="3354" max="3354" width="3.140625" style="9" customWidth="1"/>
    <col min="3355" max="3355" width="3.5703125" style="9" customWidth="1"/>
    <col min="3356" max="3356" width="4" style="9" customWidth="1"/>
    <col min="3357" max="3357" width="3.7109375" style="9" customWidth="1"/>
    <col min="3358" max="3358" width="3.5703125" style="9" customWidth="1"/>
    <col min="3359" max="3359" width="3.7109375" style="9" customWidth="1"/>
    <col min="3360" max="3360" width="3.85546875" style="9" customWidth="1"/>
    <col min="3361" max="3361" width="4" style="9" customWidth="1"/>
    <col min="3362" max="3362" width="3.42578125" style="9" customWidth="1"/>
    <col min="3363" max="3363" width="3.5703125" style="9" customWidth="1"/>
    <col min="3364" max="3584" width="11.42578125" style="9"/>
    <col min="3585" max="3585" width="3.7109375" style="9" customWidth="1"/>
    <col min="3586" max="3586" width="5.140625" style="9" customWidth="1"/>
    <col min="3587" max="3587" width="4.85546875" style="9" customWidth="1"/>
    <col min="3588" max="3588" width="24.140625" style="9" customWidth="1"/>
    <col min="3589" max="3589" width="3.140625" style="9" customWidth="1"/>
    <col min="3590" max="3590" width="3" style="9" customWidth="1"/>
    <col min="3591" max="3591" width="3.140625" style="9" customWidth="1"/>
    <col min="3592" max="3592" width="2.85546875" style="9" customWidth="1"/>
    <col min="3593" max="3593" width="3.28515625" style="9" customWidth="1"/>
    <col min="3594" max="3594" width="3.42578125" style="9" customWidth="1"/>
    <col min="3595" max="3595" width="3.28515625" style="9" customWidth="1"/>
    <col min="3596" max="3597" width="3.85546875" style="9" customWidth="1"/>
    <col min="3598" max="3598" width="3.5703125" style="9" customWidth="1"/>
    <col min="3599" max="3599" width="3.42578125" style="9" customWidth="1"/>
    <col min="3600" max="3600" width="3.28515625" style="9" customWidth="1"/>
    <col min="3601" max="3601" width="3.5703125" style="9" customWidth="1"/>
    <col min="3602" max="3602" width="3.28515625" style="9" customWidth="1"/>
    <col min="3603" max="3603" width="3.42578125" style="9" customWidth="1"/>
    <col min="3604" max="3604" width="3" style="9" customWidth="1"/>
    <col min="3605" max="3606" width="3.42578125" style="9" customWidth="1"/>
    <col min="3607" max="3607" width="3.28515625" style="9" customWidth="1"/>
    <col min="3608" max="3608" width="3" style="9" customWidth="1"/>
    <col min="3609" max="3609" width="3.28515625" style="9" customWidth="1"/>
    <col min="3610" max="3610" width="3.140625" style="9" customWidth="1"/>
    <col min="3611" max="3611" width="3.5703125" style="9" customWidth="1"/>
    <col min="3612" max="3612" width="4" style="9" customWidth="1"/>
    <col min="3613" max="3613" width="3.7109375" style="9" customWidth="1"/>
    <col min="3614" max="3614" width="3.5703125" style="9" customWidth="1"/>
    <col min="3615" max="3615" width="3.7109375" style="9" customWidth="1"/>
    <col min="3616" max="3616" width="3.85546875" style="9" customWidth="1"/>
    <col min="3617" max="3617" width="4" style="9" customWidth="1"/>
    <col min="3618" max="3618" width="3.42578125" style="9" customWidth="1"/>
    <col min="3619" max="3619" width="3.5703125" style="9" customWidth="1"/>
    <col min="3620" max="3840" width="11.42578125" style="9"/>
    <col min="3841" max="3841" width="3.7109375" style="9" customWidth="1"/>
    <col min="3842" max="3842" width="5.140625" style="9" customWidth="1"/>
    <col min="3843" max="3843" width="4.85546875" style="9" customWidth="1"/>
    <col min="3844" max="3844" width="24.140625" style="9" customWidth="1"/>
    <col min="3845" max="3845" width="3.140625" style="9" customWidth="1"/>
    <col min="3846" max="3846" width="3" style="9" customWidth="1"/>
    <col min="3847" max="3847" width="3.140625" style="9" customWidth="1"/>
    <col min="3848" max="3848" width="2.85546875" style="9" customWidth="1"/>
    <col min="3849" max="3849" width="3.28515625" style="9" customWidth="1"/>
    <col min="3850" max="3850" width="3.42578125" style="9" customWidth="1"/>
    <col min="3851" max="3851" width="3.28515625" style="9" customWidth="1"/>
    <col min="3852" max="3853" width="3.85546875" style="9" customWidth="1"/>
    <col min="3854" max="3854" width="3.5703125" style="9" customWidth="1"/>
    <col min="3855" max="3855" width="3.42578125" style="9" customWidth="1"/>
    <col min="3856" max="3856" width="3.28515625" style="9" customWidth="1"/>
    <col min="3857" max="3857" width="3.5703125" style="9" customWidth="1"/>
    <col min="3858" max="3858" width="3.28515625" style="9" customWidth="1"/>
    <col min="3859" max="3859" width="3.42578125" style="9" customWidth="1"/>
    <col min="3860" max="3860" width="3" style="9" customWidth="1"/>
    <col min="3861" max="3862" width="3.42578125" style="9" customWidth="1"/>
    <col min="3863" max="3863" width="3.28515625" style="9" customWidth="1"/>
    <col min="3864" max="3864" width="3" style="9" customWidth="1"/>
    <col min="3865" max="3865" width="3.28515625" style="9" customWidth="1"/>
    <col min="3866" max="3866" width="3.140625" style="9" customWidth="1"/>
    <col min="3867" max="3867" width="3.5703125" style="9" customWidth="1"/>
    <col min="3868" max="3868" width="4" style="9" customWidth="1"/>
    <col min="3869" max="3869" width="3.7109375" style="9" customWidth="1"/>
    <col min="3870" max="3870" width="3.5703125" style="9" customWidth="1"/>
    <col min="3871" max="3871" width="3.7109375" style="9" customWidth="1"/>
    <col min="3872" max="3872" width="3.85546875" style="9" customWidth="1"/>
    <col min="3873" max="3873" width="4" style="9" customWidth="1"/>
    <col min="3874" max="3874" width="3.42578125" style="9" customWidth="1"/>
    <col min="3875" max="3875" width="3.5703125" style="9" customWidth="1"/>
    <col min="3876" max="4096" width="11.42578125" style="9"/>
    <col min="4097" max="4097" width="3.7109375" style="9" customWidth="1"/>
    <col min="4098" max="4098" width="5.140625" style="9" customWidth="1"/>
    <col min="4099" max="4099" width="4.85546875" style="9" customWidth="1"/>
    <col min="4100" max="4100" width="24.140625" style="9" customWidth="1"/>
    <col min="4101" max="4101" width="3.140625" style="9" customWidth="1"/>
    <col min="4102" max="4102" width="3" style="9" customWidth="1"/>
    <col min="4103" max="4103" width="3.140625" style="9" customWidth="1"/>
    <col min="4104" max="4104" width="2.85546875" style="9" customWidth="1"/>
    <col min="4105" max="4105" width="3.28515625" style="9" customWidth="1"/>
    <col min="4106" max="4106" width="3.42578125" style="9" customWidth="1"/>
    <col min="4107" max="4107" width="3.28515625" style="9" customWidth="1"/>
    <col min="4108" max="4109" width="3.85546875" style="9" customWidth="1"/>
    <col min="4110" max="4110" width="3.5703125" style="9" customWidth="1"/>
    <col min="4111" max="4111" width="3.42578125" style="9" customWidth="1"/>
    <col min="4112" max="4112" width="3.28515625" style="9" customWidth="1"/>
    <col min="4113" max="4113" width="3.5703125" style="9" customWidth="1"/>
    <col min="4114" max="4114" width="3.28515625" style="9" customWidth="1"/>
    <col min="4115" max="4115" width="3.42578125" style="9" customWidth="1"/>
    <col min="4116" max="4116" width="3" style="9" customWidth="1"/>
    <col min="4117" max="4118" width="3.42578125" style="9" customWidth="1"/>
    <col min="4119" max="4119" width="3.28515625" style="9" customWidth="1"/>
    <col min="4120" max="4120" width="3" style="9" customWidth="1"/>
    <col min="4121" max="4121" width="3.28515625" style="9" customWidth="1"/>
    <col min="4122" max="4122" width="3.140625" style="9" customWidth="1"/>
    <col min="4123" max="4123" width="3.5703125" style="9" customWidth="1"/>
    <col min="4124" max="4124" width="4" style="9" customWidth="1"/>
    <col min="4125" max="4125" width="3.7109375" style="9" customWidth="1"/>
    <col min="4126" max="4126" width="3.5703125" style="9" customWidth="1"/>
    <col min="4127" max="4127" width="3.7109375" style="9" customWidth="1"/>
    <col min="4128" max="4128" width="3.85546875" style="9" customWidth="1"/>
    <col min="4129" max="4129" width="4" style="9" customWidth="1"/>
    <col min="4130" max="4130" width="3.42578125" style="9" customWidth="1"/>
    <col min="4131" max="4131" width="3.5703125" style="9" customWidth="1"/>
    <col min="4132" max="4352" width="11.42578125" style="9"/>
    <col min="4353" max="4353" width="3.7109375" style="9" customWidth="1"/>
    <col min="4354" max="4354" width="5.140625" style="9" customWidth="1"/>
    <col min="4355" max="4355" width="4.85546875" style="9" customWidth="1"/>
    <col min="4356" max="4356" width="24.140625" style="9" customWidth="1"/>
    <col min="4357" max="4357" width="3.140625" style="9" customWidth="1"/>
    <col min="4358" max="4358" width="3" style="9" customWidth="1"/>
    <col min="4359" max="4359" width="3.140625" style="9" customWidth="1"/>
    <col min="4360" max="4360" width="2.85546875" style="9" customWidth="1"/>
    <col min="4361" max="4361" width="3.28515625" style="9" customWidth="1"/>
    <col min="4362" max="4362" width="3.42578125" style="9" customWidth="1"/>
    <col min="4363" max="4363" width="3.28515625" style="9" customWidth="1"/>
    <col min="4364" max="4365" width="3.85546875" style="9" customWidth="1"/>
    <col min="4366" max="4366" width="3.5703125" style="9" customWidth="1"/>
    <col min="4367" max="4367" width="3.42578125" style="9" customWidth="1"/>
    <col min="4368" max="4368" width="3.28515625" style="9" customWidth="1"/>
    <col min="4369" max="4369" width="3.5703125" style="9" customWidth="1"/>
    <col min="4370" max="4370" width="3.28515625" style="9" customWidth="1"/>
    <col min="4371" max="4371" width="3.42578125" style="9" customWidth="1"/>
    <col min="4372" max="4372" width="3" style="9" customWidth="1"/>
    <col min="4373" max="4374" width="3.42578125" style="9" customWidth="1"/>
    <col min="4375" max="4375" width="3.28515625" style="9" customWidth="1"/>
    <col min="4376" max="4376" width="3" style="9" customWidth="1"/>
    <col min="4377" max="4377" width="3.28515625" style="9" customWidth="1"/>
    <col min="4378" max="4378" width="3.140625" style="9" customWidth="1"/>
    <col min="4379" max="4379" width="3.5703125" style="9" customWidth="1"/>
    <col min="4380" max="4380" width="4" style="9" customWidth="1"/>
    <col min="4381" max="4381" width="3.7109375" style="9" customWidth="1"/>
    <col min="4382" max="4382" width="3.5703125" style="9" customWidth="1"/>
    <col min="4383" max="4383" width="3.7109375" style="9" customWidth="1"/>
    <col min="4384" max="4384" width="3.85546875" style="9" customWidth="1"/>
    <col min="4385" max="4385" width="4" style="9" customWidth="1"/>
    <col min="4386" max="4386" width="3.42578125" style="9" customWidth="1"/>
    <col min="4387" max="4387" width="3.5703125" style="9" customWidth="1"/>
    <col min="4388" max="4608" width="11.42578125" style="9"/>
    <col min="4609" max="4609" width="3.7109375" style="9" customWidth="1"/>
    <col min="4610" max="4610" width="5.140625" style="9" customWidth="1"/>
    <col min="4611" max="4611" width="4.85546875" style="9" customWidth="1"/>
    <col min="4612" max="4612" width="24.140625" style="9" customWidth="1"/>
    <col min="4613" max="4613" width="3.140625" style="9" customWidth="1"/>
    <col min="4614" max="4614" width="3" style="9" customWidth="1"/>
    <col min="4615" max="4615" width="3.140625" style="9" customWidth="1"/>
    <col min="4616" max="4616" width="2.85546875" style="9" customWidth="1"/>
    <col min="4617" max="4617" width="3.28515625" style="9" customWidth="1"/>
    <col min="4618" max="4618" width="3.42578125" style="9" customWidth="1"/>
    <col min="4619" max="4619" width="3.28515625" style="9" customWidth="1"/>
    <col min="4620" max="4621" width="3.85546875" style="9" customWidth="1"/>
    <col min="4622" max="4622" width="3.5703125" style="9" customWidth="1"/>
    <col min="4623" max="4623" width="3.42578125" style="9" customWidth="1"/>
    <col min="4624" max="4624" width="3.28515625" style="9" customWidth="1"/>
    <col min="4625" max="4625" width="3.5703125" style="9" customWidth="1"/>
    <col min="4626" max="4626" width="3.28515625" style="9" customWidth="1"/>
    <col min="4627" max="4627" width="3.42578125" style="9" customWidth="1"/>
    <col min="4628" max="4628" width="3" style="9" customWidth="1"/>
    <col min="4629" max="4630" width="3.42578125" style="9" customWidth="1"/>
    <col min="4631" max="4631" width="3.28515625" style="9" customWidth="1"/>
    <col min="4632" max="4632" width="3" style="9" customWidth="1"/>
    <col min="4633" max="4633" width="3.28515625" style="9" customWidth="1"/>
    <col min="4634" max="4634" width="3.140625" style="9" customWidth="1"/>
    <col min="4635" max="4635" width="3.5703125" style="9" customWidth="1"/>
    <col min="4636" max="4636" width="4" style="9" customWidth="1"/>
    <col min="4637" max="4637" width="3.7109375" style="9" customWidth="1"/>
    <col min="4638" max="4638" width="3.5703125" style="9" customWidth="1"/>
    <col min="4639" max="4639" width="3.7109375" style="9" customWidth="1"/>
    <col min="4640" max="4640" width="3.85546875" style="9" customWidth="1"/>
    <col min="4641" max="4641" width="4" style="9" customWidth="1"/>
    <col min="4642" max="4642" width="3.42578125" style="9" customWidth="1"/>
    <col min="4643" max="4643" width="3.5703125" style="9" customWidth="1"/>
    <col min="4644" max="4864" width="11.42578125" style="9"/>
    <col min="4865" max="4865" width="3.7109375" style="9" customWidth="1"/>
    <col min="4866" max="4866" width="5.140625" style="9" customWidth="1"/>
    <col min="4867" max="4867" width="4.85546875" style="9" customWidth="1"/>
    <col min="4868" max="4868" width="24.140625" style="9" customWidth="1"/>
    <col min="4869" max="4869" width="3.140625" style="9" customWidth="1"/>
    <col min="4870" max="4870" width="3" style="9" customWidth="1"/>
    <col min="4871" max="4871" width="3.140625" style="9" customWidth="1"/>
    <col min="4872" max="4872" width="2.85546875" style="9" customWidth="1"/>
    <col min="4873" max="4873" width="3.28515625" style="9" customWidth="1"/>
    <col min="4874" max="4874" width="3.42578125" style="9" customWidth="1"/>
    <col min="4875" max="4875" width="3.28515625" style="9" customWidth="1"/>
    <col min="4876" max="4877" width="3.85546875" style="9" customWidth="1"/>
    <col min="4878" max="4878" width="3.5703125" style="9" customWidth="1"/>
    <col min="4879" max="4879" width="3.42578125" style="9" customWidth="1"/>
    <col min="4880" max="4880" width="3.28515625" style="9" customWidth="1"/>
    <col min="4881" max="4881" width="3.5703125" style="9" customWidth="1"/>
    <col min="4882" max="4882" width="3.28515625" style="9" customWidth="1"/>
    <col min="4883" max="4883" width="3.42578125" style="9" customWidth="1"/>
    <col min="4884" max="4884" width="3" style="9" customWidth="1"/>
    <col min="4885" max="4886" width="3.42578125" style="9" customWidth="1"/>
    <col min="4887" max="4887" width="3.28515625" style="9" customWidth="1"/>
    <col min="4888" max="4888" width="3" style="9" customWidth="1"/>
    <col min="4889" max="4889" width="3.28515625" style="9" customWidth="1"/>
    <col min="4890" max="4890" width="3.140625" style="9" customWidth="1"/>
    <col min="4891" max="4891" width="3.5703125" style="9" customWidth="1"/>
    <col min="4892" max="4892" width="4" style="9" customWidth="1"/>
    <col min="4893" max="4893" width="3.7109375" style="9" customWidth="1"/>
    <col min="4894" max="4894" width="3.5703125" style="9" customWidth="1"/>
    <col min="4895" max="4895" width="3.7109375" style="9" customWidth="1"/>
    <col min="4896" max="4896" width="3.85546875" style="9" customWidth="1"/>
    <col min="4897" max="4897" width="4" style="9" customWidth="1"/>
    <col min="4898" max="4898" width="3.42578125" style="9" customWidth="1"/>
    <col min="4899" max="4899" width="3.5703125" style="9" customWidth="1"/>
    <col min="4900" max="5120" width="11.42578125" style="9"/>
    <col min="5121" max="5121" width="3.7109375" style="9" customWidth="1"/>
    <col min="5122" max="5122" width="5.140625" style="9" customWidth="1"/>
    <col min="5123" max="5123" width="4.85546875" style="9" customWidth="1"/>
    <col min="5124" max="5124" width="24.140625" style="9" customWidth="1"/>
    <col min="5125" max="5125" width="3.140625" style="9" customWidth="1"/>
    <col min="5126" max="5126" width="3" style="9" customWidth="1"/>
    <col min="5127" max="5127" width="3.140625" style="9" customWidth="1"/>
    <col min="5128" max="5128" width="2.85546875" style="9" customWidth="1"/>
    <col min="5129" max="5129" width="3.28515625" style="9" customWidth="1"/>
    <col min="5130" max="5130" width="3.42578125" style="9" customWidth="1"/>
    <col min="5131" max="5131" width="3.28515625" style="9" customWidth="1"/>
    <col min="5132" max="5133" width="3.85546875" style="9" customWidth="1"/>
    <col min="5134" max="5134" width="3.5703125" style="9" customWidth="1"/>
    <col min="5135" max="5135" width="3.42578125" style="9" customWidth="1"/>
    <col min="5136" max="5136" width="3.28515625" style="9" customWidth="1"/>
    <col min="5137" max="5137" width="3.5703125" style="9" customWidth="1"/>
    <col min="5138" max="5138" width="3.28515625" style="9" customWidth="1"/>
    <col min="5139" max="5139" width="3.42578125" style="9" customWidth="1"/>
    <col min="5140" max="5140" width="3" style="9" customWidth="1"/>
    <col min="5141" max="5142" width="3.42578125" style="9" customWidth="1"/>
    <col min="5143" max="5143" width="3.28515625" style="9" customWidth="1"/>
    <col min="5144" max="5144" width="3" style="9" customWidth="1"/>
    <col min="5145" max="5145" width="3.28515625" style="9" customWidth="1"/>
    <col min="5146" max="5146" width="3.140625" style="9" customWidth="1"/>
    <col min="5147" max="5147" width="3.5703125" style="9" customWidth="1"/>
    <col min="5148" max="5148" width="4" style="9" customWidth="1"/>
    <col min="5149" max="5149" width="3.7109375" style="9" customWidth="1"/>
    <col min="5150" max="5150" width="3.5703125" style="9" customWidth="1"/>
    <col min="5151" max="5151" width="3.7109375" style="9" customWidth="1"/>
    <col min="5152" max="5152" width="3.85546875" style="9" customWidth="1"/>
    <col min="5153" max="5153" width="4" style="9" customWidth="1"/>
    <col min="5154" max="5154" width="3.42578125" style="9" customWidth="1"/>
    <col min="5155" max="5155" width="3.5703125" style="9" customWidth="1"/>
    <col min="5156" max="5376" width="11.42578125" style="9"/>
    <col min="5377" max="5377" width="3.7109375" style="9" customWidth="1"/>
    <col min="5378" max="5378" width="5.140625" style="9" customWidth="1"/>
    <col min="5379" max="5379" width="4.85546875" style="9" customWidth="1"/>
    <col min="5380" max="5380" width="24.140625" style="9" customWidth="1"/>
    <col min="5381" max="5381" width="3.140625" style="9" customWidth="1"/>
    <col min="5382" max="5382" width="3" style="9" customWidth="1"/>
    <col min="5383" max="5383" width="3.140625" style="9" customWidth="1"/>
    <col min="5384" max="5384" width="2.85546875" style="9" customWidth="1"/>
    <col min="5385" max="5385" width="3.28515625" style="9" customWidth="1"/>
    <col min="5386" max="5386" width="3.42578125" style="9" customWidth="1"/>
    <col min="5387" max="5387" width="3.28515625" style="9" customWidth="1"/>
    <col min="5388" max="5389" width="3.85546875" style="9" customWidth="1"/>
    <col min="5390" max="5390" width="3.5703125" style="9" customWidth="1"/>
    <col min="5391" max="5391" width="3.42578125" style="9" customWidth="1"/>
    <col min="5392" max="5392" width="3.28515625" style="9" customWidth="1"/>
    <col min="5393" max="5393" width="3.5703125" style="9" customWidth="1"/>
    <col min="5394" max="5394" width="3.28515625" style="9" customWidth="1"/>
    <col min="5395" max="5395" width="3.42578125" style="9" customWidth="1"/>
    <col min="5396" max="5396" width="3" style="9" customWidth="1"/>
    <col min="5397" max="5398" width="3.42578125" style="9" customWidth="1"/>
    <col min="5399" max="5399" width="3.28515625" style="9" customWidth="1"/>
    <col min="5400" max="5400" width="3" style="9" customWidth="1"/>
    <col min="5401" max="5401" width="3.28515625" style="9" customWidth="1"/>
    <col min="5402" max="5402" width="3.140625" style="9" customWidth="1"/>
    <col min="5403" max="5403" width="3.5703125" style="9" customWidth="1"/>
    <col min="5404" max="5404" width="4" style="9" customWidth="1"/>
    <col min="5405" max="5405" width="3.7109375" style="9" customWidth="1"/>
    <col min="5406" max="5406" width="3.5703125" style="9" customWidth="1"/>
    <col min="5407" max="5407" width="3.7109375" style="9" customWidth="1"/>
    <col min="5408" max="5408" width="3.85546875" style="9" customWidth="1"/>
    <col min="5409" max="5409" width="4" style="9" customWidth="1"/>
    <col min="5410" max="5410" width="3.42578125" style="9" customWidth="1"/>
    <col min="5411" max="5411" width="3.5703125" style="9" customWidth="1"/>
    <col min="5412" max="5632" width="11.42578125" style="9"/>
    <col min="5633" max="5633" width="3.7109375" style="9" customWidth="1"/>
    <col min="5634" max="5634" width="5.140625" style="9" customWidth="1"/>
    <col min="5635" max="5635" width="4.85546875" style="9" customWidth="1"/>
    <col min="5636" max="5636" width="24.140625" style="9" customWidth="1"/>
    <col min="5637" max="5637" width="3.140625" style="9" customWidth="1"/>
    <col min="5638" max="5638" width="3" style="9" customWidth="1"/>
    <col min="5639" max="5639" width="3.140625" style="9" customWidth="1"/>
    <col min="5640" max="5640" width="2.85546875" style="9" customWidth="1"/>
    <col min="5641" max="5641" width="3.28515625" style="9" customWidth="1"/>
    <col min="5642" max="5642" width="3.42578125" style="9" customWidth="1"/>
    <col min="5643" max="5643" width="3.28515625" style="9" customWidth="1"/>
    <col min="5644" max="5645" width="3.85546875" style="9" customWidth="1"/>
    <col min="5646" max="5646" width="3.5703125" style="9" customWidth="1"/>
    <col min="5647" max="5647" width="3.42578125" style="9" customWidth="1"/>
    <col min="5648" max="5648" width="3.28515625" style="9" customWidth="1"/>
    <col min="5649" max="5649" width="3.5703125" style="9" customWidth="1"/>
    <col min="5650" max="5650" width="3.28515625" style="9" customWidth="1"/>
    <col min="5651" max="5651" width="3.42578125" style="9" customWidth="1"/>
    <col min="5652" max="5652" width="3" style="9" customWidth="1"/>
    <col min="5653" max="5654" width="3.42578125" style="9" customWidth="1"/>
    <col min="5655" max="5655" width="3.28515625" style="9" customWidth="1"/>
    <col min="5656" max="5656" width="3" style="9" customWidth="1"/>
    <col min="5657" max="5657" width="3.28515625" style="9" customWidth="1"/>
    <col min="5658" max="5658" width="3.140625" style="9" customWidth="1"/>
    <col min="5659" max="5659" width="3.5703125" style="9" customWidth="1"/>
    <col min="5660" max="5660" width="4" style="9" customWidth="1"/>
    <col min="5661" max="5661" width="3.7109375" style="9" customWidth="1"/>
    <col min="5662" max="5662" width="3.5703125" style="9" customWidth="1"/>
    <col min="5663" max="5663" width="3.7109375" style="9" customWidth="1"/>
    <col min="5664" max="5664" width="3.85546875" style="9" customWidth="1"/>
    <col min="5665" max="5665" width="4" style="9" customWidth="1"/>
    <col min="5666" max="5666" width="3.42578125" style="9" customWidth="1"/>
    <col min="5667" max="5667" width="3.5703125" style="9" customWidth="1"/>
    <col min="5668" max="5888" width="11.42578125" style="9"/>
    <col min="5889" max="5889" width="3.7109375" style="9" customWidth="1"/>
    <col min="5890" max="5890" width="5.140625" style="9" customWidth="1"/>
    <col min="5891" max="5891" width="4.85546875" style="9" customWidth="1"/>
    <col min="5892" max="5892" width="24.140625" style="9" customWidth="1"/>
    <col min="5893" max="5893" width="3.140625" style="9" customWidth="1"/>
    <col min="5894" max="5894" width="3" style="9" customWidth="1"/>
    <col min="5895" max="5895" width="3.140625" style="9" customWidth="1"/>
    <col min="5896" max="5896" width="2.85546875" style="9" customWidth="1"/>
    <col min="5897" max="5897" width="3.28515625" style="9" customWidth="1"/>
    <col min="5898" max="5898" width="3.42578125" style="9" customWidth="1"/>
    <col min="5899" max="5899" width="3.28515625" style="9" customWidth="1"/>
    <col min="5900" max="5901" width="3.85546875" style="9" customWidth="1"/>
    <col min="5902" max="5902" width="3.5703125" style="9" customWidth="1"/>
    <col min="5903" max="5903" width="3.42578125" style="9" customWidth="1"/>
    <col min="5904" max="5904" width="3.28515625" style="9" customWidth="1"/>
    <col min="5905" max="5905" width="3.5703125" style="9" customWidth="1"/>
    <col min="5906" max="5906" width="3.28515625" style="9" customWidth="1"/>
    <col min="5907" max="5907" width="3.42578125" style="9" customWidth="1"/>
    <col min="5908" max="5908" width="3" style="9" customWidth="1"/>
    <col min="5909" max="5910" width="3.42578125" style="9" customWidth="1"/>
    <col min="5911" max="5911" width="3.28515625" style="9" customWidth="1"/>
    <col min="5912" max="5912" width="3" style="9" customWidth="1"/>
    <col min="5913" max="5913" width="3.28515625" style="9" customWidth="1"/>
    <col min="5914" max="5914" width="3.140625" style="9" customWidth="1"/>
    <col min="5915" max="5915" width="3.5703125" style="9" customWidth="1"/>
    <col min="5916" max="5916" width="4" style="9" customWidth="1"/>
    <col min="5917" max="5917" width="3.7109375" style="9" customWidth="1"/>
    <col min="5918" max="5918" width="3.5703125" style="9" customWidth="1"/>
    <col min="5919" max="5919" width="3.7109375" style="9" customWidth="1"/>
    <col min="5920" max="5920" width="3.85546875" style="9" customWidth="1"/>
    <col min="5921" max="5921" width="4" style="9" customWidth="1"/>
    <col min="5922" max="5922" width="3.42578125" style="9" customWidth="1"/>
    <col min="5923" max="5923" width="3.5703125" style="9" customWidth="1"/>
    <col min="5924" max="6144" width="11.42578125" style="9"/>
    <col min="6145" max="6145" width="3.7109375" style="9" customWidth="1"/>
    <col min="6146" max="6146" width="5.140625" style="9" customWidth="1"/>
    <col min="6147" max="6147" width="4.85546875" style="9" customWidth="1"/>
    <col min="6148" max="6148" width="24.140625" style="9" customWidth="1"/>
    <col min="6149" max="6149" width="3.140625" style="9" customWidth="1"/>
    <col min="6150" max="6150" width="3" style="9" customWidth="1"/>
    <col min="6151" max="6151" width="3.140625" style="9" customWidth="1"/>
    <col min="6152" max="6152" width="2.85546875" style="9" customWidth="1"/>
    <col min="6153" max="6153" width="3.28515625" style="9" customWidth="1"/>
    <col min="6154" max="6154" width="3.42578125" style="9" customWidth="1"/>
    <col min="6155" max="6155" width="3.28515625" style="9" customWidth="1"/>
    <col min="6156" max="6157" width="3.85546875" style="9" customWidth="1"/>
    <col min="6158" max="6158" width="3.5703125" style="9" customWidth="1"/>
    <col min="6159" max="6159" width="3.42578125" style="9" customWidth="1"/>
    <col min="6160" max="6160" width="3.28515625" style="9" customWidth="1"/>
    <col min="6161" max="6161" width="3.5703125" style="9" customWidth="1"/>
    <col min="6162" max="6162" width="3.28515625" style="9" customWidth="1"/>
    <col min="6163" max="6163" width="3.42578125" style="9" customWidth="1"/>
    <col min="6164" max="6164" width="3" style="9" customWidth="1"/>
    <col min="6165" max="6166" width="3.42578125" style="9" customWidth="1"/>
    <col min="6167" max="6167" width="3.28515625" style="9" customWidth="1"/>
    <col min="6168" max="6168" width="3" style="9" customWidth="1"/>
    <col min="6169" max="6169" width="3.28515625" style="9" customWidth="1"/>
    <col min="6170" max="6170" width="3.140625" style="9" customWidth="1"/>
    <col min="6171" max="6171" width="3.5703125" style="9" customWidth="1"/>
    <col min="6172" max="6172" width="4" style="9" customWidth="1"/>
    <col min="6173" max="6173" width="3.7109375" style="9" customWidth="1"/>
    <col min="6174" max="6174" width="3.5703125" style="9" customWidth="1"/>
    <col min="6175" max="6175" width="3.7109375" style="9" customWidth="1"/>
    <col min="6176" max="6176" width="3.85546875" style="9" customWidth="1"/>
    <col min="6177" max="6177" width="4" style="9" customWidth="1"/>
    <col min="6178" max="6178" width="3.42578125" style="9" customWidth="1"/>
    <col min="6179" max="6179" width="3.5703125" style="9" customWidth="1"/>
    <col min="6180" max="6400" width="11.42578125" style="9"/>
    <col min="6401" max="6401" width="3.7109375" style="9" customWidth="1"/>
    <col min="6402" max="6402" width="5.140625" style="9" customWidth="1"/>
    <col min="6403" max="6403" width="4.85546875" style="9" customWidth="1"/>
    <col min="6404" max="6404" width="24.140625" style="9" customWidth="1"/>
    <col min="6405" max="6405" width="3.140625" style="9" customWidth="1"/>
    <col min="6406" max="6406" width="3" style="9" customWidth="1"/>
    <col min="6407" max="6407" width="3.140625" style="9" customWidth="1"/>
    <col min="6408" max="6408" width="2.85546875" style="9" customWidth="1"/>
    <col min="6409" max="6409" width="3.28515625" style="9" customWidth="1"/>
    <col min="6410" max="6410" width="3.42578125" style="9" customWidth="1"/>
    <col min="6411" max="6411" width="3.28515625" style="9" customWidth="1"/>
    <col min="6412" max="6413" width="3.85546875" style="9" customWidth="1"/>
    <col min="6414" max="6414" width="3.5703125" style="9" customWidth="1"/>
    <col min="6415" max="6415" width="3.42578125" style="9" customWidth="1"/>
    <col min="6416" max="6416" width="3.28515625" style="9" customWidth="1"/>
    <col min="6417" max="6417" width="3.5703125" style="9" customWidth="1"/>
    <col min="6418" max="6418" width="3.28515625" style="9" customWidth="1"/>
    <col min="6419" max="6419" width="3.42578125" style="9" customWidth="1"/>
    <col min="6420" max="6420" width="3" style="9" customWidth="1"/>
    <col min="6421" max="6422" width="3.42578125" style="9" customWidth="1"/>
    <col min="6423" max="6423" width="3.28515625" style="9" customWidth="1"/>
    <col min="6424" max="6424" width="3" style="9" customWidth="1"/>
    <col min="6425" max="6425" width="3.28515625" style="9" customWidth="1"/>
    <col min="6426" max="6426" width="3.140625" style="9" customWidth="1"/>
    <col min="6427" max="6427" width="3.5703125" style="9" customWidth="1"/>
    <col min="6428" max="6428" width="4" style="9" customWidth="1"/>
    <col min="6429" max="6429" width="3.7109375" style="9" customWidth="1"/>
    <col min="6430" max="6430" width="3.5703125" style="9" customWidth="1"/>
    <col min="6431" max="6431" width="3.7109375" style="9" customWidth="1"/>
    <col min="6432" max="6432" width="3.85546875" style="9" customWidth="1"/>
    <col min="6433" max="6433" width="4" style="9" customWidth="1"/>
    <col min="6434" max="6434" width="3.42578125" style="9" customWidth="1"/>
    <col min="6435" max="6435" width="3.5703125" style="9" customWidth="1"/>
    <col min="6436" max="6656" width="11.42578125" style="9"/>
    <col min="6657" max="6657" width="3.7109375" style="9" customWidth="1"/>
    <col min="6658" max="6658" width="5.140625" style="9" customWidth="1"/>
    <col min="6659" max="6659" width="4.85546875" style="9" customWidth="1"/>
    <col min="6660" max="6660" width="24.140625" style="9" customWidth="1"/>
    <col min="6661" max="6661" width="3.140625" style="9" customWidth="1"/>
    <col min="6662" max="6662" width="3" style="9" customWidth="1"/>
    <col min="6663" max="6663" width="3.140625" style="9" customWidth="1"/>
    <col min="6664" max="6664" width="2.85546875" style="9" customWidth="1"/>
    <col min="6665" max="6665" width="3.28515625" style="9" customWidth="1"/>
    <col min="6666" max="6666" width="3.42578125" style="9" customWidth="1"/>
    <col min="6667" max="6667" width="3.28515625" style="9" customWidth="1"/>
    <col min="6668" max="6669" width="3.85546875" style="9" customWidth="1"/>
    <col min="6670" max="6670" width="3.5703125" style="9" customWidth="1"/>
    <col min="6671" max="6671" width="3.42578125" style="9" customWidth="1"/>
    <col min="6672" max="6672" width="3.28515625" style="9" customWidth="1"/>
    <col min="6673" max="6673" width="3.5703125" style="9" customWidth="1"/>
    <col min="6674" max="6674" width="3.28515625" style="9" customWidth="1"/>
    <col min="6675" max="6675" width="3.42578125" style="9" customWidth="1"/>
    <col min="6676" max="6676" width="3" style="9" customWidth="1"/>
    <col min="6677" max="6678" width="3.42578125" style="9" customWidth="1"/>
    <col min="6679" max="6679" width="3.28515625" style="9" customWidth="1"/>
    <col min="6680" max="6680" width="3" style="9" customWidth="1"/>
    <col min="6681" max="6681" width="3.28515625" style="9" customWidth="1"/>
    <col min="6682" max="6682" width="3.140625" style="9" customWidth="1"/>
    <col min="6683" max="6683" width="3.5703125" style="9" customWidth="1"/>
    <col min="6684" max="6684" width="4" style="9" customWidth="1"/>
    <col min="6685" max="6685" width="3.7109375" style="9" customWidth="1"/>
    <col min="6686" max="6686" width="3.5703125" style="9" customWidth="1"/>
    <col min="6687" max="6687" width="3.7109375" style="9" customWidth="1"/>
    <col min="6688" max="6688" width="3.85546875" style="9" customWidth="1"/>
    <col min="6689" max="6689" width="4" style="9" customWidth="1"/>
    <col min="6690" max="6690" width="3.42578125" style="9" customWidth="1"/>
    <col min="6691" max="6691" width="3.5703125" style="9" customWidth="1"/>
    <col min="6692" max="6912" width="11.42578125" style="9"/>
    <col min="6913" max="6913" width="3.7109375" style="9" customWidth="1"/>
    <col min="6914" max="6914" width="5.140625" style="9" customWidth="1"/>
    <col min="6915" max="6915" width="4.85546875" style="9" customWidth="1"/>
    <col min="6916" max="6916" width="24.140625" style="9" customWidth="1"/>
    <col min="6917" max="6917" width="3.140625" style="9" customWidth="1"/>
    <col min="6918" max="6918" width="3" style="9" customWidth="1"/>
    <col min="6919" max="6919" width="3.140625" style="9" customWidth="1"/>
    <col min="6920" max="6920" width="2.85546875" style="9" customWidth="1"/>
    <col min="6921" max="6921" width="3.28515625" style="9" customWidth="1"/>
    <col min="6922" max="6922" width="3.42578125" style="9" customWidth="1"/>
    <col min="6923" max="6923" width="3.28515625" style="9" customWidth="1"/>
    <col min="6924" max="6925" width="3.85546875" style="9" customWidth="1"/>
    <col min="6926" max="6926" width="3.5703125" style="9" customWidth="1"/>
    <col min="6927" max="6927" width="3.42578125" style="9" customWidth="1"/>
    <col min="6928" max="6928" width="3.28515625" style="9" customWidth="1"/>
    <col min="6929" max="6929" width="3.5703125" style="9" customWidth="1"/>
    <col min="6930" max="6930" width="3.28515625" style="9" customWidth="1"/>
    <col min="6931" max="6931" width="3.42578125" style="9" customWidth="1"/>
    <col min="6932" max="6932" width="3" style="9" customWidth="1"/>
    <col min="6933" max="6934" width="3.42578125" style="9" customWidth="1"/>
    <col min="6935" max="6935" width="3.28515625" style="9" customWidth="1"/>
    <col min="6936" max="6936" width="3" style="9" customWidth="1"/>
    <col min="6937" max="6937" width="3.28515625" style="9" customWidth="1"/>
    <col min="6938" max="6938" width="3.140625" style="9" customWidth="1"/>
    <col min="6939" max="6939" width="3.5703125" style="9" customWidth="1"/>
    <col min="6940" max="6940" width="4" style="9" customWidth="1"/>
    <col min="6941" max="6941" width="3.7109375" style="9" customWidth="1"/>
    <col min="6942" max="6942" width="3.5703125" style="9" customWidth="1"/>
    <col min="6943" max="6943" width="3.7109375" style="9" customWidth="1"/>
    <col min="6944" max="6944" width="3.85546875" style="9" customWidth="1"/>
    <col min="6945" max="6945" width="4" style="9" customWidth="1"/>
    <col min="6946" max="6946" width="3.42578125" style="9" customWidth="1"/>
    <col min="6947" max="6947" width="3.5703125" style="9" customWidth="1"/>
    <col min="6948" max="7168" width="11.42578125" style="9"/>
    <col min="7169" max="7169" width="3.7109375" style="9" customWidth="1"/>
    <col min="7170" max="7170" width="5.140625" style="9" customWidth="1"/>
    <col min="7171" max="7171" width="4.85546875" style="9" customWidth="1"/>
    <col min="7172" max="7172" width="24.140625" style="9" customWidth="1"/>
    <col min="7173" max="7173" width="3.140625" style="9" customWidth="1"/>
    <col min="7174" max="7174" width="3" style="9" customWidth="1"/>
    <col min="7175" max="7175" width="3.140625" style="9" customWidth="1"/>
    <col min="7176" max="7176" width="2.85546875" style="9" customWidth="1"/>
    <col min="7177" max="7177" width="3.28515625" style="9" customWidth="1"/>
    <col min="7178" max="7178" width="3.42578125" style="9" customWidth="1"/>
    <col min="7179" max="7179" width="3.28515625" style="9" customWidth="1"/>
    <col min="7180" max="7181" width="3.85546875" style="9" customWidth="1"/>
    <col min="7182" max="7182" width="3.5703125" style="9" customWidth="1"/>
    <col min="7183" max="7183" width="3.42578125" style="9" customWidth="1"/>
    <col min="7184" max="7184" width="3.28515625" style="9" customWidth="1"/>
    <col min="7185" max="7185" width="3.5703125" style="9" customWidth="1"/>
    <col min="7186" max="7186" width="3.28515625" style="9" customWidth="1"/>
    <col min="7187" max="7187" width="3.42578125" style="9" customWidth="1"/>
    <col min="7188" max="7188" width="3" style="9" customWidth="1"/>
    <col min="7189" max="7190" width="3.42578125" style="9" customWidth="1"/>
    <col min="7191" max="7191" width="3.28515625" style="9" customWidth="1"/>
    <col min="7192" max="7192" width="3" style="9" customWidth="1"/>
    <col min="7193" max="7193" width="3.28515625" style="9" customWidth="1"/>
    <col min="7194" max="7194" width="3.140625" style="9" customWidth="1"/>
    <col min="7195" max="7195" width="3.5703125" style="9" customWidth="1"/>
    <col min="7196" max="7196" width="4" style="9" customWidth="1"/>
    <col min="7197" max="7197" width="3.7109375" style="9" customWidth="1"/>
    <col min="7198" max="7198" width="3.5703125" style="9" customWidth="1"/>
    <col min="7199" max="7199" width="3.7109375" style="9" customWidth="1"/>
    <col min="7200" max="7200" width="3.85546875" style="9" customWidth="1"/>
    <col min="7201" max="7201" width="4" style="9" customWidth="1"/>
    <col min="7202" max="7202" width="3.42578125" style="9" customWidth="1"/>
    <col min="7203" max="7203" width="3.5703125" style="9" customWidth="1"/>
    <col min="7204" max="7424" width="11.42578125" style="9"/>
    <col min="7425" max="7425" width="3.7109375" style="9" customWidth="1"/>
    <col min="7426" max="7426" width="5.140625" style="9" customWidth="1"/>
    <col min="7427" max="7427" width="4.85546875" style="9" customWidth="1"/>
    <col min="7428" max="7428" width="24.140625" style="9" customWidth="1"/>
    <col min="7429" max="7429" width="3.140625" style="9" customWidth="1"/>
    <col min="7430" max="7430" width="3" style="9" customWidth="1"/>
    <col min="7431" max="7431" width="3.140625" style="9" customWidth="1"/>
    <col min="7432" max="7432" width="2.85546875" style="9" customWidth="1"/>
    <col min="7433" max="7433" width="3.28515625" style="9" customWidth="1"/>
    <col min="7434" max="7434" width="3.42578125" style="9" customWidth="1"/>
    <col min="7435" max="7435" width="3.28515625" style="9" customWidth="1"/>
    <col min="7436" max="7437" width="3.85546875" style="9" customWidth="1"/>
    <col min="7438" max="7438" width="3.5703125" style="9" customWidth="1"/>
    <col min="7439" max="7439" width="3.42578125" style="9" customWidth="1"/>
    <col min="7440" max="7440" width="3.28515625" style="9" customWidth="1"/>
    <col min="7441" max="7441" width="3.5703125" style="9" customWidth="1"/>
    <col min="7442" max="7442" width="3.28515625" style="9" customWidth="1"/>
    <col min="7443" max="7443" width="3.42578125" style="9" customWidth="1"/>
    <col min="7444" max="7444" width="3" style="9" customWidth="1"/>
    <col min="7445" max="7446" width="3.42578125" style="9" customWidth="1"/>
    <col min="7447" max="7447" width="3.28515625" style="9" customWidth="1"/>
    <col min="7448" max="7448" width="3" style="9" customWidth="1"/>
    <col min="7449" max="7449" width="3.28515625" style="9" customWidth="1"/>
    <col min="7450" max="7450" width="3.140625" style="9" customWidth="1"/>
    <col min="7451" max="7451" width="3.5703125" style="9" customWidth="1"/>
    <col min="7452" max="7452" width="4" style="9" customWidth="1"/>
    <col min="7453" max="7453" width="3.7109375" style="9" customWidth="1"/>
    <col min="7454" max="7454" width="3.5703125" style="9" customWidth="1"/>
    <col min="7455" max="7455" width="3.7109375" style="9" customWidth="1"/>
    <col min="7456" max="7456" width="3.85546875" style="9" customWidth="1"/>
    <col min="7457" max="7457" width="4" style="9" customWidth="1"/>
    <col min="7458" max="7458" width="3.42578125" style="9" customWidth="1"/>
    <col min="7459" max="7459" width="3.5703125" style="9" customWidth="1"/>
    <col min="7460" max="7680" width="11.42578125" style="9"/>
    <col min="7681" max="7681" width="3.7109375" style="9" customWidth="1"/>
    <col min="7682" max="7682" width="5.140625" style="9" customWidth="1"/>
    <col min="7683" max="7683" width="4.85546875" style="9" customWidth="1"/>
    <col min="7684" max="7684" width="24.140625" style="9" customWidth="1"/>
    <col min="7685" max="7685" width="3.140625" style="9" customWidth="1"/>
    <col min="7686" max="7686" width="3" style="9" customWidth="1"/>
    <col min="7687" max="7687" width="3.140625" style="9" customWidth="1"/>
    <col min="7688" max="7688" width="2.85546875" style="9" customWidth="1"/>
    <col min="7689" max="7689" width="3.28515625" style="9" customWidth="1"/>
    <col min="7690" max="7690" width="3.42578125" style="9" customWidth="1"/>
    <col min="7691" max="7691" width="3.28515625" style="9" customWidth="1"/>
    <col min="7692" max="7693" width="3.85546875" style="9" customWidth="1"/>
    <col min="7694" max="7694" width="3.5703125" style="9" customWidth="1"/>
    <col min="7695" max="7695" width="3.42578125" style="9" customWidth="1"/>
    <col min="7696" max="7696" width="3.28515625" style="9" customWidth="1"/>
    <col min="7697" max="7697" width="3.5703125" style="9" customWidth="1"/>
    <col min="7698" max="7698" width="3.28515625" style="9" customWidth="1"/>
    <col min="7699" max="7699" width="3.42578125" style="9" customWidth="1"/>
    <col min="7700" max="7700" width="3" style="9" customWidth="1"/>
    <col min="7701" max="7702" width="3.42578125" style="9" customWidth="1"/>
    <col min="7703" max="7703" width="3.28515625" style="9" customWidth="1"/>
    <col min="7704" max="7704" width="3" style="9" customWidth="1"/>
    <col min="7705" max="7705" width="3.28515625" style="9" customWidth="1"/>
    <col min="7706" max="7706" width="3.140625" style="9" customWidth="1"/>
    <col min="7707" max="7707" width="3.5703125" style="9" customWidth="1"/>
    <col min="7708" max="7708" width="4" style="9" customWidth="1"/>
    <col min="7709" max="7709" width="3.7109375" style="9" customWidth="1"/>
    <col min="7710" max="7710" width="3.5703125" style="9" customWidth="1"/>
    <col min="7711" max="7711" width="3.7109375" style="9" customWidth="1"/>
    <col min="7712" max="7712" width="3.85546875" style="9" customWidth="1"/>
    <col min="7713" max="7713" width="4" style="9" customWidth="1"/>
    <col min="7714" max="7714" width="3.42578125" style="9" customWidth="1"/>
    <col min="7715" max="7715" width="3.5703125" style="9" customWidth="1"/>
    <col min="7716" max="7936" width="11.42578125" style="9"/>
    <col min="7937" max="7937" width="3.7109375" style="9" customWidth="1"/>
    <col min="7938" max="7938" width="5.140625" style="9" customWidth="1"/>
    <col min="7939" max="7939" width="4.85546875" style="9" customWidth="1"/>
    <col min="7940" max="7940" width="24.140625" style="9" customWidth="1"/>
    <col min="7941" max="7941" width="3.140625" style="9" customWidth="1"/>
    <col min="7942" max="7942" width="3" style="9" customWidth="1"/>
    <col min="7943" max="7943" width="3.140625" style="9" customWidth="1"/>
    <col min="7944" max="7944" width="2.85546875" style="9" customWidth="1"/>
    <col min="7945" max="7945" width="3.28515625" style="9" customWidth="1"/>
    <col min="7946" max="7946" width="3.42578125" style="9" customWidth="1"/>
    <col min="7947" max="7947" width="3.28515625" style="9" customWidth="1"/>
    <col min="7948" max="7949" width="3.85546875" style="9" customWidth="1"/>
    <col min="7950" max="7950" width="3.5703125" style="9" customWidth="1"/>
    <col min="7951" max="7951" width="3.42578125" style="9" customWidth="1"/>
    <col min="7952" max="7952" width="3.28515625" style="9" customWidth="1"/>
    <col min="7953" max="7953" width="3.5703125" style="9" customWidth="1"/>
    <col min="7954" max="7954" width="3.28515625" style="9" customWidth="1"/>
    <col min="7955" max="7955" width="3.42578125" style="9" customWidth="1"/>
    <col min="7956" max="7956" width="3" style="9" customWidth="1"/>
    <col min="7957" max="7958" width="3.42578125" style="9" customWidth="1"/>
    <col min="7959" max="7959" width="3.28515625" style="9" customWidth="1"/>
    <col min="7960" max="7960" width="3" style="9" customWidth="1"/>
    <col min="7961" max="7961" width="3.28515625" style="9" customWidth="1"/>
    <col min="7962" max="7962" width="3.140625" style="9" customWidth="1"/>
    <col min="7963" max="7963" width="3.5703125" style="9" customWidth="1"/>
    <col min="7964" max="7964" width="4" style="9" customWidth="1"/>
    <col min="7965" max="7965" width="3.7109375" style="9" customWidth="1"/>
    <col min="7966" max="7966" width="3.5703125" style="9" customWidth="1"/>
    <col min="7967" max="7967" width="3.7109375" style="9" customWidth="1"/>
    <col min="7968" max="7968" width="3.85546875" style="9" customWidth="1"/>
    <col min="7969" max="7969" width="4" style="9" customWidth="1"/>
    <col min="7970" max="7970" width="3.42578125" style="9" customWidth="1"/>
    <col min="7971" max="7971" width="3.5703125" style="9" customWidth="1"/>
    <col min="7972" max="8192" width="11.42578125" style="9"/>
    <col min="8193" max="8193" width="3.7109375" style="9" customWidth="1"/>
    <col min="8194" max="8194" width="5.140625" style="9" customWidth="1"/>
    <col min="8195" max="8195" width="4.85546875" style="9" customWidth="1"/>
    <col min="8196" max="8196" width="24.140625" style="9" customWidth="1"/>
    <col min="8197" max="8197" width="3.140625" style="9" customWidth="1"/>
    <col min="8198" max="8198" width="3" style="9" customWidth="1"/>
    <col min="8199" max="8199" width="3.140625" style="9" customWidth="1"/>
    <col min="8200" max="8200" width="2.85546875" style="9" customWidth="1"/>
    <col min="8201" max="8201" width="3.28515625" style="9" customWidth="1"/>
    <col min="8202" max="8202" width="3.42578125" style="9" customWidth="1"/>
    <col min="8203" max="8203" width="3.28515625" style="9" customWidth="1"/>
    <col min="8204" max="8205" width="3.85546875" style="9" customWidth="1"/>
    <col min="8206" max="8206" width="3.5703125" style="9" customWidth="1"/>
    <col min="8207" max="8207" width="3.42578125" style="9" customWidth="1"/>
    <col min="8208" max="8208" width="3.28515625" style="9" customWidth="1"/>
    <col min="8209" max="8209" width="3.5703125" style="9" customWidth="1"/>
    <col min="8210" max="8210" width="3.28515625" style="9" customWidth="1"/>
    <col min="8211" max="8211" width="3.42578125" style="9" customWidth="1"/>
    <col min="8212" max="8212" width="3" style="9" customWidth="1"/>
    <col min="8213" max="8214" width="3.42578125" style="9" customWidth="1"/>
    <col min="8215" max="8215" width="3.28515625" style="9" customWidth="1"/>
    <col min="8216" max="8216" width="3" style="9" customWidth="1"/>
    <col min="8217" max="8217" width="3.28515625" style="9" customWidth="1"/>
    <col min="8218" max="8218" width="3.140625" style="9" customWidth="1"/>
    <col min="8219" max="8219" width="3.5703125" style="9" customWidth="1"/>
    <col min="8220" max="8220" width="4" style="9" customWidth="1"/>
    <col min="8221" max="8221" width="3.7109375" style="9" customWidth="1"/>
    <col min="8222" max="8222" width="3.5703125" style="9" customWidth="1"/>
    <col min="8223" max="8223" width="3.7109375" style="9" customWidth="1"/>
    <col min="8224" max="8224" width="3.85546875" style="9" customWidth="1"/>
    <col min="8225" max="8225" width="4" style="9" customWidth="1"/>
    <col min="8226" max="8226" width="3.42578125" style="9" customWidth="1"/>
    <col min="8227" max="8227" width="3.5703125" style="9" customWidth="1"/>
    <col min="8228" max="8448" width="11.42578125" style="9"/>
    <col min="8449" max="8449" width="3.7109375" style="9" customWidth="1"/>
    <col min="8450" max="8450" width="5.140625" style="9" customWidth="1"/>
    <col min="8451" max="8451" width="4.85546875" style="9" customWidth="1"/>
    <col min="8452" max="8452" width="24.140625" style="9" customWidth="1"/>
    <col min="8453" max="8453" width="3.140625" style="9" customWidth="1"/>
    <col min="8454" max="8454" width="3" style="9" customWidth="1"/>
    <col min="8455" max="8455" width="3.140625" style="9" customWidth="1"/>
    <col min="8456" max="8456" width="2.85546875" style="9" customWidth="1"/>
    <col min="8457" max="8457" width="3.28515625" style="9" customWidth="1"/>
    <col min="8458" max="8458" width="3.42578125" style="9" customWidth="1"/>
    <col min="8459" max="8459" width="3.28515625" style="9" customWidth="1"/>
    <col min="8460" max="8461" width="3.85546875" style="9" customWidth="1"/>
    <col min="8462" max="8462" width="3.5703125" style="9" customWidth="1"/>
    <col min="8463" max="8463" width="3.42578125" style="9" customWidth="1"/>
    <col min="8464" max="8464" width="3.28515625" style="9" customWidth="1"/>
    <col min="8465" max="8465" width="3.5703125" style="9" customWidth="1"/>
    <col min="8466" max="8466" width="3.28515625" style="9" customWidth="1"/>
    <col min="8467" max="8467" width="3.42578125" style="9" customWidth="1"/>
    <col min="8468" max="8468" width="3" style="9" customWidth="1"/>
    <col min="8469" max="8470" width="3.42578125" style="9" customWidth="1"/>
    <col min="8471" max="8471" width="3.28515625" style="9" customWidth="1"/>
    <col min="8472" max="8472" width="3" style="9" customWidth="1"/>
    <col min="8473" max="8473" width="3.28515625" style="9" customWidth="1"/>
    <col min="8474" max="8474" width="3.140625" style="9" customWidth="1"/>
    <col min="8475" max="8475" width="3.5703125" style="9" customWidth="1"/>
    <col min="8476" max="8476" width="4" style="9" customWidth="1"/>
    <col min="8477" max="8477" width="3.7109375" style="9" customWidth="1"/>
    <col min="8478" max="8478" width="3.5703125" style="9" customWidth="1"/>
    <col min="8479" max="8479" width="3.7109375" style="9" customWidth="1"/>
    <col min="8480" max="8480" width="3.85546875" style="9" customWidth="1"/>
    <col min="8481" max="8481" width="4" style="9" customWidth="1"/>
    <col min="8482" max="8482" width="3.42578125" style="9" customWidth="1"/>
    <col min="8483" max="8483" width="3.5703125" style="9" customWidth="1"/>
    <col min="8484" max="8704" width="11.42578125" style="9"/>
    <col min="8705" max="8705" width="3.7109375" style="9" customWidth="1"/>
    <col min="8706" max="8706" width="5.140625" style="9" customWidth="1"/>
    <col min="8707" max="8707" width="4.85546875" style="9" customWidth="1"/>
    <col min="8708" max="8708" width="24.140625" style="9" customWidth="1"/>
    <col min="8709" max="8709" width="3.140625" style="9" customWidth="1"/>
    <col min="8710" max="8710" width="3" style="9" customWidth="1"/>
    <col min="8711" max="8711" width="3.140625" style="9" customWidth="1"/>
    <col min="8712" max="8712" width="2.85546875" style="9" customWidth="1"/>
    <col min="8713" max="8713" width="3.28515625" style="9" customWidth="1"/>
    <col min="8714" max="8714" width="3.42578125" style="9" customWidth="1"/>
    <col min="8715" max="8715" width="3.28515625" style="9" customWidth="1"/>
    <col min="8716" max="8717" width="3.85546875" style="9" customWidth="1"/>
    <col min="8718" max="8718" width="3.5703125" style="9" customWidth="1"/>
    <col min="8719" max="8719" width="3.42578125" style="9" customWidth="1"/>
    <col min="8720" max="8720" width="3.28515625" style="9" customWidth="1"/>
    <col min="8721" max="8721" width="3.5703125" style="9" customWidth="1"/>
    <col min="8722" max="8722" width="3.28515625" style="9" customWidth="1"/>
    <col min="8723" max="8723" width="3.42578125" style="9" customWidth="1"/>
    <col min="8724" max="8724" width="3" style="9" customWidth="1"/>
    <col min="8725" max="8726" width="3.42578125" style="9" customWidth="1"/>
    <col min="8727" max="8727" width="3.28515625" style="9" customWidth="1"/>
    <col min="8728" max="8728" width="3" style="9" customWidth="1"/>
    <col min="8729" max="8729" width="3.28515625" style="9" customWidth="1"/>
    <col min="8730" max="8730" width="3.140625" style="9" customWidth="1"/>
    <col min="8731" max="8731" width="3.5703125" style="9" customWidth="1"/>
    <col min="8732" max="8732" width="4" style="9" customWidth="1"/>
    <col min="8733" max="8733" width="3.7109375" style="9" customWidth="1"/>
    <col min="8734" max="8734" width="3.5703125" style="9" customWidth="1"/>
    <col min="8735" max="8735" width="3.7109375" style="9" customWidth="1"/>
    <col min="8736" max="8736" width="3.85546875" style="9" customWidth="1"/>
    <col min="8737" max="8737" width="4" style="9" customWidth="1"/>
    <col min="8738" max="8738" width="3.42578125" style="9" customWidth="1"/>
    <col min="8739" max="8739" width="3.5703125" style="9" customWidth="1"/>
    <col min="8740" max="8960" width="11.42578125" style="9"/>
    <col min="8961" max="8961" width="3.7109375" style="9" customWidth="1"/>
    <col min="8962" max="8962" width="5.140625" style="9" customWidth="1"/>
    <col min="8963" max="8963" width="4.85546875" style="9" customWidth="1"/>
    <col min="8964" max="8964" width="24.140625" style="9" customWidth="1"/>
    <col min="8965" max="8965" width="3.140625" style="9" customWidth="1"/>
    <col min="8966" max="8966" width="3" style="9" customWidth="1"/>
    <col min="8967" max="8967" width="3.140625" style="9" customWidth="1"/>
    <col min="8968" max="8968" width="2.85546875" style="9" customWidth="1"/>
    <col min="8969" max="8969" width="3.28515625" style="9" customWidth="1"/>
    <col min="8970" max="8970" width="3.42578125" style="9" customWidth="1"/>
    <col min="8971" max="8971" width="3.28515625" style="9" customWidth="1"/>
    <col min="8972" max="8973" width="3.85546875" style="9" customWidth="1"/>
    <col min="8974" max="8974" width="3.5703125" style="9" customWidth="1"/>
    <col min="8975" max="8975" width="3.42578125" style="9" customWidth="1"/>
    <col min="8976" max="8976" width="3.28515625" style="9" customWidth="1"/>
    <col min="8977" max="8977" width="3.5703125" style="9" customWidth="1"/>
    <col min="8978" max="8978" width="3.28515625" style="9" customWidth="1"/>
    <col min="8979" max="8979" width="3.42578125" style="9" customWidth="1"/>
    <col min="8980" max="8980" width="3" style="9" customWidth="1"/>
    <col min="8981" max="8982" width="3.42578125" style="9" customWidth="1"/>
    <col min="8983" max="8983" width="3.28515625" style="9" customWidth="1"/>
    <col min="8984" max="8984" width="3" style="9" customWidth="1"/>
    <col min="8985" max="8985" width="3.28515625" style="9" customWidth="1"/>
    <col min="8986" max="8986" width="3.140625" style="9" customWidth="1"/>
    <col min="8987" max="8987" width="3.5703125" style="9" customWidth="1"/>
    <col min="8988" max="8988" width="4" style="9" customWidth="1"/>
    <col min="8989" max="8989" width="3.7109375" style="9" customWidth="1"/>
    <col min="8990" max="8990" width="3.5703125" style="9" customWidth="1"/>
    <col min="8991" max="8991" width="3.7109375" style="9" customWidth="1"/>
    <col min="8992" max="8992" width="3.85546875" style="9" customWidth="1"/>
    <col min="8993" max="8993" width="4" style="9" customWidth="1"/>
    <col min="8994" max="8994" width="3.42578125" style="9" customWidth="1"/>
    <col min="8995" max="8995" width="3.5703125" style="9" customWidth="1"/>
    <col min="8996" max="9216" width="11.42578125" style="9"/>
    <col min="9217" max="9217" width="3.7109375" style="9" customWidth="1"/>
    <col min="9218" max="9218" width="5.140625" style="9" customWidth="1"/>
    <col min="9219" max="9219" width="4.85546875" style="9" customWidth="1"/>
    <col min="9220" max="9220" width="24.140625" style="9" customWidth="1"/>
    <col min="9221" max="9221" width="3.140625" style="9" customWidth="1"/>
    <col min="9222" max="9222" width="3" style="9" customWidth="1"/>
    <col min="9223" max="9223" width="3.140625" style="9" customWidth="1"/>
    <col min="9224" max="9224" width="2.85546875" style="9" customWidth="1"/>
    <col min="9225" max="9225" width="3.28515625" style="9" customWidth="1"/>
    <col min="9226" max="9226" width="3.42578125" style="9" customWidth="1"/>
    <col min="9227" max="9227" width="3.28515625" style="9" customWidth="1"/>
    <col min="9228" max="9229" width="3.85546875" style="9" customWidth="1"/>
    <col min="9230" max="9230" width="3.5703125" style="9" customWidth="1"/>
    <col min="9231" max="9231" width="3.42578125" style="9" customWidth="1"/>
    <col min="9232" max="9232" width="3.28515625" style="9" customWidth="1"/>
    <col min="9233" max="9233" width="3.5703125" style="9" customWidth="1"/>
    <col min="9234" max="9234" width="3.28515625" style="9" customWidth="1"/>
    <col min="9235" max="9235" width="3.42578125" style="9" customWidth="1"/>
    <col min="9236" max="9236" width="3" style="9" customWidth="1"/>
    <col min="9237" max="9238" width="3.42578125" style="9" customWidth="1"/>
    <col min="9239" max="9239" width="3.28515625" style="9" customWidth="1"/>
    <col min="9240" max="9240" width="3" style="9" customWidth="1"/>
    <col min="9241" max="9241" width="3.28515625" style="9" customWidth="1"/>
    <col min="9242" max="9242" width="3.140625" style="9" customWidth="1"/>
    <col min="9243" max="9243" width="3.5703125" style="9" customWidth="1"/>
    <col min="9244" max="9244" width="4" style="9" customWidth="1"/>
    <col min="9245" max="9245" width="3.7109375" style="9" customWidth="1"/>
    <col min="9246" max="9246" width="3.5703125" style="9" customWidth="1"/>
    <col min="9247" max="9247" width="3.7109375" style="9" customWidth="1"/>
    <col min="9248" max="9248" width="3.85546875" style="9" customWidth="1"/>
    <col min="9249" max="9249" width="4" style="9" customWidth="1"/>
    <col min="9250" max="9250" width="3.42578125" style="9" customWidth="1"/>
    <col min="9251" max="9251" width="3.5703125" style="9" customWidth="1"/>
    <col min="9252" max="9472" width="11.42578125" style="9"/>
    <col min="9473" max="9473" width="3.7109375" style="9" customWidth="1"/>
    <col min="9474" max="9474" width="5.140625" style="9" customWidth="1"/>
    <col min="9475" max="9475" width="4.85546875" style="9" customWidth="1"/>
    <col min="9476" max="9476" width="24.140625" style="9" customWidth="1"/>
    <col min="9477" max="9477" width="3.140625" style="9" customWidth="1"/>
    <col min="9478" max="9478" width="3" style="9" customWidth="1"/>
    <col min="9479" max="9479" width="3.140625" style="9" customWidth="1"/>
    <col min="9480" max="9480" width="2.85546875" style="9" customWidth="1"/>
    <col min="9481" max="9481" width="3.28515625" style="9" customWidth="1"/>
    <col min="9482" max="9482" width="3.42578125" style="9" customWidth="1"/>
    <col min="9483" max="9483" width="3.28515625" style="9" customWidth="1"/>
    <col min="9484" max="9485" width="3.85546875" style="9" customWidth="1"/>
    <col min="9486" max="9486" width="3.5703125" style="9" customWidth="1"/>
    <col min="9487" max="9487" width="3.42578125" style="9" customWidth="1"/>
    <col min="9488" max="9488" width="3.28515625" style="9" customWidth="1"/>
    <col min="9489" max="9489" width="3.5703125" style="9" customWidth="1"/>
    <col min="9490" max="9490" width="3.28515625" style="9" customWidth="1"/>
    <col min="9491" max="9491" width="3.42578125" style="9" customWidth="1"/>
    <col min="9492" max="9492" width="3" style="9" customWidth="1"/>
    <col min="9493" max="9494" width="3.42578125" style="9" customWidth="1"/>
    <col min="9495" max="9495" width="3.28515625" style="9" customWidth="1"/>
    <col min="9496" max="9496" width="3" style="9" customWidth="1"/>
    <col min="9497" max="9497" width="3.28515625" style="9" customWidth="1"/>
    <col min="9498" max="9498" width="3.140625" style="9" customWidth="1"/>
    <col min="9499" max="9499" width="3.5703125" style="9" customWidth="1"/>
    <col min="9500" max="9500" width="4" style="9" customWidth="1"/>
    <col min="9501" max="9501" width="3.7109375" style="9" customWidth="1"/>
    <col min="9502" max="9502" width="3.5703125" style="9" customWidth="1"/>
    <col min="9503" max="9503" width="3.7109375" style="9" customWidth="1"/>
    <col min="9504" max="9504" width="3.85546875" style="9" customWidth="1"/>
    <col min="9505" max="9505" width="4" style="9" customWidth="1"/>
    <col min="9506" max="9506" width="3.42578125" style="9" customWidth="1"/>
    <col min="9507" max="9507" width="3.5703125" style="9" customWidth="1"/>
    <col min="9508" max="9728" width="11.42578125" style="9"/>
    <col min="9729" max="9729" width="3.7109375" style="9" customWidth="1"/>
    <col min="9730" max="9730" width="5.140625" style="9" customWidth="1"/>
    <col min="9731" max="9731" width="4.85546875" style="9" customWidth="1"/>
    <col min="9732" max="9732" width="24.140625" style="9" customWidth="1"/>
    <col min="9733" max="9733" width="3.140625" style="9" customWidth="1"/>
    <col min="9734" max="9734" width="3" style="9" customWidth="1"/>
    <col min="9735" max="9735" width="3.140625" style="9" customWidth="1"/>
    <col min="9736" max="9736" width="2.85546875" style="9" customWidth="1"/>
    <col min="9737" max="9737" width="3.28515625" style="9" customWidth="1"/>
    <col min="9738" max="9738" width="3.42578125" style="9" customWidth="1"/>
    <col min="9739" max="9739" width="3.28515625" style="9" customWidth="1"/>
    <col min="9740" max="9741" width="3.85546875" style="9" customWidth="1"/>
    <col min="9742" max="9742" width="3.5703125" style="9" customWidth="1"/>
    <col min="9743" max="9743" width="3.42578125" style="9" customWidth="1"/>
    <col min="9744" max="9744" width="3.28515625" style="9" customWidth="1"/>
    <col min="9745" max="9745" width="3.5703125" style="9" customWidth="1"/>
    <col min="9746" max="9746" width="3.28515625" style="9" customWidth="1"/>
    <col min="9747" max="9747" width="3.42578125" style="9" customWidth="1"/>
    <col min="9748" max="9748" width="3" style="9" customWidth="1"/>
    <col min="9749" max="9750" width="3.42578125" style="9" customWidth="1"/>
    <col min="9751" max="9751" width="3.28515625" style="9" customWidth="1"/>
    <col min="9752" max="9752" width="3" style="9" customWidth="1"/>
    <col min="9753" max="9753" width="3.28515625" style="9" customWidth="1"/>
    <col min="9754" max="9754" width="3.140625" style="9" customWidth="1"/>
    <col min="9755" max="9755" width="3.5703125" style="9" customWidth="1"/>
    <col min="9756" max="9756" width="4" style="9" customWidth="1"/>
    <col min="9757" max="9757" width="3.7109375" style="9" customWidth="1"/>
    <col min="9758" max="9758" width="3.5703125" style="9" customWidth="1"/>
    <col min="9759" max="9759" width="3.7109375" style="9" customWidth="1"/>
    <col min="9760" max="9760" width="3.85546875" style="9" customWidth="1"/>
    <col min="9761" max="9761" width="4" style="9" customWidth="1"/>
    <col min="9762" max="9762" width="3.42578125" style="9" customWidth="1"/>
    <col min="9763" max="9763" width="3.5703125" style="9" customWidth="1"/>
    <col min="9764" max="9984" width="11.42578125" style="9"/>
    <col min="9985" max="9985" width="3.7109375" style="9" customWidth="1"/>
    <col min="9986" max="9986" width="5.140625" style="9" customWidth="1"/>
    <col min="9987" max="9987" width="4.85546875" style="9" customWidth="1"/>
    <col min="9988" max="9988" width="24.140625" style="9" customWidth="1"/>
    <col min="9989" max="9989" width="3.140625" style="9" customWidth="1"/>
    <col min="9990" max="9990" width="3" style="9" customWidth="1"/>
    <col min="9991" max="9991" width="3.140625" style="9" customWidth="1"/>
    <col min="9992" max="9992" width="2.85546875" style="9" customWidth="1"/>
    <col min="9993" max="9993" width="3.28515625" style="9" customWidth="1"/>
    <col min="9994" max="9994" width="3.42578125" style="9" customWidth="1"/>
    <col min="9995" max="9995" width="3.28515625" style="9" customWidth="1"/>
    <col min="9996" max="9997" width="3.85546875" style="9" customWidth="1"/>
    <col min="9998" max="9998" width="3.5703125" style="9" customWidth="1"/>
    <col min="9999" max="9999" width="3.42578125" style="9" customWidth="1"/>
    <col min="10000" max="10000" width="3.28515625" style="9" customWidth="1"/>
    <col min="10001" max="10001" width="3.5703125" style="9" customWidth="1"/>
    <col min="10002" max="10002" width="3.28515625" style="9" customWidth="1"/>
    <col min="10003" max="10003" width="3.42578125" style="9" customWidth="1"/>
    <col min="10004" max="10004" width="3" style="9" customWidth="1"/>
    <col min="10005" max="10006" width="3.42578125" style="9" customWidth="1"/>
    <col min="10007" max="10007" width="3.28515625" style="9" customWidth="1"/>
    <col min="10008" max="10008" width="3" style="9" customWidth="1"/>
    <col min="10009" max="10009" width="3.28515625" style="9" customWidth="1"/>
    <col min="10010" max="10010" width="3.140625" style="9" customWidth="1"/>
    <col min="10011" max="10011" width="3.5703125" style="9" customWidth="1"/>
    <col min="10012" max="10012" width="4" style="9" customWidth="1"/>
    <col min="10013" max="10013" width="3.7109375" style="9" customWidth="1"/>
    <col min="10014" max="10014" width="3.5703125" style="9" customWidth="1"/>
    <col min="10015" max="10015" width="3.7109375" style="9" customWidth="1"/>
    <col min="10016" max="10016" width="3.85546875" style="9" customWidth="1"/>
    <col min="10017" max="10017" width="4" style="9" customWidth="1"/>
    <col min="10018" max="10018" width="3.42578125" style="9" customWidth="1"/>
    <col min="10019" max="10019" width="3.5703125" style="9" customWidth="1"/>
    <col min="10020" max="10240" width="11.42578125" style="9"/>
    <col min="10241" max="10241" width="3.7109375" style="9" customWidth="1"/>
    <col min="10242" max="10242" width="5.140625" style="9" customWidth="1"/>
    <col min="10243" max="10243" width="4.85546875" style="9" customWidth="1"/>
    <col min="10244" max="10244" width="24.140625" style="9" customWidth="1"/>
    <col min="10245" max="10245" width="3.140625" style="9" customWidth="1"/>
    <col min="10246" max="10246" width="3" style="9" customWidth="1"/>
    <col min="10247" max="10247" width="3.140625" style="9" customWidth="1"/>
    <col min="10248" max="10248" width="2.85546875" style="9" customWidth="1"/>
    <col min="10249" max="10249" width="3.28515625" style="9" customWidth="1"/>
    <col min="10250" max="10250" width="3.42578125" style="9" customWidth="1"/>
    <col min="10251" max="10251" width="3.28515625" style="9" customWidth="1"/>
    <col min="10252" max="10253" width="3.85546875" style="9" customWidth="1"/>
    <col min="10254" max="10254" width="3.5703125" style="9" customWidth="1"/>
    <col min="10255" max="10255" width="3.42578125" style="9" customWidth="1"/>
    <col min="10256" max="10256" width="3.28515625" style="9" customWidth="1"/>
    <col min="10257" max="10257" width="3.5703125" style="9" customWidth="1"/>
    <col min="10258" max="10258" width="3.28515625" style="9" customWidth="1"/>
    <col min="10259" max="10259" width="3.42578125" style="9" customWidth="1"/>
    <col min="10260" max="10260" width="3" style="9" customWidth="1"/>
    <col min="10261" max="10262" width="3.42578125" style="9" customWidth="1"/>
    <col min="10263" max="10263" width="3.28515625" style="9" customWidth="1"/>
    <col min="10264" max="10264" width="3" style="9" customWidth="1"/>
    <col min="10265" max="10265" width="3.28515625" style="9" customWidth="1"/>
    <col min="10266" max="10266" width="3.140625" style="9" customWidth="1"/>
    <col min="10267" max="10267" width="3.5703125" style="9" customWidth="1"/>
    <col min="10268" max="10268" width="4" style="9" customWidth="1"/>
    <col min="10269" max="10269" width="3.7109375" style="9" customWidth="1"/>
    <col min="10270" max="10270" width="3.5703125" style="9" customWidth="1"/>
    <col min="10271" max="10271" width="3.7109375" style="9" customWidth="1"/>
    <col min="10272" max="10272" width="3.85546875" style="9" customWidth="1"/>
    <col min="10273" max="10273" width="4" style="9" customWidth="1"/>
    <col min="10274" max="10274" width="3.42578125" style="9" customWidth="1"/>
    <col min="10275" max="10275" width="3.5703125" style="9" customWidth="1"/>
    <col min="10276" max="10496" width="11.42578125" style="9"/>
    <col min="10497" max="10497" width="3.7109375" style="9" customWidth="1"/>
    <col min="10498" max="10498" width="5.140625" style="9" customWidth="1"/>
    <col min="10499" max="10499" width="4.85546875" style="9" customWidth="1"/>
    <col min="10500" max="10500" width="24.140625" style="9" customWidth="1"/>
    <col min="10501" max="10501" width="3.140625" style="9" customWidth="1"/>
    <col min="10502" max="10502" width="3" style="9" customWidth="1"/>
    <col min="10503" max="10503" width="3.140625" style="9" customWidth="1"/>
    <col min="10504" max="10504" width="2.85546875" style="9" customWidth="1"/>
    <col min="10505" max="10505" width="3.28515625" style="9" customWidth="1"/>
    <col min="10506" max="10506" width="3.42578125" style="9" customWidth="1"/>
    <col min="10507" max="10507" width="3.28515625" style="9" customWidth="1"/>
    <col min="10508" max="10509" width="3.85546875" style="9" customWidth="1"/>
    <col min="10510" max="10510" width="3.5703125" style="9" customWidth="1"/>
    <col min="10511" max="10511" width="3.42578125" style="9" customWidth="1"/>
    <col min="10512" max="10512" width="3.28515625" style="9" customWidth="1"/>
    <col min="10513" max="10513" width="3.5703125" style="9" customWidth="1"/>
    <col min="10514" max="10514" width="3.28515625" style="9" customWidth="1"/>
    <col min="10515" max="10515" width="3.42578125" style="9" customWidth="1"/>
    <col min="10516" max="10516" width="3" style="9" customWidth="1"/>
    <col min="10517" max="10518" width="3.42578125" style="9" customWidth="1"/>
    <col min="10519" max="10519" width="3.28515625" style="9" customWidth="1"/>
    <col min="10520" max="10520" width="3" style="9" customWidth="1"/>
    <col min="10521" max="10521" width="3.28515625" style="9" customWidth="1"/>
    <col min="10522" max="10522" width="3.140625" style="9" customWidth="1"/>
    <col min="10523" max="10523" width="3.5703125" style="9" customWidth="1"/>
    <col min="10524" max="10524" width="4" style="9" customWidth="1"/>
    <col min="10525" max="10525" width="3.7109375" style="9" customWidth="1"/>
    <col min="10526" max="10526" width="3.5703125" style="9" customWidth="1"/>
    <col min="10527" max="10527" width="3.7109375" style="9" customWidth="1"/>
    <col min="10528" max="10528" width="3.85546875" style="9" customWidth="1"/>
    <col min="10529" max="10529" width="4" style="9" customWidth="1"/>
    <col min="10530" max="10530" width="3.42578125" style="9" customWidth="1"/>
    <col min="10531" max="10531" width="3.5703125" style="9" customWidth="1"/>
    <col min="10532" max="10752" width="11.42578125" style="9"/>
    <col min="10753" max="10753" width="3.7109375" style="9" customWidth="1"/>
    <col min="10754" max="10754" width="5.140625" style="9" customWidth="1"/>
    <col min="10755" max="10755" width="4.85546875" style="9" customWidth="1"/>
    <col min="10756" max="10756" width="24.140625" style="9" customWidth="1"/>
    <col min="10757" max="10757" width="3.140625" style="9" customWidth="1"/>
    <col min="10758" max="10758" width="3" style="9" customWidth="1"/>
    <col min="10759" max="10759" width="3.140625" style="9" customWidth="1"/>
    <col min="10760" max="10760" width="2.85546875" style="9" customWidth="1"/>
    <col min="10761" max="10761" width="3.28515625" style="9" customWidth="1"/>
    <col min="10762" max="10762" width="3.42578125" style="9" customWidth="1"/>
    <col min="10763" max="10763" width="3.28515625" style="9" customWidth="1"/>
    <col min="10764" max="10765" width="3.85546875" style="9" customWidth="1"/>
    <col min="10766" max="10766" width="3.5703125" style="9" customWidth="1"/>
    <col min="10767" max="10767" width="3.42578125" style="9" customWidth="1"/>
    <col min="10768" max="10768" width="3.28515625" style="9" customWidth="1"/>
    <col min="10769" max="10769" width="3.5703125" style="9" customWidth="1"/>
    <col min="10770" max="10770" width="3.28515625" style="9" customWidth="1"/>
    <col min="10771" max="10771" width="3.42578125" style="9" customWidth="1"/>
    <col min="10772" max="10772" width="3" style="9" customWidth="1"/>
    <col min="10773" max="10774" width="3.42578125" style="9" customWidth="1"/>
    <col min="10775" max="10775" width="3.28515625" style="9" customWidth="1"/>
    <col min="10776" max="10776" width="3" style="9" customWidth="1"/>
    <col min="10777" max="10777" width="3.28515625" style="9" customWidth="1"/>
    <col min="10778" max="10778" width="3.140625" style="9" customWidth="1"/>
    <col min="10779" max="10779" width="3.5703125" style="9" customWidth="1"/>
    <col min="10780" max="10780" width="4" style="9" customWidth="1"/>
    <col min="10781" max="10781" width="3.7109375" style="9" customWidth="1"/>
    <col min="10782" max="10782" width="3.5703125" style="9" customWidth="1"/>
    <col min="10783" max="10783" width="3.7109375" style="9" customWidth="1"/>
    <col min="10784" max="10784" width="3.85546875" style="9" customWidth="1"/>
    <col min="10785" max="10785" width="4" style="9" customWidth="1"/>
    <col min="10786" max="10786" width="3.42578125" style="9" customWidth="1"/>
    <col min="10787" max="10787" width="3.5703125" style="9" customWidth="1"/>
    <col min="10788" max="11008" width="11.42578125" style="9"/>
    <col min="11009" max="11009" width="3.7109375" style="9" customWidth="1"/>
    <col min="11010" max="11010" width="5.140625" style="9" customWidth="1"/>
    <col min="11011" max="11011" width="4.85546875" style="9" customWidth="1"/>
    <col min="11012" max="11012" width="24.140625" style="9" customWidth="1"/>
    <col min="11013" max="11013" width="3.140625" style="9" customWidth="1"/>
    <col min="11014" max="11014" width="3" style="9" customWidth="1"/>
    <col min="11015" max="11015" width="3.140625" style="9" customWidth="1"/>
    <col min="11016" max="11016" width="2.85546875" style="9" customWidth="1"/>
    <col min="11017" max="11017" width="3.28515625" style="9" customWidth="1"/>
    <col min="11018" max="11018" width="3.42578125" style="9" customWidth="1"/>
    <col min="11019" max="11019" width="3.28515625" style="9" customWidth="1"/>
    <col min="11020" max="11021" width="3.85546875" style="9" customWidth="1"/>
    <col min="11022" max="11022" width="3.5703125" style="9" customWidth="1"/>
    <col min="11023" max="11023" width="3.42578125" style="9" customWidth="1"/>
    <col min="11024" max="11024" width="3.28515625" style="9" customWidth="1"/>
    <col min="11025" max="11025" width="3.5703125" style="9" customWidth="1"/>
    <col min="11026" max="11026" width="3.28515625" style="9" customWidth="1"/>
    <col min="11027" max="11027" width="3.42578125" style="9" customWidth="1"/>
    <col min="11028" max="11028" width="3" style="9" customWidth="1"/>
    <col min="11029" max="11030" width="3.42578125" style="9" customWidth="1"/>
    <col min="11031" max="11031" width="3.28515625" style="9" customWidth="1"/>
    <col min="11032" max="11032" width="3" style="9" customWidth="1"/>
    <col min="11033" max="11033" width="3.28515625" style="9" customWidth="1"/>
    <col min="11034" max="11034" width="3.140625" style="9" customWidth="1"/>
    <col min="11035" max="11035" width="3.5703125" style="9" customWidth="1"/>
    <col min="11036" max="11036" width="4" style="9" customWidth="1"/>
    <col min="11037" max="11037" width="3.7109375" style="9" customWidth="1"/>
    <col min="11038" max="11038" width="3.5703125" style="9" customWidth="1"/>
    <col min="11039" max="11039" width="3.7109375" style="9" customWidth="1"/>
    <col min="11040" max="11040" width="3.85546875" style="9" customWidth="1"/>
    <col min="11041" max="11041" width="4" style="9" customWidth="1"/>
    <col min="11042" max="11042" width="3.42578125" style="9" customWidth="1"/>
    <col min="11043" max="11043" width="3.5703125" style="9" customWidth="1"/>
    <col min="11044" max="11264" width="11.42578125" style="9"/>
    <col min="11265" max="11265" width="3.7109375" style="9" customWidth="1"/>
    <col min="11266" max="11266" width="5.140625" style="9" customWidth="1"/>
    <col min="11267" max="11267" width="4.85546875" style="9" customWidth="1"/>
    <col min="11268" max="11268" width="24.140625" style="9" customWidth="1"/>
    <col min="11269" max="11269" width="3.140625" style="9" customWidth="1"/>
    <col min="11270" max="11270" width="3" style="9" customWidth="1"/>
    <col min="11271" max="11271" width="3.140625" style="9" customWidth="1"/>
    <col min="11272" max="11272" width="2.85546875" style="9" customWidth="1"/>
    <col min="11273" max="11273" width="3.28515625" style="9" customWidth="1"/>
    <col min="11274" max="11274" width="3.42578125" style="9" customWidth="1"/>
    <col min="11275" max="11275" width="3.28515625" style="9" customWidth="1"/>
    <col min="11276" max="11277" width="3.85546875" style="9" customWidth="1"/>
    <col min="11278" max="11278" width="3.5703125" style="9" customWidth="1"/>
    <col min="11279" max="11279" width="3.42578125" style="9" customWidth="1"/>
    <col min="11280" max="11280" width="3.28515625" style="9" customWidth="1"/>
    <col min="11281" max="11281" width="3.5703125" style="9" customWidth="1"/>
    <col min="11282" max="11282" width="3.28515625" style="9" customWidth="1"/>
    <col min="11283" max="11283" width="3.42578125" style="9" customWidth="1"/>
    <col min="11284" max="11284" width="3" style="9" customWidth="1"/>
    <col min="11285" max="11286" width="3.42578125" style="9" customWidth="1"/>
    <col min="11287" max="11287" width="3.28515625" style="9" customWidth="1"/>
    <col min="11288" max="11288" width="3" style="9" customWidth="1"/>
    <col min="11289" max="11289" width="3.28515625" style="9" customWidth="1"/>
    <col min="11290" max="11290" width="3.140625" style="9" customWidth="1"/>
    <col min="11291" max="11291" width="3.5703125" style="9" customWidth="1"/>
    <col min="11292" max="11292" width="4" style="9" customWidth="1"/>
    <col min="11293" max="11293" width="3.7109375" style="9" customWidth="1"/>
    <col min="11294" max="11294" width="3.5703125" style="9" customWidth="1"/>
    <col min="11295" max="11295" width="3.7109375" style="9" customWidth="1"/>
    <col min="11296" max="11296" width="3.85546875" style="9" customWidth="1"/>
    <col min="11297" max="11297" width="4" style="9" customWidth="1"/>
    <col min="11298" max="11298" width="3.42578125" style="9" customWidth="1"/>
    <col min="11299" max="11299" width="3.5703125" style="9" customWidth="1"/>
    <col min="11300" max="11520" width="11.42578125" style="9"/>
    <col min="11521" max="11521" width="3.7109375" style="9" customWidth="1"/>
    <col min="11522" max="11522" width="5.140625" style="9" customWidth="1"/>
    <col min="11523" max="11523" width="4.85546875" style="9" customWidth="1"/>
    <col min="11524" max="11524" width="24.140625" style="9" customWidth="1"/>
    <col min="11525" max="11525" width="3.140625" style="9" customWidth="1"/>
    <col min="11526" max="11526" width="3" style="9" customWidth="1"/>
    <col min="11527" max="11527" width="3.140625" style="9" customWidth="1"/>
    <col min="11528" max="11528" width="2.85546875" style="9" customWidth="1"/>
    <col min="11529" max="11529" width="3.28515625" style="9" customWidth="1"/>
    <col min="11530" max="11530" width="3.42578125" style="9" customWidth="1"/>
    <col min="11531" max="11531" width="3.28515625" style="9" customWidth="1"/>
    <col min="11532" max="11533" width="3.85546875" style="9" customWidth="1"/>
    <col min="11534" max="11534" width="3.5703125" style="9" customWidth="1"/>
    <col min="11535" max="11535" width="3.42578125" style="9" customWidth="1"/>
    <col min="11536" max="11536" width="3.28515625" style="9" customWidth="1"/>
    <col min="11537" max="11537" width="3.5703125" style="9" customWidth="1"/>
    <col min="11538" max="11538" width="3.28515625" style="9" customWidth="1"/>
    <col min="11539" max="11539" width="3.42578125" style="9" customWidth="1"/>
    <col min="11540" max="11540" width="3" style="9" customWidth="1"/>
    <col min="11541" max="11542" width="3.42578125" style="9" customWidth="1"/>
    <col min="11543" max="11543" width="3.28515625" style="9" customWidth="1"/>
    <col min="11544" max="11544" width="3" style="9" customWidth="1"/>
    <col min="11545" max="11545" width="3.28515625" style="9" customWidth="1"/>
    <col min="11546" max="11546" width="3.140625" style="9" customWidth="1"/>
    <col min="11547" max="11547" width="3.5703125" style="9" customWidth="1"/>
    <col min="11548" max="11548" width="4" style="9" customWidth="1"/>
    <col min="11549" max="11549" width="3.7109375" style="9" customWidth="1"/>
    <col min="11550" max="11550" width="3.5703125" style="9" customWidth="1"/>
    <col min="11551" max="11551" width="3.7109375" style="9" customWidth="1"/>
    <col min="11552" max="11552" width="3.85546875" style="9" customWidth="1"/>
    <col min="11553" max="11553" width="4" style="9" customWidth="1"/>
    <col min="11554" max="11554" width="3.42578125" style="9" customWidth="1"/>
    <col min="11555" max="11555" width="3.5703125" style="9" customWidth="1"/>
    <col min="11556" max="11776" width="11.42578125" style="9"/>
    <col min="11777" max="11777" width="3.7109375" style="9" customWidth="1"/>
    <col min="11778" max="11778" width="5.140625" style="9" customWidth="1"/>
    <col min="11779" max="11779" width="4.85546875" style="9" customWidth="1"/>
    <col min="11780" max="11780" width="24.140625" style="9" customWidth="1"/>
    <col min="11781" max="11781" width="3.140625" style="9" customWidth="1"/>
    <col min="11782" max="11782" width="3" style="9" customWidth="1"/>
    <col min="11783" max="11783" width="3.140625" style="9" customWidth="1"/>
    <col min="11784" max="11784" width="2.85546875" style="9" customWidth="1"/>
    <col min="11785" max="11785" width="3.28515625" style="9" customWidth="1"/>
    <col min="11786" max="11786" width="3.42578125" style="9" customWidth="1"/>
    <col min="11787" max="11787" width="3.28515625" style="9" customWidth="1"/>
    <col min="11788" max="11789" width="3.85546875" style="9" customWidth="1"/>
    <col min="11790" max="11790" width="3.5703125" style="9" customWidth="1"/>
    <col min="11791" max="11791" width="3.42578125" style="9" customWidth="1"/>
    <col min="11792" max="11792" width="3.28515625" style="9" customWidth="1"/>
    <col min="11793" max="11793" width="3.5703125" style="9" customWidth="1"/>
    <col min="11794" max="11794" width="3.28515625" style="9" customWidth="1"/>
    <col min="11795" max="11795" width="3.42578125" style="9" customWidth="1"/>
    <col min="11796" max="11796" width="3" style="9" customWidth="1"/>
    <col min="11797" max="11798" width="3.42578125" style="9" customWidth="1"/>
    <col min="11799" max="11799" width="3.28515625" style="9" customWidth="1"/>
    <col min="11800" max="11800" width="3" style="9" customWidth="1"/>
    <col min="11801" max="11801" width="3.28515625" style="9" customWidth="1"/>
    <col min="11802" max="11802" width="3.140625" style="9" customWidth="1"/>
    <col min="11803" max="11803" width="3.5703125" style="9" customWidth="1"/>
    <col min="11804" max="11804" width="4" style="9" customWidth="1"/>
    <col min="11805" max="11805" width="3.7109375" style="9" customWidth="1"/>
    <col min="11806" max="11806" width="3.5703125" style="9" customWidth="1"/>
    <col min="11807" max="11807" width="3.7109375" style="9" customWidth="1"/>
    <col min="11808" max="11808" width="3.85546875" style="9" customWidth="1"/>
    <col min="11809" max="11809" width="4" style="9" customWidth="1"/>
    <col min="11810" max="11810" width="3.42578125" style="9" customWidth="1"/>
    <col min="11811" max="11811" width="3.5703125" style="9" customWidth="1"/>
    <col min="11812" max="12032" width="11.42578125" style="9"/>
    <col min="12033" max="12033" width="3.7109375" style="9" customWidth="1"/>
    <col min="12034" max="12034" width="5.140625" style="9" customWidth="1"/>
    <col min="12035" max="12035" width="4.85546875" style="9" customWidth="1"/>
    <col min="12036" max="12036" width="24.140625" style="9" customWidth="1"/>
    <col min="12037" max="12037" width="3.140625" style="9" customWidth="1"/>
    <col min="12038" max="12038" width="3" style="9" customWidth="1"/>
    <col min="12039" max="12039" width="3.140625" style="9" customWidth="1"/>
    <col min="12040" max="12040" width="2.85546875" style="9" customWidth="1"/>
    <col min="12041" max="12041" width="3.28515625" style="9" customWidth="1"/>
    <col min="12042" max="12042" width="3.42578125" style="9" customWidth="1"/>
    <col min="12043" max="12043" width="3.28515625" style="9" customWidth="1"/>
    <col min="12044" max="12045" width="3.85546875" style="9" customWidth="1"/>
    <col min="12046" max="12046" width="3.5703125" style="9" customWidth="1"/>
    <col min="12047" max="12047" width="3.42578125" style="9" customWidth="1"/>
    <col min="12048" max="12048" width="3.28515625" style="9" customWidth="1"/>
    <col min="12049" max="12049" width="3.5703125" style="9" customWidth="1"/>
    <col min="12050" max="12050" width="3.28515625" style="9" customWidth="1"/>
    <col min="12051" max="12051" width="3.42578125" style="9" customWidth="1"/>
    <col min="12052" max="12052" width="3" style="9" customWidth="1"/>
    <col min="12053" max="12054" width="3.42578125" style="9" customWidth="1"/>
    <col min="12055" max="12055" width="3.28515625" style="9" customWidth="1"/>
    <col min="12056" max="12056" width="3" style="9" customWidth="1"/>
    <col min="12057" max="12057" width="3.28515625" style="9" customWidth="1"/>
    <col min="12058" max="12058" width="3.140625" style="9" customWidth="1"/>
    <col min="12059" max="12059" width="3.5703125" style="9" customWidth="1"/>
    <col min="12060" max="12060" width="4" style="9" customWidth="1"/>
    <col min="12061" max="12061" width="3.7109375" style="9" customWidth="1"/>
    <col min="12062" max="12062" width="3.5703125" style="9" customWidth="1"/>
    <col min="12063" max="12063" width="3.7109375" style="9" customWidth="1"/>
    <col min="12064" max="12064" width="3.85546875" style="9" customWidth="1"/>
    <col min="12065" max="12065" width="4" style="9" customWidth="1"/>
    <col min="12066" max="12066" width="3.42578125" style="9" customWidth="1"/>
    <col min="12067" max="12067" width="3.5703125" style="9" customWidth="1"/>
    <col min="12068" max="12288" width="11.42578125" style="9"/>
    <col min="12289" max="12289" width="3.7109375" style="9" customWidth="1"/>
    <col min="12290" max="12290" width="5.140625" style="9" customWidth="1"/>
    <col min="12291" max="12291" width="4.85546875" style="9" customWidth="1"/>
    <col min="12292" max="12292" width="24.140625" style="9" customWidth="1"/>
    <col min="12293" max="12293" width="3.140625" style="9" customWidth="1"/>
    <col min="12294" max="12294" width="3" style="9" customWidth="1"/>
    <col min="12295" max="12295" width="3.140625" style="9" customWidth="1"/>
    <col min="12296" max="12296" width="2.85546875" style="9" customWidth="1"/>
    <col min="12297" max="12297" width="3.28515625" style="9" customWidth="1"/>
    <col min="12298" max="12298" width="3.42578125" style="9" customWidth="1"/>
    <col min="12299" max="12299" width="3.28515625" style="9" customWidth="1"/>
    <col min="12300" max="12301" width="3.85546875" style="9" customWidth="1"/>
    <col min="12302" max="12302" width="3.5703125" style="9" customWidth="1"/>
    <col min="12303" max="12303" width="3.42578125" style="9" customWidth="1"/>
    <col min="12304" max="12304" width="3.28515625" style="9" customWidth="1"/>
    <col min="12305" max="12305" width="3.5703125" style="9" customWidth="1"/>
    <col min="12306" max="12306" width="3.28515625" style="9" customWidth="1"/>
    <col min="12307" max="12307" width="3.42578125" style="9" customWidth="1"/>
    <col min="12308" max="12308" width="3" style="9" customWidth="1"/>
    <col min="12309" max="12310" width="3.42578125" style="9" customWidth="1"/>
    <col min="12311" max="12311" width="3.28515625" style="9" customWidth="1"/>
    <col min="12312" max="12312" width="3" style="9" customWidth="1"/>
    <col min="12313" max="12313" width="3.28515625" style="9" customWidth="1"/>
    <col min="12314" max="12314" width="3.140625" style="9" customWidth="1"/>
    <col min="12315" max="12315" width="3.5703125" style="9" customWidth="1"/>
    <col min="12316" max="12316" width="4" style="9" customWidth="1"/>
    <col min="12317" max="12317" width="3.7109375" style="9" customWidth="1"/>
    <col min="12318" max="12318" width="3.5703125" style="9" customWidth="1"/>
    <col min="12319" max="12319" width="3.7109375" style="9" customWidth="1"/>
    <col min="12320" max="12320" width="3.85546875" style="9" customWidth="1"/>
    <col min="12321" max="12321" width="4" style="9" customWidth="1"/>
    <col min="12322" max="12322" width="3.42578125" style="9" customWidth="1"/>
    <col min="12323" max="12323" width="3.5703125" style="9" customWidth="1"/>
    <col min="12324" max="12544" width="11.42578125" style="9"/>
    <col min="12545" max="12545" width="3.7109375" style="9" customWidth="1"/>
    <col min="12546" max="12546" width="5.140625" style="9" customWidth="1"/>
    <col min="12547" max="12547" width="4.85546875" style="9" customWidth="1"/>
    <col min="12548" max="12548" width="24.140625" style="9" customWidth="1"/>
    <col min="12549" max="12549" width="3.140625" style="9" customWidth="1"/>
    <col min="12550" max="12550" width="3" style="9" customWidth="1"/>
    <col min="12551" max="12551" width="3.140625" style="9" customWidth="1"/>
    <col min="12552" max="12552" width="2.85546875" style="9" customWidth="1"/>
    <col min="12553" max="12553" width="3.28515625" style="9" customWidth="1"/>
    <col min="12554" max="12554" width="3.42578125" style="9" customWidth="1"/>
    <col min="12555" max="12555" width="3.28515625" style="9" customWidth="1"/>
    <col min="12556" max="12557" width="3.85546875" style="9" customWidth="1"/>
    <col min="12558" max="12558" width="3.5703125" style="9" customWidth="1"/>
    <col min="12559" max="12559" width="3.42578125" style="9" customWidth="1"/>
    <col min="12560" max="12560" width="3.28515625" style="9" customWidth="1"/>
    <col min="12561" max="12561" width="3.5703125" style="9" customWidth="1"/>
    <col min="12562" max="12562" width="3.28515625" style="9" customWidth="1"/>
    <col min="12563" max="12563" width="3.42578125" style="9" customWidth="1"/>
    <col min="12564" max="12564" width="3" style="9" customWidth="1"/>
    <col min="12565" max="12566" width="3.42578125" style="9" customWidth="1"/>
    <col min="12567" max="12567" width="3.28515625" style="9" customWidth="1"/>
    <col min="12568" max="12568" width="3" style="9" customWidth="1"/>
    <col min="12569" max="12569" width="3.28515625" style="9" customWidth="1"/>
    <col min="12570" max="12570" width="3.140625" style="9" customWidth="1"/>
    <col min="12571" max="12571" width="3.5703125" style="9" customWidth="1"/>
    <col min="12572" max="12572" width="4" style="9" customWidth="1"/>
    <col min="12573" max="12573" width="3.7109375" style="9" customWidth="1"/>
    <col min="12574" max="12574" width="3.5703125" style="9" customWidth="1"/>
    <col min="12575" max="12575" width="3.7109375" style="9" customWidth="1"/>
    <col min="12576" max="12576" width="3.85546875" style="9" customWidth="1"/>
    <col min="12577" max="12577" width="4" style="9" customWidth="1"/>
    <col min="12578" max="12578" width="3.42578125" style="9" customWidth="1"/>
    <col min="12579" max="12579" width="3.5703125" style="9" customWidth="1"/>
    <col min="12580" max="12800" width="11.42578125" style="9"/>
    <col min="12801" max="12801" width="3.7109375" style="9" customWidth="1"/>
    <col min="12802" max="12802" width="5.140625" style="9" customWidth="1"/>
    <col min="12803" max="12803" width="4.85546875" style="9" customWidth="1"/>
    <col min="12804" max="12804" width="24.140625" style="9" customWidth="1"/>
    <col min="12805" max="12805" width="3.140625" style="9" customWidth="1"/>
    <col min="12806" max="12806" width="3" style="9" customWidth="1"/>
    <col min="12807" max="12807" width="3.140625" style="9" customWidth="1"/>
    <col min="12808" max="12808" width="2.85546875" style="9" customWidth="1"/>
    <col min="12809" max="12809" width="3.28515625" style="9" customWidth="1"/>
    <col min="12810" max="12810" width="3.42578125" style="9" customWidth="1"/>
    <col min="12811" max="12811" width="3.28515625" style="9" customWidth="1"/>
    <col min="12812" max="12813" width="3.85546875" style="9" customWidth="1"/>
    <col min="12814" max="12814" width="3.5703125" style="9" customWidth="1"/>
    <col min="12815" max="12815" width="3.42578125" style="9" customWidth="1"/>
    <col min="12816" max="12816" width="3.28515625" style="9" customWidth="1"/>
    <col min="12817" max="12817" width="3.5703125" style="9" customWidth="1"/>
    <col min="12818" max="12818" width="3.28515625" style="9" customWidth="1"/>
    <col min="12819" max="12819" width="3.42578125" style="9" customWidth="1"/>
    <col min="12820" max="12820" width="3" style="9" customWidth="1"/>
    <col min="12821" max="12822" width="3.42578125" style="9" customWidth="1"/>
    <col min="12823" max="12823" width="3.28515625" style="9" customWidth="1"/>
    <col min="12824" max="12824" width="3" style="9" customWidth="1"/>
    <col min="12825" max="12825" width="3.28515625" style="9" customWidth="1"/>
    <col min="12826" max="12826" width="3.140625" style="9" customWidth="1"/>
    <col min="12827" max="12827" width="3.5703125" style="9" customWidth="1"/>
    <col min="12828" max="12828" width="4" style="9" customWidth="1"/>
    <col min="12829" max="12829" width="3.7109375" style="9" customWidth="1"/>
    <col min="12830" max="12830" width="3.5703125" style="9" customWidth="1"/>
    <col min="12831" max="12831" width="3.7109375" style="9" customWidth="1"/>
    <col min="12832" max="12832" width="3.85546875" style="9" customWidth="1"/>
    <col min="12833" max="12833" width="4" style="9" customWidth="1"/>
    <col min="12834" max="12834" width="3.42578125" style="9" customWidth="1"/>
    <col min="12835" max="12835" width="3.5703125" style="9" customWidth="1"/>
    <col min="12836" max="13056" width="11.42578125" style="9"/>
    <col min="13057" max="13057" width="3.7109375" style="9" customWidth="1"/>
    <col min="13058" max="13058" width="5.140625" style="9" customWidth="1"/>
    <col min="13059" max="13059" width="4.85546875" style="9" customWidth="1"/>
    <col min="13060" max="13060" width="24.140625" style="9" customWidth="1"/>
    <col min="13061" max="13061" width="3.140625" style="9" customWidth="1"/>
    <col min="13062" max="13062" width="3" style="9" customWidth="1"/>
    <col min="13063" max="13063" width="3.140625" style="9" customWidth="1"/>
    <col min="13064" max="13064" width="2.85546875" style="9" customWidth="1"/>
    <col min="13065" max="13065" width="3.28515625" style="9" customWidth="1"/>
    <col min="13066" max="13066" width="3.42578125" style="9" customWidth="1"/>
    <col min="13067" max="13067" width="3.28515625" style="9" customWidth="1"/>
    <col min="13068" max="13069" width="3.85546875" style="9" customWidth="1"/>
    <col min="13070" max="13070" width="3.5703125" style="9" customWidth="1"/>
    <col min="13071" max="13071" width="3.42578125" style="9" customWidth="1"/>
    <col min="13072" max="13072" width="3.28515625" style="9" customWidth="1"/>
    <col min="13073" max="13073" width="3.5703125" style="9" customWidth="1"/>
    <col min="13074" max="13074" width="3.28515625" style="9" customWidth="1"/>
    <col min="13075" max="13075" width="3.42578125" style="9" customWidth="1"/>
    <col min="13076" max="13076" width="3" style="9" customWidth="1"/>
    <col min="13077" max="13078" width="3.42578125" style="9" customWidth="1"/>
    <col min="13079" max="13079" width="3.28515625" style="9" customWidth="1"/>
    <col min="13080" max="13080" width="3" style="9" customWidth="1"/>
    <col min="13081" max="13081" width="3.28515625" style="9" customWidth="1"/>
    <col min="13082" max="13082" width="3.140625" style="9" customWidth="1"/>
    <col min="13083" max="13083" width="3.5703125" style="9" customWidth="1"/>
    <col min="13084" max="13084" width="4" style="9" customWidth="1"/>
    <col min="13085" max="13085" width="3.7109375" style="9" customWidth="1"/>
    <col min="13086" max="13086" width="3.5703125" style="9" customWidth="1"/>
    <col min="13087" max="13087" width="3.7109375" style="9" customWidth="1"/>
    <col min="13088" max="13088" width="3.85546875" style="9" customWidth="1"/>
    <col min="13089" max="13089" width="4" style="9" customWidth="1"/>
    <col min="13090" max="13090" width="3.42578125" style="9" customWidth="1"/>
    <col min="13091" max="13091" width="3.5703125" style="9" customWidth="1"/>
    <col min="13092" max="13312" width="11.42578125" style="9"/>
    <col min="13313" max="13313" width="3.7109375" style="9" customWidth="1"/>
    <col min="13314" max="13314" width="5.140625" style="9" customWidth="1"/>
    <col min="13315" max="13315" width="4.85546875" style="9" customWidth="1"/>
    <col min="13316" max="13316" width="24.140625" style="9" customWidth="1"/>
    <col min="13317" max="13317" width="3.140625" style="9" customWidth="1"/>
    <col min="13318" max="13318" width="3" style="9" customWidth="1"/>
    <col min="13319" max="13319" width="3.140625" style="9" customWidth="1"/>
    <col min="13320" max="13320" width="2.85546875" style="9" customWidth="1"/>
    <col min="13321" max="13321" width="3.28515625" style="9" customWidth="1"/>
    <col min="13322" max="13322" width="3.42578125" style="9" customWidth="1"/>
    <col min="13323" max="13323" width="3.28515625" style="9" customWidth="1"/>
    <col min="13324" max="13325" width="3.85546875" style="9" customWidth="1"/>
    <col min="13326" max="13326" width="3.5703125" style="9" customWidth="1"/>
    <col min="13327" max="13327" width="3.42578125" style="9" customWidth="1"/>
    <col min="13328" max="13328" width="3.28515625" style="9" customWidth="1"/>
    <col min="13329" max="13329" width="3.5703125" style="9" customWidth="1"/>
    <col min="13330" max="13330" width="3.28515625" style="9" customWidth="1"/>
    <col min="13331" max="13331" width="3.42578125" style="9" customWidth="1"/>
    <col min="13332" max="13332" width="3" style="9" customWidth="1"/>
    <col min="13333" max="13334" width="3.42578125" style="9" customWidth="1"/>
    <col min="13335" max="13335" width="3.28515625" style="9" customWidth="1"/>
    <col min="13336" max="13336" width="3" style="9" customWidth="1"/>
    <col min="13337" max="13337" width="3.28515625" style="9" customWidth="1"/>
    <col min="13338" max="13338" width="3.140625" style="9" customWidth="1"/>
    <col min="13339" max="13339" width="3.5703125" style="9" customWidth="1"/>
    <col min="13340" max="13340" width="4" style="9" customWidth="1"/>
    <col min="13341" max="13341" width="3.7109375" style="9" customWidth="1"/>
    <col min="13342" max="13342" width="3.5703125" style="9" customWidth="1"/>
    <col min="13343" max="13343" width="3.7109375" style="9" customWidth="1"/>
    <col min="13344" max="13344" width="3.85546875" style="9" customWidth="1"/>
    <col min="13345" max="13345" width="4" style="9" customWidth="1"/>
    <col min="13346" max="13346" width="3.42578125" style="9" customWidth="1"/>
    <col min="13347" max="13347" width="3.5703125" style="9" customWidth="1"/>
    <col min="13348" max="13568" width="11.42578125" style="9"/>
    <col min="13569" max="13569" width="3.7109375" style="9" customWidth="1"/>
    <col min="13570" max="13570" width="5.140625" style="9" customWidth="1"/>
    <col min="13571" max="13571" width="4.85546875" style="9" customWidth="1"/>
    <col min="13572" max="13572" width="24.140625" style="9" customWidth="1"/>
    <col min="13573" max="13573" width="3.140625" style="9" customWidth="1"/>
    <col min="13574" max="13574" width="3" style="9" customWidth="1"/>
    <col min="13575" max="13575" width="3.140625" style="9" customWidth="1"/>
    <col min="13576" max="13576" width="2.85546875" style="9" customWidth="1"/>
    <col min="13577" max="13577" width="3.28515625" style="9" customWidth="1"/>
    <col min="13578" max="13578" width="3.42578125" style="9" customWidth="1"/>
    <col min="13579" max="13579" width="3.28515625" style="9" customWidth="1"/>
    <col min="13580" max="13581" width="3.85546875" style="9" customWidth="1"/>
    <col min="13582" max="13582" width="3.5703125" style="9" customWidth="1"/>
    <col min="13583" max="13583" width="3.42578125" style="9" customWidth="1"/>
    <col min="13584" max="13584" width="3.28515625" style="9" customWidth="1"/>
    <col min="13585" max="13585" width="3.5703125" style="9" customWidth="1"/>
    <col min="13586" max="13586" width="3.28515625" style="9" customWidth="1"/>
    <col min="13587" max="13587" width="3.42578125" style="9" customWidth="1"/>
    <col min="13588" max="13588" width="3" style="9" customWidth="1"/>
    <col min="13589" max="13590" width="3.42578125" style="9" customWidth="1"/>
    <col min="13591" max="13591" width="3.28515625" style="9" customWidth="1"/>
    <col min="13592" max="13592" width="3" style="9" customWidth="1"/>
    <col min="13593" max="13593" width="3.28515625" style="9" customWidth="1"/>
    <col min="13594" max="13594" width="3.140625" style="9" customWidth="1"/>
    <col min="13595" max="13595" width="3.5703125" style="9" customWidth="1"/>
    <col min="13596" max="13596" width="4" style="9" customWidth="1"/>
    <col min="13597" max="13597" width="3.7109375" style="9" customWidth="1"/>
    <col min="13598" max="13598" width="3.5703125" style="9" customWidth="1"/>
    <col min="13599" max="13599" width="3.7109375" style="9" customWidth="1"/>
    <col min="13600" max="13600" width="3.85546875" style="9" customWidth="1"/>
    <col min="13601" max="13601" width="4" style="9" customWidth="1"/>
    <col min="13602" max="13602" width="3.42578125" style="9" customWidth="1"/>
    <col min="13603" max="13603" width="3.5703125" style="9" customWidth="1"/>
    <col min="13604" max="13824" width="11.42578125" style="9"/>
    <col min="13825" max="13825" width="3.7109375" style="9" customWidth="1"/>
    <col min="13826" max="13826" width="5.140625" style="9" customWidth="1"/>
    <col min="13827" max="13827" width="4.85546875" style="9" customWidth="1"/>
    <col min="13828" max="13828" width="24.140625" style="9" customWidth="1"/>
    <col min="13829" max="13829" width="3.140625" style="9" customWidth="1"/>
    <col min="13830" max="13830" width="3" style="9" customWidth="1"/>
    <col min="13831" max="13831" width="3.140625" style="9" customWidth="1"/>
    <col min="13832" max="13832" width="2.85546875" style="9" customWidth="1"/>
    <col min="13833" max="13833" width="3.28515625" style="9" customWidth="1"/>
    <col min="13834" max="13834" width="3.42578125" style="9" customWidth="1"/>
    <col min="13835" max="13835" width="3.28515625" style="9" customWidth="1"/>
    <col min="13836" max="13837" width="3.85546875" style="9" customWidth="1"/>
    <col min="13838" max="13838" width="3.5703125" style="9" customWidth="1"/>
    <col min="13839" max="13839" width="3.42578125" style="9" customWidth="1"/>
    <col min="13840" max="13840" width="3.28515625" style="9" customWidth="1"/>
    <col min="13841" max="13841" width="3.5703125" style="9" customWidth="1"/>
    <col min="13842" max="13842" width="3.28515625" style="9" customWidth="1"/>
    <col min="13843" max="13843" width="3.42578125" style="9" customWidth="1"/>
    <col min="13844" max="13844" width="3" style="9" customWidth="1"/>
    <col min="13845" max="13846" width="3.42578125" style="9" customWidth="1"/>
    <col min="13847" max="13847" width="3.28515625" style="9" customWidth="1"/>
    <col min="13848" max="13848" width="3" style="9" customWidth="1"/>
    <col min="13849" max="13849" width="3.28515625" style="9" customWidth="1"/>
    <col min="13850" max="13850" width="3.140625" style="9" customWidth="1"/>
    <col min="13851" max="13851" width="3.5703125" style="9" customWidth="1"/>
    <col min="13852" max="13852" width="4" style="9" customWidth="1"/>
    <col min="13853" max="13853" width="3.7109375" style="9" customWidth="1"/>
    <col min="13854" max="13854" width="3.5703125" style="9" customWidth="1"/>
    <col min="13855" max="13855" width="3.7109375" style="9" customWidth="1"/>
    <col min="13856" max="13856" width="3.85546875" style="9" customWidth="1"/>
    <col min="13857" max="13857" width="4" style="9" customWidth="1"/>
    <col min="13858" max="13858" width="3.42578125" style="9" customWidth="1"/>
    <col min="13859" max="13859" width="3.5703125" style="9" customWidth="1"/>
    <col min="13860" max="14080" width="11.42578125" style="9"/>
    <col min="14081" max="14081" width="3.7109375" style="9" customWidth="1"/>
    <col min="14082" max="14082" width="5.140625" style="9" customWidth="1"/>
    <col min="14083" max="14083" width="4.85546875" style="9" customWidth="1"/>
    <col min="14084" max="14084" width="24.140625" style="9" customWidth="1"/>
    <col min="14085" max="14085" width="3.140625" style="9" customWidth="1"/>
    <col min="14086" max="14086" width="3" style="9" customWidth="1"/>
    <col min="14087" max="14087" width="3.140625" style="9" customWidth="1"/>
    <col min="14088" max="14088" width="2.85546875" style="9" customWidth="1"/>
    <col min="14089" max="14089" width="3.28515625" style="9" customWidth="1"/>
    <col min="14090" max="14090" width="3.42578125" style="9" customWidth="1"/>
    <col min="14091" max="14091" width="3.28515625" style="9" customWidth="1"/>
    <col min="14092" max="14093" width="3.85546875" style="9" customWidth="1"/>
    <col min="14094" max="14094" width="3.5703125" style="9" customWidth="1"/>
    <col min="14095" max="14095" width="3.42578125" style="9" customWidth="1"/>
    <col min="14096" max="14096" width="3.28515625" style="9" customWidth="1"/>
    <col min="14097" max="14097" width="3.5703125" style="9" customWidth="1"/>
    <col min="14098" max="14098" width="3.28515625" style="9" customWidth="1"/>
    <col min="14099" max="14099" width="3.42578125" style="9" customWidth="1"/>
    <col min="14100" max="14100" width="3" style="9" customWidth="1"/>
    <col min="14101" max="14102" width="3.42578125" style="9" customWidth="1"/>
    <col min="14103" max="14103" width="3.28515625" style="9" customWidth="1"/>
    <col min="14104" max="14104" width="3" style="9" customWidth="1"/>
    <col min="14105" max="14105" width="3.28515625" style="9" customWidth="1"/>
    <col min="14106" max="14106" width="3.140625" style="9" customWidth="1"/>
    <col min="14107" max="14107" width="3.5703125" style="9" customWidth="1"/>
    <col min="14108" max="14108" width="4" style="9" customWidth="1"/>
    <col min="14109" max="14109" width="3.7109375" style="9" customWidth="1"/>
    <col min="14110" max="14110" width="3.5703125" style="9" customWidth="1"/>
    <col min="14111" max="14111" width="3.7109375" style="9" customWidth="1"/>
    <col min="14112" max="14112" width="3.85546875" style="9" customWidth="1"/>
    <col min="14113" max="14113" width="4" style="9" customWidth="1"/>
    <col min="14114" max="14114" width="3.42578125" style="9" customWidth="1"/>
    <col min="14115" max="14115" width="3.5703125" style="9" customWidth="1"/>
    <col min="14116" max="14336" width="11.42578125" style="9"/>
    <col min="14337" max="14337" width="3.7109375" style="9" customWidth="1"/>
    <col min="14338" max="14338" width="5.140625" style="9" customWidth="1"/>
    <col min="14339" max="14339" width="4.85546875" style="9" customWidth="1"/>
    <col min="14340" max="14340" width="24.140625" style="9" customWidth="1"/>
    <col min="14341" max="14341" width="3.140625" style="9" customWidth="1"/>
    <col min="14342" max="14342" width="3" style="9" customWidth="1"/>
    <col min="14343" max="14343" width="3.140625" style="9" customWidth="1"/>
    <col min="14344" max="14344" width="2.85546875" style="9" customWidth="1"/>
    <col min="14345" max="14345" width="3.28515625" style="9" customWidth="1"/>
    <col min="14346" max="14346" width="3.42578125" style="9" customWidth="1"/>
    <col min="14347" max="14347" width="3.28515625" style="9" customWidth="1"/>
    <col min="14348" max="14349" width="3.85546875" style="9" customWidth="1"/>
    <col min="14350" max="14350" width="3.5703125" style="9" customWidth="1"/>
    <col min="14351" max="14351" width="3.42578125" style="9" customWidth="1"/>
    <col min="14352" max="14352" width="3.28515625" style="9" customWidth="1"/>
    <col min="14353" max="14353" width="3.5703125" style="9" customWidth="1"/>
    <col min="14354" max="14354" width="3.28515625" style="9" customWidth="1"/>
    <col min="14355" max="14355" width="3.42578125" style="9" customWidth="1"/>
    <col min="14356" max="14356" width="3" style="9" customWidth="1"/>
    <col min="14357" max="14358" width="3.42578125" style="9" customWidth="1"/>
    <col min="14359" max="14359" width="3.28515625" style="9" customWidth="1"/>
    <col min="14360" max="14360" width="3" style="9" customWidth="1"/>
    <col min="14361" max="14361" width="3.28515625" style="9" customWidth="1"/>
    <col min="14362" max="14362" width="3.140625" style="9" customWidth="1"/>
    <col min="14363" max="14363" width="3.5703125" style="9" customWidth="1"/>
    <col min="14364" max="14364" width="4" style="9" customWidth="1"/>
    <col min="14365" max="14365" width="3.7109375" style="9" customWidth="1"/>
    <col min="14366" max="14366" width="3.5703125" style="9" customWidth="1"/>
    <col min="14367" max="14367" width="3.7109375" style="9" customWidth="1"/>
    <col min="14368" max="14368" width="3.85546875" style="9" customWidth="1"/>
    <col min="14369" max="14369" width="4" style="9" customWidth="1"/>
    <col min="14370" max="14370" width="3.42578125" style="9" customWidth="1"/>
    <col min="14371" max="14371" width="3.5703125" style="9" customWidth="1"/>
    <col min="14372" max="14592" width="11.42578125" style="9"/>
    <col min="14593" max="14593" width="3.7109375" style="9" customWidth="1"/>
    <col min="14594" max="14594" width="5.140625" style="9" customWidth="1"/>
    <col min="14595" max="14595" width="4.85546875" style="9" customWidth="1"/>
    <col min="14596" max="14596" width="24.140625" style="9" customWidth="1"/>
    <col min="14597" max="14597" width="3.140625" style="9" customWidth="1"/>
    <col min="14598" max="14598" width="3" style="9" customWidth="1"/>
    <col min="14599" max="14599" width="3.140625" style="9" customWidth="1"/>
    <col min="14600" max="14600" width="2.85546875" style="9" customWidth="1"/>
    <col min="14601" max="14601" width="3.28515625" style="9" customWidth="1"/>
    <col min="14602" max="14602" width="3.42578125" style="9" customWidth="1"/>
    <col min="14603" max="14603" width="3.28515625" style="9" customWidth="1"/>
    <col min="14604" max="14605" width="3.85546875" style="9" customWidth="1"/>
    <col min="14606" max="14606" width="3.5703125" style="9" customWidth="1"/>
    <col min="14607" max="14607" width="3.42578125" style="9" customWidth="1"/>
    <col min="14608" max="14608" width="3.28515625" style="9" customWidth="1"/>
    <col min="14609" max="14609" width="3.5703125" style="9" customWidth="1"/>
    <col min="14610" max="14610" width="3.28515625" style="9" customWidth="1"/>
    <col min="14611" max="14611" width="3.42578125" style="9" customWidth="1"/>
    <col min="14612" max="14612" width="3" style="9" customWidth="1"/>
    <col min="14613" max="14614" width="3.42578125" style="9" customWidth="1"/>
    <col min="14615" max="14615" width="3.28515625" style="9" customWidth="1"/>
    <col min="14616" max="14616" width="3" style="9" customWidth="1"/>
    <col min="14617" max="14617" width="3.28515625" style="9" customWidth="1"/>
    <col min="14618" max="14618" width="3.140625" style="9" customWidth="1"/>
    <col min="14619" max="14619" width="3.5703125" style="9" customWidth="1"/>
    <col min="14620" max="14620" width="4" style="9" customWidth="1"/>
    <col min="14621" max="14621" width="3.7109375" style="9" customWidth="1"/>
    <col min="14622" max="14622" width="3.5703125" style="9" customWidth="1"/>
    <col min="14623" max="14623" width="3.7109375" style="9" customWidth="1"/>
    <col min="14624" max="14624" width="3.85546875" style="9" customWidth="1"/>
    <col min="14625" max="14625" width="4" style="9" customWidth="1"/>
    <col min="14626" max="14626" width="3.42578125" style="9" customWidth="1"/>
    <col min="14627" max="14627" width="3.5703125" style="9" customWidth="1"/>
    <col min="14628" max="14848" width="11.42578125" style="9"/>
    <col min="14849" max="14849" width="3.7109375" style="9" customWidth="1"/>
    <col min="14850" max="14850" width="5.140625" style="9" customWidth="1"/>
    <col min="14851" max="14851" width="4.85546875" style="9" customWidth="1"/>
    <col min="14852" max="14852" width="24.140625" style="9" customWidth="1"/>
    <col min="14853" max="14853" width="3.140625" style="9" customWidth="1"/>
    <col min="14854" max="14854" width="3" style="9" customWidth="1"/>
    <col min="14855" max="14855" width="3.140625" style="9" customWidth="1"/>
    <col min="14856" max="14856" width="2.85546875" style="9" customWidth="1"/>
    <col min="14857" max="14857" width="3.28515625" style="9" customWidth="1"/>
    <col min="14858" max="14858" width="3.42578125" style="9" customWidth="1"/>
    <col min="14859" max="14859" width="3.28515625" style="9" customWidth="1"/>
    <col min="14860" max="14861" width="3.85546875" style="9" customWidth="1"/>
    <col min="14862" max="14862" width="3.5703125" style="9" customWidth="1"/>
    <col min="14863" max="14863" width="3.42578125" style="9" customWidth="1"/>
    <col min="14864" max="14864" width="3.28515625" style="9" customWidth="1"/>
    <col min="14865" max="14865" width="3.5703125" style="9" customWidth="1"/>
    <col min="14866" max="14866" width="3.28515625" style="9" customWidth="1"/>
    <col min="14867" max="14867" width="3.42578125" style="9" customWidth="1"/>
    <col min="14868" max="14868" width="3" style="9" customWidth="1"/>
    <col min="14869" max="14870" width="3.42578125" style="9" customWidth="1"/>
    <col min="14871" max="14871" width="3.28515625" style="9" customWidth="1"/>
    <col min="14872" max="14872" width="3" style="9" customWidth="1"/>
    <col min="14873" max="14873" width="3.28515625" style="9" customWidth="1"/>
    <col min="14874" max="14874" width="3.140625" style="9" customWidth="1"/>
    <col min="14875" max="14875" width="3.5703125" style="9" customWidth="1"/>
    <col min="14876" max="14876" width="4" style="9" customWidth="1"/>
    <col min="14877" max="14877" width="3.7109375" style="9" customWidth="1"/>
    <col min="14878" max="14878" width="3.5703125" style="9" customWidth="1"/>
    <col min="14879" max="14879" width="3.7109375" style="9" customWidth="1"/>
    <col min="14880" max="14880" width="3.85546875" style="9" customWidth="1"/>
    <col min="14881" max="14881" width="4" style="9" customWidth="1"/>
    <col min="14882" max="14882" width="3.42578125" style="9" customWidth="1"/>
    <col min="14883" max="14883" width="3.5703125" style="9" customWidth="1"/>
    <col min="14884" max="15104" width="11.42578125" style="9"/>
    <col min="15105" max="15105" width="3.7109375" style="9" customWidth="1"/>
    <col min="15106" max="15106" width="5.140625" style="9" customWidth="1"/>
    <col min="15107" max="15107" width="4.85546875" style="9" customWidth="1"/>
    <col min="15108" max="15108" width="24.140625" style="9" customWidth="1"/>
    <col min="15109" max="15109" width="3.140625" style="9" customWidth="1"/>
    <col min="15110" max="15110" width="3" style="9" customWidth="1"/>
    <col min="15111" max="15111" width="3.140625" style="9" customWidth="1"/>
    <col min="15112" max="15112" width="2.85546875" style="9" customWidth="1"/>
    <col min="15113" max="15113" width="3.28515625" style="9" customWidth="1"/>
    <col min="15114" max="15114" width="3.42578125" style="9" customWidth="1"/>
    <col min="15115" max="15115" width="3.28515625" style="9" customWidth="1"/>
    <col min="15116" max="15117" width="3.85546875" style="9" customWidth="1"/>
    <col min="15118" max="15118" width="3.5703125" style="9" customWidth="1"/>
    <col min="15119" max="15119" width="3.42578125" style="9" customWidth="1"/>
    <col min="15120" max="15120" width="3.28515625" style="9" customWidth="1"/>
    <col min="15121" max="15121" width="3.5703125" style="9" customWidth="1"/>
    <col min="15122" max="15122" width="3.28515625" style="9" customWidth="1"/>
    <col min="15123" max="15123" width="3.42578125" style="9" customWidth="1"/>
    <col min="15124" max="15124" width="3" style="9" customWidth="1"/>
    <col min="15125" max="15126" width="3.42578125" style="9" customWidth="1"/>
    <col min="15127" max="15127" width="3.28515625" style="9" customWidth="1"/>
    <col min="15128" max="15128" width="3" style="9" customWidth="1"/>
    <col min="15129" max="15129" width="3.28515625" style="9" customWidth="1"/>
    <col min="15130" max="15130" width="3.140625" style="9" customWidth="1"/>
    <col min="15131" max="15131" width="3.5703125" style="9" customWidth="1"/>
    <col min="15132" max="15132" width="4" style="9" customWidth="1"/>
    <col min="15133" max="15133" width="3.7109375" style="9" customWidth="1"/>
    <col min="15134" max="15134" width="3.5703125" style="9" customWidth="1"/>
    <col min="15135" max="15135" width="3.7109375" style="9" customWidth="1"/>
    <col min="15136" max="15136" width="3.85546875" style="9" customWidth="1"/>
    <col min="15137" max="15137" width="4" style="9" customWidth="1"/>
    <col min="15138" max="15138" width="3.42578125" style="9" customWidth="1"/>
    <col min="15139" max="15139" width="3.5703125" style="9" customWidth="1"/>
    <col min="15140" max="15360" width="11.42578125" style="9"/>
    <col min="15361" max="15361" width="3.7109375" style="9" customWidth="1"/>
    <col min="15362" max="15362" width="5.140625" style="9" customWidth="1"/>
    <col min="15363" max="15363" width="4.85546875" style="9" customWidth="1"/>
    <col min="15364" max="15364" width="24.140625" style="9" customWidth="1"/>
    <col min="15365" max="15365" width="3.140625" style="9" customWidth="1"/>
    <col min="15366" max="15366" width="3" style="9" customWidth="1"/>
    <col min="15367" max="15367" width="3.140625" style="9" customWidth="1"/>
    <col min="15368" max="15368" width="2.85546875" style="9" customWidth="1"/>
    <col min="15369" max="15369" width="3.28515625" style="9" customWidth="1"/>
    <col min="15370" max="15370" width="3.42578125" style="9" customWidth="1"/>
    <col min="15371" max="15371" width="3.28515625" style="9" customWidth="1"/>
    <col min="15372" max="15373" width="3.85546875" style="9" customWidth="1"/>
    <col min="15374" max="15374" width="3.5703125" style="9" customWidth="1"/>
    <col min="15375" max="15375" width="3.42578125" style="9" customWidth="1"/>
    <col min="15376" max="15376" width="3.28515625" style="9" customWidth="1"/>
    <col min="15377" max="15377" width="3.5703125" style="9" customWidth="1"/>
    <col min="15378" max="15378" width="3.28515625" style="9" customWidth="1"/>
    <col min="15379" max="15379" width="3.42578125" style="9" customWidth="1"/>
    <col min="15380" max="15380" width="3" style="9" customWidth="1"/>
    <col min="15381" max="15382" width="3.42578125" style="9" customWidth="1"/>
    <col min="15383" max="15383" width="3.28515625" style="9" customWidth="1"/>
    <col min="15384" max="15384" width="3" style="9" customWidth="1"/>
    <col min="15385" max="15385" width="3.28515625" style="9" customWidth="1"/>
    <col min="15386" max="15386" width="3.140625" style="9" customWidth="1"/>
    <col min="15387" max="15387" width="3.5703125" style="9" customWidth="1"/>
    <col min="15388" max="15388" width="4" style="9" customWidth="1"/>
    <col min="15389" max="15389" width="3.7109375" style="9" customWidth="1"/>
    <col min="15390" max="15390" width="3.5703125" style="9" customWidth="1"/>
    <col min="15391" max="15391" width="3.7109375" style="9" customWidth="1"/>
    <col min="15392" max="15392" width="3.85546875" style="9" customWidth="1"/>
    <col min="15393" max="15393" width="4" style="9" customWidth="1"/>
    <col min="15394" max="15394" width="3.42578125" style="9" customWidth="1"/>
    <col min="15395" max="15395" width="3.5703125" style="9" customWidth="1"/>
    <col min="15396" max="15616" width="11.42578125" style="9"/>
    <col min="15617" max="15617" width="3.7109375" style="9" customWidth="1"/>
    <col min="15618" max="15618" width="5.140625" style="9" customWidth="1"/>
    <col min="15619" max="15619" width="4.85546875" style="9" customWidth="1"/>
    <col min="15620" max="15620" width="24.140625" style="9" customWidth="1"/>
    <col min="15621" max="15621" width="3.140625" style="9" customWidth="1"/>
    <col min="15622" max="15622" width="3" style="9" customWidth="1"/>
    <col min="15623" max="15623" width="3.140625" style="9" customWidth="1"/>
    <col min="15624" max="15624" width="2.85546875" style="9" customWidth="1"/>
    <col min="15625" max="15625" width="3.28515625" style="9" customWidth="1"/>
    <col min="15626" max="15626" width="3.42578125" style="9" customWidth="1"/>
    <col min="15627" max="15627" width="3.28515625" style="9" customWidth="1"/>
    <col min="15628" max="15629" width="3.85546875" style="9" customWidth="1"/>
    <col min="15630" max="15630" width="3.5703125" style="9" customWidth="1"/>
    <col min="15631" max="15631" width="3.42578125" style="9" customWidth="1"/>
    <col min="15632" max="15632" width="3.28515625" style="9" customWidth="1"/>
    <col min="15633" max="15633" width="3.5703125" style="9" customWidth="1"/>
    <col min="15634" max="15634" width="3.28515625" style="9" customWidth="1"/>
    <col min="15635" max="15635" width="3.42578125" style="9" customWidth="1"/>
    <col min="15636" max="15636" width="3" style="9" customWidth="1"/>
    <col min="15637" max="15638" width="3.42578125" style="9" customWidth="1"/>
    <col min="15639" max="15639" width="3.28515625" style="9" customWidth="1"/>
    <col min="15640" max="15640" width="3" style="9" customWidth="1"/>
    <col min="15641" max="15641" width="3.28515625" style="9" customWidth="1"/>
    <col min="15642" max="15642" width="3.140625" style="9" customWidth="1"/>
    <col min="15643" max="15643" width="3.5703125" style="9" customWidth="1"/>
    <col min="15644" max="15644" width="4" style="9" customWidth="1"/>
    <col min="15645" max="15645" width="3.7109375" style="9" customWidth="1"/>
    <col min="15646" max="15646" width="3.5703125" style="9" customWidth="1"/>
    <col min="15647" max="15647" width="3.7109375" style="9" customWidth="1"/>
    <col min="15648" max="15648" width="3.85546875" style="9" customWidth="1"/>
    <col min="15649" max="15649" width="4" style="9" customWidth="1"/>
    <col min="15650" max="15650" width="3.42578125" style="9" customWidth="1"/>
    <col min="15651" max="15651" width="3.5703125" style="9" customWidth="1"/>
    <col min="15652" max="15872" width="11.42578125" style="9"/>
    <col min="15873" max="15873" width="3.7109375" style="9" customWidth="1"/>
    <col min="15874" max="15874" width="5.140625" style="9" customWidth="1"/>
    <col min="15875" max="15875" width="4.85546875" style="9" customWidth="1"/>
    <col min="15876" max="15876" width="24.140625" style="9" customWidth="1"/>
    <col min="15877" max="15877" width="3.140625" style="9" customWidth="1"/>
    <col min="15878" max="15878" width="3" style="9" customWidth="1"/>
    <col min="15879" max="15879" width="3.140625" style="9" customWidth="1"/>
    <col min="15880" max="15880" width="2.85546875" style="9" customWidth="1"/>
    <col min="15881" max="15881" width="3.28515625" style="9" customWidth="1"/>
    <col min="15882" max="15882" width="3.42578125" style="9" customWidth="1"/>
    <col min="15883" max="15883" width="3.28515625" style="9" customWidth="1"/>
    <col min="15884" max="15885" width="3.85546875" style="9" customWidth="1"/>
    <col min="15886" max="15886" width="3.5703125" style="9" customWidth="1"/>
    <col min="15887" max="15887" width="3.42578125" style="9" customWidth="1"/>
    <col min="15888" max="15888" width="3.28515625" style="9" customWidth="1"/>
    <col min="15889" max="15889" width="3.5703125" style="9" customWidth="1"/>
    <col min="15890" max="15890" width="3.28515625" style="9" customWidth="1"/>
    <col min="15891" max="15891" width="3.42578125" style="9" customWidth="1"/>
    <col min="15892" max="15892" width="3" style="9" customWidth="1"/>
    <col min="15893" max="15894" width="3.42578125" style="9" customWidth="1"/>
    <col min="15895" max="15895" width="3.28515625" style="9" customWidth="1"/>
    <col min="15896" max="15896" width="3" style="9" customWidth="1"/>
    <col min="15897" max="15897" width="3.28515625" style="9" customWidth="1"/>
    <col min="15898" max="15898" width="3.140625" style="9" customWidth="1"/>
    <col min="15899" max="15899" width="3.5703125" style="9" customWidth="1"/>
    <col min="15900" max="15900" width="4" style="9" customWidth="1"/>
    <col min="15901" max="15901" width="3.7109375" style="9" customWidth="1"/>
    <col min="15902" max="15902" width="3.5703125" style="9" customWidth="1"/>
    <col min="15903" max="15903" width="3.7109375" style="9" customWidth="1"/>
    <col min="15904" max="15904" width="3.85546875" style="9" customWidth="1"/>
    <col min="15905" max="15905" width="4" style="9" customWidth="1"/>
    <col min="15906" max="15906" width="3.42578125" style="9" customWidth="1"/>
    <col min="15907" max="15907" width="3.5703125" style="9" customWidth="1"/>
    <col min="15908" max="16128" width="11.42578125" style="9"/>
    <col min="16129" max="16129" width="3.7109375" style="9" customWidth="1"/>
    <col min="16130" max="16130" width="5.140625" style="9" customWidth="1"/>
    <col min="16131" max="16131" width="4.85546875" style="9" customWidth="1"/>
    <col min="16132" max="16132" width="24.140625" style="9" customWidth="1"/>
    <col min="16133" max="16133" width="3.140625" style="9" customWidth="1"/>
    <col min="16134" max="16134" width="3" style="9" customWidth="1"/>
    <col min="16135" max="16135" width="3.140625" style="9" customWidth="1"/>
    <col min="16136" max="16136" width="2.85546875" style="9" customWidth="1"/>
    <col min="16137" max="16137" width="3.28515625" style="9" customWidth="1"/>
    <col min="16138" max="16138" width="3.42578125" style="9" customWidth="1"/>
    <col min="16139" max="16139" width="3.28515625" style="9" customWidth="1"/>
    <col min="16140" max="16141" width="3.85546875" style="9" customWidth="1"/>
    <col min="16142" max="16142" width="3.5703125" style="9" customWidth="1"/>
    <col min="16143" max="16143" width="3.42578125" style="9" customWidth="1"/>
    <col min="16144" max="16144" width="3.28515625" style="9" customWidth="1"/>
    <col min="16145" max="16145" width="3.5703125" style="9" customWidth="1"/>
    <col min="16146" max="16146" width="3.28515625" style="9" customWidth="1"/>
    <col min="16147" max="16147" width="3.42578125" style="9" customWidth="1"/>
    <col min="16148" max="16148" width="3" style="9" customWidth="1"/>
    <col min="16149" max="16150" width="3.42578125" style="9" customWidth="1"/>
    <col min="16151" max="16151" width="3.28515625" style="9" customWidth="1"/>
    <col min="16152" max="16152" width="3" style="9" customWidth="1"/>
    <col min="16153" max="16153" width="3.28515625" style="9" customWidth="1"/>
    <col min="16154" max="16154" width="3.140625" style="9" customWidth="1"/>
    <col min="16155" max="16155" width="3.5703125" style="9" customWidth="1"/>
    <col min="16156" max="16156" width="4" style="9" customWidth="1"/>
    <col min="16157" max="16157" width="3.7109375" style="9" customWidth="1"/>
    <col min="16158" max="16158" width="3.5703125" style="9" customWidth="1"/>
    <col min="16159" max="16159" width="3.7109375" style="9" customWidth="1"/>
    <col min="16160" max="16160" width="3.85546875" style="9" customWidth="1"/>
    <col min="16161" max="16161" width="4" style="9" customWidth="1"/>
    <col min="16162" max="16162" width="3.42578125" style="9" customWidth="1"/>
    <col min="16163" max="16163" width="3.5703125" style="9" customWidth="1"/>
    <col min="16164" max="16384" width="11.42578125" style="9"/>
  </cols>
  <sheetData>
    <row r="1" spans="1:38">
      <c r="A1" s="14"/>
    </row>
    <row r="2" spans="1:38" s="59" customFormat="1" ht="15">
      <c r="B2" s="759"/>
      <c r="C2" s="759"/>
      <c r="D2" s="759"/>
      <c r="E2" s="759"/>
      <c r="F2" s="759"/>
      <c r="G2" s="759"/>
      <c r="H2" s="759"/>
      <c r="I2" s="759"/>
      <c r="J2" s="759"/>
      <c r="K2" s="759"/>
      <c r="L2" s="759"/>
      <c r="M2" s="759"/>
      <c r="N2" s="759"/>
      <c r="O2" s="759"/>
      <c r="P2" s="759"/>
      <c r="Q2" s="759"/>
      <c r="R2" s="759"/>
      <c r="S2" s="759"/>
      <c r="T2" s="759"/>
      <c r="U2" s="756" t="s">
        <v>221</v>
      </c>
      <c r="V2" s="759"/>
      <c r="W2" s="759"/>
      <c r="X2" s="759"/>
      <c r="Y2" s="759"/>
      <c r="Z2" s="759"/>
      <c r="AA2" s="759"/>
      <c r="AB2" s="759"/>
      <c r="AC2" s="759"/>
      <c r="AD2" s="759"/>
      <c r="AE2" s="759"/>
      <c r="AF2" s="759"/>
      <c r="AG2" s="759"/>
      <c r="AH2" s="759"/>
      <c r="AI2" s="759"/>
      <c r="AJ2" s="759"/>
      <c r="AK2" s="759"/>
      <c r="AL2" s="759"/>
    </row>
    <row r="3" spans="1:38" s="59" customFormat="1" ht="15.75">
      <c r="B3" s="760"/>
      <c r="C3" s="760"/>
      <c r="D3" s="760"/>
      <c r="E3" s="760"/>
      <c r="F3" s="760"/>
      <c r="G3" s="760"/>
      <c r="H3" s="760"/>
      <c r="I3" s="760"/>
      <c r="J3" s="760"/>
      <c r="K3" s="760"/>
      <c r="L3" s="760"/>
      <c r="M3" s="760"/>
      <c r="N3" s="760"/>
      <c r="O3" s="760"/>
      <c r="P3" s="760"/>
      <c r="Q3" s="760"/>
      <c r="R3" s="760"/>
      <c r="S3" s="760"/>
      <c r="T3" s="760"/>
      <c r="U3" s="757" t="s">
        <v>222</v>
      </c>
      <c r="V3" s="760"/>
      <c r="W3" s="760"/>
      <c r="X3" s="760"/>
      <c r="Y3" s="760"/>
      <c r="Z3" s="760"/>
      <c r="AA3" s="760"/>
      <c r="AB3" s="760"/>
      <c r="AC3" s="760"/>
      <c r="AD3" s="760"/>
      <c r="AE3" s="760"/>
      <c r="AF3" s="760"/>
      <c r="AG3" s="760"/>
      <c r="AH3" s="760"/>
      <c r="AI3" s="760"/>
      <c r="AJ3" s="760"/>
      <c r="AK3" s="760"/>
      <c r="AL3" s="760"/>
    </row>
    <row r="4" spans="1:38" s="59" customFormat="1" ht="15.75">
      <c r="B4" s="760"/>
      <c r="C4" s="760"/>
      <c r="D4" s="760"/>
      <c r="E4" s="760"/>
      <c r="F4" s="760"/>
      <c r="G4" s="760"/>
      <c r="H4" s="760"/>
      <c r="I4" s="760"/>
      <c r="J4" s="760"/>
      <c r="K4" s="760"/>
      <c r="L4" s="760"/>
      <c r="M4" s="760"/>
      <c r="N4" s="760"/>
      <c r="O4" s="760"/>
      <c r="P4" s="760"/>
      <c r="Q4" s="760"/>
      <c r="R4" s="760"/>
      <c r="S4" s="760"/>
      <c r="T4" s="760"/>
      <c r="U4" s="757" t="s">
        <v>769</v>
      </c>
      <c r="V4" s="760"/>
      <c r="W4" s="760"/>
      <c r="X4" s="760"/>
      <c r="Y4" s="760"/>
      <c r="Z4" s="760"/>
      <c r="AA4" s="760"/>
      <c r="AB4" s="760"/>
      <c r="AC4" s="760"/>
      <c r="AD4" s="760"/>
      <c r="AE4" s="760"/>
      <c r="AF4" s="760"/>
      <c r="AG4" s="760"/>
      <c r="AH4" s="760"/>
      <c r="AI4" s="760"/>
      <c r="AJ4" s="760"/>
      <c r="AK4" s="760"/>
      <c r="AL4" s="760"/>
    </row>
    <row r="5" spans="1:38" s="62" customFormat="1" ht="15.75" customHeight="1">
      <c r="A5" s="761"/>
      <c r="B5" s="762"/>
      <c r="C5" s="763"/>
      <c r="D5" s="53"/>
      <c r="E5" s="53"/>
      <c r="F5" s="53"/>
      <c r="G5" s="53"/>
      <c r="H5" s="53"/>
      <c r="I5" s="52"/>
      <c r="J5" s="53"/>
      <c r="K5" s="53"/>
      <c r="L5" s="53"/>
      <c r="M5" s="53"/>
      <c r="N5" s="60"/>
      <c r="O5" s="60"/>
      <c r="P5" s="60"/>
      <c r="Q5" s="61"/>
      <c r="R5" s="61"/>
      <c r="S5" s="764"/>
      <c r="T5" s="764"/>
      <c r="U5" s="764"/>
      <c r="V5" s="764"/>
    </row>
    <row r="6" spans="1:38" s="395" customFormat="1" ht="39" customHeight="1">
      <c r="B6" s="313" t="s">
        <v>721</v>
      </c>
      <c r="C6" s="808"/>
      <c r="D6" s="2528" t="str">
        <f>Datos!C4</f>
        <v>“MEJORAMIENTO DE LA GESTIÓN MUNICIPAL Y SERVICIO ADMINISTRATIVO DE LA MUNICIPALIDAD PROVINCIAL DE ABANCAY, DISTRITO DE ABANCAY - PROVINCIA DE ABANCAY - DEPARTAMENTO DE APURIMAC”.</v>
      </c>
      <c r="E6" s="2528"/>
      <c r="F6" s="2528"/>
      <c r="G6" s="2528"/>
      <c r="H6" s="2528"/>
      <c r="I6" s="2528"/>
      <c r="J6" s="2528"/>
      <c r="K6" s="2528"/>
      <c r="L6" s="2528"/>
      <c r="M6" s="2528"/>
      <c r="N6" s="2528"/>
      <c r="O6" s="2528"/>
      <c r="P6" s="2528"/>
      <c r="Q6" s="2528"/>
      <c r="R6" s="2528"/>
      <c r="S6" s="2528"/>
      <c r="T6" s="2528"/>
      <c r="U6" s="2528"/>
      <c r="V6" s="2528"/>
      <c r="W6" s="2528"/>
      <c r="X6" s="2528"/>
      <c r="Y6" s="2528"/>
      <c r="Z6" s="2528"/>
      <c r="AA6" s="2528"/>
      <c r="AB6" s="2528"/>
      <c r="AC6" s="2528"/>
      <c r="AD6" s="2528"/>
      <c r="AE6" s="2528"/>
      <c r="AF6" s="2528"/>
      <c r="AG6" s="2528"/>
      <c r="AH6" s="2528"/>
      <c r="AI6" s="2528"/>
      <c r="AJ6" s="2528"/>
      <c r="AK6" s="2528"/>
    </row>
    <row r="7" spans="1:38" s="395" customFormat="1" ht="19.5" customHeight="1">
      <c r="B7" s="230" t="s">
        <v>719</v>
      </c>
      <c r="C7" s="397"/>
      <c r="D7" s="11" t="str">
        <f>Datos!C12&amp;" / "&amp;Datos!C13&amp;" / "&amp;Datos!C14</f>
        <v xml:space="preserve"> 
VIVIENDA, CONSTRUCCION Y SANEAMIENTO / ESPACIOS PÚBLICOS PARA LA INTEGRACIÓN / </v>
      </c>
      <c r="O7" s="400"/>
      <c r="P7" s="396"/>
    </row>
    <row r="8" spans="1:38" s="395" customFormat="1" ht="19.5" customHeight="1">
      <c r="B8" s="314" t="s">
        <v>720</v>
      </c>
      <c r="C8" s="397"/>
      <c r="D8" s="783" t="str">
        <f>Datos!C6</f>
        <v>Administración Directa</v>
      </c>
      <c r="F8" s="401"/>
      <c r="G8" s="401"/>
      <c r="I8" s="401"/>
      <c r="J8" s="401"/>
      <c r="K8" s="401"/>
      <c r="L8" s="401"/>
      <c r="M8" s="401"/>
      <c r="N8" s="401"/>
      <c r="O8" s="401"/>
      <c r="P8" s="396"/>
      <c r="Q8" s="401"/>
      <c r="R8" s="401"/>
      <c r="S8" s="402"/>
      <c r="T8" s="331"/>
      <c r="U8" s="331"/>
      <c r="V8" s="331"/>
    </row>
    <row r="9" spans="1:38" s="395" customFormat="1" ht="19.5" customHeight="1">
      <c r="B9" s="314" t="s">
        <v>722</v>
      </c>
      <c r="C9" s="397"/>
      <c r="D9" s="783" t="str">
        <f>Datos!A52</f>
        <v>05</v>
      </c>
      <c r="E9" s="230" t="str">
        <f>Datos!B52</f>
        <v>Recursos Determinados:</v>
      </c>
      <c r="F9" s="401"/>
      <c r="G9" s="401"/>
      <c r="H9" s="401"/>
      <c r="I9" s="401"/>
      <c r="J9" s="401"/>
      <c r="K9" s="401"/>
      <c r="L9" s="401"/>
      <c r="M9" s="401"/>
      <c r="N9" s="401"/>
      <c r="O9" s="403"/>
      <c r="P9" s="401"/>
      <c r="Q9" s="401"/>
      <c r="R9" s="401"/>
      <c r="S9" s="402"/>
      <c r="T9" s="331"/>
      <c r="U9" s="331"/>
      <c r="V9" s="331"/>
    </row>
    <row r="10" spans="1:38" s="395" customFormat="1" ht="19.5" customHeight="1">
      <c r="B10" s="314" t="s">
        <v>723</v>
      </c>
      <c r="C10" s="397"/>
      <c r="D10" s="783" t="str">
        <f>Datos!C6</f>
        <v>Administración Directa</v>
      </c>
      <c r="F10" s="401"/>
      <c r="G10" s="401"/>
      <c r="H10" s="401"/>
      <c r="I10" s="401"/>
      <c r="J10" s="401"/>
      <c r="K10" s="401"/>
      <c r="L10" s="401"/>
      <c r="M10" s="401"/>
      <c r="N10" s="401"/>
      <c r="O10" s="403"/>
      <c r="P10" s="401"/>
      <c r="Q10" s="401"/>
      <c r="R10" s="401"/>
      <c r="S10" s="402"/>
      <c r="T10" s="331"/>
      <c r="U10" s="331"/>
      <c r="V10" s="331"/>
    </row>
    <row r="11" spans="1:38" s="395" customFormat="1" ht="19.5" customHeight="1">
      <c r="B11" s="314" t="s">
        <v>724</v>
      </c>
      <c r="C11" s="397"/>
      <c r="D11" s="11" t="str">
        <f>Datos!C73</f>
        <v>ING. RICHARD ERWIN MONTALVO ALVARO</v>
      </c>
      <c r="F11" s="331"/>
      <c r="G11" s="331"/>
      <c r="H11" s="331"/>
      <c r="I11" s="331"/>
      <c r="J11" s="331"/>
      <c r="K11" s="331"/>
      <c r="L11" s="331"/>
      <c r="M11" s="331"/>
      <c r="N11" s="331"/>
      <c r="O11" s="399"/>
      <c r="P11" s="401" t="s">
        <v>0</v>
      </c>
      <c r="Q11" s="401"/>
      <c r="R11" s="401"/>
      <c r="S11" s="402"/>
      <c r="T11" s="331"/>
      <c r="U11" s="331"/>
      <c r="V11" s="331"/>
    </row>
    <row r="12" spans="1:38" s="331" customFormat="1" ht="19.5" customHeight="1">
      <c r="B12" s="314" t="s">
        <v>716</v>
      </c>
      <c r="C12" s="404"/>
      <c r="D12" s="11" t="str">
        <f>Datos!C80</f>
        <v>ING. IVES BUSTHER GUTIERREZ ARENAS</v>
      </c>
      <c r="O12" s="399"/>
      <c r="P12" s="401"/>
      <c r="Q12" s="401"/>
      <c r="R12" s="401"/>
      <c r="S12" s="402"/>
    </row>
    <row r="13" spans="1:38" s="395" customFormat="1" ht="19.5" customHeight="1" thickBot="1">
      <c r="B13" s="230" t="s">
        <v>746</v>
      </c>
      <c r="C13" s="397"/>
      <c r="D13" s="784" t="str">
        <f>Datos!D96&amp; " - "&amp;Datos!E96</f>
        <v>DICIEMBRE - 2023</v>
      </c>
      <c r="F13" s="405"/>
      <c r="G13" s="405"/>
      <c r="H13" s="405"/>
      <c r="I13" s="405"/>
      <c r="J13" s="405"/>
      <c r="K13" s="405"/>
      <c r="L13" s="405"/>
      <c r="M13" s="405"/>
      <c r="N13" s="405"/>
      <c r="O13" s="553"/>
      <c r="P13" s="405"/>
      <c r="Q13" s="410"/>
      <c r="R13" s="401"/>
      <c r="S13" s="411"/>
      <c r="T13" s="410"/>
      <c r="U13" s="410"/>
      <c r="V13" s="410"/>
    </row>
    <row r="14" spans="1:38" s="57" customFormat="1" ht="16.5">
      <c r="A14" s="790"/>
      <c r="B14" s="791"/>
      <c r="C14" s="792" t="s">
        <v>223</v>
      </c>
      <c r="D14" s="793"/>
      <c r="E14" s="800" t="s">
        <v>27</v>
      </c>
      <c r="F14" s="787" t="s">
        <v>28</v>
      </c>
      <c r="G14" s="787" t="s">
        <v>11</v>
      </c>
      <c r="H14" s="787" t="s">
        <v>11</v>
      </c>
      <c r="I14" s="787" t="s">
        <v>29</v>
      </c>
      <c r="J14" s="787" t="s">
        <v>25</v>
      </c>
      <c r="K14" s="787" t="s">
        <v>26</v>
      </c>
      <c r="L14" s="800" t="s">
        <v>27</v>
      </c>
      <c r="M14" s="787" t="s">
        <v>28</v>
      </c>
      <c r="N14" s="787" t="s">
        <v>11</v>
      </c>
      <c r="O14" s="787" t="s">
        <v>11</v>
      </c>
      <c r="P14" s="787" t="s">
        <v>29</v>
      </c>
      <c r="Q14" s="787" t="s">
        <v>25</v>
      </c>
      <c r="R14" s="787" t="s">
        <v>26</v>
      </c>
      <c r="S14" s="800" t="s">
        <v>27</v>
      </c>
      <c r="T14" s="787" t="s">
        <v>28</v>
      </c>
      <c r="U14" s="787" t="s">
        <v>11</v>
      </c>
      <c r="V14" s="787" t="s">
        <v>11</v>
      </c>
      <c r="W14" s="787" t="s">
        <v>29</v>
      </c>
      <c r="X14" s="787" t="s">
        <v>25</v>
      </c>
      <c r="Y14" s="787" t="s">
        <v>26</v>
      </c>
      <c r="Z14" s="800" t="s">
        <v>27</v>
      </c>
      <c r="AA14" s="787" t="s">
        <v>28</v>
      </c>
      <c r="AB14" s="787" t="s">
        <v>11</v>
      </c>
      <c r="AC14" s="787" t="s">
        <v>11</v>
      </c>
      <c r="AD14" s="787" t="s">
        <v>29</v>
      </c>
      <c r="AE14" s="787" t="s">
        <v>25</v>
      </c>
      <c r="AF14" s="787" t="s">
        <v>26</v>
      </c>
      <c r="AG14" s="800" t="s">
        <v>27</v>
      </c>
      <c r="AH14" s="787" t="s">
        <v>28</v>
      </c>
      <c r="AI14" s="787" t="s">
        <v>11</v>
      </c>
      <c r="AJ14" s="2529" t="s">
        <v>224</v>
      </c>
      <c r="AK14" s="2530"/>
      <c r="AL14" s="2531"/>
    </row>
    <row r="15" spans="1:38" s="57" customFormat="1" ht="16.5">
      <c r="A15" s="794"/>
      <c r="B15" s="795"/>
      <c r="C15" s="795"/>
      <c r="D15" s="796"/>
      <c r="E15" s="801">
        <v>1</v>
      </c>
      <c r="F15" s="788">
        <f t="shared" ref="F15:AC15" si="0">E15+1</f>
        <v>2</v>
      </c>
      <c r="G15" s="789">
        <f t="shared" si="0"/>
        <v>3</v>
      </c>
      <c r="H15" s="788">
        <f t="shared" si="0"/>
        <v>4</v>
      </c>
      <c r="I15" s="788">
        <f t="shared" si="0"/>
        <v>5</v>
      </c>
      <c r="J15" s="788">
        <f t="shared" si="0"/>
        <v>6</v>
      </c>
      <c r="K15" s="788">
        <f t="shared" si="0"/>
        <v>7</v>
      </c>
      <c r="L15" s="801">
        <f t="shared" si="0"/>
        <v>8</v>
      </c>
      <c r="M15" s="788">
        <f t="shared" si="0"/>
        <v>9</v>
      </c>
      <c r="N15" s="788">
        <f t="shared" si="0"/>
        <v>10</v>
      </c>
      <c r="O15" s="788">
        <f t="shared" si="0"/>
        <v>11</v>
      </c>
      <c r="P15" s="788">
        <f t="shared" si="0"/>
        <v>12</v>
      </c>
      <c r="Q15" s="788">
        <f t="shared" si="0"/>
        <v>13</v>
      </c>
      <c r="R15" s="788">
        <f t="shared" si="0"/>
        <v>14</v>
      </c>
      <c r="S15" s="801">
        <f t="shared" si="0"/>
        <v>15</v>
      </c>
      <c r="T15" s="788">
        <f t="shared" si="0"/>
        <v>16</v>
      </c>
      <c r="U15" s="788">
        <f t="shared" si="0"/>
        <v>17</v>
      </c>
      <c r="V15" s="788">
        <f t="shared" si="0"/>
        <v>18</v>
      </c>
      <c r="W15" s="788">
        <f t="shared" si="0"/>
        <v>19</v>
      </c>
      <c r="X15" s="788">
        <f t="shared" si="0"/>
        <v>20</v>
      </c>
      <c r="Y15" s="788">
        <f t="shared" si="0"/>
        <v>21</v>
      </c>
      <c r="Z15" s="801">
        <f t="shared" si="0"/>
        <v>22</v>
      </c>
      <c r="AA15" s="788">
        <f t="shared" si="0"/>
        <v>23</v>
      </c>
      <c r="AB15" s="788">
        <f t="shared" si="0"/>
        <v>24</v>
      </c>
      <c r="AC15" s="788">
        <f t="shared" si="0"/>
        <v>25</v>
      </c>
      <c r="AD15" s="788">
        <f t="shared" ref="AD15" si="1">AC15+1</f>
        <v>26</v>
      </c>
      <c r="AE15" s="788">
        <f t="shared" ref="AE15" si="2">AD15+1</f>
        <v>27</v>
      </c>
      <c r="AF15" s="788">
        <f t="shared" ref="AF15" si="3">AE15+1</f>
        <v>28</v>
      </c>
      <c r="AG15" s="801">
        <f t="shared" ref="AG15" si="4">AF15+1</f>
        <v>29</v>
      </c>
      <c r="AH15" s="788">
        <f t="shared" ref="AH15" si="5">AG15+1</f>
        <v>30</v>
      </c>
      <c r="AI15" s="788"/>
      <c r="AJ15" s="797" t="s">
        <v>225</v>
      </c>
      <c r="AK15" s="798" t="s">
        <v>183</v>
      </c>
      <c r="AL15" s="799" t="s">
        <v>226</v>
      </c>
    </row>
    <row r="16" spans="1:38" s="57" customFormat="1" ht="15" customHeight="1">
      <c r="A16" s="777" t="s">
        <v>227</v>
      </c>
      <c r="B16" s="778"/>
      <c r="C16" s="778"/>
      <c r="D16" s="779"/>
      <c r="E16" s="802"/>
      <c r="F16" s="785"/>
      <c r="G16" s="785"/>
      <c r="H16" s="785"/>
      <c r="I16" s="786"/>
      <c r="J16" s="785"/>
      <c r="K16" s="785"/>
      <c r="L16" s="802"/>
      <c r="M16" s="785"/>
      <c r="N16" s="785"/>
      <c r="O16" s="785"/>
      <c r="P16" s="786"/>
      <c r="Q16" s="785"/>
      <c r="R16" s="785"/>
      <c r="S16" s="802"/>
      <c r="T16" s="785"/>
      <c r="U16" s="785"/>
      <c r="V16" s="785"/>
      <c r="W16" s="786"/>
      <c r="X16" s="785"/>
      <c r="Y16" s="785"/>
      <c r="Z16" s="802"/>
      <c r="AA16" s="785"/>
      <c r="AB16" s="785"/>
      <c r="AC16" s="785"/>
      <c r="AD16" s="785"/>
      <c r="AE16" s="785"/>
      <c r="AF16" s="785"/>
      <c r="AG16" s="802"/>
      <c r="AH16" s="785"/>
      <c r="AI16" s="76"/>
      <c r="AJ16" s="63"/>
      <c r="AK16" s="63"/>
      <c r="AL16" s="64"/>
    </row>
    <row r="17" spans="1:38" s="57" customFormat="1" ht="15" customHeight="1">
      <c r="A17" s="765" t="s">
        <v>40</v>
      </c>
      <c r="B17" s="766"/>
      <c r="C17" s="766"/>
      <c r="D17" s="767"/>
      <c r="E17" s="803">
        <v>1</v>
      </c>
      <c r="F17" s="65">
        <v>1</v>
      </c>
      <c r="G17" s="65">
        <v>1</v>
      </c>
      <c r="H17" s="65">
        <v>1</v>
      </c>
      <c r="I17" s="65">
        <v>1</v>
      </c>
      <c r="J17" s="65">
        <v>1</v>
      </c>
      <c r="K17" s="65">
        <v>1</v>
      </c>
      <c r="L17" s="803">
        <v>1</v>
      </c>
      <c r="M17" s="65">
        <v>1</v>
      </c>
      <c r="N17" s="65">
        <v>1</v>
      </c>
      <c r="O17" s="65">
        <v>1</v>
      </c>
      <c r="P17" s="65">
        <v>1</v>
      </c>
      <c r="Q17" s="65">
        <v>1</v>
      </c>
      <c r="R17" s="65">
        <v>1</v>
      </c>
      <c r="S17" s="803">
        <v>1</v>
      </c>
      <c r="T17" s="65">
        <v>1</v>
      </c>
      <c r="U17" s="65">
        <v>1</v>
      </c>
      <c r="V17" s="65">
        <v>1</v>
      </c>
      <c r="W17" s="65">
        <v>1</v>
      </c>
      <c r="X17" s="65">
        <v>1</v>
      </c>
      <c r="Y17" s="65">
        <v>1</v>
      </c>
      <c r="Z17" s="803">
        <v>1</v>
      </c>
      <c r="AA17" s="65">
        <v>1</v>
      </c>
      <c r="AB17" s="65">
        <v>1</v>
      </c>
      <c r="AC17" s="65">
        <v>1</v>
      </c>
      <c r="AD17" s="65">
        <v>1</v>
      </c>
      <c r="AE17" s="65">
        <v>1</v>
      </c>
      <c r="AF17" s="65">
        <v>1</v>
      </c>
      <c r="AG17" s="803">
        <v>1</v>
      </c>
      <c r="AH17" s="65">
        <v>1</v>
      </c>
      <c r="AI17" s="65"/>
      <c r="AJ17" s="67"/>
      <c r="AK17" s="67">
        <f>SUM(E17:AI17)</f>
        <v>30</v>
      </c>
      <c r="AL17" s="68">
        <f>AJ17+AK17</f>
        <v>30</v>
      </c>
    </row>
    <row r="18" spans="1:38" s="57" customFormat="1" ht="15" customHeight="1">
      <c r="A18" s="768" t="s">
        <v>58</v>
      </c>
      <c r="B18" s="769"/>
      <c r="C18" s="769"/>
      <c r="D18" s="770"/>
      <c r="E18" s="803">
        <v>1</v>
      </c>
      <c r="F18" s="65">
        <v>1</v>
      </c>
      <c r="G18" s="65">
        <v>1</v>
      </c>
      <c r="H18" s="65">
        <v>1</v>
      </c>
      <c r="I18" s="65">
        <v>1</v>
      </c>
      <c r="J18" s="65">
        <v>1</v>
      </c>
      <c r="K18" s="65">
        <v>1</v>
      </c>
      <c r="L18" s="803">
        <v>1</v>
      </c>
      <c r="M18" s="65">
        <v>1</v>
      </c>
      <c r="N18" s="65">
        <v>1</v>
      </c>
      <c r="O18" s="65">
        <v>1</v>
      </c>
      <c r="P18" s="65">
        <v>1</v>
      </c>
      <c r="Q18" s="65">
        <v>1</v>
      </c>
      <c r="R18" s="65">
        <v>1</v>
      </c>
      <c r="S18" s="803">
        <v>1</v>
      </c>
      <c r="T18" s="65">
        <v>1</v>
      </c>
      <c r="U18" s="65">
        <v>1</v>
      </c>
      <c r="V18" s="65">
        <v>1</v>
      </c>
      <c r="W18" s="65">
        <v>1</v>
      </c>
      <c r="X18" s="65">
        <v>1</v>
      </c>
      <c r="Y18" s="65">
        <v>1</v>
      </c>
      <c r="Z18" s="803">
        <v>1</v>
      </c>
      <c r="AA18" s="65">
        <v>1</v>
      </c>
      <c r="AB18" s="65">
        <v>1</v>
      </c>
      <c r="AC18" s="65">
        <v>1</v>
      </c>
      <c r="AD18" s="65">
        <v>1</v>
      </c>
      <c r="AE18" s="65">
        <v>1</v>
      </c>
      <c r="AF18" s="65">
        <v>1</v>
      </c>
      <c r="AG18" s="803">
        <v>1</v>
      </c>
      <c r="AH18" s="65">
        <v>1</v>
      </c>
      <c r="AI18" s="65"/>
      <c r="AJ18" s="67"/>
      <c r="AK18" s="67">
        <f>SUM(E18:AI18)</f>
        <v>30</v>
      </c>
      <c r="AL18" s="68">
        <f>AK18+AJ18</f>
        <v>30</v>
      </c>
    </row>
    <row r="19" spans="1:38" s="57" customFormat="1" ht="15" customHeight="1">
      <c r="A19" s="780" t="s">
        <v>228</v>
      </c>
      <c r="B19" s="781"/>
      <c r="C19" s="781"/>
      <c r="D19" s="782"/>
      <c r="E19" s="803"/>
      <c r="F19" s="65"/>
      <c r="G19" s="65"/>
      <c r="H19" s="65"/>
      <c r="I19" s="235"/>
      <c r="J19" s="66"/>
      <c r="K19" s="66"/>
      <c r="L19" s="803"/>
      <c r="M19" s="66"/>
      <c r="N19" s="66"/>
      <c r="O19" s="66"/>
      <c r="P19" s="78"/>
      <c r="Q19" s="66"/>
      <c r="R19" s="66"/>
      <c r="S19" s="803"/>
      <c r="T19" s="66"/>
      <c r="U19" s="66"/>
      <c r="V19" s="66"/>
      <c r="W19" s="78"/>
      <c r="X19" s="66"/>
      <c r="Y19" s="66"/>
      <c r="Z19" s="803"/>
      <c r="AA19" s="66"/>
      <c r="AB19" s="66"/>
      <c r="AC19" s="66"/>
      <c r="AD19" s="66"/>
      <c r="AE19" s="66"/>
      <c r="AF19" s="66"/>
      <c r="AG19" s="803"/>
      <c r="AH19" s="66"/>
      <c r="AI19" s="78"/>
      <c r="AJ19" s="67"/>
      <c r="AK19" s="67"/>
      <c r="AL19" s="68"/>
    </row>
    <row r="20" spans="1:38" s="57" customFormat="1" ht="15" customHeight="1">
      <c r="A20" s="771" t="s">
        <v>269</v>
      </c>
      <c r="B20" s="772"/>
      <c r="C20" s="772"/>
      <c r="D20" s="773"/>
      <c r="E20" s="803"/>
      <c r="F20" s="65"/>
      <c r="G20" s="65"/>
      <c r="H20" s="65">
        <v>1</v>
      </c>
      <c r="I20" s="65">
        <v>1</v>
      </c>
      <c r="J20" s="65">
        <v>1</v>
      </c>
      <c r="K20" s="65">
        <v>1</v>
      </c>
      <c r="L20" s="803">
        <v>1</v>
      </c>
      <c r="M20" s="65">
        <v>1</v>
      </c>
      <c r="N20" s="65">
        <v>1</v>
      </c>
      <c r="O20" s="65">
        <v>1</v>
      </c>
      <c r="P20" s="65">
        <v>1</v>
      </c>
      <c r="Q20" s="65">
        <v>1</v>
      </c>
      <c r="R20" s="65">
        <v>1</v>
      </c>
      <c r="S20" s="803">
        <v>1</v>
      </c>
      <c r="T20" s="65">
        <v>1</v>
      </c>
      <c r="U20" s="65">
        <v>1</v>
      </c>
      <c r="V20" s="65">
        <v>1</v>
      </c>
      <c r="W20" s="65">
        <v>1</v>
      </c>
      <c r="X20" s="65">
        <v>1</v>
      </c>
      <c r="Y20" s="65">
        <v>1</v>
      </c>
      <c r="Z20" s="803">
        <v>1</v>
      </c>
      <c r="AA20" s="65">
        <v>1</v>
      </c>
      <c r="AB20" s="65">
        <v>1</v>
      </c>
      <c r="AC20" s="65">
        <v>1</v>
      </c>
      <c r="AD20" s="65">
        <v>1</v>
      </c>
      <c r="AE20" s="65">
        <v>1</v>
      </c>
      <c r="AF20" s="65">
        <v>1</v>
      </c>
      <c r="AG20" s="803">
        <v>1</v>
      </c>
      <c r="AH20" s="65">
        <v>1</v>
      </c>
      <c r="AI20" s="65"/>
      <c r="AJ20" s="67"/>
      <c r="AK20" s="67">
        <f>SUM(E20:AI20)</f>
        <v>27</v>
      </c>
      <c r="AL20" s="68">
        <f>AJ20+AK20</f>
        <v>27</v>
      </c>
    </row>
    <row r="21" spans="1:38" s="57" customFormat="1" ht="15" customHeight="1">
      <c r="A21" s="771" t="s">
        <v>55</v>
      </c>
      <c r="B21" s="772"/>
      <c r="C21" s="772"/>
      <c r="D21" s="773"/>
      <c r="E21" s="803">
        <v>1</v>
      </c>
      <c r="F21" s="65">
        <v>1</v>
      </c>
      <c r="G21" s="65">
        <v>1</v>
      </c>
      <c r="H21" s="65">
        <v>1</v>
      </c>
      <c r="I21" s="65">
        <v>1</v>
      </c>
      <c r="J21" s="65">
        <v>1</v>
      </c>
      <c r="K21" s="65">
        <v>1</v>
      </c>
      <c r="L21" s="803">
        <v>1</v>
      </c>
      <c r="M21" s="65">
        <v>1</v>
      </c>
      <c r="N21" s="65">
        <v>1</v>
      </c>
      <c r="O21" s="65">
        <v>1</v>
      </c>
      <c r="P21" s="65">
        <v>1</v>
      </c>
      <c r="Q21" s="65">
        <v>1</v>
      </c>
      <c r="R21" s="65">
        <v>1</v>
      </c>
      <c r="S21" s="803">
        <v>1</v>
      </c>
      <c r="T21" s="65">
        <v>1</v>
      </c>
      <c r="U21" s="65">
        <v>1</v>
      </c>
      <c r="V21" s="65">
        <v>1</v>
      </c>
      <c r="W21" s="65">
        <v>1</v>
      </c>
      <c r="X21" s="65">
        <v>1</v>
      </c>
      <c r="Y21" s="65">
        <v>1</v>
      </c>
      <c r="Z21" s="803">
        <v>1</v>
      </c>
      <c r="AA21" s="65">
        <v>1</v>
      </c>
      <c r="AB21" s="65">
        <v>1</v>
      </c>
      <c r="AC21" s="65">
        <v>1</v>
      </c>
      <c r="AD21" s="65">
        <v>1</v>
      </c>
      <c r="AE21" s="65">
        <v>1</v>
      </c>
      <c r="AF21" s="65">
        <v>1</v>
      </c>
      <c r="AG21" s="803">
        <v>1</v>
      </c>
      <c r="AH21" s="65">
        <v>1</v>
      </c>
      <c r="AI21" s="65"/>
      <c r="AJ21" s="67"/>
      <c r="AK21" s="67">
        <f>SUM(E21:AI21)</f>
        <v>30</v>
      </c>
      <c r="AL21" s="68">
        <f>AJ21+AK21</f>
        <v>30</v>
      </c>
    </row>
    <row r="22" spans="1:38" s="57" customFormat="1" ht="15" customHeight="1">
      <c r="A22" s="771" t="s">
        <v>229</v>
      </c>
      <c r="B22" s="772"/>
      <c r="C22" s="772"/>
      <c r="D22" s="773"/>
      <c r="E22" s="803"/>
      <c r="F22" s="65"/>
      <c r="G22" s="65"/>
      <c r="H22" s="65"/>
      <c r="I22" s="65"/>
      <c r="J22" s="65"/>
      <c r="K22" s="65"/>
      <c r="L22" s="803"/>
      <c r="M22" s="65"/>
      <c r="N22" s="65"/>
      <c r="O22" s="65"/>
      <c r="P22" s="65">
        <v>1</v>
      </c>
      <c r="Q22" s="65">
        <v>1</v>
      </c>
      <c r="R22" s="65">
        <v>1</v>
      </c>
      <c r="S22" s="803">
        <v>1</v>
      </c>
      <c r="T22" s="65">
        <v>1</v>
      </c>
      <c r="U22" s="65">
        <v>1</v>
      </c>
      <c r="V22" s="65">
        <v>1</v>
      </c>
      <c r="W22" s="65">
        <v>1</v>
      </c>
      <c r="X22" s="65">
        <v>1</v>
      </c>
      <c r="Y22" s="65">
        <v>1</v>
      </c>
      <c r="Z22" s="803">
        <v>1</v>
      </c>
      <c r="AA22" s="65">
        <v>1</v>
      </c>
      <c r="AB22" s="65">
        <v>1</v>
      </c>
      <c r="AC22" s="65">
        <v>1</v>
      </c>
      <c r="AD22" s="65">
        <v>1</v>
      </c>
      <c r="AE22" s="65">
        <v>1</v>
      </c>
      <c r="AF22" s="65">
        <v>1</v>
      </c>
      <c r="AG22" s="803">
        <v>1</v>
      </c>
      <c r="AH22" s="65">
        <v>1</v>
      </c>
      <c r="AI22" s="65"/>
      <c r="AJ22" s="67"/>
      <c r="AK22" s="67">
        <f>SUM(E22:AI22)</f>
        <v>19</v>
      </c>
      <c r="AL22" s="68">
        <f t="shared" ref="AL22:AL24" si="6">AJ22+AK22</f>
        <v>19</v>
      </c>
    </row>
    <row r="23" spans="1:38" s="57" customFormat="1" ht="15" customHeight="1">
      <c r="A23" s="771" t="s">
        <v>768</v>
      </c>
      <c r="B23" s="772"/>
      <c r="C23" s="772"/>
      <c r="D23" s="773"/>
      <c r="E23" s="804"/>
      <c r="F23" s="65"/>
      <c r="G23" s="65"/>
      <c r="H23" s="65">
        <v>1</v>
      </c>
      <c r="I23" s="235">
        <v>1</v>
      </c>
      <c r="J23" s="66">
        <v>1</v>
      </c>
      <c r="K23" s="66">
        <v>1</v>
      </c>
      <c r="L23" s="804">
        <v>1</v>
      </c>
      <c r="M23" s="66">
        <v>1</v>
      </c>
      <c r="N23" s="66">
        <v>1</v>
      </c>
      <c r="O23" s="66">
        <v>1</v>
      </c>
      <c r="P23" s="78">
        <v>1</v>
      </c>
      <c r="Q23" s="66">
        <v>1</v>
      </c>
      <c r="R23" s="66">
        <v>1</v>
      </c>
      <c r="S23" s="804">
        <v>1</v>
      </c>
      <c r="T23" s="66">
        <v>1</v>
      </c>
      <c r="U23" s="66">
        <v>1</v>
      </c>
      <c r="V23" s="66">
        <v>1</v>
      </c>
      <c r="W23" s="78">
        <v>1</v>
      </c>
      <c r="X23" s="66">
        <v>1</v>
      </c>
      <c r="Y23" s="66">
        <v>1</v>
      </c>
      <c r="Z23" s="804">
        <v>1</v>
      </c>
      <c r="AA23" s="66">
        <v>1</v>
      </c>
      <c r="AB23" s="66">
        <v>1</v>
      </c>
      <c r="AC23" s="66">
        <v>1</v>
      </c>
      <c r="AD23" s="66">
        <v>1</v>
      </c>
      <c r="AE23" s="66">
        <v>1</v>
      </c>
      <c r="AF23" s="66">
        <v>1</v>
      </c>
      <c r="AG23" s="804">
        <v>1</v>
      </c>
      <c r="AH23" s="66">
        <v>1</v>
      </c>
      <c r="AI23" s="78"/>
      <c r="AJ23" s="67"/>
      <c r="AK23" s="67">
        <f>SUM(E23:AI23)</f>
        <v>27</v>
      </c>
      <c r="AL23" s="68">
        <f t="shared" ref="AL23" si="7">AJ23+AK23</f>
        <v>27</v>
      </c>
    </row>
    <row r="24" spans="1:38" s="57" customFormat="1" ht="15" customHeight="1">
      <c r="A24" s="771" t="s">
        <v>771</v>
      </c>
      <c r="B24" s="772"/>
      <c r="C24" s="772"/>
      <c r="D24" s="773"/>
      <c r="E24" s="804">
        <v>1</v>
      </c>
      <c r="F24" s="65">
        <v>1</v>
      </c>
      <c r="G24" s="65">
        <v>1</v>
      </c>
      <c r="H24" s="65">
        <v>1</v>
      </c>
      <c r="I24" s="235">
        <v>1</v>
      </c>
      <c r="J24" s="66">
        <v>1</v>
      </c>
      <c r="K24" s="66">
        <v>1</v>
      </c>
      <c r="L24" s="804">
        <v>1</v>
      </c>
      <c r="M24" s="66">
        <v>1</v>
      </c>
      <c r="N24" s="66">
        <v>1</v>
      </c>
      <c r="O24" s="66">
        <v>1</v>
      </c>
      <c r="P24" s="78">
        <v>1</v>
      </c>
      <c r="Q24" s="66">
        <v>1</v>
      </c>
      <c r="R24" s="66">
        <v>1</v>
      </c>
      <c r="S24" s="804">
        <v>1</v>
      </c>
      <c r="T24" s="66">
        <v>1</v>
      </c>
      <c r="U24" s="66">
        <v>1</v>
      </c>
      <c r="V24" s="66">
        <v>1</v>
      </c>
      <c r="W24" s="78">
        <v>1</v>
      </c>
      <c r="X24" s="66">
        <v>1</v>
      </c>
      <c r="Y24" s="66">
        <v>1</v>
      </c>
      <c r="Z24" s="804">
        <v>1</v>
      </c>
      <c r="AA24" s="66">
        <v>1</v>
      </c>
      <c r="AB24" s="66">
        <v>1</v>
      </c>
      <c r="AC24" s="66">
        <v>1</v>
      </c>
      <c r="AD24" s="66">
        <v>1</v>
      </c>
      <c r="AE24" s="66">
        <v>1</v>
      </c>
      <c r="AF24" s="66">
        <v>1</v>
      </c>
      <c r="AG24" s="804">
        <v>1</v>
      </c>
      <c r="AH24" s="66">
        <v>1</v>
      </c>
      <c r="AI24" s="78"/>
      <c r="AJ24" s="67"/>
      <c r="AK24" s="67">
        <f>SUM(E24:AI24)</f>
        <v>30</v>
      </c>
      <c r="AL24" s="68">
        <f t="shared" si="6"/>
        <v>30</v>
      </c>
    </row>
    <row r="25" spans="1:38" s="57" customFormat="1" ht="15" customHeight="1">
      <c r="A25" s="780" t="s">
        <v>230</v>
      </c>
      <c r="B25" s="781"/>
      <c r="C25" s="781"/>
      <c r="D25" s="782"/>
      <c r="E25" s="804"/>
      <c r="F25" s="65"/>
      <c r="G25" s="65"/>
      <c r="H25" s="65"/>
      <c r="I25" s="235"/>
      <c r="J25" s="65"/>
      <c r="K25" s="65"/>
      <c r="L25" s="804"/>
      <c r="M25" s="65"/>
      <c r="N25" s="65"/>
      <c r="O25" s="65"/>
      <c r="P25" s="235"/>
      <c r="Q25" s="65"/>
      <c r="R25" s="65"/>
      <c r="S25" s="804"/>
      <c r="T25" s="65"/>
      <c r="U25" s="65"/>
      <c r="V25" s="65"/>
      <c r="W25" s="235"/>
      <c r="X25" s="65"/>
      <c r="Y25" s="65"/>
      <c r="Z25" s="804"/>
      <c r="AA25" s="65"/>
      <c r="AB25" s="65"/>
      <c r="AC25" s="65"/>
      <c r="AD25" s="65"/>
      <c r="AE25" s="65"/>
      <c r="AF25" s="65"/>
      <c r="AG25" s="804"/>
      <c r="AH25" s="65"/>
      <c r="AI25" s="77"/>
      <c r="AJ25" s="67"/>
      <c r="AK25" s="67"/>
      <c r="AL25" s="68"/>
    </row>
    <row r="26" spans="1:38" s="57" customFormat="1" ht="15" customHeight="1">
      <c r="A26" s="771" t="s">
        <v>231</v>
      </c>
      <c r="B26" s="772"/>
      <c r="C26" s="772"/>
      <c r="D26" s="773"/>
      <c r="E26" s="805">
        <v>0</v>
      </c>
      <c r="F26" s="235">
        <v>0</v>
      </c>
      <c r="G26" s="235">
        <v>0</v>
      </c>
      <c r="H26" s="235">
        <v>0</v>
      </c>
      <c r="I26" s="235">
        <v>0</v>
      </c>
      <c r="J26" s="235">
        <v>0</v>
      </c>
      <c r="K26" s="235">
        <v>0</v>
      </c>
      <c r="L26" s="805">
        <v>0</v>
      </c>
      <c r="M26" s="235">
        <v>0</v>
      </c>
      <c r="N26" s="235">
        <v>0</v>
      </c>
      <c r="O26" s="235">
        <v>0</v>
      </c>
      <c r="P26" s="235">
        <v>0</v>
      </c>
      <c r="Q26" s="235">
        <v>0</v>
      </c>
      <c r="R26" s="235">
        <v>0</v>
      </c>
      <c r="S26" s="805">
        <v>0</v>
      </c>
      <c r="T26" s="235">
        <v>0</v>
      </c>
      <c r="U26" s="235">
        <v>0</v>
      </c>
      <c r="V26" s="235">
        <v>0</v>
      </c>
      <c r="W26" s="235">
        <v>0</v>
      </c>
      <c r="X26" s="235">
        <v>0</v>
      </c>
      <c r="Y26" s="235">
        <v>0</v>
      </c>
      <c r="Z26" s="805">
        <v>0</v>
      </c>
      <c r="AA26" s="235">
        <v>0</v>
      </c>
      <c r="AB26" s="235">
        <v>0</v>
      </c>
      <c r="AC26" s="235">
        <v>0</v>
      </c>
      <c r="AD26" s="235">
        <v>0</v>
      </c>
      <c r="AE26" s="235">
        <v>0</v>
      </c>
      <c r="AF26" s="235">
        <v>0</v>
      </c>
      <c r="AG26" s="805">
        <v>0</v>
      </c>
      <c r="AH26" s="235">
        <v>0</v>
      </c>
      <c r="AI26" s="235"/>
      <c r="AJ26" s="67"/>
      <c r="AK26" s="67">
        <f>SUM(E26:AI26)</f>
        <v>0</v>
      </c>
      <c r="AL26" s="68">
        <f>AJ26+AK26</f>
        <v>0</v>
      </c>
    </row>
    <row r="27" spans="1:38" s="57" customFormat="1" ht="15" customHeight="1">
      <c r="A27" s="771" t="s">
        <v>232</v>
      </c>
      <c r="B27" s="772"/>
      <c r="C27" s="772"/>
      <c r="D27" s="773"/>
      <c r="E27" s="805"/>
      <c r="F27" s="235"/>
      <c r="G27" s="235"/>
      <c r="H27" s="65">
        <v>1</v>
      </c>
      <c r="I27" s="65">
        <v>1</v>
      </c>
      <c r="J27" s="65">
        <v>1</v>
      </c>
      <c r="K27" s="65">
        <v>1</v>
      </c>
      <c r="L27" s="805">
        <v>1</v>
      </c>
      <c r="M27" s="65">
        <v>1</v>
      </c>
      <c r="N27" s="65">
        <v>1</v>
      </c>
      <c r="O27" s="65">
        <v>1</v>
      </c>
      <c r="P27" s="65">
        <v>1</v>
      </c>
      <c r="Q27" s="65">
        <v>1</v>
      </c>
      <c r="R27" s="65">
        <v>1</v>
      </c>
      <c r="S27" s="805">
        <v>1</v>
      </c>
      <c r="T27" s="65">
        <v>1</v>
      </c>
      <c r="U27" s="65">
        <v>1</v>
      </c>
      <c r="V27" s="65">
        <v>1</v>
      </c>
      <c r="W27" s="65">
        <v>1</v>
      </c>
      <c r="X27" s="65">
        <v>1</v>
      </c>
      <c r="Y27" s="65">
        <v>1</v>
      </c>
      <c r="Z27" s="805">
        <v>1</v>
      </c>
      <c r="AA27" s="65">
        <v>2</v>
      </c>
      <c r="AB27" s="65">
        <v>2</v>
      </c>
      <c r="AC27" s="65">
        <v>2</v>
      </c>
      <c r="AD27" s="65">
        <v>2</v>
      </c>
      <c r="AE27" s="65">
        <v>2</v>
      </c>
      <c r="AF27" s="65">
        <v>2</v>
      </c>
      <c r="AG27" s="805">
        <v>2</v>
      </c>
      <c r="AH27" s="65">
        <v>2</v>
      </c>
      <c r="AI27" s="235"/>
      <c r="AJ27" s="67"/>
      <c r="AK27" s="67">
        <f>SUM(E27:AI27)</f>
        <v>35</v>
      </c>
      <c r="AL27" s="68">
        <f>AJ27+AK27</f>
        <v>35</v>
      </c>
    </row>
    <row r="28" spans="1:38" s="57" customFormat="1" ht="15" customHeight="1">
      <c r="A28" s="774" t="s">
        <v>233</v>
      </c>
      <c r="B28" s="775"/>
      <c r="C28" s="775"/>
      <c r="D28" s="776"/>
      <c r="E28" s="805"/>
      <c r="F28" s="235"/>
      <c r="G28" s="235"/>
      <c r="H28" s="65">
        <v>1</v>
      </c>
      <c r="I28" s="65">
        <v>1</v>
      </c>
      <c r="J28" s="65">
        <v>1</v>
      </c>
      <c r="K28" s="65">
        <v>1</v>
      </c>
      <c r="L28" s="805">
        <v>1</v>
      </c>
      <c r="M28" s="65">
        <v>1</v>
      </c>
      <c r="N28" s="65">
        <v>1</v>
      </c>
      <c r="O28" s="65">
        <v>1</v>
      </c>
      <c r="P28" s="65">
        <v>1</v>
      </c>
      <c r="Q28" s="65">
        <v>1</v>
      </c>
      <c r="R28" s="65">
        <v>1</v>
      </c>
      <c r="S28" s="805">
        <v>1</v>
      </c>
      <c r="T28" s="65">
        <v>3</v>
      </c>
      <c r="U28" s="65">
        <v>3</v>
      </c>
      <c r="V28" s="65">
        <v>3</v>
      </c>
      <c r="W28" s="65">
        <v>3</v>
      </c>
      <c r="X28" s="65">
        <v>3</v>
      </c>
      <c r="Y28" s="65">
        <v>3</v>
      </c>
      <c r="Z28" s="805">
        <v>3</v>
      </c>
      <c r="AA28" s="65">
        <v>6</v>
      </c>
      <c r="AB28" s="65">
        <v>6</v>
      </c>
      <c r="AC28" s="65">
        <v>6</v>
      </c>
      <c r="AD28" s="65">
        <v>6</v>
      </c>
      <c r="AE28" s="65">
        <v>6</v>
      </c>
      <c r="AF28" s="65">
        <v>6</v>
      </c>
      <c r="AG28" s="805">
        <v>6</v>
      </c>
      <c r="AH28" s="65">
        <v>6</v>
      </c>
      <c r="AI28" s="78"/>
      <c r="AJ28" s="67"/>
      <c r="AK28" s="67">
        <f>SUM(E28:AI28)</f>
        <v>81</v>
      </c>
      <c r="AL28" s="68">
        <f>AJ28+AK28</f>
        <v>81</v>
      </c>
    </row>
    <row r="29" spans="1:38" s="57" customFormat="1" ht="17.25" thickBot="1">
      <c r="A29" s="806"/>
      <c r="B29" s="807"/>
      <c r="C29" s="807"/>
      <c r="D29" s="807"/>
      <c r="E29" s="807"/>
      <c r="F29" s="807"/>
      <c r="G29" s="807"/>
      <c r="H29" s="807"/>
      <c r="I29" s="807"/>
      <c r="J29" s="807"/>
      <c r="K29" s="807"/>
      <c r="L29" s="807"/>
      <c r="M29" s="807"/>
      <c r="N29" s="807"/>
      <c r="O29" s="807"/>
      <c r="P29" s="807"/>
      <c r="Q29" s="807" t="s">
        <v>144</v>
      </c>
      <c r="R29" s="807"/>
      <c r="S29" s="807"/>
      <c r="T29" s="807"/>
      <c r="U29" s="807"/>
      <c r="V29" s="807"/>
      <c r="W29" s="807"/>
      <c r="X29" s="807"/>
      <c r="Y29" s="807"/>
      <c r="Z29" s="807"/>
      <c r="AA29" s="807"/>
      <c r="AB29" s="807"/>
      <c r="AC29" s="807"/>
      <c r="AD29" s="807"/>
      <c r="AE29" s="807"/>
      <c r="AF29" s="807"/>
      <c r="AG29" s="807"/>
      <c r="AH29" s="807"/>
      <c r="AI29" s="589"/>
      <c r="AJ29" s="69"/>
      <c r="AK29" s="69">
        <f>SUM(AK17:AK28)</f>
        <v>309</v>
      </c>
      <c r="AL29" s="70">
        <f>SUM(AL17:AL28)</f>
        <v>309</v>
      </c>
    </row>
    <row r="30" spans="1:38">
      <c r="A30" s="71" t="s">
        <v>0</v>
      </c>
      <c r="B30" s="71"/>
      <c r="C30" s="71"/>
      <c r="D30" s="7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3"/>
      <c r="AK30" s="73"/>
      <c r="AL30" s="74"/>
    </row>
    <row r="31" spans="1:38">
      <c r="A31" s="71"/>
      <c r="B31" s="71"/>
      <c r="C31" s="71"/>
      <c r="D31" s="71"/>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3"/>
      <c r="AK31" s="73"/>
      <c r="AL31" s="74"/>
    </row>
    <row r="32" spans="1:38">
      <c r="B32" s="14"/>
      <c r="AL32" s="75"/>
    </row>
    <row r="33" spans="2:38">
      <c r="B33" s="14"/>
      <c r="AL33" s="75"/>
    </row>
    <row r="34" spans="2:38">
      <c r="B34" s="14"/>
      <c r="AL34" s="75"/>
    </row>
    <row r="35" spans="2:38">
      <c r="B35" s="14"/>
      <c r="AL35" s="75"/>
    </row>
    <row r="36" spans="2:38">
      <c r="AL36" s="75"/>
    </row>
    <row r="37" spans="2:38">
      <c r="AL37" s="75"/>
    </row>
    <row r="38" spans="2:38">
      <c r="AL38" s="75"/>
    </row>
    <row r="39" spans="2:38">
      <c r="AL39" s="75"/>
    </row>
    <row r="40" spans="2:38">
      <c r="AL40" s="75"/>
    </row>
    <row r="41" spans="2:38">
      <c r="AL41" s="75"/>
    </row>
    <row r="42" spans="2:38">
      <c r="C42" s="14" t="s">
        <v>234</v>
      </c>
      <c r="D42" s="14"/>
      <c r="E42" s="14"/>
      <c r="F42" s="14"/>
      <c r="G42" s="14"/>
      <c r="H42" s="14"/>
      <c r="I42" s="14"/>
      <c r="J42" s="14"/>
      <c r="K42" s="14"/>
      <c r="L42" s="14"/>
      <c r="M42" s="14"/>
      <c r="N42" s="14" t="s">
        <v>235</v>
      </c>
      <c r="O42" s="14"/>
      <c r="P42" s="14"/>
      <c r="Q42" s="14"/>
      <c r="R42" s="14"/>
      <c r="S42" s="14"/>
      <c r="T42" s="14"/>
      <c r="AB42" s="14"/>
      <c r="AC42" s="14"/>
      <c r="AD42" s="14"/>
      <c r="AE42" s="14"/>
      <c r="AF42" s="14"/>
      <c r="AG42" s="14"/>
      <c r="AH42" s="14"/>
      <c r="AI42" s="14"/>
      <c r="AJ42" s="14" t="s">
        <v>235</v>
      </c>
      <c r="AK42" s="14"/>
      <c r="AL42" s="75"/>
    </row>
    <row r="43" spans="2:38">
      <c r="C43" s="14" t="s">
        <v>236</v>
      </c>
      <c r="D43" s="14"/>
      <c r="E43" s="14"/>
      <c r="F43" s="14"/>
      <c r="G43" s="14"/>
      <c r="H43" s="14"/>
      <c r="I43" s="14"/>
      <c r="J43" s="14"/>
      <c r="K43" s="14"/>
      <c r="L43" s="14"/>
      <c r="M43" s="14"/>
      <c r="N43" s="14" t="s">
        <v>237</v>
      </c>
      <c r="O43" s="14"/>
      <c r="P43" s="14"/>
      <c r="Q43" s="14"/>
      <c r="R43" s="14"/>
      <c r="S43" s="14"/>
      <c r="T43" s="14"/>
      <c r="AA43" s="14"/>
      <c r="AB43" s="14"/>
      <c r="AC43" s="14"/>
      <c r="AD43" s="14"/>
      <c r="AE43" s="14"/>
      <c r="AF43" s="14"/>
      <c r="AG43" s="14"/>
      <c r="AH43" s="14"/>
      <c r="AI43" s="14"/>
      <c r="AJ43" s="14" t="s">
        <v>238</v>
      </c>
      <c r="AK43" s="14"/>
      <c r="AL43" s="75"/>
    </row>
    <row r="44" spans="2:38">
      <c r="C44" s="14" t="s">
        <v>239</v>
      </c>
      <c r="D44" s="14"/>
      <c r="E44" s="14"/>
      <c r="F44" s="14"/>
      <c r="G44" s="14"/>
      <c r="H44" s="14"/>
      <c r="I44" s="14"/>
      <c r="J44" s="14"/>
      <c r="K44" s="14"/>
      <c r="L44" s="14"/>
      <c r="M44" s="14"/>
      <c r="N44" s="14"/>
      <c r="O44" s="14"/>
      <c r="P44" s="14"/>
      <c r="Q44" s="14"/>
      <c r="R44" s="14"/>
      <c r="S44" s="14"/>
      <c r="T44" s="14"/>
      <c r="U44" s="14" t="s">
        <v>240</v>
      </c>
      <c r="V44" s="14"/>
      <c r="W44" s="14"/>
      <c r="X44" s="14"/>
      <c r="Y44" s="14"/>
      <c r="Z44" s="14"/>
      <c r="AA44" s="14"/>
      <c r="AB44" s="14"/>
      <c r="AC44" s="14"/>
      <c r="AD44" s="14"/>
      <c r="AE44" s="14"/>
      <c r="AF44" s="14"/>
      <c r="AG44" s="14"/>
      <c r="AH44" s="14"/>
      <c r="AI44" s="14"/>
      <c r="AJ44" s="14" t="s">
        <v>240</v>
      </c>
      <c r="AK44" s="14"/>
      <c r="AL44" s="75"/>
    </row>
    <row r="45" spans="2:38">
      <c r="AL45" s="75"/>
    </row>
  </sheetData>
  <mergeCells count="2">
    <mergeCell ref="D6:AK6"/>
    <mergeCell ref="AJ14:AL14"/>
  </mergeCells>
  <printOptions horizontalCentered="1" verticalCentered="1"/>
  <pageMargins left="0.47244094488188981" right="0.31496062992125984" top="0.98425196850393704" bottom="0.98425196850393704" header="0" footer="0"/>
  <pageSetup paperSize="9" scale="69" orientation="landscape" horizontalDpi="4294967293" r:id="rId1"/>
  <headerFooter alignWithMargins="0">
    <oddHeader>&amp;C&amp;9FORMATO FE - 12&amp;R&amp;9MUNICIPALIDAD PROVINCIAL DE ABANCAY</oddHeader>
    <oddFooter>&amp;C&amp;8DIRECTIVA PARA FORMULACIÓN, EJECUCION y SUPERVISION DE PROYECTOS EN LA FASE DE  INVERSION POR ADMINISTRACION DIRECTA O ENCARGO</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3">
    <tabColor theme="7" tint="-0.499984740745262"/>
    <pageSetUpPr fitToPage="1"/>
  </sheetPr>
  <dimension ref="A1:AP79"/>
  <sheetViews>
    <sheetView view="pageBreakPreview" topLeftCell="A4" zoomScale="78" zoomScaleNormal="70" zoomScaleSheetLayoutView="78" zoomScalePageLayoutView="70" workbookViewId="0">
      <selection activeCell="G22" sqref="G22"/>
    </sheetView>
  </sheetViews>
  <sheetFormatPr baseColWidth="10" defaultColWidth="11.42578125" defaultRowHeight="15"/>
  <cols>
    <col min="1" max="1" width="16.28515625" style="230" customWidth="1"/>
    <col min="2" max="2" width="101" style="230" customWidth="1"/>
    <col min="3" max="3" width="10.28515625" style="230" bestFit="1" customWidth="1"/>
    <col min="4" max="4" width="16.7109375" style="230" customWidth="1"/>
    <col min="5" max="5" width="12.28515625" style="230" customWidth="1"/>
    <col min="6" max="6" width="17" style="230" customWidth="1"/>
    <col min="7" max="7" width="16" style="230" customWidth="1"/>
    <col min="8" max="8" width="16.7109375" style="230" customWidth="1"/>
    <col min="9" max="9" width="11" style="230" customWidth="1"/>
    <col min="10" max="10" width="14.28515625" style="230" customWidth="1"/>
    <col min="11" max="11" width="16.85546875" style="230" customWidth="1"/>
    <col min="12" max="12" width="15" style="230" customWidth="1"/>
    <col min="13" max="13" width="12.85546875" style="230" customWidth="1"/>
    <col min="14" max="14" width="14.28515625" style="230" customWidth="1"/>
    <col min="15" max="15" width="12.42578125" style="230" customWidth="1"/>
    <col min="16" max="16" width="14.28515625" style="230" customWidth="1"/>
    <col min="17" max="17" width="15.7109375" style="230" customWidth="1"/>
    <col min="18" max="18" width="10.28515625" style="230" bestFit="1" customWidth="1"/>
    <col min="19" max="19" width="18.5703125" style="230" customWidth="1"/>
    <col min="20" max="20" width="13.42578125" style="230" bestFit="1" customWidth="1"/>
    <col min="21" max="21" width="14" style="230" customWidth="1"/>
    <col min="22" max="16384" width="11.42578125" style="230"/>
  </cols>
  <sheetData>
    <row r="1" spans="1:42" ht="52.5" customHeight="1">
      <c r="A1" s="2148" t="s">
        <v>2243</v>
      </c>
      <c r="B1" s="2148"/>
      <c r="C1" s="2148"/>
      <c r="D1" s="2148"/>
      <c r="E1" s="2148"/>
      <c r="F1" s="2148"/>
      <c r="G1" s="2148"/>
      <c r="H1" s="2148"/>
      <c r="I1" s="2148"/>
      <c r="J1" s="2148"/>
      <c r="K1" s="2148"/>
      <c r="L1" s="2148"/>
      <c r="M1" s="2148"/>
      <c r="N1" s="2148"/>
      <c r="O1" s="2148"/>
      <c r="P1" s="2148"/>
      <c r="Q1" s="2148"/>
      <c r="R1" s="2148"/>
      <c r="S1" s="276"/>
      <c r="T1" s="276"/>
      <c r="U1" s="276"/>
      <c r="V1" s="276"/>
      <c r="W1" s="276"/>
      <c r="X1" s="276"/>
      <c r="Y1" s="276"/>
      <c r="Z1" s="276"/>
      <c r="AA1" s="276"/>
      <c r="AB1" s="276"/>
      <c r="AC1" s="276"/>
      <c r="AD1" s="276"/>
      <c r="AE1" s="276"/>
      <c r="AF1" s="276"/>
      <c r="AG1" s="276"/>
      <c r="AH1" s="276"/>
      <c r="AI1" s="276"/>
      <c r="AJ1" s="276"/>
      <c r="AK1" s="276"/>
      <c r="AL1" s="276"/>
      <c r="AM1" s="276"/>
      <c r="AN1" s="276"/>
      <c r="AO1" s="276"/>
      <c r="AP1" s="276"/>
    </row>
    <row r="2" spans="1:42" s="8" customFormat="1" ht="44.25" customHeight="1">
      <c r="A2" s="2149" t="s">
        <v>2242</v>
      </c>
      <c r="B2" s="2149"/>
      <c r="C2" s="2149"/>
      <c r="D2" s="2149"/>
      <c r="E2" s="2149"/>
      <c r="F2" s="2149"/>
      <c r="G2" s="2149"/>
      <c r="H2" s="2149"/>
      <c r="I2" s="2149"/>
      <c r="J2" s="2149"/>
      <c r="K2" s="2149"/>
      <c r="L2" s="2149"/>
      <c r="M2" s="2149"/>
      <c r="N2" s="2149"/>
      <c r="O2" s="2149"/>
      <c r="P2" s="2149"/>
      <c r="Q2" s="2149"/>
      <c r="R2" s="2149"/>
    </row>
    <row r="3" spans="1:42" s="8" customFormat="1" ht="20.100000000000001" customHeight="1">
      <c r="A3" s="997" t="s">
        <v>135</v>
      </c>
      <c r="B3" s="998" t="s">
        <v>57</v>
      </c>
      <c r="C3" s="999"/>
      <c r="D3" s="998"/>
      <c r="E3" s="998"/>
      <c r="F3" s="998"/>
      <c r="G3" s="998"/>
      <c r="H3" s="998"/>
      <c r="I3" s="998"/>
      <c r="J3" s="997"/>
      <c r="K3" s="998"/>
      <c r="L3" s="998"/>
      <c r="M3" s="1000"/>
      <c r="N3" s="1001"/>
      <c r="O3" s="998"/>
      <c r="P3" s="998"/>
      <c r="Q3" s="998"/>
      <c r="R3" s="998"/>
    </row>
    <row r="4" spans="1:42" s="8" customFormat="1" ht="20.100000000000001" customHeight="1">
      <c r="A4" s="997" t="s">
        <v>136</v>
      </c>
      <c r="B4" s="998" t="str">
        <f>[9]Datos!C25</f>
        <v>“MEJORAMIENTO DE LA GESTIÓN MUNICIPAL Y SERVICIO ADMINISTRATIVO DE LA MUNICIPALIDAD PROVINCIAL DE ABANCAY, DISTRITO DE ABANCAY - PROVINCIA DE ABANCAY - DEPARTAMENTO DE APURIMAC”.</v>
      </c>
      <c r="C4" s="998"/>
      <c r="D4" s="998"/>
      <c r="E4" s="998"/>
      <c r="F4" s="998"/>
      <c r="G4" s="998"/>
      <c r="H4" s="998"/>
      <c r="I4" s="998"/>
      <c r="J4" s="997"/>
      <c r="K4" s="998"/>
      <c r="L4" s="998"/>
      <c r="M4" s="998"/>
      <c r="N4" s="998"/>
      <c r="O4" s="998"/>
      <c r="P4" s="998"/>
      <c r="Q4" s="998"/>
      <c r="R4" s="998"/>
    </row>
    <row r="5" spans="1:42" s="8" customFormat="1" ht="20.100000000000001" customHeight="1">
      <c r="A5" s="997" t="s">
        <v>137</v>
      </c>
      <c r="B5" s="998" t="s">
        <v>126</v>
      </c>
      <c r="C5" s="1002"/>
      <c r="D5" s="1003"/>
      <c r="E5" s="1003"/>
      <c r="F5" s="1003"/>
      <c r="G5" s="1003"/>
      <c r="H5" s="1003"/>
      <c r="I5" s="1003"/>
      <c r="J5" s="1212"/>
      <c r="K5" s="1003"/>
      <c r="L5" s="1004"/>
      <c r="M5" s="1003"/>
      <c r="N5" s="1003"/>
      <c r="O5" s="1003"/>
      <c r="P5" s="1003"/>
      <c r="Q5" s="1003"/>
      <c r="R5" s="1003"/>
    </row>
    <row r="6" spans="1:42" s="8" customFormat="1" ht="20.100000000000001" customHeight="1">
      <c r="A6" s="997" t="s">
        <v>139</v>
      </c>
      <c r="B6" s="1003">
        <v>42</v>
      </c>
      <c r="C6" s="1002"/>
      <c r="D6" s="1003"/>
      <c r="E6" s="1003"/>
      <c r="F6" s="1003"/>
      <c r="G6" s="1003"/>
      <c r="H6" s="1003"/>
      <c r="I6" s="1003"/>
      <c r="J6" s="2143" t="s">
        <v>1147</v>
      </c>
      <c r="K6" s="2144"/>
      <c r="L6" s="2145" t="s">
        <v>2242</v>
      </c>
      <c r="M6" s="2146"/>
      <c r="N6" s="2146"/>
      <c r="O6" s="2147"/>
      <c r="P6" s="1005"/>
      <c r="Q6" s="1005"/>
      <c r="R6" s="1005"/>
    </row>
    <row r="7" spans="1:42" s="8" customFormat="1" ht="20.100000000000001" customHeight="1">
      <c r="A7" s="997" t="s">
        <v>129</v>
      </c>
      <c r="B7" s="998" t="str">
        <f>[9]Datos!C69</f>
        <v xml:space="preserve">ING. ROLANDO CHUMBES TUEROS </v>
      </c>
      <c r="C7" s="1006"/>
      <c r="D7" s="1007"/>
      <c r="E7" s="1007"/>
      <c r="F7" s="1007"/>
      <c r="G7" s="1007"/>
      <c r="H7" s="1007"/>
      <c r="I7" s="1007"/>
      <c r="J7" s="2143" t="s">
        <v>1148</v>
      </c>
      <c r="K7" s="2144"/>
      <c r="L7" s="2502" t="s">
        <v>125</v>
      </c>
      <c r="M7" s="2502"/>
      <c r="N7" s="2502"/>
      <c r="O7" s="2502"/>
      <c r="P7" s="2503"/>
      <c r="Q7" s="2503"/>
      <c r="R7" s="2503"/>
    </row>
    <row r="8" spans="1:42" s="8" customFormat="1" ht="20.100000000000001" customHeight="1">
      <c r="A8" s="997" t="s">
        <v>128</v>
      </c>
      <c r="B8" s="1008" t="str">
        <f>[9]Datos!C76</f>
        <v xml:space="preserve">ING. ERICK ALARCON CAMACHO </v>
      </c>
      <c r="C8" s="1009"/>
      <c r="D8" s="1010"/>
      <c r="E8" s="1010"/>
      <c r="F8" s="1010"/>
      <c r="G8" s="1010"/>
      <c r="H8" s="1010"/>
      <c r="I8" s="1010"/>
      <c r="J8" s="2143" t="s">
        <v>1149</v>
      </c>
      <c r="K8" s="2144"/>
      <c r="L8" s="2502" t="s">
        <v>125</v>
      </c>
      <c r="M8" s="2502"/>
      <c r="N8" s="2502"/>
      <c r="O8" s="2502"/>
      <c r="P8" s="2503"/>
      <c r="Q8" s="2503"/>
      <c r="R8" s="2503"/>
    </row>
    <row r="9" spans="1:42" s="314" customFormat="1" ht="20.100000000000001" customHeight="1">
      <c r="A9" s="997" t="s">
        <v>1150</v>
      </c>
      <c r="B9" s="1008" t="s">
        <v>1187</v>
      </c>
      <c r="C9" s="1009"/>
      <c r="D9" s="1010"/>
      <c r="E9" s="1010"/>
      <c r="F9" s="1010"/>
      <c r="G9" s="1148"/>
      <c r="H9" s="1010"/>
      <c r="I9" s="1010"/>
      <c r="J9" s="2143" t="s">
        <v>1151</v>
      </c>
      <c r="K9" s="2144"/>
      <c r="L9" s="2502" t="s">
        <v>124</v>
      </c>
      <c r="M9" s="2502"/>
      <c r="N9" s="2502"/>
      <c r="O9" s="2502"/>
      <c r="P9" s="2503"/>
      <c r="Q9" s="2503"/>
      <c r="R9" s="2503"/>
    </row>
    <row r="10" spans="1:42" s="314" customFormat="1" ht="24.95" customHeight="1">
      <c r="A10" s="998"/>
      <c r="B10" s="1011"/>
      <c r="C10" s="1009"/>
      <c r="D10" s="1010"/>
      <c r="E10" s="1010"/>
      <c r="F10" s="1010"/>
      <c r="G10" s="1010"/>
      <c r="H10" s="1010"/>
      <c r="I10" s="1010"/>
      <c r="J10" s="1213"/>
      <c r="K10" s="1012"/>
      <c r="L10" s="1012"/>
      <c r="M10" s="1012"/>
      <c r="N10" s="1012"/>
      <c r="O10" s="1012"/>
      <c r="P10" s="1012"/>
      <c r="Q10" s="1010"/>
      <c r="R10" s="1010"/>
    </row>
    <row r="11" spans="1:42" s="314" customFormat="1" ht="6.75" customHeight="1">
      <c r="A11" s="315"/>
      <c r="B11" s="315"/>
      <c r="C11" s="313"/>
      <c r="D11" s="313"/>
      <c r="E11" s="313"/>
      <c r="F11" s="313"/>
    </row>
    <row r="12" spans="1:42" s="314" customFormat="1" ht="20.25" customHeight="1">
      <c r="A12" s="2501" t="s">
        <v>31</v>
      </c>
      <c r="B12" s="2501" t="s">
        <v>114</v>
      </c>
      <c r="C12" s="2501" t="s">
        <v>37</v>
      </c>
      <c r="D12" s="2501" t="s">
        <v>23</v>
      </c>
      <c r="E12" s="2501" t="s">
        <v>706</v>
      </c>
      <c r="F12" s="2501" t="s">
        <v>127</v>
      </c>
      <c r="G12" s="1036"/>
      <c r="H12" s="1037"/>
      <c r="I12" s="1037"/>
      <c r="J12" s="1214"/>
      <c r="K12" s="1038" t="s">
        <v>767</v>
      </c>
      <c r="L12" s="1037"/>
      <c r="M12" s="1037"/>
      <c r="N12" s="1037"/>
      <c r="O12" s="1039"/>
      <c r="P12" s="2497" t="s">
        <v>16</v>
      </c>
      <c r="Q12" s="2497"/>
      <c r="R12" s="2497"/>
    </row>
    <row r="13" spans="1:42" s="314" customFormat="1" ht="20.25" customHeight="1">
      <c r="A13" s="2501"/>
      <c r="B13" s="2501"/>
      <c r="C13" s="2501"/>
      <c r="D13" s="2501"/>
      <c r="E13" s="2501"/>
      <c r="F13" s="2501"/>
      <c r="G13" s="2497" t="s">
        <v>140</v>
      </c>
      <c r="H13" s="2497"/>
      <c r="I13" s="2497"/>
      <c r="J13" s="2497" t="s">
        <v>141</v>
      </c>
      <c r="K13" s="2497"/>
      <c r="L13" s="2497"/>
      <c r="M13" s="2497" t="s">
        <v>142</v>
      </c>
      <c r="N13" s="2497"/>
      <c r="O13" s="2497"/>
      <c r="P13" s="2497"/>
      <c r="Q13" s="2497"/>
      <c r="R13" s="2497"/>
    </row>
    <row r="14" spans="1:42" s="314" customFormat="1" ht="20.25" customHeight="1">
      <c r="A14" s="2501"/>
      <c r="B14" s="2501"/>
      <c r="C14" s="2501"/>
      <c r="D14" s="2501"/>
      <c r="E14" s="2501"/>
      <c r="F14" s="2501"/>
      <c r="G14" s="1040" t="s">
        <v>54</v>
      </c>
      <c r="H14" s="1040" t="s">
        <v>506</v>
      </c>
      <c r="I14" s="1040" t="s">
        <v>30</v>
      </c>
      <c r="J14" s="1040" t="s">
        <v>54</v>
      </c>
      <c r="K14" s="1040" t="s">
        <v>506</v>
      </c>
      <c r="L14" s="1040" t="s">
        <v>30</v>
      </c>
      <c r="M14" s="1040" t="s">
        <v>54</v>
      </c>
      <c r="N14" s="1040" t="s">
        <v>506</v>
      </c>
      <c r="O14" s="1040" t="s">
        <v>30</v>
      </c>
      <c r="P14" s="1040" t="s">
        <v>54</v>
      </c>
      <c r="Q14" s="1040" t="s">
        <v>506</v>
      </c>
      <c r="R14" s="1040" t="s">
        <v>30</v>
      </c>
      <c r="T14" s="313"/>
    </row>
    <row r="15" spans="1:42" s="314" customFormat="1" ht="16.5" customHeight="1">
      <c r="A15" s="300"/>
      <c r="B15" s="300"/>
      <c r="C15" s="300"/>
      <c r="D15" s="301"/>
      <c r="E15" s="301"/>
      <c r="F15" s="1041">
        <f>F68</f>
        <v>201787.70619999999</v>
      </c>
      <c r="G15" s="1042"/>
      <c r="H15" s="1043">
        <f>H68</f>
        <v>116085.72106666665</v>
      </c>
      <c r="I15" s="308"/>
      <c r="J15" s="1044"/>
      <c r="K15" s="1043">
        <f>K68</f>
        <v>85701.985133333321</v>
      </c>
      <c r="L15" s="309"/>
      <c r="M15" s="1044"/>
      <c r="N15" s="1043">
        <f>N68</f>
        <v>201787.70619999999</v>
      </c>
      <c r="O15" s="308"/>
      <c r="P15" s="1044"/>
      <c r="Q15" s="1043">
        <f>Q68</f>
        <v>0</v>
      </c>
      <c r="R15" s="308"/>
      <c r="T15" s="1133"/>
    </row>
    <row r="16" spans="1:42" s="313" customFormat="1" ht="37.5" customHeight="1">
      <c r="A16" s="996"/>
      <c r="B16" s="1097" t="s">
        <v>2150</v>
      </c>
      <c r="C16" s="840"/>
      <c r="D16" s="302"/>
      <c r="E16" s="302"/>
      <c r="F16" s="303"/>
      <c r="G16" s="1048"/>
      <c r="H16" s="303"/>
      <c r="I16" s="310"/>
      <c r="J16" s="1165"/>
      <c r="K16" s="311"/>
      <c r="L16" s="311"/>
      <c r="M16" s="1045"/>
      <c r="N16" s="311"/>
      <c r="O16" s="311"/>
      <c r="P16" s="1045"/>
      <c r="Q16" s="311"/>
      <c r="R16" s="311"/>
      <c r="T16" s="1133"/>
    </row>
    <row r="17" spans="1:20" s="313" customFormat="1" ht="16.5" customHeight="1">
      <c r="A17" s="1099">
        <v>1</v>
      </c>
      <c r="B17" s="1100" t="s">
        <v>1671</v>
      </c>
      <c r="C17" s="840"/>
      <c r="D17" s="302"/>
      <c r="E17" s="302"/>
      <c r="F17" s="303"/>
      <c r="G17" s="1048"/>
      <c r="H17" s="303"/>
      <c r="I17" s="310"/>
      <c r="J17" s="1165"/>
      <c r="K17" s="311"/>
      <c r="L17" s="311"/>
      <c r="M17" s="1045"/>
      <c r="N17" s="311"/>
      <c r="O17" s="311"/>
      <c r="P17" s="1045"/>
      <c r="Q17" s="311"/>
      <c r="R17" s="311"/>
      <c r="T17" s="1133"/>
    </row>
    <row r="18" spans="1:20" s="313" customFormat="1" ht="16.5" customHeight="1">
      <c r="A18" s="1101">
        <v>1.1000000000000001</v>
      </c>
      <c r="B18" s="1102" t="s">
        <v>1672</v>
      </c>
      <c r="C18" s="840"/>
      <c r="D18" s="302"/>
      <c r="E18" s="302"/>
      <c r="F18" s="303"/>
      <c r="G18" s="1048"/>
      <c r="H18" s="303"/>
      <c r="I18" s="310"/>
      <c r="J18" s="1165"/>
      <c r="K18" s="311"/>
      <c r="L18" s="311"/>
      <c r="M18" s="1045"/>
      <c r="N18" s="311"/>
      <c r="O18" s="311"/>
      <c r="P18" s="1045"/>
      <c r="Q18" s="311"/>
      <c r="R18" s="311"/>
      <c r="T18" s="1133"/>
    </row>
    <row r="19" spans="1:20" s="313" customFormat="1" ht="16.5" customHeight="1">
      <c r="A19" s="1101" t="s">
        <v>1189</v>
      </c>
      <c r="B19" s="1103" t="s">
        <v>1673</v>
      </c>
      <c r="C19" s="840"/>
      <c r="D19" s="302"/>
      <c r="E19" s="302"/>
      <c r="F19" s="303"/>
      <c r="G19" s="1048"/>
      <c r="H19" s="303"/>
      <c r="I19" s="310"/>
      <c r="J19" s="1165"/>
      <c r="K19" s="311"/>
      <c r="L19" s="311"/>
      <c r="M19" s="1045"/>
      <c r="N19" s="311"/>
      <c r="O19" s="311"/>
      <c r="P19" s="1045"/>
      <c r="Q19" s="311"/>
      <c r="R19" s="311"/>
      <c r="T19" s="1133"/>
    </row>
    <row r="20" spans="1:20" s="313" customFormat="1" ht="16.5" customHeight="1">
      <c r="A20" s="1101" t="s">
        <v>1190</v>
      </c>
      <c r="B20" s="1101" t="s">
        <v>1674</v>
      </c>
      <c r="C20" s="1104" t="s">
        <v>53</v>
      </c>
      <c r="D20" s="1105">
        <f>G20+J20</f>
        <v>2</v>
      </c>
      <c r="E20" s="302">
        <v>1000</v>
      </c>
      <c r="F20" s="1106">
        <f t="shared" ref="F20" si="0">D20*E20</f>
        <v>2000</v>
      </c>
      <c r="G20" s="1216">
        <v>1</v>
      </c>
      <c r="H20" s="1209">
        <f>E20</f>
        <v>1000</v>
      </c>
      <c r="I20" s="1210">
        <f t="shared" ref="I20" si="1">H20/F20</f>
        <v>0.5</v>
      </c>
      <c r="J20" s="1211">
        <v>1</v>
      </c>
      <c r="K20" s="1166">
        <f t="shared" ref="K20" si="2">J20*E20</f>
        <v>1000</v>
      </c>
      <c r="L20" s="1167">
        <f t="shared" ref="L20" si="3">K20/F20</f>
        <v>0.5</v>
      </c>
      <c r="M20" s="1165">
        <f>G20+J20</f>
        <v>2</v>
      </c>
      <c r="N20" s="1166">
        <f t="shared" ref="N20" si="4">H20+K20</f>
        <v>2000</v>
      </c>
      <c r="O20" s="1167">
        <f t="shared" ref="O20" si="5">M20/D20</f>
        <v>1</v>
      </c>
      <c r="P20" s="1045"/>
      <c r="Q20" s="311"/>
      <c r="R20" s="311"/>
      <c r="T20" s="1133"/>
    </row>
    <row r="21" spans="1:20" s="316" customFormat="1" ht="16.5" customHeight="1">
      <c r="A21" s="1099">
        <v>1</v>
      </c>
      <c r="B21" s="1100" t="s">
        <v>2153</v>
      </c>
      <c r="C21" s="1134"/>
      <c r="D21" s="1078"/>
      <c r="E21" s="1078"/>
      <c r="F21" s="302"/>
      <c r="G21" s="1049"/>
      <c r="H21" s="303"/>
      <c r="I21" s="305"/>
      <c r="J21" s="1046"/>
      <c r="K21" s="312"/>
      <c r="L21" s="312"/>
      <c r="M21" s="1046"/>
      <c r="N21" s="312"/>
      <c r="O21" s="312"/>
      <c r="P21" s="1046"/>
      <c r="Q21" s="312"/>
      <c r="R21" s="312"/>
      <c r="T21" s="1133"/>
    </row>
    <row r="22" spans="1:20" s="316" customFormat="1" ht="16.5" customHeight="1">
      <c r="A22" s="1101">
        <v>1.1000000000000001</v>
      </c>
      <c r="B22" s="1102" t="s">
        <v>150</v>
      </c>
      <c r="C22" s="1134"/>
      <c r="D22" s="1078"/>
      <c r="E22" s="1078"/>
      <c r="F22" s="841"/>
      <c r="G22" s="1049"/>
      <c r="H22" s="306"/>
      <c r="I22" s="307"/>
      <c r="J22" s="1046"/>
      <c r="K22" s="306"/>
      <c r="L22" s="307"/>
      <c r="M22" s="1047"/>
      <c r="N22" s="306"/>
      <c r="O22" s="307"/>
      <c r="P22" s="1047"/>
      <c r="Q22" s="306"/>
      <c r="R22" s="307"/>
      <c r="T22" s="1133"/>
    </row>
    <row r="23" spans="1:20" s="316" customFormat="1" ht="16.5" customHeight="1">
      <c r="A23" s="1101" t="s">
        <v>1189</v>
      </c>
      <c r="B23" s="1108" t="s">
        <v>2154</v>
      </c>
      <c r="C23" s="1134"/>
      <c r="D23" s="1078"/>
      <c r="E23" s="1078"/>
      <c r="F23" s="841"/>
      <c r="G23" s="1049"/>
      <c r="H23" s="306"/>
      <c r="I23" s="307"/>
      <c r="J23" s="1046"/>
      <c r="K23" s="306"/>
      <c r="L23" s="307"/>
      <c r="M23" s="1047"/>
      <c r="N23" s="306"/>
      <c r="O23" s="307"/>
      <c r="P23" s="1047"/>
      <c r="Q23" s="306"/>
      <c r="R23" s="307"/>
      <c r="T23" s="1133"/>
    </row>
    <row r="24" spans="1:20" s="316" customFormat="1" ht="16.5" customHeight="1">
      <c r="A24" s="1101" t="s">
        <v>1190</v>
      </c>
      <c r="B24" s="1101" t="s">
        <v>2155</v>
      </c>
      <c r="C24" s="1135" t="s">
        <v>2147</v>
      </c>
      <c r="D24" s="1136">
        <v>865.39</v>
      </c>
      <c r="E24" s="1137">
        <v>15.69</v>
      </c>
      <c r="F24" s="1138">
        <f>D24*E24</f>
        <v>13577.9691</v>
      </c>
      <c r="G24" s="1049">
        <v>530.5</v>
      </c>
      <c r="H24" s="306">
        <f>E24*G24</f>
        <v>8323.5450000000001</v>
      </c>
      <c r="I24" s="307">
        <f>+H24/$F24</f>
        <v>0.61301840788546202</v>
      </c>
      <c r="J24" s="1046">
        <v>334.89</v>
      </c>
      <c r="K24" s="306">
        <f>+E24*J24</f>
        <v>5254.4240999999993</v>
      </c>
      <c r="L24" s="307">
        <f t="shared" ref="L24:L41" si="6">+K24/$F24</f>
        <v>0.38698159211453792</v>
      </c>
      <c r="M24" s="1047">
        <f>+G24+J24</f>
        <v>865.39</v>
      </c>
      <c r="N24" s="1181">
        <f t="shared" ref="N24:N56" si="7">H24+K24</f>
        <v>13577.969099999998</v>
      </c>
      <c r="O24" s="307">
        <f>+N24/$F24</f>
        <v>0.99999999999999989</v>
      </c>
      <c r="P24" s="1047">
        <f>D24-M24</f>
        <v>0</v>
      </c>
      <c r="Q24" s="306">
        <f>F24-N24</f>
        <v>0</v>
      </c>
      <c r="R24" s="307">
        <f t="shared" ref="R24:R41" si="8">+Q24/$F24</f>
        <v>0</v>
      </c>
      <c r="T24" s="1133"/>
    </row>
    <row r="25" spans="1:20" s="316" customFormat="1" ht="16.5" customHeight="1">
      <c r="A25" s="1101" t="s">
        <v>1191</v>
      </c>
      <c r="B25" s="1101" t="s">
        <v>2156</v>
      </c>
      <c r="C25" s="1135" t="s">
        <v>2148</v>
      </c>
      <c r="D25" s="1136">
        <v>375</v>
      </c>
      <c r="E25" s="1137">
        <v>19.52</v>
      </c>
      <c r="F25" s="1138">
        <f t="shared" ref="F25:F67" si="9">D25*E25</f>
        <v>7320</v>
      </c>
      <c r="G25" s="1049">
        <v>300</v>
      </c>
      <c r="H25" s="306">
        <f t="shared" ref="H25:H67" si="10">E25*G25</f>
        <v>5856</v>
      </c>
      <c r="I25" s="307">
        <f t="shared" ref="I25:I67" si="11">+H25/$F25</f>
        <v>0.8</v>
      </c>
      <c r="J25" s="1046">
        <v>75</v>
      </c>
      <c r="K25" s="306">
        <f>+E25*J25</f>
        <v>1464</v>
      </c>
      <c r="L25" s="307">
        <f t="shared" si="6"/>
        <v>0.2</v>
      </c>
      <c r="M25" s="1047">
        <f t="shared" ref="M25:M56" si="12">+G25+J25</f>
        <v>375</v>
      </c>
      <c r="N25" s="1181">
        <f t="shared" si="7"/>
        <v>7320</v>
      </c>
      <c r="O25" s="307">
        <f t="shared" ref="O25:O41" si="13">+N25/$F25</f>
        <v>1</v>
      </c>
      <c r="P25" s="1047">
        <f t="shared" ref="P25:P56" si="14">D25-M25</f>
        <v>0</v>
      </c>
      <c r="Q25" s="306">
        <f t="shared" ref="Q25:Q56" si="15">F25-N25</f>
        <v>0</v>
      </c>
      <c r="R25" s="307">
        <f t="shared" si="8"/>
        <v>0</v>
      </c>
      <c r="T25" s="1133"/>
    </row>
    <row r="26" spans="1:20" s="316" customFormat="1" ht="16.5" customHeight="1">
      <c r="A26" s="1101" t="s">
        <v>1193</v>
      </c>
      <c r="B26" s="1103" t="s">
        <v>2172</v>
      </c>
      <c r="C26" s="1135"/>
      <c r="D26" s="1136">
        <v>0</v>
      </c>
      <c r="E26" s="1137"/>
      <c r="F26" s="1138">
        <f t="shared" si="9"/>
        <v>0</v>
      </c>
      <c r="G26" s="1049"/>
      <c r="H26" s="306">
        <f t="shared" si="10"/>
        <v>0</v>
      </c>
      <c r="I26" s="307"/>
      <c r="J26" s="1046"/>
      <c r="K26" s="306"/>
      <c r="L26" s="307"/>
      <c r="M26" s="1047"/>
      <c r="N26" s="1181"/>
      <c r="O26" s="307"/>
      <c r="P26" s="1047"/>
      <c r="Q26" s="306">
        <f t="shared" si="15"/>
        <v>0</v>
      </c>
      <c r="R26" s="307"/>
      <c r="T26" s="1133"/>
    </row>
    <row r="27" spans="1:20" s="316" customFormat="1" ht="16.5" customHeight="1">
      <c r="A27" s="1101" t="s">
        <v>1197</v>
      </c>
      <c r="B27" s="1101" t="s">
        <v>2172</v>
      </c>
      <c r="C27" s="1135" t="s">
        <v>2173</v>
      </c>
      <c r="D27" s="1136">
        <v>58</v>
      </c>
      <c r="E27" s="1137">
        <v>37.200000000000003</v>
      </c>
      <c r="F27" s="1138">
        <f t="shared" si="9"/>
        <v>2157.6000000000004</v>
      </c>
      <c r="G27" s="1049">
        <v>58</v>
      </c>
      <c r="H27" s="306">
        <f t="shared" si="10"/>
        <v>2157.6000000000004</v>
      </c>
      <c r="I27" s="307">
        <f t="shared" si="11"/>
        <v>1</v>
      </c>
      <c r="J27" s="1046"/>
      <c r="K27" s="306">
        <f>+E27*J27</f>
        <v>0</v>
      </c>
      <c r="L27" s="307">
        <f t="shared" ref="L27" si="16">+K27/$F27</f>
        <v>0</v>
      </c>
      <c r="M27" s="1047">
        <f t="shared" si="12"/>
        <v>58</v>
      </c>
      <c r="N27" s="1181">
        <f t="shared" si="7"/>
        <v>2157.6000000000004</v>
      </c>
      <c r="O27" s="307">
        <f t="shared" ref="O27" si="17">+N27/$F27</f>
        <v>1</v>
      </c>
      <c r="P27" s="1047">
        <f t="shared" si="14"/>
        <v>0</v>
      </c>
      <c r="Q27" s="306">
        <f t="shared" si="15"/>
        <v>0</v>
      </c>
      <c r="R27" s="307">
        <f t="shared" ref="R27" si="18">+Q27/$F27</f>
        <v>0</v>
      </c>
      <c r="T27" s="1133"/>
    </row>
    <row r="28" spans="1:20" s="316" customFormat="1" ht="16.5" customHeight="1">
      <c r="A28" s="1101" t="s">
        <v>1195</v>
      </c>
      <c r="B28" s="1103" t="s">
        <v>2157</v>
      </c>
      <c r="C28" s="1135"/>
      <c r="D28" s="1136">
        <v>0</v>
      </c>
      <c r="E28" s="1137"/>
      <c r="F28" s="1138">
        <f t="shared" si="9"/>
        <v>0</v>
      </c>
      <c r="G28" s="1049"/>
      <c r="H28" s="306">
        <f t="shared" si="10"/>
        <v>0</v>
      </c>
      <c r="I28" s="307"/>
      <c r="J28" s="1046"/>
      <c r="K28" s="306"/>
      <c r="L28" s="307"/>
      <c r="M28" s="1047">
        <f t="shared" si="12"/>
        <v>0</v>
      </c>
      <c r="N28" s="1181"/>
      <c r="O28" s="307"/>
      <c r="P28" s="1047">
        <f t="shared" si="14"/>
        <v>0</v>
      </c>
      <c r="Q28" s="306">
        <f t="shared" si="15"/>
        <v>0</v>
      </c>
      <c r="R28" s="307"/>
      <c r="T28" s="1133"/>
    </row>
    <row r="29" spans="1:20" s="316" customFormat="1" ht="16.5" customHeight="1">
      <c r="A29" s="1101" t="s">
        <v>1196</v>
      </c>
      <c r="B29" s="1101" t="s">
        <v>2158</v>
      </c>
      <c r="C29" s="1135" t="s">
        <v>49</v>
      </c>
      <c r="D29" s="1136">
        <v>500.63</v>
      </c>
      <c r="E29" s="1137">
        <v>66.915686235343472</v>
      </c>
      <c r="F29" s="1138">
        <f t="shared" si="9"/>
        <v>33500</v>
      </c>
      <c r="G29" s="1049">
        <v>500.63</v>
      </c>
      <c r="H29" s="306">
        <f t="shared" si="10"/>
        <v>33500</v>
      </c>
      <c r="I29" s="307">
        <f t="shared" si="11"/>
        <v>1</v>
      </c>
      <c r="J29" s="1046"/>
      <c r="K29" s="306">
        <f>+E29*J29</f>
        <v>0</v>
      </c>
      <c r="L29" s="307">
        <f t="shared" si="6"/>
        <v>0</v>
      </c>
      <c r="M29" s="1047">
        <f t="shared" si="12"/>
        <v>500.63</v>
      </c>
      <c r="N29" s="1181">
        <f t="shared" si="7"/>
        <v>33500</v>
      </c>
      <c r="O29" s="307">
        <f t="shared" si="13"/>
        <v>1</v>
      </c>
      <c r="P29" s="1047">
        <f t="shared" si="14"/>
        <v>0</v>
      </c>
      <c r="Q29" s="306">
        <f t="shared" si="15"/>
        <v>0</v>
      </c>
      <c r="R29" s="307">
        <f t="shared" si="8"/>
        <v>0</v>
      </c>
      <c r="T29" s="1133"/>
    </row>
    <row r="30" spans="1:20" s="316" customFormat="1" ht="16.5" customHeight="1">
      <c r="A30" s="1101" t="s">
        <v>1197</v>
      </c>
      <c r="B30" s="1101" t="s">
        <v>2159</v>
      </c>
      <c r="C30" s="1135" t="s">
        <v>2148</v>
      </c>
      <c r="D30" s="1136">
        <v>195</v>
      </c>
      <c r="E30" s="1137">
        <v>19.52</v>
      </c>
      <c r="F30" s="1138">
        <f t="shared" si="9"/>
        <v>3806.4</v>
      </c>
      <c r="G30" s="1049">
        <v>195</v>
      </c>
      <c r="H30" s="306">
        <f t="shared" si="10"/>
        <v>3806.4</v>
      </c>
      <c r="I30" s="307">
        <f t="shared" si="11"/>
        <v>1</v>
      </c>
      <c r="J30" s="1046"/>
      <c r="K30" s="306"/>
      <c r="L30" s="307">
        <f t="shared" si="6"/>
        <v>0</v>
      </c>
      <c r="M30" s="1047">
        <f t="shared" si="12"/>
        <v>195</v>
      </c>
      <c r="N30" s="1181">
        <f t="shared" si="7"/>
        <v>3806.4</v>
      </c>
      <c r="O30" s="307">
        <f t="shared" si="13"/>
        <v>1</v>
      </c>
      <c r="P30" s="1047">
        <f t="shared" si="14"/>
        <v>0</v>
      </c>
      <c r="Q30" s="306">
        <f t="shared" si="15"/>
        <v>0</v>
      </c>
      <c r="R30" s="307">
        <f t="shared" si="8"/>
        <v>0</v>
      </c>
      <c r="T30" s="1133"/>
    </row>
    <row r="31" spans="1:20" s="316" customFormat="1" ht="16.5" customHeight="1">
      <c r="A31" s="1101" t="s">
        <v>1198</v>
      </c>
      <c r="B31" s="1103" t="s">
        <v>2160</v>
      </c>
      <c r="C31" s="1135"/>
      <c r="D31" s="1136">
        <v>0</v>
      </c>
      <c r="E31" s="1137"/>
      <c r="F31" s="1138">
        <f t="shared" si="9"/>
        <v>0</v>
      </c>
      <c r="G31" s="1049"/>
      <c r="H31" s="306">
        <f t="shared" si="10"/>
        <v>0</v>
      </c>
      <c r="I31" s="307"/>
      <c r="J31" s="1046"/>
      <c r="K31" s="306"/>
      <c r="L31" s="307"/>
      <c r="M31" s="1047">
        <f t="shared" si="12"/>
        <v>0</v>
      </c>
      <c r="N31" s="1181"/>
      <c r="O31" s="307"/>
      <c r="P31" s="1047">
        <f t="shared" si="14"/>
        <v>0</v>
      </c>
      <c r="Q31" s="306">
        <f t="shared" si="15"/>
        <v>0</v>
      </c>
      <c r="R31" s="307"/>
      <c r="T31" s="1133"/>
    </row>
    <row r="32" spans="1:20" s="316" customFormat="1" ht="16.5" customHeight="1">
      <c r="A32" s="1101" t="s">
        <v>1199</v>
      </c>
      <c r="B32" s="1101" t="s">
        <v>2161</v>
      </c>
      <c r="C32" s="1135" t="s">
        <v>2148</v>
      </c>
      <c r="D32" s="1136">
        <v>0</v>
      </c>
      <c r="E32" s="1137">
        <v>29.47</v>
      </c>
      <c r="F32" s="1138">
        <f t="shared" si="9"/>
        <v>0</v>
      </c>
      <c r="G32" s="1049">
        <v>0</v>
      </c>
      <c r="H32" s="306">
        <f t="shared" si="10"/>
        <v>0</v>
      </c>
      <c r="I32" s="307"/>
      <c r="J32" s="1046"/>
      <c r="K32" s="306">
        <f>+E32*J32</f>
        <v>0</v>
      </c>
      <c r="L32" s="307"/>
      <c r="M32" s="1047">
        <f t="shared" si="12"/>
        <v>0</v>
      </c>
      <c r="N32" s="1181">
        <f t="shared" si="7"/>
        <v>0</v>
      </c>
      <c r="O32" s="307"/>
      <c r="P32" s="1047">
        <f t="shared" si="14"/>
        <v>0</v>
      </c>
      <c r="Q32" s="306">
        <f t="shared" si="15"/>
        <v>0</v>
      </c>
      <c r="R32" s="307"/>
      <c r="T32" s="1133"/>
    </row>
    <row r="33" spans="1:20" s="316" customFormat="1" ht="16.5" customHeight="1">
      <c r="A33" s="1101" t="s">
        <v>1200</v>
      </c>
      <c r="B33" s="1101" t="s">
        <v>2162</v>
      </c>
      <c r="C33" s="1135" t="s">
        <v>2148</v>
      </c>
      <c r="D33" s="1136">
        <v>0</v>
      </c>
      <c r="E33" s="1137">
        <v>21.57</v>
      </c>
      <c r="F33" s="1138">
        <f t="shared" si="9"/>
        <v>0</v>
      </c>
      <c r="G33" s="1049">
        <v>0</v>
      </c>
      <c r="H33" s="306">
        <f t="shared" si="10"/>
        <v>0</v>
      </c>
      <c r="I33" s="307"/>
      <c r="J33" s="1046"/>
      <c r="K33" s="306">
        <f>+E33*J33</f>
        <v>0</v>
      </c>
      <c r="L33" s="307"/>
      <c r="M33" s="1047">
        <f t="shared" si="12"/>
        <v>0</v>
      </c>
      <c r="N33" s="1181">
        <f t="shared" si="7"/>
        <v>0</v>
      </c>
      <c r="O33" s="307"/>
      <c r="P33" s="1047">
        <f t="shared" si="14"/>
        <v>0</v>
      </c>
      <c r="Q33" s="306">
        <f t="shared" si="15"/>
        <v>0</v>
      </c>
      <c r="R33" s="307"/>
      <c r="T33" s="1133"/>
    </row>
    <row r="34" spans="1:20" s="316" customFormat="1" ht="16.5" customHeight="1">
      <c r="A34" s="1101" t="s">
        <v>1201</v>
      </c>
      <c r="B34" s="1182" t="s">
        <v>2163</v>
      </c>
      <c r="C34" s="1135"/>
      <c r="D34" s="1136">
        <v>0</v>
      </c>
      <c r="E34" s="1137"/>
      <c r="F34" s="1138">
        <f t="shared" si="9"/>
        <v>0</v>
      </c>
      <c r="G34" s="1049"/>
      <c r="H34" s="306">
        <f t="shared" si="10"/>
        <v>0</v>
      </c>
      <c r="I34" s="307"/>
      <c r="J34" s="1046"/>
      <c r="K34" s="306"/>
      <c r="L34" s="307"/>
      <c r="M34" s="1047">
        <f t="shared" si="12"/>
        <v>0</v>
      </c>
      <c r="N34" s="1181"/>
      <c r="O34" s="307"/>
      <c r="P34" s="1047">
        <f t="shared" si="14"/>
        <v>0</v>
      </c>
      <c r="Q34" s="306">
        <f t="shared" si="15"/>
        <v>0</v>
      </c>
      <c r="R34" s="307"/>
      <c r="T34" s="1133"/>
    </row>
    <row r="35" spans="1:20" s="316" customFormat="1" ht="16.5" customHeight="1">
      <c r="A35" s="1101" t="s">
        <v>1202</v>
      </c>
      <c r="B35" s="1103" t="s">
        <v>2164</v>
      </c>
      <c r="C35" s="1135"/>
      <c r="D35" s="1136">
        <v>0</v>
      </c>
      <c r="E35" s="1137"/>
      <c r="F35" s="1138">
        <f t="shared" si="9"/>
        <v>0</v>
      </c>
      <c r="G35" s="1049"/>
      <c r="H35" s="306">
        <f t="shared" si="10"/>
        <v>0</v>
      </c>
      <c r="I35" s="307"/>
      <c r="J35" s="1046"/>
      <c r="K35" s="306"/>
      <c r="L35" s="307"/>
      <c r="M35" s="1047">
        <f t="shared" si="12"/>
        <v>0</v>
      </c>
      <c r="N35" s="1181"/>
      <c r="O35" s="307"/>
      <c r="P35" s="1047">
        <f t="shared" si="14"/>
        <v>0</v>
      </c>
      <c r="Q35" s="306">
        <f t="shared" si="15"/>
        <v>0</v>
      </c>
      <c r="R35" s="307"/>
      <c r="T35" s="1133"/>
    </row>
    <row r="36" spans="1:20" s="316" customFormat="1" ht="16.5" customHeight="1">
      <c r="A36" s="1101" t="s">
        <v>1203</v>
      </c>
      <c r="B36" s="1101" t="s">
        <v>2165</v>
      </c>
      <c r="C36" s="1135" t="s">
        <v>2147</v>
      </c>
      <c r="D36" s="1188">
        <v>865.39</v>
      </c>
      <c r="E36" s="1137">
        <v>32.07</v>
      </c>
      <c r="F36" s="1138">
        <f t="shared" si="9"/>
        <v>27753.0573</v>
      </c>
      <c r="G36" s="1049">
        <v>530.5</v>
      </c>
      <c r="H36" s="306">
        <f t="shared" si="10"/>
        <v>17013.134999999998</v>
      </c>
      <c r="I36" s="307">
        <f t="shared" si="11"/>
        <v>0.61301840788546202</v>
      </c>
      <c r="J36" s="1046">
        <v>334.89</v>
      </c>
      <c r="K36" s="306">
        <f t="shared" ref="K36:K66" si="19">+E36*J36</f>
        <v>10739.9223</v>
      </c>
      <c r="L36" s="307">
        <f t="shared" si="6"/>
        <v>0.38698159211453798</v>
      </c>
      <c r="M36" s="1047">
        <f t="shared" si="12"/>
        <v>865.39</v>
      </c>
      <c r="N36" s="1181">
        <f t="shared" si="7"/>
        <v>27753.0573</v>
      </c>
      <c r="O36" s="307">
        <f t="shared" si="13"/>
        <v>1</v>
      </c>
      <c r="P36" s="1047">
        <f t="shared" si="14"/>
        <v>0</v>
      </c>
      <c r="Q36" s="306">
        <f t="shared" si="15"/>
        <v>0</v>
      </c>
      <c r="R36" s="307">
        <f t="shared" si="8"/>
        <v>0</v>
      </c>
      <c r="T36" s="1133"/>
    </row>
    <row r="37" spans="1:20" s="316" customFormat="1" ht="16.5" customHeight="1">
      <c r="A37" s="1101">
        <v>1.2</v>
      </c>
      <c r="B37" s="1102" t="s">
        <v>2166</v>
      </c>
      <c r="C37" s="1139"/>
      <c r="D37" s="1188">
        <v>0</v>
      </c>
      <c r="E37" s="1140"/>
      <c r="F37" s="1138">
        <f t="shared" si="9"/>
        <v>0</v>
      </c>
      <c r="G37" s="1049"/>
      <c r="H37" s="306">
        <f t="shared" si="10"/>
        <v>0</v>
      </c>
      <c r="I37" s="307"/>
      <c r="J37" s="1046"/>
      <c r="K37" s="306"/>
      <c r="L37" s="307"/>
      <c r="M37" s="1047">
        <f t="shared" si="12"/>
        <v>0</v>
      </c>
      <c r="N37" s="1181"/>
      <c r="O37" s="307"/>
      <c r="P37" s="1047">
        <f t="shared" si="14"/>
        <v>0</v>
      </c>
      <c r="Q37" s="306">
        <f t="shared" si="15"/>
        <v>0</v>
      </c>
      <c r="R37" s="307"/>
      <c r="T37" s="1133"/>
    </row>
    <row r="38" spans="1:20" s="316" customFormat="1" ht="16.5" customHeight="1">
      <c r="A38" s="1101" t="s">
        <v>1204</v>
      </c>
      <c r="B38" s="1101" t="s">
        <v>2215</v>
      </c>
      <c r="C38" s="1135" t="s">
        <v>2148</v>
      </c>
      <c r="D38" s="1188">
        <v>8.27</v>
      </c>
      <c r="E38" s="1137">
        <v>333.28</v>
      </c>
      <c r="F38" s="1138">
        <f t="shared" si="9"/>
        <v>2756.2255999999998</v>
      </c>
      <c r="G38" s="1049">
        <v>8.27</v>
      </c>
      <c r="H38" s="306">
        <f t="shared" si="10"/>
        <v>2756.2255999999998</v>
      </c>
      <c r="I38" s="307">
        <f t="shared" si="11"/>
        <v>1</v>
      </c>
      <c r="J38" s="1046"/>
      <c r="K38" s="306">
        <f t="shared" si="19"/>
        <v>0</v>
      </c>
      <c r="L38" s="307">
        <f t="shared" si="6"/>
        <v>0</v>
      </c>
      <c r="M38" s="1047">
        <f t="shared" si="12"/>
        <v>8.27</v>
      </c>
      <c r="N38" s="1181">
        <f t="shared" si="7"/>
        <v>2756.2255999999998</v>
      </c>
      <c r="O38" s="307">
        <f t="shared" si="13"/>
        <v>1</v>
      </c>
      <c r="P38" s="1047">
        <f t="shared" si="14"/>
        <v>0</v>
      </c>
      <c r="Q38" s="306">
        <f t="shared" si="15"/>
        <v>0</v>
      </c>
      <c r="R38" s="307">
        <f t="shared" si="8"/>
        <v>0</v>
      </c>
      <c r="T38" s="1133"/>
    </row>
    <row r="39" spans="1:20" s="316" customFormat="1" ht="16.5" customHeight="1">
      <c r="A39" s="1101" t="s">
        <v>2216</v>
      </c>
      <c r="B39" s="1111" t="s">
        <v>2167</v>
      </c>
      <c r="C39" s="1135"/>
      <c r="D39" s="1188">
        <v>0</v>
      </c>
      <c r="E39" s="1137"/>
      <c r="F39" s="1138">
        <f t="shared" si="9"/>
        <v>0</v>
      </c>
      <c r="G39" s="1049"/>
      <c r="H39" s="306">
        <f t="shared" si="10"/>
        <v>0</v>
      </c>
      <c r="I39" s="307"/>
      <c r="J39" s="1046"/>
      <c r="K39" s="306"/>
      <c r="L39" s="307"/>
      <c r="M39" s="1047">
        <f t="shared" si="12"/>
        <v>0</v>
      </c>
      <c r="N39" s="1181"/>
      <c r="O39" s="307"/>
      <c r="P39" s="1047">
        <f t="shared" si="14"/>
        <v>0</v>
      </c>
      <c r="Q39" s="306">
        <f t="shared" si="15"/>
        <v>0</v>
      </c>
      <c r="R39" s="307"/>
      <c r="T39" s="1133"/>
    </row>
    <row r="40" spans="1:20" s="316" customFormat="1" ht="16.5" customHeight="1">
      <c r="A40" s="1101" t="s">
        <v>2217</v>
      </c>
      <c r="B40" s="1101" t="s">
        <v>2168</v>
      </c>
      <c r="C40" s="1135" t="s">
        <v>2148</v>
      </c>
      <c r="D40" s="1188">
        <v>17.21</v>
      </c>
      <c r="E40" s="1137">
        <v>459.05</v>
      </c>
      <c r="F40" s="1138">
        <f t="shared" si="9"/>
        <v>7900.250500000001</v>
      </c>
      <c r="G40" s="1049">
        <v>3.57</v>
      </c>
      <c r="H40" s="306">
        <f t="shared" si="10"/>
        <v>1638.8084999999999</v>
      </c>
      <c r="I40" s="307">
        <f t="shared" si="11"/>
        <v>0.20743753631609524</v>
      </c>
      <c r="J40" s="1046">
        <v>13.64</v>
      </c>
      <c r="K40" s="306">
        <f t="shared" si="19"/>
        <v>6261.442</v>
      </c>
      <c r="L40" s="307">
        <f t="shared" si="6"/>
        <v>0.79256246368390459</v>
      </c>
      <c r="M40" s="1047">
        <f t="shared" si="12"/>
        <v>17.21</v>
      </c>
      <c r="N40" s="1181">
        <f t="shared" si="7"/>
        <v>7900.2505000000001</v>
      </c>
      <c r="O40" s="307">
        <f t="shared" si="13"/>
        <v>0.99999999999999989</v>
      </c>
      <c r="P40" s="1047">
        <f t="shared" si="14"/>
        <v>0</v>
      </c>
      <c r="Q40" s="306">
        <f t="shared" si="15"/>
        <v>0</v>
      </c>
      <c r="R40" s="307">
        <f t="shared" si="8"/>
        <v>0</v>
      </c>
      <c r="T40" s="1133"/>
    </row>
    <row r="41" spans="1:20" s="316" customFormat="1" ht="16.5" customHeight="1">
      <c r="A41" s="1101" t="s">
        <v>2218</v>
      </c>
      <c r="B41" s="1112" t="s">
        <v>2169</v>
      </c>
      <c r="C41" s="1142" t="s">
        <v>2147</v>
      </c>
      <c r="D41" s="1189">
        <v>67.710000000000008</v>
      </c>
      <c r="E41" s="1144">
        <v>74.239999999999995</v>
      </c>
      <c r="F41" s="1138">
        <f t="shared" si="9"/>
        <v>5026.7903999999999</v>
      </c>
      <c r="G41" s="1049">
        <v>40.42</v>
      </c>
      <c r="H41" s="306">
        <f t="shared" si="10"/>
        <v>3000.7808</v>
      </c>
      <c r="I41" s="307">
        <f t="shared" si="11"/>
        <v>0.59695761335105602</v>
      </c>
      <c r="J41" s="1046">
        <v>27.29</v>
      </c>
      <c r="K41" s="1145">
        <f t="shared" si="19"/>
        <v>2026.0095999999999</v>
      </c>
      <c r="L41" s="1146">
        <f t="shared" si="6"/>
        <v>0.40304238664894398</v>
      </c>
      <c r="M41" s="1047">
        <f t="shared" si="12"/>
        <v>67.710000000000008</v>
      </c>
      <c r="N41" s="1181">
        <f t="shared" si="7"/>
        <v>5026.7903999999999</v>
      </c>
      <c r="O41" s="1146">
        <f t="shared" si="13"/>
        <v>1</v>
      </c>
      <c r="P41" s="1047">
        <f t="shared" si="14"/>
        <v>0</v>
      </c>
      <c r="Q41" s="306">
        <f t="shared" si="15"/>
        <v>0</v>
      </c>
      <c r="R41" s="1146">
        <f t="shared" si="8"/>
        <v>0</v>
      </c>
      <c r="T41" s="1133"/>
    </row>
    <row r="42" spans="1:20" s="316" customFormat="1" ht="16.5" customHeight="1">
      <c r="A42" s="1112" t="s">
        <v>1208</v>
      </c>
      <c r="B42" s="1102" t="s">
        <v>2185</v>
      </c>
      <c r="C42" s="1142"/>
      <c r="D42" s="1143">
        <v>0</v>
      </c>
      <c r="E42" s="1144"/>
      <c r="F42" s="1138">
        <f t="shared" si="9"/>
        <v>0</v>
      </c>
      <c r="G42" s="1049"/>
      <c r="H42" s="306">
        <f t="shared" si="10"/>
        <v>0</v>
      </c>
      <c r="I42" s="307"/>
      <c r="J42" s="1046"/>
      <c r="K42" s="1145">
        <f t="shared" si="19"/>
        <v>0</v>
      </c>
      <c r="L42" s="1146"/>
      <c r="M42" s="1047">
        <f t="shared" si="12"/>
        <v>0</v>
      </c>
      <c r="N42" s="1181"/>
      <c r="O42" s="1146"/>
      <c r="P42" s="1047">
        <f t="shared" si="14"/>
        <v>0</v>
      </c>
      <c r="Q42" s="306">
        <f t="shared" si="15"/>
        <v>0</v>
      </c>
      <c r="R42" s="1146"/>
      <c r="T42" s="1133"/>
    </row>
    <row r="43" spans="1:20" s="316" customFormat="1" ht="16.5" customHeight="1">
      <c r="A43" s="1112" t="s">
        <v>1209</v>
      </c>
      <c r="B43" s="1101" t="s">
        <v>2188</v>
      </c>
      <c r="C43" s="1142" t="s">
        <v>49</v>
      </c>
      <c r="D43" s="1143">
        <v>182.07</v>
      </c>
      <c r="E43" s="1144">
        <v>5.63</v>
      </c>
      <c r="F43" s="1138">
        <f t="shared" si="9"/>
        <v>1025.0540999999998</v>
      </c>
      <c r="G43" s="1049">
        <v>182.07</v>
      </c>
      <c r="H43" s="306">
        <f t="shared" si="10"/>
        <v>1025.0540999999998</v>
      </c>
      <c r="I43" s="307">
        <f t="shared" si="11"/>
        <v>1</v>
      </c>
      <c r="J43" s="1046"/>
      <c r="K43" s="1145">
        <f t="shared" si="19"/>
        <v>0</v>
      </c>
      <c r="L43" s="1146">
        <f t="shared" ref="L43:L67" si="20">+K43/$F43</f>
        <v>0</v>
      </c>
      <c r="M43" s="1047">
        <f t="shared" si="12"/>
        <v>182.07</v>
      </c>
      <c r="N43" s="1181">
        <f t="shared" si="7"/>
        <v>1025.0540999999998</v>
      </c>
      <c r="O43" s="1146">
        <f t="shared" ref="O43:O56" si="21">+N43/$F43</f>
        <v>1</v>
      </c>
      <c r="P43" s="1047">
        <f t="shared" si="14"/>
        <v>0</v>
      </c>
      <c r="Q43" s="306">
        <f t="shared" si="15"/>
        <v>0</v>
      </c>
      <c r="R43" s="1146">
        <f t="shared" ref="R43:R47" si="22">+Q43/$F43</f>
        <v>0</v>
      </c>
      <c r="T43" s="1133"/>
    </row>
    <row r="44" spans="1:20" s="316" customFormat="1" ht="16.5" customHeight="1">
      <c r="A44" s="1112" t="s">
        <v>2186</v>
      </c>
      <c r="B44" s="1102" t="s">
        <v>2181</v>
      </c>
      <c r="C44" s="1135"/>
      <c r="D44" s="1136">
        <v>0</v>
      </c>
      <c r="E44" s="1137"/>
      <c r="F44" s="1138">
        <f t="shared" si="9"/>
        <v>0</v>
      </c>
      <c r="G44" s="1049"/>
      <c r="H44" s="306">
        <f t="shared" si="10"/>
        <v>0</v>
      </c>
      <c r="I44" s="307"/>
      <c r="J44" s="1046"/>
      <c r="K44" s="1145">
        <f t="shared" si="19"/>
        <v>0</v>
      </c>
      <c r="L44" s="1146"/>
      <c r="M44" s="1047">
        <f t="shared" si="12"/>
        <v>0</v>
      </c>
      <c r="N44" s="1181"/>
      <c r="O44" s="1146"/>
      <c r="P44" s="1047">
        <f t="shared" si="14"/>
        <v>0</v>
      </c>
      <c r="Q44" s="306">
        <f t="shared" si="15"/>
        <v>0</v>
      </c>
      <c r="R44" s="1146"/>
      <c r="T44" s="1133"/>
    </row>
    <row r="45" spans="1:20" s="316" customFormat="1" ht="16.5" customHeight="1">
      <c r="A45" s="1112" t="s">
        <v>2187</v>
      </c>
      <c r="B45" s="1101" t="s">
        <v>2182</v>
      </c>
      <c r="C45" s="1135" t="s">
        <v>52</v>
      </c>
      <c r="D45" s="1136">
        <v>6</v>
      </c>
      <c r="E45" s="1137">
        <v>25</v>
      </c>
      <c r="F45" s="1138">
        <f t="shared" si="9"/>
        <v>150</v>
      </c>
      <c r="G45" s="1049">
        <v>6</v>
      </c>
      <c r="H45" s="306">
        <f t="shared" si="10"/>
        <v>150</v>
      </c>
      <c r="I45" s="307">
        <f t="shared" si="11"/>
        <v>1</v>
      </c>
      <c r="J45" s="1046"/>
      <c r="K45" s="1145">
        <f t="shared" si="19"/>
        <v>0</v>
      </c>
      <c r="L45" s="1146">
        <f t="shared" si="20"/>
        <v>0</v>
      </c>
      <c r="M45" s="1047">
        <f t="shared" si="12"/>
        <v>6</v>
      </c>
      <c r="N45" s="1181">
        <f t="shared" si="7"/>
        <v>150</v>
      </c>
      <c r="O45" s="1146">
        <f t="shared" si="21"/>
        <v>1</v>
      </c>
      <c r="P45" s="1047">
        <f t="shared" si="14"/>
        <v>0</v>
      </c>
      <c r="Q45" s="306">
        <f t="shared" si="15"/>
        <v>0</v>
      </c>
      <c r="R45" s="1146">
        <f t="shared" si="22"/>
        <v>0</v>
      </c>
      <c r="T45" s="1133"/>
    </row>
    <row r="46" spans="1:20" s="316" customFormat="1" ht="16.5" customHeight="1">
      <c r="A46" s="1112" t="s">
        <v>2189</v>
      </c>
      <c r="B46" s="1101" t="s">
        <v>2183</v>
      </c>
      <c r="C46" s="1135" t="s">
        <v>52</v>
      </c>
      <c r="D46" s="1136">
        <v>36</v>
      </c>
      <c r="E46" s="1137">
        <v>13.333333333333334</v>
      </c>
      <c r="F46" s="1138">
        <f t="shared" si="9"/>
        <v>480</v>
      </c>
      <c r="G46" s="1049">
        <v>29</v>
      </c>
      <c r="H46" s="306">
        <f t="shared" si="10"/>
        <v>386.66666666666669</v>
      </c>
      <c r="I46" s="307">
        <f t="shared" si="11"/>
        <v>0.80555555555555558</v>
      </c>
      <c r="J46" s="1046">
        <v>7</v>
      </c>
      <c r="K46" s="1145">
        <f t="shared" si="19"/>
        <v>93.333333333333343</v>
      </c>
      <c r="L46" s="1146">
        <f t="shared" si="20"/>
        <v>0.19444444444444448</v>
      </c>
      <c r="M46" s="1047">
        <f t="shared" si="12"/>
        <v>36</v>
      </c>
      <c r="N46" s="1181">
        <f t="shared" si="7"/>
        <v>480</v>
      </c>
      <c r="O46" s="1146">
        <f t="shared" si="21"/>
        <v>1</v>
      </c>
      <c r="P46" s="1047">
        <f>D46-M46</f>
        <v>0</v>
      </c>
      <c r="Q46" s="306">
        <f t="shared" si="15"/>
        <v>0</v>
      </c>
      <c r="R46" s="1146">
        <f t="shared" si="22"/>
        <v>0</v>
      </c>
      <c r="T46" s="1133"/>
    </row>
    <row r="47" spans="1:20" s="316" customFormat="1" ht="16.5" customHeight="1">
      <c r="A47" s="1112" t="s">
        <v>2190</v>
      </c>
      <c r="B47" s="1101" t="s">
        <v>2184</v>
      </c>
      <c r="C47" s="1135" t="s">
        <v>52</v>
      </c>
      <c r="D47" s="1136">
        <v>1</v>
      </c>
      <c r="E47" s="1137">
        <v>420</v>
      </c>
      <c r="F47" s="1138">
        <f t="shared" si="9"/>
        <v>420</v>
      </c>
      <c r="G47" s="1049">
        <v>1</v>
      </c>
      <c r="H47" s="306">
        <f t="shared" si="10"/>
        <v>420</v>
      </c>
      <c r="I47" s="307">
        <f t="shared" si="11"/>
        <v>1</v>
      </c>
      <c r="J47" s="1046"/>
      <c r="K47" s="1145">
        <f t="shared" si="19"/>
        <v>0</v>
      </c>
      <c r="L47" s="1146">
        <f t="shared" si="20"/>
        <v>0</v>
      </c>
      <c r="M47" s="1047">
        <f t="shared" si="12"/>
        <v>1</v>
      </c>
      <c r="N47" s="1181">
        <f t="shared" si="7"/>
        <v>420</v>
      </c>
      <c r="O47" s="1146">
        <f t="shared" si="21"/>
        <v>1</v>
      </c>
      <c r="P47" s="1047">
        <f t="shared" si="14"/>
        <v>0</v>
      </c>
      <c r="Q47" s="306">
        <f t="shared" si="15"/>
        <v>0</v>
      </c>
      <c r="R47" s="1146">
        <f t="shared" si="22"/>
        <v>0</v>
      </c>
      <c r="T47" s="1133"/>
    </row>
    <row r="48" spans="1:20" s="316" customFormat="1" ht="16.5" customHeight="1">
      <c r="A48" s="1112">
        <v>1.3</v>
      </c>
      <c r="B48" s="1102" t="s">
        <v>2211</v>
      </c>
      <c r="C48" s="1171"/>
      <c r="D48" s="1172">
        <v>0</v>
      </c>
      <c r="E48" s="1173"/>
      <c r="F48" s="1138">
        <f t="shared" si="9"/>
        <v>0</v>
      </c>
      <c r="G48" s="1049"/>
      <c r="H48" s="306">
        <f t="shared" si="10"/>
        <v>0</v>
      </c>
      <c r="I48" s="307"/>
      <c r="J48" s="1046"/>
      <c r="K48" s="1145">
        <f t="shared" si="19"/>
        <v>0</v>
      </c>
      <c r="L48" s="1146"/>
      <c r="M48" s="1047"/>
      <c r="N48" s="1181"/>
      <c r="O48" s="1146"/>
      <c r="P48" s="1047"/>
      <c r="Q48" s="306">
        <f t="shared" si="15"/>
        <v>0</v>
      </c>
      <c r="R48" s="1146"/>
      <c r="T48" s="1133"/>
    </row>
    <row r="49" spans="1:20" s="316" customFormat="1" ht="16.5" customHeight="1">
      <c r="A49" s="1112" t="s">
        <v>2209</v>
      </c>
      <c r="B49" s="1183" t="s">
        <v>2226</v>
      </c>
      <c r="C49" s="1171"/>
      <c r="D49" s="1172">
        <v>0</v>
      </c>
      <c r="E49" s="1173"/>
      <c r="F49" s="1138">
        <f t="shared" si="9"/>
        <v>0</v>
      </c>
      <c r="G49" s="1049"/>
      <c r="H49" s="306">
        <f t="shared" si="10"/>
        <v>0</v>
      </c>
      <c r="I49" s="307"/>
      <c r="J49" s="1046"/>
      <c r="K49" s="1145">
        <f t="shared" si="19"/>
        <v>0</v>
      </c>
      <c r="L49" s="1146"/>
      <c r="M49" s="1047"/>
      <c r="N49" s="1181"/>
      <c r="O49" s="1146"/>
      <c r="P49" s="1047"/>
      <c r="Q49" s="306">
        <f t="shared" si="15"/>
        <v>0</v>
      </c>
      <c r="R49" s="1146"/>
      <c r="T49" s="1133"/>
    </row>
    <row r="50" spans="1:20" s="316" customFormat="1" ht="16.5" customHeight="1">
      <c r="A50" s="1112" t="s">
        <v>2212</v>
      </c>
      <c r="B50" s="1101" t="s">
        <v>2230</v>
      </c>
      <c r="C50" s="1171" t="s">
        <v>50</v>
      </c>
      <c r="D50" s="1187">
        <v>48.31</v>
      </c>
      <c r="E50" s="1190">
        <v>378.49</v>
      </c>
      <c r="F50" s="1138">
        <f t="shared" si="9"/>
        <v>18284.851900000001</v>
      </c>
      <c r="G50" s="1049">
        <v>30.73</v>
      </c>
      <c r="H50" s="306">
        <f t="shared" si="10"/>
        <v>11630.9977</v>
      </c>
      <c r="I50" s="307">
        <f t="shared" si="11"/>
        <v>0.63610018629683285</v>
      </c>
      <c r="J50" s="1046">
        <v>17.579999999999998</v>
      </c>
      <c r="K50" s="1145">
        <f t="shared" si="19"/>
        <v>6653.8541999999998</v>
      </c>
      <c r="L50" s="1146">
        <f t="shared" si="20"/>
        <v>0.36389981370316699</v>
      </c>
      <c r="M50" s="1047">
        <f t="shared" si="12"/>
        <v>48.31</v>
      </c>
      <c r="N50" s="1181">
        <f t="shared" si="7"/>
        <v>18284.851900000001</v>
      </c>
      <c r="O50" s="1146">
        <f t="shared" si="21"/>
        <v>1</v>
      </c>
      <c r="P50" s="1047">
        <f t="shared" si="14"/>
        <v>0</v>
      </c>
      <c r="Q50" s="306">
        <f t="shared" si="15"/>
        <v>0</v>
      </c>
      <c r="R50" s="1146">
        <f t="shared" ref="R50:R56" si="23">+Q50/$F50</f>
        <v>0</v>
      </c>
      <c r="T50" s="1133"/>
    </row>
    <row r="51" spans="1:20" s="316" customFormat="1" ht="16.5" customHeight="1">
      <c r="A51" s="1112" t="s">
        <v>2213</v>
      </c>
      <c r="B51" s="1101" t="s">
        <v>2219</v>
      </c>
      <c r="C51" s="1171" t="s">
        <v>49</v>
      </c>
      <c r="D51" s="1187">
        <v>251.95999999999998</v>
      </c>
      <c r="E51" s="1190">
        <v>47.63</v>
      </c>
      <c r="F51" s="1138">
        <f t="shared" si="9"/>
        <v>12000.854799999999</v>
      </c>
      <c r="G51" s="1049">
        <v>98.32</v>
      </c>
      <c r="H51" s="306">
        <f t="shared" si="10"/>
        <v>4682.9816000000001</v>
      </c>
      <c r="I51" s="307">
        <f t="shared" si="11"/>
        <v>0.39022066994761079</v>
      </c>
      <c r="J51" s="1046">
        <v>153.63999999999999</v>
      </c>
      <c r="K51" s="1145">
        <f t="shared" si="19"/>
        <v>7317.8732</v>
      </c>
      <c r="L51" s="1146">
        <f t="shared" si="20"/>
        <v>0.60977933005238927</v>
      </c>
      <c r="M51" s="1047">
        <f t="shared" si="12"/>
        <v>251.95999999999998</v>
      </c>
      <c r="N51" s="1181">
        <f t="shared" si="7"/>
        <v>12000.854800000001</v>
      </c>
      <c r="O51" s="1146">
        <f t="shared" si="21"/>
        <v>1.0000000000000002</v>
      </c>
      <c r="P51" s="1047">
        <f t="shared" si="14"/>
        <v>0</v>
      </c>
      <c r="Q51" s="306">
        <f t="shared" si="15"/>
        <v>0</v>
      </c>
      <c r="R51" s="1146">
        <f t="shared" si="23"/>
        <v>0</v>
      </c>
      <c r="T51" s="1133"/>
    </row>
    <row r="52" spans="1:20" s="316" customFormat="1" ht="16.5" customHeight="1">
      <c r="A52" s="1112" t="s">
        <v>2214</v>
      </c>
      <c r="B52" s="1101" t="s">
        <v>2220</v>
      </c>
      <c r="C52" s="1171" t="s">
        <v>420</v>
      </c>
      <c r="D52" s="1187">
        <v>1417.69</v>
      </c>
      <c r="E52" s="1190">
        <v>5</v>
      </c>
      <c r="F52" s="1138">
        <f t="shared" si="9"/>
        <v>7088.4500000000007</v>
      </c>
      <c r="G52" s="1049">
        <v>325.69</v>
      </c>
      <c r="H52" s="306">
        <f t="shared" si="10"/>
        <v>1628.45</v>
      </c>
      <c r="I52" s="307">
        <f t="shared" si="11"/>
        <v>0.22973287531124575</v>
      </c>
      <c r="J52" s="1046">
        <v>1092</v>
      </c>
      <c r="K52" s="1145">
        <f t="shared" si="19"/>
        <v>5460</v>
      </c>
      <c r="L52" s="1146">
        <f t="shared" si="20"/>
        <v>0.77026712468875413</v>
      </c>
      <c r="M52" s="1047">
        <f t="shared" si="12"/>
        <v>1417.69</v>
      </c>
      <c r="N52" s="1181">
        <f t="shared" si="7"/>
        <v>7088.45</v>
      </c>
      <c r="O52" s="1146">
        <f t="shared" si="21"/>
        <v>0.99999999999999989</v>
      </c>
      <c r="P52" s="1047">
        <f t="shared" si="14"/>
        <v>0</v>
      </c>
      <c r="Q52" s="306">
        <f t="shared" si="15"/>
        <v>0</v>
      </c>
      <c r="R52" s="1146">
        <f t="shared" si="23"/>
        <v>0</v>
      </c>
      <c r="T52" s="1133"/>
    </row>
    <row r="53" spans="1:20" s="316" customFormat="1" ht="16.5" customHeight="1">
      <c r="A53" s="1112" t="s">
        <v>2210</v>
      </c>
      <c r="B53" s="1183" t="s">
        <v>2227</v>
      </c>
      <c r="C53" s="1171"/>
      <c r="D53" s="1187">
        <v>0</v>
      </c>
      <c r="E53" s="1190"/>
      <c r="F53" s="1138">
        <f t="shared" si="9"/>
        <v>0</v>
      </c>
      <c r="G53" s="1049"/>
      <c r="H53" s="306">
        <f t="shared" si="10"/>
        <v>0</v>
      </c>
      <c r="I53" s="307"/>
      <c r="J53" s="1046"/>
      <c r="K53" s="1145">
        <f t="shared" si="19"/>
        <v>0</v>
      </c>
      <c r="L53" s="1146"/>
      <c r="M53" s="1047"/>
      <c r="N53" s="1181"/>
      <c r="O53" s="1146"/>
      <c r="P53" s="1047"/>
      <c r="Q53" s="306">
        <f t="shared" si="15"/>
        <v>0</v>
      </c>
      <c r="R53" s="1146"/>
      <c r="T53" s="1133"/>
    </row>
    <row r="54" spans="1:20" s="316" customFormat="1" ht="16.5" customHeight="1">
      <c r="A54" s="1112" t="s">
        <v>2221</v>
      </c>
      <c r="B54" s="1101" t="s">
        <v>2231</v>
      </c>
      <c r="C54" s="1171" t="s">
        <v>50</v>
      </c>
      <c r="D54" s="1187">
        <v>37.85</v>
      </c>
      <c r="E54" s="1190">
        <v>379.46</v>
      </c>
      <c r="F54" s="1138">
        <f t="shared" si="9"/>
        <v>14362.561</v>
      </c>
      <c r="G54" s="1049">
        <v>2.2200000000000002</v>
      </c>
      <c r="H54" s="306">
        <f t="shared" si="10"/>
        <v>842.40120000000002</v>
      </c>
      <c r="I54" s="307">
        <f t="shared" si="11"/>
        <v>5.8652575957727875E-2</v>
      </c>
      <c r="J54" s="1046">
        <v>35.630000000000003</v>
      </c>
      <c r="K54" s="1145">
        <f t="shared" si="19"/>
        <v>13520.159799999999</v>
      </c>
      <c r="L54" s="1146">
        <f t="shared" si="20"/>
        <v>0.94134742404227212</v>
      </c>
      <c r="M54" s="1047">
        <f t="shared" si="12"/>
        <v>37.85</v>
      </c>
      <c r="N54" s="1181">
        <f t="shared" si="7"/>
        <v>14362.561</v>
      </c>
      <c r="O54" s="1146">
        <f t="shared" si="21"/>
        <v>1</v>
      </c>
      <c r="P54" s="1047">
        <f t="shared" si="14"/>
        <v>0</v>
      </c>
      <c r="Q54" s="306">
        <f t="shared" si="15"/>
        <v>0</v>
      </c>
      <c r="R54" s="1146">
        <f t="shared" si="23"/>
        <v>0</v>
      </c>
      <c r="T54" s="1133"/>
    </row>
    <row r="55" spans="1:20" s="316" customFormat="1" ht="16.5" customHeight="1">
      <c r="A55" s="1112" t="s">
        <v>2222</v>
      </c>
      <c r="B55" s="1101" t="s">
        <v>2224</v>
      </c>
      <c r="C55" s="1171" t="s">
        <v>49</v>
      </c>
      <c r="D55" s="1187">
        <v>110.77000000000001</v>
      </c>
      <c r="E55" s="1190">
        <v>54.73</v>
      </c>
      <c r="F55" s="1138">
        <f t="shared" si="9"/>
        <v>6062.4421000000002</v>
      </c>
      <c r="G55" s="1049">
        <v>29.65</v>
      </c>
      <c r="H55" s="306">
        <f t="shared" si="10"/>
        <v>1622.7444999999998</v>
      </c>
      <c r="I55" s="307">
        <f t="shared" si="11"/>
        <v>0.26767175227949802</v>
      </c>
      <c r="J55" s="1046">
        <v>81.12</v>
      </c>
      <c r="K55" s="1145">
        <f t="shared" si="19"/>
        <v>4439.6976000000004</v>
      </c>
      <c r="L55" s="1146">
        <f t="shared" si="20"/>
        <v>0.73232824772050198</v>
      </c>
      <c r="M55" s="1047">
        <f t="shared" si="12"/>
        <v>110.77000000000001</v>
      </c>
      <c r="N55" s="1181">
        <f t="shared" si="7"/>
        <v>6062.4421000000002</v>
      </c>
      <c r="O55" s="1146">
        <f t="shared" si="21"/>
        <v>1</v>
      </c>
      <c r="P55" s="1047">
        <f t="shared" si="14"/>
        <v>0</v>
      </c>
      <c r="Q55" s="306">
        <f t="shared" si="15"/>
        <v>0</v>
      </c>
      <c r="R55" s="1146">
        <f t="shared" si="23"/>
        <v>0</v>
      </c>
      <c r="T55" s="1133"/>
    </row>
    <row r="56" spans="1:20" s="316" customFormat="1" ht="16.5" customHeight="1">
      <c r="A56" s="1112" t="s">
        <v>2223</v>
      </c>
      <c r="B56" s="1101" t="s">
        <v>2225</v>
      </c>
      <c r="C56" s="1171" t="s">
        <v>420</v>
      </c>
      <c r="D56" s="1187">
        <v>608.77</v>
      </c>
      <c r="E56" s="1190">
        <v>5</v>
      </c>
      <c r="F56" s="1138">
        <f t="shared" si="9"/>
        <v>3043.85</v>
      </c>
      <c r="G56" s="1049">
        <v>196.4</v>
      </c>
      <c r="H56" s="306">
        <f t="shared" si="10"/>
        <v>982</v>
      </c>
      <c r="I56" s="307">
        <f t="shared" si="11"/>
        <v>0.32261773740493127</v>
      </c>
      <c r="J56" s="1046">
        <v>412.37</v>
      </c>
      <c r="K56" s="1145">
        <f t="shared" si="19"/>
        <v>2061.85</v>
      </c>
      <c r="L56" s="1146">
        <f t="shared" si="20"/>
        <v>0.67738226259506873</v>
      </c>
      <c r="M56" s="1047">
        <f t="shared" si="12"/>
        <v>608.77</v>
      </c>
      <c r="N56" s="1181">
        <f t="shared" si="7"/>
        <v>3043.85</v>
      </c>
      <c r="O56" s="1146">
        <f t="shared" si="21"/>
        <v>1</v>
      </c>
      <c r="P56" s="1047">
        <f t="shared" si="14"/>
        <v>0</v>
      </c>
      <c r="Q56" s="306">
        <f t="shared" si="15"/>
        <v>0</v>
      </c>
      <c r="R56" s="1146">
        <f t="shared" si="23"/>
        <v>0</v>
      </c>
      <c r="T56" s="1133"/>
    </row>
    <row r="57" spans="1:20" s="316" customFormat="1" ht="16.5" customHeight="1">
      <c r="A57" s="1112" t="s">
        <v>2209</v>
      </c>
      <c r="B57" s="1183" t="s">
        <v>2246</v>
      </c>
      <c r="C57" s="1171"/>
      <c r="D57" s="1172">
        <v>0</v>
      </c>
      <c r="E57" s="1173"/>
      <c r="F57" s="1138">
        <f t="shared" ref="F57:F64" si="24">D57*E57</f>
        <v>0</v>
      </c>
      <c r="G57" s="1049"/>
      <c r="H57" s="306">
        <f t="shared" ref="H57:H64" si="25">E57*G57</f>
        <v>0</v>
      </c>
      <c r="I57" s="307"/>
      <c r="J57" s="1046"/>
      <c r="K57" s="1145">
        <f t="shared" si="19"/>
        <v>0</v>
      </c>
      <c r="L57" s="1146"/>
      <c r="M57" s="1047"/>
      <c r="N57" s="1181"/>
      <c r="O57" s="1146"/>
      <c r="P57" s="1047"/>
      <c r="Q57" s="306">
        <f t="shared" ref="Q57:Q67" si="26">F57-N57</f>
        <v>0</v>
      </c>
      <c r="R57" s="1146"/>
      <c r="T57" s="1133"/>
    </row>
    <row r="58" spans="1:20" s="316" customFormat="1" ht="16.5" customHeight="1">
      <c r="A58" s="1112" t="s">
        <v>2212</v>
      </c>
      <c r="B58" s="1101" t="s">
        <v>2248</v>
      </c>
      <c r="C58" s="1171" t="s">
        <v>50</v>
      </c>
      <c r="D58" s="1187">
        <v>8.49</v>
      </c>
      <c r="E58" s="1190">
        <v>378.49</v>
      </c>
      <c r="F58" s="1138">
        <f t="shared" si="24"/>
        <v>3213.3801000000003</v>
      </c>
      <c r="G58" s="1049"/>
      <c r="H58" s="306">
        <f t="shared" si="25"/>
        <v>0</v>
      </c>
      <c r="I58" s="307">
        <f t="shared" ref="I58:I64" si="27">+H58/$F58</f>
        <v>0</v>
      </c>
      <c r="J58" s="1046">
        <v>8.49</v>
      </c>
      <c r="K58" s="1145">
        <f t="shared" si="19"/>
        <v>3213.3801000000003</v>
      </c>
      <c r="L58" s="1146">
        <f t="shared" si="20"/>
        <v>1</v>
      </c>
      <c r="M58" s="1047">
        <f t="shared" ref="M58:M67" si="28">+G58+J58</f>
        <v>8.49</v>
      </c>
      <c r="N58" s="1181">
        <f t="shared" ref="N58:N67" si="29">H58+K58</f>
        <v>3213.3801000000003</v>
      </c>
      <c r="O58" s="1146">
        <f t="shared" ref="O58:O67" si="30">+N58/$F58</f>
        <v>1</v>
      </c>
      <c r="P58" s="1047">
        <f t="shared" ref="P58:P67" si="31">D58-M58</f>
        <v>0</v>
      </c>
      <c r="Q58" s="306">
        <f t="shared" si="26"/>
        <v>0</v>
      </c>
      <c r="R58" s="1146">
        <f t="shared" ref="R58:R67" si="32">+Q58/$F58</f>
        <v>0</v>
      </c>
      <c r="T58" s="1133"/>
    </row>
    <row r="59" spans="1:20" s="316" customFormat="1" ht="16.5" customHeight="1">
      <c r="A59" s="1112" t="s">
        <v>2213</v>
      </c>
      <c r="B59" s="1101" t="s">
        <v>2249</v>
      </c>
      <c r="C59" s="1171" t="s">
        <v>49</v>
      </c>
      <c r="D59" s="1187">
        <v>16.97</v>
      </c>
      <c r="E59" s="1190">
        <v>47.63</v>
      </c>
      <c r="F59" s="1138">
        <f t="shared" si="24"/>
        <v>808.28110000000004</v>
      </c>
      <c r="G59" s="1049"/>
      <c r="H59" s="306">
        <f t="shared" si="25"/>
        <v>0</v>
      </c>
      <c r="I59" s="307">
        <f t="shared" si="27"/>
        <v>0</v>
      </c>
      <c r="J59" s="1046">
        <v>16.97</v>
      </c>
      <c r="K59" s="1145">
        <f t="shared" si="19"/>
        <v>808.28110000000004</v>
      </c>
      <c r="L59" s="1146">
        <f t="shared" si="20"/>
        <v>1</v>
      </c>
      <c r="M59" s="1047">
        <f t="shared" si="28"/>
        <v>16.97</v>
      </c>
      <c r="N59" s="1181">
        <f t="shared" si="29"/>
        <v>808.28110000000004</v>
      </c>
      <c r="O59" s="1146">
        <f t="shared" si="30"/>
        <v>1</v>
      </c>
      <c r="P59" s="1047">
        <f t="shared" si="31"/>
        <v>0</v>
      </c>
      <c r="Q59" s="306">
        <f t="shared" si="26"/>
        <v>0</v>
      </c>
      <c r="R59" s="1146">
        <f t="shared" si="32"/>
        <v>0</v>
      </c>
      <c r="T59" s="1133"/>
    </row>
    <row r="60" spans="1:20" s="316" customFormat="1" ht="16.5" customHeight="1">
      <c r="A60" s="1112" t="s">
        <v>2214</v>
      </c>
      <c r="B60" s="1101" t="s">
        <v>2250</v>
      </c>
      <c r="C60" s="1171" t="s">
        <v>420</v>
      </c>
      <c r="D60" s="1187">
        <v>478.13</v>
      </c>
      <c r="E60" s="1190">
        <v>5</v>
      </c>
      <c r="F60" s="1138">
        <f t="shared" si="24"/>
        <v>2390.65</v>
      </c>
      <c r="G60" s="1049"/>
      <c r="H60" s="306">
        <f t="shared" si="25"/>
        <v>0</v>
      </c>
      <c r="I60" s="307">
        <f t="shared" si="27"/>
        <v>0</v>
      </c>
      <c r="J60" s="1046">
        <v>478.13</v>
      </c>
      <c r="K60" s="1145">
        <f t="shared" si="19"/>
        <v>2390.65</v>
      </c>
      <c r="L60" s="1146">
        <f t="shared" si="20"/>
        <v>1</v>
      </c>
      <c r="M60" s="1047">
        <f t="shared" si="28"/>
        <v>478.13</v>
      </c>
      <c r="N60" s="1181">
        <f t="shared" si="29"/>
        <v>2390.65</v>
      </c>
      <c r="O60" s="1146">
        <f t="shared" si="30"/>
        <v>1</v>
      </c>
      <c r="P60" s="1047">
        <f t="shared" si="31"/>
        <v>0</v>
      </c>
      <c r="Q60" s="306">
        <f t="shared" si="26"/>
        <v>0</v>
      </c>
      <c r="R60" s="1146">
        <f t="shared" si="32"/>
        <v>0</v>
      </c>
      <c r="T60" s="1133"/>
    </row>
    <row r="61" spans="1:20" s="316" customFormat="1" ht="16.5" customHeight="1">
      <c r="A61" s="1112" t="s">
        <v>2210</v>
      </c>
      <c r="B61" s="1183" t="s">
        <v>2247</v>
      </c>
      <c r="C61" s="1171"/>
      <c r="D61" s="1187">
        <v>0</v>
      </c>
      <c r="E61" s="1190"/>
      <c r="F61" s="1138">
        <f t="shared" si="24"/>
        <v>0</v>
      </c>
      <c r="G61" s="1049"/>
      <c r="H61" s="306">
        <f t="shared" si="25"/>
        <v>0</v>
      </c>
      <c r="I61" s="307"/>
      <c r="J61" s="1046"/>
      <c r="K61" s="1145">
        <f t="shared" si="19"/>
        <v>0</v>
      </c>
      <c r="L61" s="1146"/>
      <c r="M61" s="1047"/>
      <c r="N61" s="1181"/>
      <c r="O61" s="1146"/>
      <c r="P61" s="1047"/>
      <c r="Q61" s="306">
        <f t="shared" si="26"/>
        <v>0</v>
      </c>
      <c r="R61" s="1146"/>
      <c r="T61" s="1133"/>
    </row>
    <row r="62" spans="1:20" s="316" customFormat="1" ht="16.5" customHeight="1">
      <c r="A62" s="1112" t="s">
        <v>2221</v>
      </c>
      <c r="B62" s="1101" t="s">
        <v>2251</v>
      </c>
      <c r="C62" s="1171" t="s">
        <v>50</v>
      </c>
      <c r="D62" s="1187">
        <v>9.18</v>
      </c>
      <c r="E62" s="1190">
        <v>379.46</v>
      </c>
      <c r="F62" s="1138">
        <f t="shared" si="24"/>
        <v>3483.4427999999998</v>
      </c>
      <c r="G62" s="1049"/>
      <c r="H62" s="306">
        <f t="shared" si="25"/>
        <v>0</v>
      </c>
      <c r="I62" s="307">
        <f t="shared" si="27"/>
        <v>0</v>
      </c>
      <c r="J62" s="1046">
        <v>9.18</v>
      </c>
      <c r="K62" s="1145">
        <f t="shared" si="19"/>
        <v>3483.4427999999998</v>
      </c>
      <c r="L62" s="1146">
        <f t="shared" si="20"/>
        <v>1</v>
      </c>
      <c r="M62" s="1047">
        <f t="shared" si="28"/>
        <v>9.18</v>
      </c>
      <c r="N62" s="1181">
        <f t="shared" si="29"/>
        <v>3483.4427999999998</v>
      </c>
      <c r="O62" s="1146">
        <f t="shared" si="30"/>
        <v>1</v>
      </c>
      <c r="P62" s="1047">
        <f t="shared" si="31"/>
        <v>0</v>
      </c>
      <c r="Q62" s="306">
        <f t="shared" si="26"/>
        <v>0</v>
      </c>
      <c r="R62" s="1146">
        <f t="shared" si="32"/>
        <v>0</v>
      </c>
      <c r="T62" s="1133"/>
    </row>
    <row r="63" spans="1:20" s="316" customFormat="1" ht="16.5" customHeight="1">
      <c r="A63" s="1112" t="s">
        <v>2222</v>
      </c>
      <c r="B63" s="1101" t="s">
        <v>2252</v>
      </c>
      <c r="C63" s="1171" t="s">
        <v>49</v>
      </c>
      <c r="D63" s="1187">
        <v>97.85</v>
      </c>
      <c r="E63" s="1190">
        <v>54.73</v>
      </c>
      <c r="F63" s="1138">
        <f t="shared" si="24"/>
        <v>5355.3304999999991</v>
      </c>
      <c r="G63" s="1049"/>
      <c r="H63" s="306">
        <f t="shared" si="25"/>
        <v>0</v>
      </c>
      <c r="I63" s="307">
        <f t="shared" si="27"/>
        <v>0</v>
      </c>
      <c r="J63" s="1046">
        <v>97.85</v>
      </c>
      <c r="K63" s="1145">
        <f t="shared" si="19"/>
        <v>5355.3304999999991</v>
      </c>
      <c r="L63" s="1146">
        <f t="shared" si="20"/>
        <v>1</v>
      </c>
      <c r="M63" s="1047">
        <f t="shared" si="28"/>
        <v>97.85</v>
      </c>
      <c r="N63" s="1181">
        <f t="shared" si="29"/>
        <v>5355.3304999999991</v>
      </c>
      <c r="O63" s="1146">
        <f t="shared" si="30"/>
        <v>1</v>
      </c>
      <c r="P63" s="1047">
        <f t="shared" si="31"/>
        <v>0</v>
      </c>
      <c r="Q63" s="306">
        <f t="shared" si="26"/>
        <v>0</v>
      </c>
      <c r="R63" s="1146">
        <f t="shared" si="32"/>
        <v>0</v>
      </c>
      <c r="T63" s="1133"/>
    </row>
    <row r="64" spans="1:20" s="316" customFormat="1" ht="16.5" customHeight="1">
      <c r="A64" s="1112" t="s">
        <v>2223</v>
      </c>
      <c r="B64" s="1101" t="s">
        <v>2253</v>
      </c>
      <c r="C64" s="1171" t="s">
        <v>420</v>
      </c>
      <c r="D64" s="1187">
        <v>402.45</v>
      </c>
      <c r="E64" s="1190">
        <v>5</v>
      </c>
      <c r="F64" s="1138">
        <f t="shared" si="24"/>
        <v>2012.25</v>
      </c>
      <c r="G64" s="1049"/>
      <c r="H64" s="306">
        <f t="shared" si="25"/>
        <v>0</v>
      </c>
      <c r="I64" s="307">
        <f t="shared" si="27"/>
        <v>0</v>
      </c>
      <c r="J64" s="1046">
        <v>402.45</v>
      </c>
      <c r="K64" s="1145">
        <f t="shared" si="19"/>
        <v>2012.25</v>
      </c>
      <c r="L64" s="1146">
        <f t="shared" si="20"/>
        <v>1</v>
      </c>
      <c r="M64" s="1047">
        <f t="shared" si="28"/>
        <v>402.45</v>
      </c>
      <c r="N64" s="1181">
        <f t="shared" si="29"/>
        <v>2012.25</v>
      </c>
      <c r="O64" s="1146">
        <f t="shared" si="30"/>
        <v>1</v>
      </c>
      <c r="P64" s="1047">
        <f t="shared" si="31"/>
        <v>0</v>
      </c>
      <c r="Q64" s="306">
        <f t="shared" si="26"/>
        <v>0</v>
      </c>
      <c r="R64" s="1146">
        <f t="shared" si="32"/>
        <v>0</v>
      </c>
      <c r="T64" s="1133"/>
    </row>
    <row r="65" spans="1:21" s="316" customFormat="1" ht="16.5" customHeight="1">
      <c r="A65" s="1102">
        <v>3</v>
      </c>
      <c r="B65" s="1102" t="s">
        <v>1736</v>
      </c>
      <c r="C65" s="1171"/>
      <c r="D65" s="1172">
        <v>0</v>
      </c>
      <c r="E65" s="1173"/>
      <c r="F65" s="1138"/>
      <c r="G65" s="1049"/>
      <c r="H65" s="306">
        <f t="shared" si="10"/>
        <v>0</v>
      </c>
      <c r="I65" s="307"/>
      <c r="J65" s="1046"/>
      <c r="K65" s="1145">
        <f t="shared" si="19"/>
        <v>0</v>
      </c>
      <c r="L65" s="1146"/>
      <c r="M65" s="1047"/>
      <c r="N65" s="1181"/>
      <c r="O65" s="1146"/>
      <c r="P65" s="1047"/>
      <c r="Q65" s="306">
        <f t="shared" si="26"/>
        <v>0</v>
      </c>
      <c r="R65" s="1146"/>
      <c r="T65" s="1133"/>
    </row>
    <row r="66" spans="1:21" s="316" customFormat="1" ht="16.5" customHeight="1">
      <c r="A66" s="1101">
        <v>3.4</v>
      </c>
      <c r="B66" s="1102" t="s">
        <v>1756</v>
      </c>
      <c r="C66" s="1171"/>
      <c r="D66" s="1172">
        <v>0</v>
      </c>
      <c r="E66" s="1173"/>
      <c r="F66" s="1138">
        <f t="shared" si="9"/>
        <v>0</v>
      </c>
      <c r="G66" s="1049"/>
      <c r="H66" s="306">
        <f t="shared" si="10"/>
        <v>0</v>
      </c>
      <c r="I66" s="307"/>
      <c r="J66" s="1046"/>
      <c r="K66" s="1145">
        <f t="shared" si="19"/>
        <v>0</v>
      </c>
      <c r="L66" s="1146"/>
      <c r="M66" s="1047"/>
      <c r="N66" s="1181"/>
      <c r="O66" s="1146"/>
      <c r="P66" s="1047"/>
      <c r="Q66" s="306">
        <f t="shared" si="26"/>
        <v>0</v>
      </c>
      <c r="R66" s="1146"/>
      <c r="T66" s="1133"/>
    </row>
    <row r="67" spans="1:21" s="316" customFormat="1" ht="16.5" customHeight="1">
      <c r="A67" s="1101" t="s">
        <v>1265</v>
      </c>
      <c r="B67" s="1101" t="s">
        <v>2228</v>
      </c>
      <c r="C67" s="1171" t="s">
        <v>49</v>
      </c>
      <c r="D67" s="1172">
        <v>317.83</v>
      </c>
      <c r="E67" s="1173">
        <v>56.03</v>
      </c>
      <c r="F67" s="1138">
        <f t="shared" si="9"/>
        <v>17808.014899999998</v>
      </c>
      <c r="G67" s="1049">
        <v>261.68</v>
      </c>
      <c r="H67" s="306">
        <f t="shared" si="10"/>
        <v>14661.930400000001</v>
      </c>
      <c r="I67" s="307">
        <f t="shared" si="11"/>
        <v>0.82333322845546375</v>
      </c>
      <c r="J67" s="1046">
        <v>56.15</v>
      </c>
      <c r="K67" s="1145">
        <f>E67*J67</f>
        <v>3146.0844999999999</v>
      </c>
      <c r="L67" s="1146">
        <f t="shared" si="20"/>
        <v>0.17666677154453639</v>
      </c>
      <c r="M67" s="1047">
        <f t="shared" si="28"/>
        <v>317.83</v>
      </c>
      <c r="N67" s="1181">
        <f t="shared" si="29"/>
        <v>17808.014900000002</v>
      </c>
      <c r="O67" s="1146">
        <f t="shared" si="30"/>
        <v>1.0000000000000002</v>
      </c>
      <c r="P67" s="1047">
        <f t="shared" si="31"/>
        <v>0</v>
      </c>
      <c r="Q67" s="306">
        <f t="shared" si="26"/>
        <v>0</v>
      </c>
      <c r="R67" s="1146">
        <f t="shared" si="32"/>
        <v>0</v>
      </c>
      <c r="T67" s="1133"/>
    </row>
    <row r="68" spans="1:21" s="304" customFormat="1" ht="15" customHeight="1">
      <c r="A68" s="933"/>
      <c r="B68" s="2534" t="s">
        <v>2171</v>
      </c>
      <c r="C68" s="2535"/>
      <c r="D68" s="2535"/>
      <c r="E68" s="2535"/>
      <c r="F68" s="1061">
        <f>SUM(F21:F67)</f>
        <v>201787.70619999999</v>
      </c>
      <c r="G68" s="1068"/>
      <c r="H68" s="1067">
        <f>SUM(H21:H67)</f>
        <v>116085.72106666665</v>
      </c>
      <c r="I68" s="1071">
        <f>+H68/$F68</f>
        <v>0.5752863901015326</v>
      </c>
      <c r="J68" s="1215"/>
      <c r="K68" s="1067">
        <f>SUM(K22:K67)</f>
        <v>85701.985133333321</v>
      </c>
      <c r="L68" s="1071">
        <f>+K68/$F68</f>
        <v>0.42471360989846729</v>
      </c>
      <c r="M68" s="1072"/>
      <c r="N68" s="1067">
        <f>SUM(N21:N67)</f>
        <v>201787.70619999999</v>
      </c>
      <c r="O68" s="1071">
        <f>+N68/$F68</f>
        <v>1</v>
      </c>
      <c r="P68" s="1072"/>
      <c r="Q68" s="1067">
        <f>SUM(Q21:Q67)</f>
        <v>0</v>
      </c>
      <c r="R68" s="1071">
        <f>+Q68/$F68</f>
        <v>0</v>
      </c>
      <c r="S68" s="1149"/>
      <c r="T68" s="1133"/>
      <c r="U68" s="317"/>
    </row>
    <row r="69" spans="1:21" ht="16.5" thickBot="1">
      <c r="B69" s="2532" t="s">
        <v>2170</v>
      </c>
      <c r="C69" s="2533"/>
      <c r="D69" s="2533"/>
      <c r="E69" s="2533"/>
      <c r="F69" s="1147">
        <f>'FE3-1 '!F15</f>
        <v>13550641.68</v>
      </c>
      <c r="G69" s="1068"/>
      <c r="H69" s="1067">
        <f>H68</f>
        <v>116085.72106666665</v>
      </c>
      <c r="I69" s="1071">
        <f>+H69/$F69</f>
        <v>8.5668061932449129E-3</v>
      </c>
      <c r="J69" s="1215"/>
      <c r="K69" s="1067">
        <f>K68</f>
        <v>85701.985133333321</v>
      </c>
      <c r="L69" s="1071">
        <f>+K69/$F69</f>
        <v>6.3245702422952211E-3</v>
      </c>
      <c r="M69" s="1072"/>
      <c r="N69" s="1067">
        <f>SUM(N22:N67)</f>
        <v>201787.70619999999</v>
      </c>
      <c r="O69" s="1071">
        <f>+N69/$F69</f>
        <v>1.4891376435540135E-2</v>
      </c>
      <c r="P69" s="1072"/>
      <c r="Q69" s="1067">
        <f>SUM(Q22:Q67)</f>
        <v>0</v>
      </c>
      <c r="R69" s="1071">
        <f>+Q69/$F69</f>
        <v>0</v>
      </c>
      <c r="S69" s="317"/>
      <c r="T69" s="1133"/>
    </row>
    <row r="70" spans="1:21">
      <c r="N70" s="1191"/>
    </row>
    <row r="71" spans="1:21">
      <c r="Q71" s="1191"/>
    </row>
    <row r="72" spans="1:21">
      <c r="B72" s="230" t="s">
        <v>708</v>
      </c>
    </row>
    <row r="73" spans="1:21">
      <c r="B73" s="230" t="s">
        <v>119</v>
      </c>
    </row>
    <row r="74" spans="1:21">
      <c r="B74" s="230" t="s">
        <v>1131</v>
      </c>
    </row>
    <row r="75" spans="1:21">
      <c r="B75" s="230" t="s">
        <v>1128</v>
      </c>
    </row>
    <row r="76" spans="1:21">
      <c r="B76" s="230" t="s">
        <v>2151</v>
      </c>
    </row>
    <row r="77" spans="1:21">
      <c r="B77" s="230" t="s">
        <v>2152</v>
      </c>
    </row>
    <row r="79" spans="1:21">
      <c r="E79" s="230">
        <f>D46*E46</f>
        <v>480</v>
      </c>
    </row>
  </sheetData>
  <mergeCells count="25">
    <mergeCell ref="A1:R1"/>
    <mergeCell ref="A2:R2"/>
    <mergeCell ref="J6:K6"/>
    <mergeCell ref="L6:O6"/>
    <mergeCell ref="J7:K7"/>
    <mergeCell ref="L7:O7"/>
    <mergeCell ref="P7:R7"/>
    <mergeCell ref="J8:K8"/>
    <mergeCell ref="L8:O8"/>
    <mergeCell ref="P8:R8"/>
    <mergeCell ref="J9:K9"/>
    <mergeCell ref="L9:O9"/>
    <mergeCell ref="P9:R9"/>
    <mergeCell ref="A12:A14"/>
    <mergeCell ref="B12:B14"/>
    <mergeCell ref="C12:C14"/>
    <mergeCell ref="D12:D14"/>
    <mergeCell ref="E12:E14"/>
    <mergeCell ref="B69:E69"/>
    <mergeCell ref="P12:R13"/>
    <mergeCell ref="G13:I13"/>
    <mergeCell ref="J13:L13"/>
    <mergeCell ref="M13:O13"/>
    <mergeCell ref="B68:E68"/>
    <mergeCell ref="F12:F14"/>
  </mergeCells>
  <phoneticPr fontId="88" type="noConversion"/>
  <printOptions horizontalCentered="1"/>
  <pageMargins left="0.25" right="0.25" top="0.75" bottom="0.75" header="0.3" footer="0.3"/>
  <pageSetup paperSize="9" scale="41" fitToHeight="0" orientation="landscape" r:id="rId1"/>
  <headerFooter>
    <oddFooter>&amp;CPágina &amp;P de &amp;N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16717-B5D3-434B-B1F5-941240746D8E}">
  <sheetPr>
    <tabColor rgb="FFFFC000"/>
    <pageSetUpPr fitToPage="1"/>
  </sheetPr>
  <dimension ref="A1:AN191"/>
  <sheetViews>
    <sheetView tabSelected="1" view="pageBreakPreview" topLeftCell="A22" zoomScaleNormal="70" zoomScaleSheetLayoutView="100" zoomScalePageLayoutView="70" workbookViewId="0">
      <selection activeCell="V71" sqref="V71"/>
    </sheetView>
  </sheetViews>
  <sheetFormatPr baseColWidth="10" defaultColWidth="11.42578125" defaultRowHeight="15.75"/>
  <cols>
    <col min="1" max="1" width="16.28515625" style="230" customWidth="1"/>
    <col min="2" max="2" width="100.140625" style="230" customWidth="1"/>
    <col min="3" max="3" width="10.28515625" style="1500" customWidth="1"/>
    <col min="4" max="4" width="16.7109375" style="230" customWidth="1"/>
    <col min="5" max="5" width="12.28515625" style="1263" customWidth="1"/>
    <col min="6" max="6" width="18.42578125" style="230" customWidth="1"/>
    <col min="7" max="7" width="12.5703125" style="230" customWidth="1"/>
    <col min="8" max="8" width="18" style="230" customWidth="1"/>
    <col min="9" max="9" width="12.42578125" style="230" customWidth="1"/>
    <col min="10" max="10" width="12.85546875" style="230" customWidth="1"/>
    <col min="11" max="11" width="16.85546875" style="230" customWidth="1"/>
    <col min="12" max="12" width="15" style="230" customWidth="1"/>
    <col min="13" max="13" width="12.85546875" style="230" customWidth="1"/>
    <col min="14" max="14" width="17.28515625" style="230" customWidth="1"/>
    <col min="15" max="15" width="12.140625" style="230" customWidth="1"/>
    <col min="16" max="16" width="14.28515625" style="230" customWidth="1"/>
    <col min="17" max="17" width="18.7109375" style="230" customWidth="1"/>
    <col min="18" max="18" width="12.42578125" style="230" customWidth="1"/>
    <col min="19" max="19" width="15.140625" style="230" customWidth="1"/>
    <col min="20" max="20" width="19.42578125" style="230" hidden="1" customWidth="1"/>
    <col min="21" max="21" width="15.42578125" style="230" bestFit="1" customWidth="1"/>
    <col min="22" max="16384" width="11.42578125" style="230"/>
  </cols>
  <sheetData>
    <row r="1" spans="1:40" ht="52.5" customHeight="1">
      <c r="A1" s="2148" t="s">
        <v>2511</v>
      </c>
      <c r="B1" s="2148"/>
      <c r="C1" s="2148"/>
      <c r="D1" s="2148"/>
      <c r="E1" s="2148"/>
      <c r="F1" s="2148"/>
      <c r="G1" s="2148"/>
      <c r="H1" s="2148"/>
      <c r="I1" s="2148"/>
      <c r="J1" s="2148"/>
      <c r="K1" s="2148"/>
      <c r="L1" s="2148"/>
      <c r="M1" s="2148"/>
      <c r="N1" s="2148"/>
      <c r="O1" s="2148"/>
      <c r="P1" s="2148"/>
      <c r="Q1" s="2148"/>
      <c r="R1" s="2148"/>
      <c r="S1" s="276"/>
      <c r="T1" s="276"/>
      <c r="U1" s="276"/>
      <c r="V1" s="276"/>
      <c r="W1" s="276"/>
      <c r="X1" s="276"/>
      <c r="Y1" s="276"/>
      <c r="Z1" s="276"/>
      <c r="AA1" s="276"/>
      <c r="AB1" s="276"/>
      <c r="AC1" s="276"/>
      <c r="AD1" s="276"/>
      <c r="AE1" s="276"/>
      <c r="AF1" s="276"/>
      <c r="AG1" s="276"/>
      <c r="AH1" s="276"/>
      <c r="AI1" s="276"/>
      <c r="AJ1" s="276"/>
      <c r="AK1" s="276"/>
      <c r="AL1" s="276"/>
      <c r="AM1" s="276"/>
      <c r="AN1" s="276"/>
    </row>
    <row r="2" spans="1:40" ht="17.25" customHeight="1">
      <c r="A2" s="1218"/>
      <c r="B2" s="1218"/>
      <c r="C2" s="1218"/>
      <c r="D2" s="2504" t="s">
        <v>2697</v>
      </c>
      <c r="E2" s="2504"/>
      <c r="F2" s="2504"/>
      <c r="G2" s="2504"/>
      <c r="H2" s="2504"/>
      <c r="I2" s="2504"/>
      <c r="J2" s="2504"/>
      <c r="K2" s="2504"/>
      <c r="L2" s="1218"/>
      <c r="M2" s="1218"/>
      <c r="N2" s="1218"/>
      <c r="O2" s="1218"/>
      <c r="P2" s="1218"/>
      <c r="Q2" s="1218"/>
      <c r="R2" s="1218"/>
      <c r="S2" s="276"/>
      <c r="T2" s="276"/>
      <c r="U2" s="276"/>
      <c r="V2" s="276"/>
      <c r="W2" s="276"/>
      <c r="X2" s="276"/>
      <c r="Y2" s="276"/>
      <c r="Z2" s="276"/>
      <c r="AA2" s="276"/>
      <c r="AB2" s="276"/>
      <c r="AC2" s="276"/>
      <c r="AD2" s="276"/>
      <c r="AE2" s="276"/>
      <c r="AF2" s="276"/>
      <c r="AG2" s="276"/>
      <c r="AH2" s="276"/>
      <c r="AI2" s="276"/>
      <c r="AJ2" s="276"/>
      <c r="AK2" s="276"/>
      <c r="AL2" s="276"/>
      <c r="AM2" s="276"/>
      <c r="AN2" s="276"/>
    </row>
    <row r="3" spans="1:40" s="8" customFormat="1" ht="44.25" customHeight="1">
      <c r="A3" s="2149" t="s">
        <v>4275</v>
      </c>
      <c r="B3" s="2149"/>
      <c r="C3" s="2149"/>
      <c r="D3" s="2149"/>
      <c r="E3" s="2149"/>
      <c r="F3" s="2149"/>
      <c r="G3" s="2149"/>
      <c r="H3" s="2149"/>
      <c r="I3" s="2149"/>
      <c r="J3" s="2149"/>
      <c r="K3" s="2149"/>
      <c r="L3" s="2149"/>
      <c r="M3" s="2149"/>
      <c r="N3" s="2149"/>
      <c r="O3" s="2149"/>
      <c r="P3" s="2149"/>
      <c r="Q3" s="2149"/>
      <c r="R3" s="2149"/>
    </row>
    <row r="4" spans="1:40" s="8" customFormat="1" ht="20.100000000000001" customHeight="1">
      <c r="A4" s="997"/>
      <c r="B4" s="998" t="s">
        <v>57</v>
      </c>
      <c r="C4" s="999"/>
      <c r="D4" s="998"/>
      <c r="E4" s="1464"/>
      <c r="F4" s="1007"/>
      <c r="G4" s="998"/>
      <c r="H4" s="998"/>
      <c r="I4" s="998"/>
      <c r="J4" s="998"/>
      <c r="K4" s="998"/>
      <c r="L4" s="998"/>
      <c r="M4" s="1000"/>
      <c r="N4" s="1001"/>
      <c r="O4" s="998"/>
      <c r="P4" s="998"/>
      <c r="Q4" s="998"/>
      <c r="R4" s="998"/>
    </row>
    <row r="5" spans="1:40" s="8" customFormat="1" ht="20.100000000000001" customHeight="1">
      <c r="A5" s="997" t="s">
        <v>136</v>
      </c>
      <c r="B5" s="998" t="str">
        <f>[10]Datos!C25</f>
        <v>“MEJORAMIENTO DE LA GESTIÓN MUNICIPAL Y SERVICIO ADMINISTRATIVO DE LA MUNICIPALIDAD PROVINCIAL DE ABANCAY, DISTRITO DE ABANCAY - PROVINCIA DE ABANCAY - DEPARTAMENTO DE APURIMAC”.</v>
      </c>
      <c r="C5" s="999"/>
      <c r="D5" s="998"/>
      <c r="E5" s="1464"/>
      <c r="F5" s="1007"/>
      <c r="G5" s="998"/>
      <c r="H5" s="998"/>
      <c r="I5" s="998"/>
      <c r="J5" s="998"/>
      <c r="K5" s="998"/>
      <c r="L5" s="998"/>
      <c r="M5" s="998"/>
      <c r="N5" s="998"/>
      <c r="O5" s="998"/>
      <c r="P5" s="998"/>
      <c r="Q5" s="998"/>
      <c r="R5" s="998"/>
    </row>
    <row r="6" spans="1:40" s="8" customFormat="1" ht="20.100000000000001" customHeight="1">
      <c r="A6" s="997" t="s">
        <v>137</v>
      </c>
      <c r="B6" s="998" t="s">
        <v>126</v>
      </c>
      <c r="C6" s="1002"/>
      <c r="D6" s="1003"/>
      <c r="E6" s="1465"/>
      <c r="F6" s="1007"/>
      <c r="G6" s="1003"/>
      <c r="H6" s="1003"/>
      <c r="I6" s="1003"/>
      <c r="J6" s="1003"/>
      <c r="K6" s="1003"/>
      <c r="L6" s="1004"/>
      <c r="M6" s="1003"/>
      <c r="N6" s="1003"/>
      <c r="O6" s="1003"/>
      <c r="P6" s="1003"/>
      <c r="Q6" s="1003"/>
      <c r="R6" s="1003"/>
    </row>
    <row r="7" spans="1:40" s="8" customFormat="1" ht="20.100000000000001" customHeight="1">
      <c r="A7" s="997" t="s">
        <v>139</v>
      </c>
      <c r="B7" s="1003" t="s">
        <v>2479</v>
      </c>
      <c r="C7" s="1002"/>
      <c r="D7" s="1003"/>
      <c r="E7" s="1465"/>
      <c r="F7" s="1007"/>
      <c r="G7" s="1003"/>
      <c r="H7" s="1003"/>
      <c r="I7" s="1003"/>
      <c r="J7" s="2143" t="s">
        <v>1147</v>
      </c>
      <c r="K7" s="2144"/>
      <c r="L7" s="2145" t="s">
        <v>4267</v>
      </c>
      <c r="M7" s="2146"/>
      <c r="N7" s="2146"/>
      <c r="O7" s="2147"/>
      <c r="P7" s="998"/>
      <c r="Q7" s="998"/>
      <c r="R7" s="998"/>
    </row>
    <row r="8" spans="1:40" s="8" customFormat="1" ht="20.100000000000001" customHeight="1">
      <c r="A8" s="997" t="s">
        <v>129</v>
      </c>
      <c r="B8" s="998" t="str">
        <f>[11]Datos!C73</f>
        <v>ING. RICHARD ERWIN MONTALVO ALVARO</v>
      </c>
      <c r="C8" s="1006"/>
      <c r="D8" s="1007"/>
      <c r="E8" s="1466"/>
      <c r="F8" s="1007"/>
      <c r="G8" s="1007"/>
      <c r="H8" s="1007"/>
      <c r="I8" s="1007"/>
      <c r="J8" s="2143" t="s">
        <v>1148</v>
      </c>
      <c r="K8" s="2144"/>
      <c r="L8" s="2502" t="s">
        <v>125</v>
      </c>
      <c r="M8" s="2502"/>
      <c r="N8" s="2502"/>
      <c r="O8" s="2502"/>
      <c r="P8" s="998"/>
      <c r="Q8" s="998"/>
      <c r="R8" s="998"/>
    </row>
    <row r="9" spans="1:40" s="8" customFormat="1" ht="20.100000000000001" customHeight="1">
      <c r="A9" s="997" t="s">
        <v>128</v>
      </c>
      <c r="B9" s="1008" t="str">
        <f>[10]Datos!C78</f>
        <v>ING. IVES BUSTHER GUTIERREZ ARENAS</v>
      </c>
      <c r="C9" s="1009"/>
      <c r="D9" s="1010"/>
      <c r="E9" s="1468"/>
      <c r="F9" s="1007"/>
      <c r="G9" s="1010"/>
      <c r="H9" s="1010"/>
      <c r="I9" s="1010"/>
      <c r="J9" s="2143" t="s">
        <v>1149</v>
      </c>
      <c r="K9" s="2144"/>
      <c r="L9" s="2502" t="s">
        <v>125</v>
      </c>
      <c r="M9" s="2502"/>
      <c r="N9" s="2502"/>
      <c r="O9" s="2502"/>
      <c r="P9" s="998"/>
      <c r="Q9" s="998"/>
      <c r="R9" s="998"/>
    </row>
    <row r="10" spans="1:40" s="314" customFormat="1" ht="20.100000000000001" customHeight="1">
      <c r="A10" s="997"/>
      <c r="B10" s="1008"/>
      <c r="C10" s="1009"/>
      <c r="D10" s="1010"/>
      <c r="E10" s="1468"/>
      <c r="F10" s="1007"/>
      <c r="G10" s="1010"/>
      <c r="H10" s="1010"/>
      <c r="I10" s="1010"/>
      <c r="J10" s="2143" t="s">
        <v>1151</v>
      </c>
      <c r="K10" s="2144"/>
      <c r="L10" s="2502" t="s">
        <v>124</v>
      </c>
      <c r="M10" s="2502"/>
      <c r="N10" s="2502"/>
      <c r="O10" s="2502"/>
      <c r="P10" s="998"/>
      <c r="Q10" s="998"/>
      <c r="R10" s="998"/>
    </row>
    <row r="11" spans="1:40" s="314" customFormat="1" ht="14.25" customHeight="1">
      <c r="A11" s="998"/>
      <c r="B11" s="1011"/>
      <c r="C11" s="1009"/>
      <c r="D11" s="1010"/>
      <c r="E11" s="1468"/>
      <c r="F11" s="1393"/>
      <c r="G11" s="1010"/>
      <c r="H11" s="1010"/>
      <c r="I11" s="1010"/>
      <c r="J11" s="1010"/>
      <c r="K11" s="1010"/>
      <c r="L11" s="1010"/>
      <c r="M11" s="1010"/>
      <c r="N11" s="1010"/>
      <c r="O11" s="1010"/>
      <c r="P11" s="1010"/>
      <c r="Q11" s="1010"/>
      <c r="R11" s="1010"/>
    </row>
    <row r="12" spans="1:40" s="314" customFormat="1" ht="20.25" customHeight="1">
      <c r="A12" s="2501" t="s">
        <v>31</v>
      </c>
      <c r="B12" s="2501" t="s">
        <v>114</v>
      </c>
      <c r="C12" s="2501" t="s">
        <v>37</v>
      </c>
      <c r="D12" s="2501" t="s">
        <v>23</v>
      </c>
      <c r="E12" s="2536" t="s">
        <v>706</v>
      </c>
      <c r="F12" s="2536" t="s">
        <v>127</v>
      </c>
      <c r="G12" s="1036"/>
      <c r="H12" s="1037"/>
      <c r="I12" s="1037"/>
      <c r="J12" s="1037"/>
      <c r="K12" s="1038" t="s">
        <v>767</v>
      </c>
      <c r="L12" s="1037"/>
      <c r="M12" s="1037"/>
      <c r="N12" s="1037"/>
      <c r="O12" s="1039"/>
      <c r="P12" s="2497" t="s">
        <v>16</v>
      </c>
      <c r="Q12" s="2497"/>
      <c r="R12" s="2497"/>
    </row>
    <row r="13" spans="1:40" s="314" customFormat="1" ht="20.25" customHeight="1">
      <c r="A13" s="2501"/>
      <c r="B13" s="2501"/>
      <c r="C13" s="2501"/>
      <c r="D13" s="2501"/>
      <c r="E13" s="2536"/>
      <c r="F13" s="2536"/>
      <c r="G13" s="2497" t="s">
        <v>140</v>
      </c>
      <c r="H13" s="2497"/>
      <c r="I13" s="2497"/>
      <c r="J13" s="2497" t="s">
        <v>141</v>
      </c>
      <c r="K13" s="2497"/>
      <c r="L13" s="2497"/>
      <c r="M13" s="2497" t="s">
        <v>142</v>
      </c>
      <c r="N13" s="2497"/>
      <c r="O13" s="2497"/>
      <c r="P13" s="2497"/>
      <c r="Q13" s="2497"/>
      <c r="R13" s="2497"/>
    </row>
    <row r="14" spans="1:40" s="314" customFormat="1" ht="20.25" customHeight="1">
      <c r="A14" s="2501"/>
      <c r="B14" s="2501"/>
      <c r="C14" s="2501"/>
      <c r="D14" s="2501"/>
      <c r="E14" s="2536"/>
      <c r="F14" s="2536"/>
      <c r="G14" s="1040" t="s">
        <v>54</v>
      </c>
      <c r="H14" s="1040" t="s">
        <v>506</v>
      </c>
      <c r="I14" s="1040" t="s">
        <v>30</v>
      </c>
      <c r="J14" s="1040" t="s">
        <v>54</v>
      </c>
      <c r="K14" s="1040" t="s">
        <v>506</v>
      </c>
      <c r="L14" s="1040" t="s">
        <v>30</v>
      </c>
      <c r="M14" s="1040" t="s">
        <v>54</v>
      </c>
      <c r="N14" s="1040" t="s">
        <v>506</v>
      </c>
      <c r="O14" s="1040" t="s">
        <v>30</v>
      </c>
      <c r="P14" s="1040" t="s">
        <v>54</v>
      </c>
      <c r="Q14" s="1040" t="s">
        <v>506</v>
      </c>
      <c r="R14" s="1040" t="s">
        <v>30</v>
      </c>
    </row>
    <row r="15" spans="1:40" s="314" customFormat="1" ht="16.5" customHeight="1">
      <c r="A15" s="300"/>
      <c r="B15" s="300"/>
      <c r="C15" s="300"/>
      <c r="D15" s="301"/>
      <c r="E15" s="1469"/>
      <c r="F15" s="1470">
        <f>F116</f>
        <v>2022520.64</v>
      </c>
      <c r="G15" s="1042"/>
      <c r="H15" s="1043">
        <f>H116</f>
        <v>1831109.6892000006</v>
      </c>
      <c r="I15" s="308"/>
      <c r="J15" s="1044"/>
      <c r="K15" s="1043">
        <f>K116</f>
        <v>0</v>
      </c>
      <c r="L15" s="309"/>
      <c r="M15" s="1044"/>
      <c r="N15" s="1043">
        <f>N116</f>
        <v>1831109.6892000006</v>
      </c>
      <c r="O15" s="308"/>
      <c r="P15" s="1044"/>
      <c r="Q15" s="1043">
        <f>F15-N15</f>
        <v>191410.95079999929</v>
      </c>
      <c r="R15" s="308"/>
      <c r="S15" s="1471"/>
    </row>
    <row r="16" spans="1:40" s="313" customFormat="1" ht="52.5" customHeight="1">
      <c r="A16" s="1472"/>
      <c r="B16" s="1097" t="s">
        <v>2150</v>
      </c>
      <c r="C16" s="1473"/>
      <c r="D16" s="302"/>
      <c r="E16" s="1474"/>
      <c r="F16" s="1475"/>
      <c r="G16" s="1048"/>
      <c r="H16" s="303"/>
      <c r="I16" s="310"/>
      <c r="J16" s="1044"/>
      <c r="K16" s="311"/>
      <c r="L16" s="311"/>
      <c r="M16" s="1045"/>
      <c r="N16" s="311"/>
      <c r="O16" s="311"/>
      <c r="P16" s="1045"/>
      <c r="Q16" s="311"/>
      <c r="R16" s="311"/>
      <c r="S16" s="314"/>
      <c r="T16" s="314"/>
      <c r="U16" s="314"/>
      <c r="V16" s="314"/>
      <c r="W16" s="314"/>
      <c r="X16" s="314"/>
    </row>
    <row r="17" spans="1:24" s="313" customFormat="1" ht="16.5" customHeight="1">
      <c r="A17" s="1476" t="s">
        <v>34</v>
      </c>
      <c r="B17" s="1477" t="s">
        <v>1695</v>
      </c>
      <c r="C17" s="1478"/>
      <c r="D17" s="1318"/>
      <c r="E17" s="1317"/>
      <c r="F17" s="1304"/>
      <c r="G17" s="1049"/>
      <c r="H17" s="306"/>
      <c r="I17" s="307"/>
      <c r="J17" s="1044"/>
      <c r="K17" s="306"/>
      <c r="L17" s="307"/>
      <c r="M17" s="1047"/>
      <c r="N17" s="306"/>
      <c r="O17" s="307"/>
      <c r="P17" s="1047"/>
      <c r="Q17" s="306"/>
      <c r="R17" s="307"/>
      <c r="S17" s="314"/>
      <c r="T17" s="314"/>
      <c r="U17" s="314"/>
      <c r="V17" s="314"/>
      <c r="W17" s="314"/>
      <c r="X17" s="314"/>
    </row>
    <row r="18" spans="1:24" s="313" customFormat="1" ht="16.5" customHeight="1">
      <c r="A18" s="1337" t="s">
        <v>43</v>
      </c>
      <c r="B18" s="1307" t="s">
        <v>243</v>
      </c>
      <c r="C18" s="1479"/>
      <c r="D18" s="1303"/>
      <c r="E18" s="1312"/>
      <c r="F18" s="1304"/>
      <c r="G18" s="1049"/>
      <c r="H18" s="306"/>
      <c r="I18" s="307"/>
      <c r="J18" s="1044"/>
      <c r="K18" s="306"/>
      <c r="L18" s="307"/>
      <c r="M18" s="1047"/>
      <c r="N18" s="306"/>
      <c r="O18" s="307"/>
      <c r="P18" s="1047"/>
      <c r="Q18" s="306"/>
      <c r="R18" s="307"/>
      <c r="S18" s="1471"/>
      <c r="T18" s="314"/>
      <c r="U18" s="314"/>
      <c r="V18" s="314"/>
      <c r="W18" s="314"/>
      <c r="X18" s="314"/>
    </row>
    <row r="19" spans="1:24" s="313" customFormat="1" ht="16.5" customHeight="1">
      <c r="A19" s="1480" t="s">
        <v>537</v>
      </c>
      <c r="B19" s="1481" t="s">
        <v>2512</v>
      </c>
      <c r="C19" s="1482"/>
      <c r="D19" s="1303"/>
      <c r="E19" s="1312"/>
      <c r="F19" s="1304"/>
      <c r="G19" s="1049"/>
      <c r="H19" s="306"/>
      <c r="I19" s="307"/>
      <c r="J19" s="1044"/>
      <c r="K19" s="306"/>
      <c r="L19" s="307"/>
      <c r="M19" s="1047"/>
      <c r="N19" s="306"/>
      <c r="O19" s="307"/>
      <c r="P19" s="1047"/>
      <c r="Q19" s="306"/>
      <c r="R19" s="307"/>
      <c r="S19" s="314"/>
      <c r="T19" s="314"/>
      <c r="U19" s="314"/>
      <c r="V19" s="314"/>
      <c r="W19" s="314"/>
      <c r="X19" s="314"/>
    </row>
    <row r="20" spans="1:24" s="313" customFormat="1" ht="16.5" customHeight="1">
      <c r="A20" s="1337" t="s">
        <v>2513</v>
      </c>
      <c r="B20" s="1311" t="s">
        <v>2514</v>
      </c>
      <c r="C20" s="1483" t="s">
        <v>49</v>
      </c>
      <c r="D20" s="1484">
        <v>399.22</v>
      </c>
      <c r="E20" s="1485">
        <v>2.42</v>
      </c>
      <c r="F20" s="1486">
        <f>E20*D20</f>
        <v>966.11240000000009</v>
      </c>
      <c r="G20" s="1049">
        <v>399.22</v>
      </c>
      <c r="H20" s="306">
        <v>966.11</v>
      </c>
      <c r="I20" s="307">
        <v>0.99999751581700014</v>
      </c>
      <c r="J20" s="1046"/>
      <c r="K20" s="306">
        <f t="shared" ref="K20" si="0">J20*E20</f>
        <v>0</v>
      </c>
      <c r="L20" s="307">
        <f t="shared" ref="L20" si="1">+K20/$F20</f>
        <v>0</v>
      </c>
      <c r="M20" s="1047">
        <f>+G20+J20</f>
        <v>399.22</v>
      </c>
      <c r="N20" s="306">
        <f>H20+K20</f>
        <v>966.11</v>
      </c>
      <c r="O20" s="307">
        <f t="shared" ref="O20" si="2">+N20/$F20</f>
        <v>0.99999751581700014</v>
      </c>
      <c r="P20" s="1047">
        <f>D20-M20</f>
        <v>0</v>
      </c>
      <c r="Q20" s="306">
        <f t="shared" ref="Q20" si="3">F20-N20</f>
        <v>2.4000000000796717E-3</v>
      </c>
      <c r="R20" s="307">
        <f t="shared" ref="R20" si="4">+Q20/$F20</f>
        <v>2.4841829999073312E-6</v>
      </c>
      <c r="S20" s="314" t="str">
        <f>IF(M20&gt;D20,"mayormetrado","ok")</f>
        <v>ok</v>
      </c>
      <c r="T20" s="314"/>
      <c r="U20" s="314"/>
      <c r="V20" s="314"/>
      <c r="W20" s="314"/>
      <c r="X20" s="314"/>
    </row>
    <row r="21" spans="1:24" s="313" customFormat="1" ht="16.5" customHeight="1">
      <c r="A21" s="1341" t="s">
        <v>44</v>
      </c>
      <c r="B21" s="1307" t="s">
        <v>2515</v>
      </c>
      <c r="C21" s="1487"/>
      <c r="D21" s="1488"/>
      <c r="E21" s="1488"/>
      <c r="F21" s="1304"/>
      <c r="G21" s="1049"/>
      <c r="H21" s="306">
        <v>0</v>
      </c>
      <c r="I21" s="307"/>
      <c r="J21" s="1046"/>
      <c r="K21" s="306"/>
      <c r="L21" s="307"/>
      <c r="M21" s="1047"/>
      <c r="N21" s="306">
        <f t="shared" ref="N21:N84" si="5">H21+K21</f>
        <v>0</v>
      </c>
      <c r="O21" s="307"/>
      <c r="P21" s="1047"/>
      <c r="Q21" s="306"/>
      <c r="R21" s="307"/>
      <c r="S21" s="314" t="str">
        <f t="shared" ref="S21:S84" si="6">IF(M21&gt;D21,"mayormetrado","ok")</f>
        <v>ok</v>
      </c>
      <c r="T21" s="314"/>
      <c r="U21" s="314"/>
      <c r="V21" s="314"/>
      <c r="W21" s="314"/>
      <c r="X21" s="314"/>
    </row>
    <row r="22" spans="1:24" s="313" customFormat="1" ht="16.5" customHeight="1">
      <c r="A22" s="1341" t="s">
        <v>544</v>
      </c>
      <c r="B22" s="1481" t="s">
        <v>2516</v>
      </c>
      <c r="C22" s="1487"/>
      <c r="D22" s="1488"/>
      <c r="E22" s="1488"/>
      <c r="F22" s="1304"/>
      <c r="G22" s="1049"/>
      <c r="H22" s="306">
        <v>0</v>
      </c>
      <c r="I22" s="307"/>
      <c r="J22" s="1046"/>
      <c r="K22" s="306"/>
      <c r="L22" s="307"/>
      <c r="M22" s="1047"/>
      <c r="N22" s="306">
        <f t="shared" si="5"/>
        <v>0</v>
      </c>
      <c r="O22" s="307"/>
      <c r="P22" s="1047"/>
      <c r="Q22" s="306"/>
      <c r="R22" s="307"/>
      <c r="S22" s="314" t="str">
        <f t="shared" si="6"/>
        <v>ok</v>
      </c>
      <c r="T22" s="314"/>
      <c r="U22" s="314"/>
      <c r="V22" s="314"/>
      <c r="W22" s="314"/>
      <c r="X22" s="314"/>
    </row>
    <row r="23" spans="1:24" s="313" customFormat="1" ht="16.5" customHeight="1">
      <c r="A23" s="1337" t="s">
        <v>2517</v>
      </c>
      <c r="B23" s="1311" t="s">
        <v>2518</v>
      </c>
      <c r="C23" s="1483" t="s">
        <v>51</v>
      </c>
      <c r="D23" s="1484">
        <v>1021.2900000000001</v>
      </c>
      <c r="E23" s="1485">
        <v>4.21</v>
      </c>
      <c r="F23" s="1486">
        <f>E23*D23</f>
        <v>4299.6309000000001</v>
      </c>
      <c r="G23" s="1049">
        <v>1021.29</v>
      </c>
      <c r="H23" s="306">
        <v>4299.63</v>
      </c>
      <c r="I23" s="307">
        <v>0.9999997906797069</v>
      </c>
      <c r="J23" s="1046"/>
      <c r="K23" s="306">
        <f t="shared" ref="K23:K52" si="7">J23*E23</f>
        <v>0</v>
      </c>
      <c r="L23" s="307">
        <f t="shared" ref="L23:L52" si="8">+K23/$F23</f>
        <v>0</v>
      </c>
      <c r="M23" s="1047">
        <f>+G23+J23</f>
        <v>1021.29</v>
      </c>
      <c r="N23" s="306">
        <f t="shared" si="5"/>
        <v>4299.63</v>
      </c>
      <c r="O23" s="307">
        <f t="shared" ref="O23:O52" si="9">+N23/$F23</f>
        <v>0.9999997906797069</v>
      </c>
      <c r="P23" s="1047">
        <f t="shared" ref="P23:P52" si="10">D23-M23</f>
        <v>0</v>
      </c>
      <c r="Q23" s="306">
        <f t="shared" ref="Q23:Q52" si="11">F23-N23</f>
        <v>9.0000000000145519E-4</v>
      </c>
      <c r="R23" s="307">
        <f t="shared" ref="R23:R52" si="12">+Q23/$F23</f>
        <v>2.0932029305153965E-7</v>
      </c>
      <c r="S23" s="314" t="str">
        <f t="shared" si="6"/>
        <v>ok</v>
      </c>
      <c r="T23" s="314"/>
      <c r="U23" s="314"/>
      <c r="V23" s="314"/>
      <c r="W23" s="314"/>
      <c r="X23" s="314"/>
    </row>
    <row r="24" spans="1:24" s="313" customFormat="1" ht="16.5" customHeight="1">
      <c r="A24" s="1341" t="s">
        <v>2519</v>
      </c>
      <c r="B24" s="1481" t="s">
        <v>2520</v>
      </c>
      <c r="C24" s="1483"/>
      <c r="D24" s="1488"/>
      <c r="E24" s="1485"/>
      <c r="F24" s="1304"/>
      <c r="G24" s="1049"/>
      <c r="H24" s="306"/>
      <c r="I24" s="307"/>
      <c r="J24" s="1046"/>
      <c r="K24" s="306"/>
      <c r="L24" s="307"/>
      <c r="M24" s="1047"/>
      <c r="N24" s="306"/>
      <c r="O24" s="307"/>
      <c r="P24" s="1047"/>
      <c r="Q24" s="306"/>
      <c r="R24" s="307"/>
      <c r="S24" s="314" t="str">
        <f t="shared" si="6"/>
        <v>ok</v>
      </c>
      <c r="T24" s="314"/>
      <c r="U24" s="314"/>
      <c r="V24" s="314"/>
      <c r="W24" s="314"/>
      <c r="X24" s="314"/>
    </row>
    <row r="25" spans="1:24" s="313" customFormat="1" ht="16.5" customHeight="1">
      <c r="A25" s="1337" t="s">
        <v>2521</v>
      </c>
      <c r="B25" s="1311" t="s">
        <v>2522</v>
      </c>
      <c r="C25" s="1483" t="s">
        <v>52</v>
      </c>
      <c r="D25" s="1484">
        <v>8</v>
      </c>
      <c r="E25" s="1485">
        <v>1016.8</v>
      </c>
      <c r="F25" s="1486">
        <f t="shared" ref="F25:F32" si="13">E25*D25</f>
        <v>8134.4</v>
      </c>
      <c r="G25" s="1049">
        <v>8</v>
      </c>
      <c r="H25" s="306">
        <v>8134.4</v>
      </c>
      <c r="I25" s="307">
        <v>1</v>
      </c>
      <c r="J25" s="1046"/>
      <c r="K25" s="306">
        <f t="shared" si="7"/>
        <v>0</v>
      </c>
      <c r="L25" s="307">
        <f t="shared" si="8"/>
        <v>0</v>
      </c>
      <c r="M25" s="1047">
        <f t="shared" ref="M25:M52" si="14">+G25+J25</f>
        <v>8</v>
      </c>
      <c r="N25" s="306">
        <f t="shared" si="5"/>
        <v>8134.4</v>
      </c>
      <c r="O25" s="307">
        <f t="shared" si="9"/>
        <v>1</v>
      </c>
      <c r="P25" s="1047">
        <f t="shared" si="10"/>
        <v>0</v>
      </c>
      <c r="Q25" s="306">
        <f t="shared" si="11"/>
        <v>0</v>
      </c>
      <c r="R25" s="307">
        <f t="shared" si="12"/>
        <v>0</v>
      </c>
      <c r="S25" s="314" t="str">
        <f t="shared" si="6"/>
        <v>ok</v>
      </c>
      <c r="T25" s="314"/>
      <c r="U25" s="314"/>
      <c r="V25" s="314"/>
      <c r="W25" s="314"/>
      <c r="X25" s="314"/>
    </row>
    <row r="26" spans="1:24" s="313" customFormat="1" ht="16.5" customHeight="1">
      <c r="A26" s="1337" t="s">
        <v>2523</v>
      </c>
      <c r="B26" s="1311" t="s">
        <v>2524</v>
      </c>
      <c r="C26" s="1483" t="s">
        <v>52</v>
      </c>
      <c r="D26" s="1484">
        <v>4</v>
      </c>
      <c r="E26" s="1485">
        <v>3863.02</v>
      </c>
      <c r="F26" s="1486">
        <f t="shared" si="13"/>
        <v>15452.08</v>
      </c>
      <c r="G26" s="1049">
        <v>4</v>
      </c>
      <c r="H26" s="306">
        <v>15452.08</v>
      </c>
      <c r="I26" s="307">
        <v>1</v>
      </c>
      <c r="J26" s="1046"/>
      <c r="K26" s="306">
        <f t="shared" si="7"/>
        <v>0</v>
      </c>
      <c r="L26" s="307">
        <f t="shared" si="8"/>
        <v>0</v>
      </c>
      <c r="M26" s="1047">
        <f t="shared" si="14"/>
        <v>4</v>
      </c>
      <c r="N26" s="306">
        <f t="shared" si="5"/>
        <v>15452.08</v>
      </c>
      <c r="O26" s="307">
        <f t="shared" si="9"/>
        <v>1</v>
      </c>
      <c r="P26" s="1047">
        <f t="shared" si="10"/>
        <v>0</v>
      </c>
      <c r="Q26" s="306">
        <f t="shared" si="11"/>
        <v>0</v>
      </c>
      <c r="R26" s="307">
        <f t="shared" si="12"/>
        <v>0</v>
      </c>
      <c r="S26" s="314" t="str">
        <f t="shared" si="6"/>
        <v>ok</v>
      </c>
      <c r="T26" s="314"/>
      <c r="U26" s="314"/>
      <c r="V26" s="314"/>
      <c r="W26" s="314"/>
      <c r="X26" s="314"/>
    </row>
    <row r="27" spans="1:24" s="313" customFormat="1" ht="16.5" customHeight="1">
      <c r="A27" s="1337" t="s">
        <v>2525</v>
      </c>
      <c r="B27" s="1311" t="s">
        <v>2526</v>
      </c>
      <c r="C27" s="1483" t="s">
        <v>52</v>
      </c>
      <c r="D27" s="1484">
        <v>1</v>
      </c>
      <c r="E27" s="1485">
        <v>12637.62</v>
      </c>
      <c r="F27" s="1486">
        <f t="shared" si="13"/>
        <v>12637.62</v>
      </c>
      <c r="G27" s="1049">
        <v>1</v>
      </c>
      <c r="H27" s="306">
        <v>12637.62</v>
      </c>
      <c r="I27" s="307">
        <v>1</v>
      </c>
      <c r="J27" s="1046"/>
      <c r="K27" s="306">
        <f t="shared" si="7"/>
        <v>0</v>
      </c>
      <c r="L27" s="307">
        <f t="shared" si="8"/>
        <v>0</v>
      </c>
      <c r="M27" s="1047">
        <f t="shared" si="14"/>
        <v>1</v>
      </c>
      <c r="N27" s="306">
        <f t="shared" si="5"/>
        <v>12637.62</v>
      </c>
      <c r="O27" s="307">
        <f t="shared" si="9"/>
        <v>1</v>
      </c>
      <c r="P27" s="1047">
        <f t="shared" si="10"/>
        <v>0</v>
      </c>
      <c r="Q27" s="306">
        <f t="shared" si="11"/>
        <v>0</v>
      </c>
      <c r="R27" s="307">
        <f t="shared" si="12"/>
        <v>0</v>
      </c>
      <c r="S27" s="314" t="str">
        <f t="shared" si="6"/>
        <v>ok</v>
      </c>
      <c r="T27" s="314"/>
      <c r="U27" s="314"/>
      <c r="V27" s="314"/>
      <c r="W27" s="314"/>
      <c r="X27" s="314"/>
    </row>
    <row r="28" spans="1:24" s="313" customFormat="1" ht="16.5" customHeight="1">
      <c r="A28" s="1337" t="s">
        <v>2527</v>
      </c>
      <c r="B28" s="1311" t="s">
        <v>2528</v>
      </c>
      <c r="C28" s="1483" t="s">
        <v>52</v>
      </c>
      <c r="D28" s="1484">
        <v>8</v>
      </c>
      <c r="E28" s="1485">
        <v>1819.14</v>
      </c>
      <c r="F28" s="1486">
        <f t="shared" si="13"/>
        <v>14553.12</v>
      </c>
      <c r="G28" s="1049">
        <v>8</v>
      </c>
      <c r="H28" s="306">
        <v>14553.12</v>
      </c>
      <c r="I28" s="307">
        <v>1</v>
      </c>
      <c r="J28" s="1046"/>
      <c r="K28" s="306">
        <f t="shared" si="7"/>
        <v>0</v>
      </c>
      <c r="L28" s="307">
        <f t="shared" si="8"/>
        <v>0</v>
      </c>
      <c r="M28" s="1047">
        <f t="shared" si="14"/>
        <v>8</v>
      </c>
      <c r="N28" s="306">
        <f t="shared" si="5"/>
        <v>14553.12</v>
      </c>
      <c r="O28" s="307">
        <f t="shared" si="9"/>
        <v>1</v>
      </c>
      <c r="P28" s="1047">
        <f t="shared" si="10"/>
        <v>0</v>
      </c>
      <c r="Q28" s="306">
        <f t="shared" si="11"/>
        <v>0</v>
      </c>
      <c r="R28" s="307">
        <f t="shared" si="12"/>
        <v>0</v>
      </c>
      <c r="S28" s="314" t="str">
        <f t="shared" si="6"/>
        <v>ok</v>
      </c>
      <c r="T28" s="314"/>
      <c r="U28" s="314"/>
      <c r="V28" s="314"/>
      <c r="W28" s="314"/>
      <c r="X28" s="314"/>
    </row>
    <row r="29" spans="1:24" s="313" customFormat="1" ht="16.5" customHeight="1">
      <c r="A29" s="1337" t="s">
        <v>2529</v>
      </c>
      <c r="B29" s="1311" t="s">
        <v>2530</v>
      </c>
      <c r="C29" s="1483" t="s">
        <v>52</v>
      </c>
      <c r="D29" s="1484">
        <v>4</v>
      </c>
      <c r="E29" s="1485">
        <v>1874.52</v>
      </c>
      <c r="F29" s="1486">
        <f t="shared" si="13"/>
        <v>7498.08</v>
      </c>
      <c r="G29" s="1049">
        <v>4</v>
      </c>
      <c r="H29" s="306">
        <v>7498.08</v>
      </c>
      <c r="I29" s="307">
        <v>1</v>
      </c>
      <c r="J29" s="1046"/>
      <c r="K29" s="306">
        <f t="shared" si="7"/>
        <v>0</v>
      </c>
      <c r="L29" s="307">
        <f t="shared" si="8"/>
        <v>0</v>
      </c>
      <c r="M29" s="1047">
        <f t="shared" si="14"/>
        <v>4</v>
      </c>
      <c r="N29" s="306">
        <f t="shared" si="5"/>
        <v>7498.08</v>
      </c>
      <c r="O29" s="307">
        <f t="shared" si="9"/>
        <v>1</v>
      </c>
      <c r="P29" s="1047">
        <f t="shared" si="10"/>
        <v>0</v>
      </c>
      <c r="Q29" s="306">
        <f t="shared" si="11"/>
        <v>0</v>
      </c>
      <c r="R29" s="307">
        <f t="shared" si="12"/>
        <v>0</v>
      </c>
      <c r="S29" s="314" t="str">
        <f t="shared" si="6"/>
        <v>ok</v>
      </c>
      <c r="T29" s="314"/>
      <c r="U29" s="314"/>
      <c r="V29" s="314"/>
      <c r="W29" s="314"/>
      <c r="X29" s="314"/>
    </row>
    <row r="30" spans="1:24" s="313" customFormat="1" ht="16.5" customHeight="1">
      <c r="A30" s="1337" t="s">
        <v>2531</v>
      </c>
      <c r="B30" s="1311" t="s">
        <v>2532</v>
      </c>
      <c r="C30" s="1483" t="s">
        <v>52</v>
      </c>
      <c r="D30" s="1484">
        <v>1</v>
      </c>
      <c r="E30" s="1485">
        <v>7024.73</v>
      </c>
      <c r="F30" s="1486">
        <f t="shared" si="13"/>
        <v>7024.73</v>
      </c>
      <c r="G30" s="1049">
        <v>1</v>
      </c>
      <c r="H30" s="306">
        <v>7024.73</v>
      </c>
      <c r="I30" s="307">
        <v>1</v>
      </c>
      <c r="J30" s="1046"/>
      <c r="K30" s="306">
        <f t="shared" si="7"/>
        <v>0</v>
      </c>
      <c r="L30" s="307">
        <f t="shared" si="8"/>
        <v>0</v>
      </c>
      <c r="M30" s="1047">
        <f t="shared" si="14"/>
        <v>1</v>
      </c>
      <c r="N30" s="306">
        <f t="shared" si="5"/>
        <v>7024.73</v>
      </c>
      <c r="O30" s="307">
        <f t="shared" si="9"/>
        <v>1</v>
      </c>
      <c r="P30" s="1047">
        <f t="shared" si="10"/>
        <v>0</v>
      </c>
      <c r="Q30" s="306">
        <f t="shared" si="11"/>
        <v>0</v>
      </c>
      <c r="R30" s="307">
        <f t="shared" si="12"/>
        <v>0</v>
      </c>
      <c r="S30" s="314" t="str">
        <f t="shared" si="6"/>
        <v>ok</v>
      </c>
      <c r="T30" s="314"/>
      <c r="U30" s="314"/>
      <c r="V30" s="314"/>
      <c r="W30" s="314"/>
      <c r="X30" s="314"/>
    </row>
    <row r="31" spans="1:24" s="313" customFormat="1" ht="16.5" customHeight="1">
      <c r="A31" s="1337" t="s">
        <v>2533</v>
      </c>
      <c r="B31" s="1311" t="s">
        <v>2534</v>
      </c>
      <c r="C31" s="1483" t="s">
        <v>52</v>
      </c>
      <c r="D31" s="1484">
        <v>1</v>
      </c>
      <c r="E31" s="1485">
        <v>795.86</v>
      </c>
      <c r="F31" s="1486">
        <f t="shared" si="13"/>
        <v>795.86</v>
      </c>
      <c r="G31" s="1049">
        <v>1</v>
      </c>
      <c r="H31" s="306">
        <v>795.86</v>
      </c>
      <c r="I31" s="307">
        <v>1</v>
      </c>
      <c r="J31" s="1046"/>
      <c r="K31" s="306">
        <f t="shared" si="7"/>
        <v>0</v>
      </c>
      <c r="L31" s="307">
        <f t="shared" si="8"/>
        <v>0</v>
      </c>
      <c r="M31" s="1047">
        <f t="shared" si="14"/>
        <v>1</v>
      </c>
      <c r="N31" s="306">
        <f t="shared" si="5"/>
        <v>795.86</v>
      </c>
      <c r="O31" s="307">
        <f t="shared" si="9"/>
        <v>1</v>
      </c>
      <c r="P31" s="1047">
        <f t="shared" si="10"/>
        <v>0</v>
      </c>
      <c r="Q31" s="306">
        <f t="shared" si="11"/>
        <v>0</v>
      </c>
      <c r="R31" s="307">
        <f t="shared" si="12"/>
        <v>0</v>
      </c>
      <c r="S31" s="314" t="str">
        <f t="shared" si="6"/>
        <v>ok</v>
      </c>
      <c r="T31" s="314"/>
      <c r="U31" s="314"/>
      <c r="V31" s="314"/>
      <c r="W31" s="314"/>
      <c r="X31" s="314"/>
    </row>
    <row r="32" spans="1:24" s="313" customFormat="1" ht="16.5" customHeight="1">
      <c r="A32" s="1337" t="s">
        <v>2535</v>
      </c>
      <c r="B32" s="1311" t="s">
        <v>2536</v>
      </c>
      <c r="C32" s="1483" t="s">
        <v>52</v>
      </c>
      <c r="D32" s="1484">
        <v>1</v>
      </c>
      <c r="E32" s="1485">
        <v>1591.18</v>
      </c>
      <c r="F32" s="1486">
        <f t="shared" si="13"/>
        <v>1591.18</v>
      </c>
      <c r="G32" s="1049">
        <v>1</v>
      </c>
      <c r="H32" s="306">
        <v>1591.18</v>
      </c>
      <c r="I32" s="307">
        <v>1</v>
      </c>
      <c r="J32" s="1046"/>
      <c r="K32" s="306">
        <f t="shared" si="7"/>
        <v>0</v>
      </c>
      <c r="L32" s="307">
        <f t="shared" si="8"/>
        <v>0</v>
      </c>
      <c r="M32" s="1047">
        <f t="shared" si="14"/>
        <v>1</v>
      </c>
      <c r="N32" s="306">
        <f t="shared" si="5"/>
        <v>1591.18</v>
      </c>
      <c r="O32" s="307">
        <f t="shared" si="9"/>
        <v>1</v>
      </c>
      <c r="P32" s="1047">
        <f t="shared" si="10"/>
        <v>0</v>
      </c>
      <c r="Q32" s="306">
        <f t="shared" si="11"/>
        <v>0</v>
      </c>
      <c r="R32" s="307">
        <f t="shared" si="12"/>
        <v>0</v>
      </c>
      <c r="S32" s="314" t="str">
        <f t="shared" si="6"/>
        <v>ok</v>
      </c>
      <c r="T32" s="314"/>
      <c r="U32" s="314"/>
      <c r="V32" s="314"/>
      <c r="W32" s="314"/>
      <c r="X32" s="314"/>
    </row>
    <row r="33" spans="1:24" s="313" customFormat="1" ht="16.5" customHeight="1">
      <c r="A33" s="1337" t="s">
        <v>2537</v>
      </c>
      <c r="B33" s="1481" t="s">
        <v>2538</v>
      </c>
      <c r="C33" s="1483"/>
      <c r="D33" s="1484"/>
      <c r="E33" s="1485"/>
      <c r="F33" s="1486"/>
      <c r="G33" s="1049"/>
      <c r="H33" s="306"/>
      <c r="I33" s="307"/>
      <c r="J33" s="1046"/>
      <c r="K33" s="306"/>
      <c r="L33" s="307"/>
      <c r="M33" s="1047"/>
      <c r="N33" s="306"/>
      <c r="O33" s="307"/>
      <c r="P33" s="1047"/>
      <c r="Q33" s="306"/>
      <c r="R33" s="307"/>
      <c r="S33" s="314" t="str">
        <f t="shared" si="6"/>
        <v>ok</v>
      </c>
      <c r="T33" s="314"/>
      <c r="U33" s="314"/>
      <c r="V33" s="314"/>
      <c r="W33" s="314"/>
      <c r="X33" s="314"/>
    </row>
    <row r="34" spans="1:24" s="313" customFormat="1" ht="16.5" customHeight="1">
      <c r="A34" s="1337" t="s">
        <v>2539</v>
      </c>
      <c r="B34" s="1311" t="s">
        <v>2540</v>
      </c>
      <c r="C34" s="1483" t="s">
        <v>52</v>
      </c>
      <c r="D34" s="1484">
        <v>8</v>
      </c>
      <c r="E34" s="1485">
        <v>543.98</v>
      </c>
      <c r="F34" s="1486">
        <f t="shared" ref="F34:F38" si="15">E34*D34</f>
        <v>4351.84</v>
      </c>
      <c r="G34" s="1049">
        <v>8</v>
      </c>
      <c r="H34" s="306">
        <v>4351.84</v>
      </c>
      <c r="I34" s="307">
        <v>1</v>
      </c>
      <c r="J34" s="1046"/>
      <c r="K34" s="306">
        <f t="shared" si="7"/>
        <v>0</v>
      </c>
      <c r="L34" s="307">
        <f t="shared" si="8"/>
        <v>0</v>
      </c>
      <c r="M34" s="1047">
        <f t="shared" si="14"/>
        <v>8</v>
      </c>
      <c r="N34" s="306">
        <f t="shared" si="5"/>
        <v>4351.84</v>
      </c>
      <c r="O34" s="307">
        <f t="shared" si="9"/>
        <v>1</v>
      </c>
      <c r="P34" s="1047">
        <f t="shared" si="10"/>
        <v>0</v>
      </c>
      <c r="Q34" s="306">
        <f t="shared" si="11"/>
        <v>0</v>
      </c>
      <c r="R34" s="307">
        <f t="shared" si="12"/>
        <v>0</v>
      </c>
      <c r="S34" s="314" t="str">
        <f t="shared" si="6"/>
        <v>ok</v>
      </c>
      <c r="T34" s="314"/>
      <c r="U34" s="314"/>
      <c r="V34" s="314"/>
      <c r="W34" s="314"/>
      <c r="X34" s="314"/>
    </row>
    <row r="35" spans="1:24" s="313" customFormat="1" ht="16.5" customHeight="1">
      <c r="A35" s="1309" t="s">
        <v>2541</v>
      </c>
      <c r="B35" s="1311" t="s">
        <v>2542</v>
      </c>
      <c r="C35" s="1483" t="s">
        <v>52</v>
      </c>
      <c r="D35" s="1484">
        <v>8</v>
      </c>
      <c r="E35" s="1485">
        <v>340.95</v>
      </c>
      <c r="F35" s="1486">
        <f t="shared" si="15"/>
        <v>2727.6</v>
      </c>
      <c r="G35" s="1049">
        <v>8</v>
      </c>
      <c r="H35" s="306">
        <v>2727.6</v>
      </c>
      <c r="I35" s="307">
        <v>1</v>
      </c>
      <c r="J35" s="1046"/>
      <c r="K35" s="306">
        <f t="shared" si="7"/>
        <v>0</v>
      </c>
      <c r="L35" s="307">
        <f t="shared" si="8"/>
        <v>0</v>
      </c>
      <c r="M35" s="1047">
        <f t="shared" si="14"/>
        <v>8</v>
      </c>
      <c r="N35" s="306">
        <f t="shared" si="5"/>
        <v>2727.6</v>
      </c>
      <c r="O35" s="307">
        <f t="shared" si="9"/>
        <v>1</v>
      </c>
      <c r="P35" s="1047">
        <f t="shared" si="10"/>
        <v>0</v>
      </c>
      <c r="Q35" s="306">
        <f t="shared" si="11"/>
        <v>0</v>
      </c>
      <c r="R35" s="307">
        <f t="shared" si="12"/>
        <v>0</v>
      </c>
      <c r="S35" s="314" t="str">
        <f t="shared" si="6"/>
        <v>ok</v>
      </c>
      <c r="T35" s="314"/>
      <c r="U35" s="314"/>
      <c r="V35" s="314"/>
      <c r="W35" s="314"/>
      <c r="X35" s="314"/>
    </row>
    <row r="36" spans="1:24" s="313" customFormat="1" ht="16.5" customHeight="1">
      <c r="A36" s="1309" t="s">
        <v>2543</v>
      </c>
      <c r="B36" s="1311" t="s">
        <v>2544</v>
      </c>
      <c r="C36" s="1483" t="s">
        <v>52</v>
      </c>
      <c r="D36" s="1484">
        <v>4</v>
      </c>
      <c r="E36" s="1485">
        <v>836.22</v>
      </c>
      <c r="F36" s="1486">
        <f t="shared" si="15"/>
        <v>3344.88</v>
      </c>
      <c r="G36" s="1049">
        <v>4</v>
      </c>
      <c r="H36" s="306">
        <v>3344.88</v>
      </c>
      <c r="I36" s="307">
        <v>1</v>
      </c>
      <c r="J36" s="1046"/>
      <c r="K36" s="306">
        <f t="shared" si="7"/>
        <v>0</v>
      </c>
      <c r="L36" s="307">
        <f t="shared" si="8"/>
        <v>0</v>
      </c>
      <c r="M36" s="1047">
        <f t="shared" si="14"/>
        <v>4</v>
      </c>
      <c r="N36" s="306">
        <f t="shared" si="5"/>
        <v>3344.88</v>
      </c>
      <c r="O36" s="307">
        <f t="shared" si="9"/>
        <v>1</v>
      </c>
      <c r="P36" s="1047">
        <f t="shared" si="10"/>
        <v>0</v>
      </c>
      <c r="Q36" s="306">
        <f t="shared" si="11"/>
        <v>0</v>
      </c>
      <c r="R36" s="307">
        <f t="shared" si="12"/>
        <v>0</v>
      </c>
      <c r="S36" s="314" t="str">
        <f t="shared" si="6"/>
        <v>ok</v>
      </c>
      <c r="T36" s="314"/>
      <c r="U36" s="314"/>
      <c r="V36" s="314"/>
      <c r="W36" s="314"/>
      <c r="X36" s="314"/>
    </row>
    <row r="37" spans="1:24" s="313" customFormat="1" ht="16.5" customHeight="1">
      <c r="A37" s="1309" t="s">
        <v>2545</v>
      </c>
      <c r="B37" s="1311" t="s">
        <v>2546</v>
      </c>
      <c r="C37" s="1483" t="s">
        <v>52</v>
      </c>
      <c r="D37" s="1484">
        <v>4</v>
      </c>
      <c r="E37" s="1485">
        <v>707.32</v>
      </c>
      <c r="F37" s="1486">
        <f t="shared" si="15"/>
        <v>2829.28</v>
      </c>
      <c r="G37" s="1049">
        <v>4</v>
      </c>
      <c r="H37" s="306">
        <v>2829.28</v>
      </c>
      <c r="I37" s="307">
        <v>1</v>
      </c>
      <c r="J37" s="1046"/>
      <c r="K37" s="306">
        <f t="shared" si="7"/>
        <v>0</v>
      </c>
      <c r="L37" s="307">
        <f t="shared" si="8"/>
        <v>0</v>
      </c>
      <c r="M37" s="1047">
        <f t="shared" si="14"/>
        <v>4</v>
      </c>
      <c r="N37" s="306">
        <f t="shared" si="5"/>
        <v>2829.28</v>
      </c>
      <c r="O37" s="307">
        <f t="shared" si="9"/>
        <v>1</v>
      </c>
      <c r="P37" s="1047">
        <f t="shared" si="10"/>
        <v>0</v>
      </c>
      <c r="Q37" s="306">
        <f t="shared" si="11"/>
        <v>0</v>
      </c>
      <c r="R37" s="307">
        <f t="shared" si="12"/>
        <v>0</v>
      </c>
      <c r="S37" s="314" t="str">
        <f t="shared" si="6"/>
        <v>ok</v>
      </c>
      <c r="T37" s="314"/>
      <c r="U37" s="314"/>
      <c r="V37" s="314"/>
      <c r="W37" s="314"/>
      <c r="X37" s="314"/>
    </row>
    <row r="38" spans="1:24" s="313" customFormat="1" ht="16.5" customHeight="1">
      <c r="A38" s="1309" t="s">
        <v>2547</v>
      </c>
      <c r="B38" s="1311" t="s">
        <v>2548</v>
      </c>
      <c r="C38" s="1483" t="s">
        <v>52</v>
      </c>
      <c r="D38" s="1484">
        <v>1</v>
      </c>
      <c r="E38" s="1485">
        <v>707.32</v>
      </c>
      <c r="F38" s="1486">
        <f t="shared" si="15"/>
        <v>707.32</v>
      </c>
      <c r="G38" s="1049">
        <v>1</v>
      </c>
      <c r="H38" s="306">
        <v>707.32</v>
      </c>
      <c r="I38" s="307">
        <v>1</v>
      </c>
      <c r="J38" s="1046"/>
      <c r="K38" s="306">
        <f t="shared" si="7"/>
        <v>0</v>
      </c>
      <c r="L38" s="307">
        <f t="shared" si="8"/>
        <v>0</v>
      </c>
      <c r="M38" s="1047">
        <f t="shared" si="14"/>
        <v>1</v>
      </c>
      <c r="N38" s="306">
        <f t="shared" si="5"/>
        <v>707.32</v>
      </c>
      <c r="O38" s="307">
        <f t="shared" si="9"/>
        <v>1</v>
      </c>
      <c r="P38" s="1047">
        <f t="shared" si="10"/>
        <v>0</v>
      </c>
      <c r="Q38" s="306">
        <f t="shared" si="11"/>
        <v>0</v>
      </c>
      <c r="R38" s="307">
        <f t="shared" si="12"/>
        <v>0</v>
      </c>
      <c r="S38" s="314" t="str">
        <f t="shared" si="6"/>
        <v>ok</v>
      </c>
      <c r="T38" s="314"/>
      <c r="U38" s="314"/>
      <c r="V38" s="314"/>
      <c r="W38" s="314"/>
      <c r="X38" s="314"/>
    </row>
    <row r="39" spans="1:24" s="313" customFormat="1" ht="16.5" customHeight="1">
      <c r="A39" s="1309" t="s">
        <v>2549</v>
      </c>
      <c r="B39" s="1481" t="s">
        <v>2550</v>
      </c>
      <c r="C39" s="1483"/>
      <c r="D39" s="1484"/>
      <c r="E39" s="1485"/>
      <c r="F39" s="1486"/>
      <c r="G39" s="1049"/>
      <c r="H39" s="306"/>
      <c r="I39" s="307"/>
      <c r="J39" s="1046"/>
      <c r="K39" s="306"/>
      <c r="L39" s="307"/>
      <c r="M39" s="1047"/>
      <c r="N39" s="306"/>
      <c r="O39" s="307"/>
      <c r="P39" s="1047"/>
      <c r="Q39" s="306"/>
      <c r="R39" s="307"/>
      <c r="S39" s="314" t="str">
        <f t="shared" si="6"/>
        <v>ok</v>
      </c>
      <c r="T39" s="314"/>
      <c r="U39" s="314"/>
      <c r="V39" s="314"/>
      <c r="W39" s="314"/>
      <c r="X39" s="314"/>
    </row>
    <row r="40" spans="1:24" s="313" customFormat="1" ht="16.5" customHeight="1">
      <c r="A40" s="1309" t="s">
        <v>2551</v>
      </c>
      <c r="B40" s="1311" t="s">
        <v>2552</v>
      </c>
      <c r="C40" s="1483" t="s">
        <v>52</v>
      </c>
      <c r="D40" s="1484">
        <v>1</v>
      </c>
      <c r="E40" s="1485">
        <v>332.94</v>
      </c>
      <c r="F40" s="1486">
        <f>E40*D40</f>
        <v>332.94</v>
      </c>
      <c r="G40" s="1049">
        <v>0</v>
      </c>
      <c r="H40" s="306">
        <v>0</v>
      </c>
      <c r="I40" s="307">
        <v>0</v>
      </c>
      <c r="J40" s="1046"/>
      <c r="K40" s="306">
        <f t="shared" si="7"/>
        <v>0</v>
      </c>
      <c r="L40" s="307">
        <f t="shared" si="8"/>
        <v>0</v>
      </c>
      <c r="M40" s="1047">
        <f t="shared" si="14"/>
        <v>0</v>
      </c>
      <c r="N40" s="306">
        <f t="shared" si="5"/>
        <v>0</v>
      </c>
      <c r="O40" s="307">
        <f t="shared" si="9"/>
        <v>0</v>
      </c>
      <c r="P40" s="1047">
        <f t="shared" si="10"/>
        <v>1</v>
      </c>
      <c r="Q40" s="306">
        <f t="shared" si="11"/>
        <v>332.94</v>
      </c>
      <c r="R40" s="307">
        <f t="shared" si="12"/>
        <v>1</v>
      </c>
      <c r="S40" s="314" t="str">
        <f t="shared" si="6"/>
        <v>ok</v>
      </c>
      <c r="T40" s="314"/>
      <c r="U40" s="314"/>
      <c r="V40" s="314"/>
      <c r="W40" s="314"/>
      <c r="X40" s="314"/>
    </row>
    <row r="41" spans="1:24" s="313" customFormat="1" ht="16.5" customHeight="1">
      <c r="A41" s="1309" t="s">
        <v>2553</v>
      </c>
      <c r="B41" s="1481" t="s">
        <v>2554</v>
      </c>
      <c r="C41" s="1483"/>
      <c r="D41" s="1484"/>
      <c r="E41" s="1485"/>
      <c r="F41" s="1304"/>
      <c r="G41" s="1049"/>
      <c r="H41" s="306"/>
      <c r="I41" s="307"/>
      <c r="J41" s="1046"/>
      <c r="K41" s="306"/>
      <c r="L41" s="307"/>
      <c r="M41" s="1047"/>
      <c r="N41" s="306"/>
      <c r="O41" s="307"/>
      <c r="P41" s="1047"/>
      <c r="Q41" s="306"/>
      <c r="R41" s="307"/>
      <c r="S41" s="314" t="str">
        <f t="shared" si="6"/>
        <v>ok</v>
      </c>
      <c r="T41" s="314"/>
      <c r="U41" s="314"/>
      <c r="V41" s="314"/>
      <c r="W41" s="314"/>
      <c r="X41" s="314"/>
    </row>
    <row r="42" spans="1:24" s="313" customFormat="1" ht="16.5" customHeight="1">
      <c r="A42" s="1337" t="s">
        <v>2555</v>
      </c>
      <c r="B42" s="1311" t="s">
        <v>2556</v>
      </c>
      <c r="C42" s="1483" t="s">
        <v>52</v>
      </c>
      <c r="D42" s="1484">
        <v>1</v>
      </c>
      <c r="E42" s="1485">
        <v>1163.1200000000001</v>
      </c>
      <c r="F42" s="1486">
        <f t="shared" ref="F42:F48" si="16">E42*D42</f>
        <v>1163.1200000000001</v>
      </c>
      <c r="G42" s="1049">
        <v>1</v>
      </c>
      <c r="H42" s="306">
        <v>1163.1199999999999</v>
      </c>
      <c r="I42" s="307">
        <v>0.99999999999999978</v>
      </c>
      <c r="J42" s="1046"/>
      <c r="K42" s="306">
        <f t="shared" si="7"/>
        <v>0</v>
      </c>
      <c r="L42" s="307">
        <f t="shared" si="8"/>
        <v>0</v>
      </c>
      <c r="M42" s="1047">
        <f t="shared" si="14"/>
        <v>1</v>
      </c>
      <c r="N42" s="306">
        <f t="shared" si="5"/>
        <v>1163.1199999999999</v>
      </c>
      <c r="O42" s="307">
        <f t="shared" si="9"/>
        <v>0.99999999999999978</v>
      </c>
      <c r="P42" s="1047">
        <f t="shared" si="10"/>
        <v>0</v>
      </c>
      <c r="Q42" s="306">
        <f t="shared" si="11"/>
        <v>0</v>
      </c>
      <c r="R42" s="307">
        <f t="shared" si="12"/>
        <v>0</v>
      </c>
      <c r="S42" s="314" t="str">
        <f t="shared" si="6"/>
        <v>ok</v>
      </c>
      <c r="T42" s="314"/>
      <c r="U42" s="314"/>
      <c r="V42" s="314"/>
      <c r="W42" s="314"/>
      <c r="X42" s="314"/>
    </row>
    <row r="43" spans="1:24" s="313" customFormat="1" ht="16.5" customHeight="1">
      <c r="A43" s="1337" t="s">
        <v>2557</v>
      </c>
      <c r="B43" s="1311" t="s">
        <v>2558</v>
      </c>
      <c r="C43" s="1483" t="s">
        <v>52</v>
      </c>
      <c r="D43" s="1484">
        <v>1</v>
      </c>
      <c r="E43" s="1485">
        <v>981.75</v>
      </c>
      <c r="F43" s="1486">
        <f t="shared" si="16"/>
        <v>981.75</v>
      </c>
      <c r="G43" s="1049">
        <v>1</v>
      </c>
      <c r="H43" s="306">
        <v>981.75</v>
      </c>
      <c r="I43" s="307">
        <v>1</v>
      </c>
      <c r="J43" s="1046"/>
      <c r="K43" s="306">
        <f t="shared" si="7"/>
        <v>0</v>
      </c>
      <c r="L43" s="307">
        <f t="shared" si="8"/>
        <v>0</v>
      </c>
      <c r="M43" s="1047">
        <f t="shared" si="14"/>
        <v>1</v>
      </c>
      <c r="N43" s="306">
        <f t="shared" si="5"/>
        <v>981.75</v>
      </c>
      <c r="O43" s="307">
        <f t="shared" si="9"/>
        <v>1</v>
      </c>
      <c r="P43" s="1047">
        <f t="shared" si="10"/>
        <v>0</v>
      </c>
      <c r="Q43" s="306">
        <f t="shared" si="11"/>
        <v>0</v>
      </c>
      <c r="R43" s="307">
        <f t="shared" si="12"/>
        <v>0</v>
      </c>
      <c r="S43" s="314" t="str">
        <f t="shared" si="6"/>
        <v>ok</v>
      </c>
      <c r="T43" s="314"/>
      <c r="U43" s="314"/>
      <c r="V43" s="314"/>
      <c r="W43" s="314"/>
      <c r="X43" s="314"/>
    </row>
    <row r="44" spans="1:24" s="313" customFormat="1" ht="16.5" customHeight="1">
      <c r="A44" s="1337" t="s">
        <v>2559</v>
      </c>
      <c r="B44" s="1311" t="s">
        <v>2560</v>
      </c>
      <c r="C44" s="1483" t="s">
        <v>52</v>
      </c>
      <c r="D44" s="1484">
        <v>1</v>
      </c>
      <c r="E44" s="1485">
        <v>189.89000000000001</v>
      </c>
      <c r="F44" s="1486">
        <f t="shared" si="16"/>
        <v>189.89000000000001</v>
      </c>
      <c r="G44" s="1049">
        <v>1</v>
      </c>
      <c r="H44" s="306">
        <v>189.89</v>
      </c>
      <c r="I44" s="307">
        <v>0.99999999999999989</v>
      </c>
      <c r="J44" s="1046"/>
      <c r="K44" s="306">
        <f t="shared" si="7"/>
        <v>0</v>
      </c>
      <c r="L44" s="307">
        <f t="shared" si="8"/>
        <v>0</v>
      </c>
      <c r="M44" s="1047">
        <f t="shared" si="14"/>
        <v>1</v>
      </c>
      <c r="N44" s="306">
        <f t="shared" si="5"/>
        <v>189.89</v>
      </c>
      <c r="O44" s="307">
        <f t="shared" si="9"/>
        <v>0.99999999999999989</v>
      </c>
      <c r="P44" s="1047">
        <f t="shared" si="10"/>
        <v>0</v>
      </c>
      <c r="Q44" s="306">
        <f t="shared" si="11"/>
        <v>0</v>
      </c>
      <c r="R44" s="307">
        <f t="shared" si="12"/>
        <v>0</v>
      </c>
      <c r="S44" s="314" t="str">
        <f t="shared" si="6"/>
        <v>ok</v>
      </c>
      <c r="T44" s="314"/>
      <c r="U44" s="314"/>
      <c r="V44" s="314"/>
      <c r="W44" s="314"/>
      <c r="X44" s="314"/>
    </row>
    <row r="45" spans="1:24" s="313" customFormat="1" ht="30.75" customHeight="1">
      <c r="A45" s="1489" t="s">
        <v>2561</v>
      </c>
      <c r="B45" s="1481" t="s">
        <v>2562</v>
      </c>
      <c r="C45" s="1483"/>
      <c r="D45" s="1484"/>
      <c r="E45" s="1485"/>
      <c r="F45" s="1490"/>
      <c r="G45" s="1049"/>
      <c r="H45" s="306">
        <v>0</v>
      </c>
      <c r="I45" s="307"/>
      <c r="J45" s="1046"/>
      <c r="K45" s="306"/>
      <c r="L45" s="307"/>
      <c r="M45" s="1047"/>
      <c r="N45" s="306">
        <f t="shared" si="5"/>
        <v>0</v>
      </c>
      <c r="O45" s="307"/>
      <c r="P45" s="1047"/>
      <c r="Q45" s="306"/>
      <c r="R45" s="307"/>
      <c r="S45" s="314" t="str">
        <f t="shared" si="6"/>
        <v>ok</v>
      </c>
      <c r="T45" s="314"/>
      <c r="U45" s="314"/>
      <c r="V45" s="314"/>
      <c r="W45" s="314"/>
      <c r="X45" s="314"/>
    </row>
    <row r="46" spans="1:24" s="313" customFormat="1" ht="30.75" customHeight="1">
      <c r="A46" s="1489" t="s">
        <v>2563</v>
      </c>
      <c r="B46" s="1311" t="s">
        <v>2564</v>
      </c>
      <c r="C46" s="1483" t="s">
        <v>49</v>
      </c>
      <c r="D46" s="1484">
        <v>244.55</v>
      </c>
      <c r="E46" s="1485">
        <v>215.1</v>
      </c>
      <c r="F46" s="1486">
        <f t="shared" si="16"/>
        <v>52602.705000000002</v>
      </c>
      <c r="G46" s="1049">
        <v>244.55</v>
      </c>
      <c r="H46" s="306">
        <v>52602.71</v>
      </c>
      <c r="I46" s="307">
        <v>1.0000000950521459</v>
      </c>
      <c r="J46" s="1046"/>
      <c r="K46" s="306">
        <f t="shared" si="7"/>
        <v>0</v>
      </c>
      <c r="L46" s="307">
        <f t="shared" si="8"/>
        <v>0</v>
      </c>
      <c r="M46" s="1047">
        <f t="shared" si="14"/>
        <v>244.55</v>
      </c>
      <c r="N46" s="306">
        <f t="shared" si="5"/>
        <v>52602.71</v>
      </c>
      <c r="O46" s="307">
        <f t="shared" si="9"/>
        <v>1.0000000950521459</v>
      </c>
      <c r="P46" s="1047">
        <f t="shared" si="10"/>
        <v>0</v>
      </c>
      <c r="Q46" s="306">
        <f t="shared" si="11"/>
        <v>-4.9999999973806553E-3</v>
      </c>
      <c r="R46" s="307">
        <f t="shared" si="12"/>
        <v>-9.5052146032806774E-8</v>
      </c>
      <c r="S46" s="314" t="str">
        <f t="shared" si="6"/>
        <v>ok</v>
      </c>
      <c r="T46" s="314"/>
      <c r="U46" s="314"/>
      <c r="V46" s="314"/>
      <c r="W46" s="314"/>
      <c r="X46" s="314"/>
    </row>
    <row r="47" spans="1:24" s="313" customFormat="1" ht="30.75" customHeight="1">
      <c r="A47" s="1489" t="s">
        <v>2565</v>
      </c>
      <c r="B47" s="1311" t="s">
        <v>2566</v>
      </c>
      <c r="C47" s="1483" t="s">
        <v>49</v>
      </c>
      <c r="D47" s="1484">
        <v>145.13</v>
      </c>
      <c r="E47" s="1485">
        <v>209.67</v>
      </c>
      <c r="F47" s="1486">
        <f t="shared" si="16"/>
        <v>30429.407099999997</v>
      </c>
      <c r="G47" s="1049">
        <v>145.13</v>
      </c>
      <c r="H47" s="306">
        <v>30429.41</v>
      </c>
      <c r="I47" s="307">
        <v>1.0000000953025472</v>
      </c>
      <c r="J47" s="1046"/>
      <c r="K47" s="306">
        <f t="shared" si="7"/>
        <v>0</v>
      </c>
      <c r="L47" s="307">
        <f t="shared" si="8"/>
        <v>0</v>
      </c>
      <c r="M47" s="1047">
        <f t="shared" si="14"/>
        <v>145.13</v>
      </c>
      <c r="N47" s="306">
        <f t="shared" si="5"/>
        <v>30429.41</v>
      </c>
      <c r="O47" s="307">
        <f t="shared" si="9"/>
        <v>1.0000000953025472</v>
      </c>
      <c r="P47" s="1047">
        <f t="shared" si="10"/>
        <v>0</v>
      </c>
      <c r="Q47" s="306">
        <f t="shared" si="11"/>
        <v>-2.9000000031373929E-3</v>
      </c>
      <c r="R47" s="307">
        <f t="shared" si="12"/>
        <v>-9.5302547092263038E-8</v>
      </c>
      <c r="S47" s="314" t="str">
        <f t="shared" si="6"/>
        <v>ok</v>
      </c>
      <c r="T47" s="314"/>
      <c r="U47" s="314"/>
      <c r="V47" s="314"/>
      <c r="W47" s="314"/>
      <c r="X47" s="314"/>
    </row>
    <row r="48" spans="1:24" s="313" customFormat="1" ht="30.75" customHeight="1">
      <c r="A48" s="1489" t="s">
        <v>2567</v>
      </c>
      <c r="B48" s="1311" t="s">
        <v>2568</v>
      </c>
      <c r="C48" s="1483" t="s">
        <v>49</v>
      </c>
      <c r="D48" s="1484">
        <v>9.5400000000000009</v>
      </c>
      <c r="E48" s="1485">
        <v>281.31</v>
      </c>
      <c r="F48" s="1486">
        <f t="shared" si="16"/>
        <v>2683.6974000000005</v>
      </c>
      <c r="G48" s="1049">
        <v>9.5399999999999991</v>
      </c>
      <c r="H48" s="306">
        <v>2683.7</v>
      </c>
      <c r="I48" s="307">
        <v>1.0000009688126534</v>
      </c>
      <c r="J48" s="1046"/>
      <c r="K48" s="306">
        <f t="shared" si="7"/>
        <v>0</v>
      </c>
      <c r="L48" s="307">
        <f t="shared" si="8"/>
        <v>0</v>
      </c>
      <c r="M48" s="1047">
        <f t="shared" si="14"/>
        <v>9.5399999999999991</v>
      </c>
      <c r="N48" s="306">
        <f t="shared" si="5"/>
        <v>2683.7</v>
      </c>
      <c r="O48" s="307">
        <f t="shared" si="9"/>
        <v>1.0000009688126534</v>
      </c>
      <c r="P48" s="1047">
        <f t="shared" si="10"/>
        <v>0</v>
      </c>
      <c r="Q48" s="306">
        <f t="shared" si="11"/>
        <v>-2.5999999993473466E-3</v>
      </c>
      <c r="R48" s="307">
        <f t="shared" si="12"/>
        <v>-9.6881265352321246E-7</v>
      </c>
      <c r="S48" s="314" t="str">
        <f t="shared" si="6"/>
        <v>ok</v>
      </c>
      <c r="T48" s="314"/>
      <c r="U48" s="314"/>
      <c r="V48" s="314"/>
      <c r="W48" s="314"/>
      <c r="X48" s="314"/>
    </row>
    <row r="49" spans="1:24" s="313" customFormat="1" ht="16.5" customHeight="1">
      <c r="A49" s="1300" t="s">
        <v>35</v>
      </c>
      <c r="B49" s="1301" t="s">
        <v>1736</v>
      </c>
      <c r="C49" s="1491"/>
      <c r="D49" s="1303"/>
      <c r="E49" s="1492"/>
      <c r="F49" s="1493"/>
      <c r="G49" s="1049"/>
      <c r="H49" s="306"/>
      <c r="I49" s="307"/>
      <c r="J49" s="1046"/>
      <c r="K49" s="306"/>
      <c r="L49" s="307"/>
      <c r="M49" s="1047"/>
      <c r="N49" s="306"/>
      <c r="O49" s="307"/>
      <c r="P49" s="1047"/>
      <c r="Q49" s="306"/>
      <c r="R49" s="307"/>
      <c r="S49" s="314" t="str">
        <f t="shared" si="6"/>
        <v>ok</v>
      </c>
      <c r="T49" s="314"/>
      <c r="U49" s="314"/>
      <c r="V49" s="314"/>
      <c r="W49" s="314"/>
      <c r="X49" s="314"/>
    </row>
    <row r="50" spans="1:24" s="313" customFormat="1" ht="16.5" customHeight="1">
      <c r="A50" s="1306" t="s">
        <v>45</v>
      </c>
      <c r="B50" s="1307" t="s">
        <v>2569</v>
      </c>
      <c r="C50" s="1491"/>
      <c r="D50" s="1303"/>
      <c r="E50" s="1494"/>
      <c r="F50" s="1493"/>
      <c r="G50" s="1049"/>
      <c r="H50" s="306"/>
      <c r="I50" s="307"/>
      <c r="J50" s="1046"/>
      <c r="K50" s="306"/>
      <c r="L50" s="307"/>
      <c r="M50" s="1047"/>
      <c r="N50" s="306"/>
      <c r="O50" s="307"/>
      <c r="P50" s="1047"/>
      <c r="Q50" s="306"/>
      <c r="R50" s="307"/>
      <c r="S50" s="314" t="str">
        <f t="shared" si="6"/>
        <v>ok</v>
      </c>
      <c r="T50" s="314"/>
      <c r="U50" s="314"/>
      <c r="V50" s="314"/>
      <c r="W50" s="314"/>
      <c r="X50" s="314"/>
    </row>
    <row r="51" spans="1:24" s="313" customFormat="1" ht="16.5" customHeight="1">
      <c r="A51" s="1309" t="s">
        <v>675</v>
      </c>
      <c r="B51" s="1311" t="s">
        <v>2570</v>
      </c>
      <c r="C51" s="1491" t="s">
        <v>49</v>
      </c>
      <c r="D51" s="1303">
        <v>112.51</v>
      </c>
      <c r="E51" s="1312">
        <v>143.33000000000001</v>
      </c>
      <c r="F51" s="1486">
        <f t="shared" ref="F51:F52" si="17">E51*D51</f>
        <v>16126.058300000002</v>
      </c>
      <c r="G51" s="1049">
        <v>112.51</v>
      </c>
      <c r="H51" s="306">
        <v>16126.06</v>
      </c>
      <c r="I51" s="307">
        <v>1.0000001054194376</v>
      </c>
      <c r="J51" s="1046"/>
      <c r="K51" s="306">
        <f t="shared" si="7"/>
        <v>0</v>
      </c>
      <c r="L51" s="307">
        <f t="shared" si="8"/>
        <v>0</v>
      </c>
      <c r="M51" s="1047">
        <f t="shared" si="14"/>
        <v>112.51</v>
      </c>
      <c r="N51" s="306">
        <f t="shared" si="5"/>
        <v>16126.06</v>
      </c>
      <c r="O51" s="307">
        <f t="shared" si="9"/>
        <v>1.0000001054194376</v>
      </c>
      <c r="P51" s="1047">
        <f t="shared" si="10"/>
        <v>0</v>
      </c>
      <c r="Q51" s="306">
        <f t="shared" si="11"/>
        <v>-1.6999999970721547E-3</v>
      </c>
      <c r="R51" s="307">
        <f t="shared" si="12"/>
        <v>-1.0541943762364758E-7</v>
      </c>
      <c r="S51" s="314" t="str">
        <f t="shared" si="6"/>
        <v>ok</v>
      </c>
      <c r="T51" s="314"/>
      <c r="U51" s="314"/>
      <c r="V51" s="314"/>
      <c r="W51" s="314"/>
      <c r="X51" s="314"/>
    </row>
    <row r="52" spans="1:24" s="313" customFormat="1" ht="16.5" customHeight="1">
      <c r="A52" s="1309" t="s">
        <v>679</v>
      </c>
      <c r="B52" s="1311" t="s">
        <v>2571</v>
      </c>
      <c r="C52" s="1495" t="s">
        <v>49</v>
      </c>
      <c r="D52" s="1303">
        <v>32.17</v>
      </c>
      <c r="E52" s="1312">
        <v>108.08</v>
      </c>
      <c r="F52" s="1486">
        <f t="shared" si="17"/>
        <v>3476.9336000000003</v>
      </c>
      <c r="G52" s="1049">
        <v>32.17</v>
      </c>
      <c r="H52" s="306">
        <v>3476.93</v>
      </c>
      <c r="I52" s="307">
        <v>0.99999896460490345</v>
      </c>
      <c r="J52" s="1046"/>
      <c r="K52" s="306">
        <f t="shared" si="7"/>
        <v>0</v>
      </c>
      <c r="L52" s="307">
        <f t="shared" si="8"/>
        <v>0</v>
      </c>
      <c r="M52" s="1047">
        <f t="shared" si="14"/>
        <v>32.17</v>
      </c>
      <c r="N52" s="306">
        <f t="shared" si="5"/>
        <v>3476.93</v>
      </c>
      <c r="O52" s="307">
        <f t="shared" si="9"/>
        <v>0.99999896460490345</v>
      </c>
      <c r="P52" s="1047">
        <f t="shared" si="10"/>
        <v>0</v>
      </c>
      <c r="Q52" s="306">
        <f t="shared" si="11"/>
        <v>3.6000000004605681E-3</v>
      </c>
      <c r="R52" s="307">
        <f t="shared" si="12"/>
        <v>1.0353950965473047E-6</v>
      </c>
      <c r="S52" s="314" t="str">
        <f t="shared" si="6"/>
        <v>ok</v>
      </c>
      <c r="T52" s="314"/>
      <c r="U52" s="314"/>
      <c r="V52" s="314"/>
      <c r="W52" s="314"/>
      <c r="X52" s="314"/>
    </row>
    <row r="53" spans="1:24" s="313" customFormat="1" ht="16.5" customHeight="1">
      <c r="A53" s="1306" t="s">
        <v>116</v>
      </c>
      <c r="B53" s="1307" t="s">
        <v>2572</v>
      </c>
      <c r="C53" s="1495"/>
      <c r="D53" s="1303"/>
      <c r="E53" s="1312"/>
      <c r="F53" s="1304"/>
      <c r="G53" s="1049"/>
      <c r="H53" s="306">
        <v>0</v>
      </c>
      <c r="I53" s="307"/>
      <c r="J53" s="1044"/>
      <c r="K53" s="306"/>
      <c r="L53" s="307"/>
      <c r="M53" s="1047"/>
      <c r="N53" s="306">
        <f t="shared" si="5"/>
        <v>0</v>
      </c>
      <c r="O53" s="307"/>
      <c r="P53" s="1047"/>
      <c r="Q53" s="306"/>
      <c r="R53" s="307"/>
      <c r="S53" s="314" t="str">
        <f t="shared" si="6"/>
        <v>ok</v>
      </c>
      <c r="T53" s="314"/>
      <c r="U53" s="314"/>
      <c r="V53" s="314"/>
      <c r="W53" s="314"/>
      <c r="X53" s="314"/>
    </row>
    <row r="54" spans="1:24" s="1427" customFormat="1" ht="16.5" customHeight="1">
      <c r="A54" s="1907" t="s">
        <v>689</v>
      </c>
      <c r="B54" s="1908" t="s">
        <v>2573</v>
      </c>
      <c r="C54" s="1909" t="s">
        <v>49</v>
      </c>
      <c r="D54" s="1318">
        <v>1466.66</v>
      </c>
      <c r="E54" s="1854">
        <v>170.29</v>
      </c>
      <c r="F54" s="1855">
        <f t="shared" ref="F54:F56" si="18">E54*D54</f>
        <v>249757.53140000001</v>
      </c>
      <c r="G54" s="1049">
        <v>1466.66</v>
      </c>
      <c r="H54" s="1425">
        <v>249757.5312</v>
      </c>
      <c r="I54" s="305">
        <v>0.99999999919922333</v>
      </c>
      <c r="J54" s="1049"/>
      <c r="K54" s="1910">
        <f t="shared" ref="K54:K94" si="19">J54*E54</f>
        <v>0</v>
      </c>
      <c r="L54" s="305">
        <f t="shared" ref="L54:L94" si="20">+K54/$F54</f>
        <v>0</v>
      </c>
      <c r="M54" s="1049">
        <f t="shared" ref="M54:M94" si="21">+G54+J54</f>
        <v>1466.66</v>
      </c>
      <c r="N54" s="1425">
        <f t="shared" si="5"/>
        <v>249757.5312</v>
      </c>
      <c r="O54" s="305">
        <f t="shared" ref="O54:O94" si="22">+N54/$F54</f>
        <v>0.99999999919922333</v>
      </c>
      <c r="P54" s="1049">
        <f t="shared" ref="P54:P94" si="23">D54-M54</f>
        <v>0</v>
      </c>
      <c r="Q54" s="1425">
        <f t="shared" ref="Q54:Q94" si="24">F54-N54</f>
        <v>2.0000000949949026E-4</v>
      </c>
      <c r="R54" s="305">
        <f t="shared" ref="R54:R94" si="25">+Q54/$F54</f>
        <v>8.0077669081049487E-10</v>
      </c>
      <c r="S54" s="1426" t="str">
        <f t="shared" si="6"/>
        <v>ok</v>
      </c>
      <c r="T54" s="1426"/>
      <c r="U54" s="1426"/>
      <c r="V54" s="1426"/>
      <c r="W54" s="1426"/>
      <c r="X54" s="1426"/>
    </row>
    <row r="55" spans="1:24" s="1427" customFormat="1" ht="16.5" customHeight="1">
      <c r="A55" s="1907" t="s">
        <v>693</v>
      </c>
      <c r="B55" s="1316" t="s">
        <v>2574</v>
      </c>
      <c r="C55" s="1478" t="s">
        <v>49</v>
      </c>
      <c r="D55" s="1318">
        <v>206.41</v>
      </c>
      <c r="E55" s="1317">
        <v>158.31</v>
      </c>
      <c r="F55" s="1855">
        <f t="shared" si="18"/>
        <v>32676.767100000001</v>
      </c>
      <c r="G55" s="1049">
        <v>206.41</v>
      </c>
      <c r="H55" s="1425">
        <v>32676.77</v>
      </c>
      <c r="I55" s="305">
        <v>1.0000000887480696</v>
      </c>
      <c r="J55" s="1049"/>
      <c r="K55" s="1425">
        <f t="shared" si="19"/>
        <v>0</v>
      </c>
      <c r="L55" s="305">
        <f t="shared" si="20"/>
        <v>0</v>
      </c>
      <c r="M55" s="1049">
        <f t="shared" si="21"/>
        <v>206.41</v>
      </c>
      <c r="N55" s="1425">
        <f t="shared" si="5"/>
        <v>32676.77</v>
      </c>
      <c r="O55" s="305">
        <f t="shared" si="22"/>
        <v>1.0000000887480696</v>
      </c>
      <c r="P55" s="1049">
        <f t="shared" si="23"/>
        <v>0</v>
      </c>
      <c r="Q55" s="1425">
        <f t="shared" si="24"/>
        <v>-2.8999999994994141E-3</v>
      </c>
      <c r="R55" s="305">
        <f t="shared" si="25"/>
        <v>-8.8748069557328205E-8</v>
      </c>
      <c r="S55" s="1426" t="str">
        <f t="shared" si="6"/>
        <v>ok</v>
      </c>
      <c r="T55" s="1426"/>
      <c r="U55" s="1426"/>
      <c r="V55" s="1426"/>
      <c r="W55" s="1426"/>
      <c r="X55" s="1426"/>
    </row>
    <row r="56" spans="1:24" s="1427" customFormat="1" ht="16.5" customHeight="1">
      <c r="A56" s="1907" t="s">
        <v>1068</v>
      </c>
      <c r="B56" s="1908" t="s">
        <v>2575</v>
      </c>
      <c r="C56" s="1909" t="s">
        <v>51</v>
      </c>
      <c r="D56" s="1318">
        <v>1352.08</v>
      </c>
      <c r="E56" s="1854">
        <v>60.85</v>
      </c>
      <c r="F56" s="1855">
        <f t="shared" si="18"/>
        <v>82274.067999999999</v>
      </c>
      <c r="G56" s="1049">
        <v>1352.08</v>
      </c>
      <c r="H56" s="1425">
        <v>82274.067999999999</v>
      </c>
      <c r="I56" s="305">
        <v>1</v>
      </c>
      <c r="J56" s="1049"/>
      <c r="K56" s="1910">
        <f t="shared" si="19"/>
        <v>0</v>
      </c>
      <c r="L56" s="305">
        <f t="shared" si="20"/>
        <v>0</v>
      </c>
      <c r="M56" s="1049">
        <f t="shared" si="21"/>
        <v>1352.08</v>
      </c>
      <c r="N56" s="1425">
        <f t="shared" si="5"/>
        <v>82274.067999999999</v>
      </c>
      <c r="O56" s="305">
        <f t="shared" si="22"/>
        <v>1</v>
      </c>
      <c r="P56" s="1049">
        <f t="shared" si="23"/>
        <v>0</v>
      </c>
      <c r="Q56" s="1425">
        <f t="shared" si="24"/>
        <v>0</v>
      </c>
      <c r="R56" s="305">
        <f t="shared" si="25"/>
        <v>0</v>
      </c>
      <c r="S56" s="1426" t="str">
        <f t="shared" si="6"/>
        <v>ok</v>
      </c>
      <c r="T56" s="1426"/>
      <c r="U56" s="1426"/>
      <c r="V56" s="1426"/>
      <c r="W56" s="1426"/>
      <c r="X56" s="1426"/>
    </row>
    <row r="57" spans="1:24" s="1427" customFormat="1" ht="16.5" customHeight="1">
      <c r="A57" s="1907" t="s">
        <v>699</v>
      </c>
      <c r="B57" s="1911" t="s">
        <v>2576</v>
      </c>
      <c r="C57" s="1909"/>
      <c r="D57" s="1318"/>
      <c r="E57" s="1854"/>
      <c r="F57" s="1314">
        <f>SUM(F59:F65)-F61</f>
        <v>166530.321</v>
      </c>
      <c r="G57" s="1049"/>
      <c r="H57" s="1425">
        <v>0</v>
      </c>
      <c r="I57" s="305"/>
      <c r="J57" s="1049"/>
      <c r="K57" s="1425"/>
      <c r="L57" s="305"/>
      <c r="M57" s="1049"/>
      <c r="N57" s="1425">
        <f t="shared" si="5"/>
        <v>0</v>
      </c>
      <c r="O57" s="305"/>
      <c r="P57" s="1049"/>
      <c r="Q57" s="1425"/>
      <c r="R57" s="305"/>
      <c r="S57" s="1426" t="str">
        <f t="shared" si="6"/>
        <v>ok</v>
      </c>
      <c r="T57" s="1426"/>
      <c r="U57" s="1426"/>
      <c r="V57" s="1426"/>
      <c r="W57" s="1426"/>
      <c r="X57" s="1426"/>
    </row>
    <row r="58" spans="1:24" s="1427" customFormat="1" ht="16.5" customHeight="1">
      <c r="A58" s="1907" t="s">
        <v>700</v>
      </c>
      <c r="B58" s="1908" t="s">
        <v>2577</v>
      </c>
      <c r="C58" s="1478" t="s">
        <v>49</v>
      </c>
      <c r="D58" s="1318">
        <v>2464.52</v>
      </c>
      <c r="E58" s="1854">
        <v>130.88</v>
      </c>
      <c r="F58" s="1855">
        <f t="shared" ref="F58:F65" si="26">E58*D58</f>
        <v>322556.37760000001</v>
      </c>
      <c r="G58" s="1049">
        <v>2464.52</v>
      </c>
      <c r="H58" s="1425">
        <v>322556.37760000001</v>
      </c>
      <c r="I58" s="305">
        <v>1</v>
      </c>
      <c r="J58" s="1049"/>
      <c r="K58" s="1910">
        <f t="shared" si="19"/>
        <v>0</v>
      </c>
      <c r="L58" s="305">
        <f t="shared" si="20"/>
        <v>0</v>
      </c>
      <c r="M58" s="1049">
        <f t="shared" si="21"/>
        <v>2464.52</v>
      </c>
      <c r="N58" s="1425">
        <f t="shared" si="5"/>
        <v>322556.37760000001</v>
      </c>
      <c r="O58" s="305">
        <f t="shared" si="22"/>
        <v>1</v>
      </c>
      <c r="P58" s="1049">
        <f t="shared" si="23"/>
        <v>0</v>
      </c>
      <c r="Q58" s="1425">
        <f t="shared" si="24"/>
        <v>0</v>
      </c>
      <c r="R58" s="305">
        <f t="shared" si="25"/>
        <v>0</v>
      </c>
      <c r="S58" s="1426" t="str">
        <f t="shared" si="6"/>
        <v>ok</v>
      </c>
      <c r="T58" s="1426"/>
      <c r="U58" s="1426"/>
      <c r="V58" s="1426"/>
      <c r="W58" s="1426"/>
      <c r="X58" s="1426"/>
    </row>
    <row r="59" spans="1:24" s="313" customFormat="1" ht="16.5" customHeight="1">
      <c r="A59" s="1309" t="s">
        <v>701</v>
      </c>
      <c r="B59" s="1311" t="s">
        <v>2578</v>
      </c>
      <c r="C59" s="1478" t="s">
        <v>49</v>
      </c>
      <c r="D59" s="1303">
        <v>365.48</v>
      </c>
      <c r="E59" s="1312">
        <v>116.13</v>
      </c>
      <c r="F59" s="1486">
        <f t="shared" si="26"/>
        <v>42443.1924</v>
      </c>
      <c r="G59" s="1049">
        <v>365.48</v>
      </c>
      <c r="H59" s="306">
        <v>42443.19</v>
      </c>
      <c r="I59" s="307">
        <v>0.99999994345382937</v>
      </c>
      <c r="J59" s="1049"/>
      <c r="K59" s="306">
        <f t="shared" si="19"/>
        <v>0</v>
      </c>
      <c r="L59" s="307">
        <f t="shared" si="20"/>
        <v>0</v>
      </c>
      <c r="M59" s="1049">
        <f t="shared" si="21"/>
        <v>365.48</v>
      </c>
      <c r="N59" s="306">
        <f t="shared" si="5"/>
        <v>42443.19</v>
      </c>
      <c r="O59" s="307">
        <f t="shared" si="22"/>
        <v>0.99999994345382937</v>
      </c>
      <c r="P59" s="1049">
        <f t="shared" si="23"/>
        <v>0</v>
      </c>
      <c r="Q59" s="306">
        <f t="shared" si="24"/>
        <v>2.3999999975785613E-3</v>
      </c>
      <c r="R59" s="307">
        <f t="shared" si="25"/>
        <v>5.6546170583967698E-8</v>
      </c>
      <c r="S59" s="314" t="str">
        <f t="shared" si="6"/>
        <v>ok</v>
      </c>
      <c r="T59" s="314"/>
      <c r="U59" s="314"/>
      <c r="V59" s="314"/>
      <c r="W59" s="314"/>
      <c r="X59" s="314"/>
    </row>
    <row r="60" spans="1:24" s="313" customFormat="1" ht="16.5" customHeight="1">
      <c r="A60" s="1309" t="s">
        <v>2579</v>
      </c>
      <c r="B60" s="1311" t="s">
        <v>2580</v>
      </c>
      <c r="C60" s="1478" t="s">
        <v>49</v>
      </c>
      <c r="D60" s="1303">
        <v>358.22</v>
      </c>
      <c r="E60" s="1312">
        <v>117.51</v>
      </c>
      <c r="F60" s="1486">
        <f t="shared" si="26"/>
        <v>42094.432200000003</v>
      </c>
      <c r="G60" s="1049">
        <v>358.22</v>
      </c>
      <c r="H60" s="306">
        <v>42094.43</v>
      </c>
      <c r="I60" s="307">
        <v>0.99999994773655598</v>
      </c>
      <c r="J60" s="1046"/>
      <c r="K60" s="306">
        <f t="shared" si="19"/>
        <v>0</v>
      </c>
      <c r="L60" s="307">
        <f t="shared" si="20"/>
        <v>0</v>
      </c>
      <c r="M60" s="1047">
        <f t="shared" si="21"/>
        <v>358.22</v>
      </c>
      <c r="N60" s="306">
        <f t="shared" si="5"/>
        <v>42094.43</v>
      </c>
      <c r="O60" s="307">
        <f t="shared" si="22"/>
        <v>0.99999994773655598</v>
      </c>
      <c r="P60" s="1047">
        <f t="shared" si="23"/>
        <v>0</v>
      </c>
      <c r="Q60" s="306">
        <f t="shared" si="24"/>
        <v>2.2000000026309863E-3</v>
      </c>
      <c r="R60" s="307">
        <f t="shared" si="25"/>
        <v>5.2263444062585218E-8</v>
      </c>
      <c r="S60" s="314" t="str">
        <f t="shared" si="6"/>
        <v>ok</v>
      </c>
      <c r="T60" s="314"/>
      <c r="U60" s="314"/>
      <c r="V60" s="314"/>
      <c r="W60" s="314"/>
      <c r="X60" s="314"/>
    </row>
    <row r="61" spans="1:24" s="313" customFormat="1" ht="16.5" customHeight="1">
      <c r="A61" s="1309" t="s">
        <v>2581</v>
      </c>
      <c r="B61" s="1311" t="s">
        <v>2582</v>
      </c>
      <c r="C61" s="1478" t="s">
        <v>49</v>
      </c>
      <c r="D61" s="1303">
        <v>256.88</v>
      </c>
      <c r="E61" s="1312">
        <v>168.52</v>
      </c>
      <c r="F61" s="1486">
        <f t="shared" si="26"/>
        <v>43289.417600000001</v>
      </c>
      <c r="G61" s="1049">
        <v>256.88</v>
      </c>
      <c r="H61" s="306">
        <v>43289.42</v>
      </c>
      <c r="I61" s="307">
        <v>1.0000000554408013</v>
      </c>
      <c r="J61" s="1046"/>
      <c r="K61" s="306">
        <f t="shared" si="19"/>
        <v>0</v>
      </c>
      <c r="L61" s="307">
        <f t="shared" si="20"/>
        <v>0</v>
      </c>
      <c r="M61" s="1047">
        <f t="shared" si="21"/>
        <v>256.88</v>
      </c>
      <c r="N61" s="306">
        <f t="shared" si="5"/>
        <v>43289.42</v>
      </c>
      <c r="O61" s="307">
        <f t="shared" si="22"/>
        <v>1.0000000554408013</v>
      </c>
      <c r="P61" s="1047">
        <f t="shared" si="23"/>
        <v>0</v>
      </c>
      <c r="Q61" s="306">
        <f t="shared" si="24"/>
        <v>-2.3999999975785613E-3</v>
      </c>
      <c r="R61" s="307">
        <f t="shared" si="25"/>
        <v>-5.5440801254359249E-8</v>
      </c>
      <c r="S61" s="314" t="str">
        <f t="shared" si="6"/>
        <v>ok</v>
      </c>
      <c r="T61" s="314"/>
      <c r="U61" s="314"/>
      <c r="V61" s="314"/>
      <c r="W61" s="314"/>
      <c r="X61" s="314"/>
    </row>
    <row r="62" spans="1:24" s="313" customFormat="1" ht="30.75" customHeight="1">
      <c r="A62" s="1309" t="s">
        <v>2583</v>
      </c>
      <c r="B62" s="1316" t="s">
        <v>2584</v>
      </c>
      <c r="C62" s="1495" t="s">
        <v>51</v>
      </c>
      <c r="D62" s="1318">
        <v>140.96</v>
      </c>
      <c r="E62" s="1496">
        <v>70.239999999999995</v>
      </c>
      <c r="F62" s="1486">
        <f t="shared" si="26"/>
        <v>9901.0303999999996</v>
      </c>
      <c r="G62" s="1049">
        <v>140.95999999999998</v>
      </c>
      <c r="H62" s="306">
        <v>9901.0300000000007</v>
      </c>
      <c r="I62" s="307">
        <v>0.99999995960016452</v>
      </c>
      <c r="J62" s="1046"/>
      <c r="K62" s="306">
        <f t="shared" si="19"/>
        <v>0</v>
      </c>
      <c r="L62" s="307">
        <f t="shared" si="20"/>
        <v>0</v>
      </c>
      <c r="M62" s="1047">
        <f t="shared" si="21"/>
        <v>140.95999999999998</v>
      </c>
      <c r="N62" s="306">
        <f t="shared" si="5"/>
        <v>9901.0300000000007</v>
      </c>
      <c r="O62" s="307">
        <f t="shared" si="22"/>
        <v>0.99999995960016452</v>
      </c>
      <c r="P62" s="1047">
        <f t="shared" si="23"/>
        <v>0</v>
      </c>
      <c r="Q62" s="306">
        <f t="shared" si="24"/>
        <v>3.9999999899009708E-4</v>
      </c>
      <c r="R62" s="307">
        <f t="shared" si="25"/>
        <v>4.0399835454509576E-8</v>
      </c>
      <c r="S62" s="314" t="str">
        <f t="shared" si="6"/>
        <v>ok</v>
      </c>
      <c r="T62" s="314"/>
      <c r="U62" s="314"/>
      <c r="V62" s="314"/>
      <c r="W62" s="314"/>
      <c r="X62" s="314"/>
    </row>
    <row r="63" spans="1:24" s="313" customFormat="1" ht="30" customHeight="1">
      <c r="A63" s="1309" t="s">
        <v>2585</v>
      </c>
      <c r="B63" s="1311" t="s">
        <v>2586</v>
      </c>
      <c r="C63" s="1495" t="s">
        <v>51</v>
      </c>
      <c r="D63" s="1303">
        <v>287.91000000000003</v>
      </c>
      <c r="E63" s="1497">
        <v>98.29</v>
      </c>
      <c r="F63" s="1486">
        <f t="shared" si="26"/>
        <v>28298.673900000005</v>
      </c>
      <c r="G63" s="1049">
        <v>287.91000000000003</v>
      </c>
      <c r="H63" s="306">
        <v>28298.67</v>
      </c>
      <c r="I63" s="307">
        <v>0.99999986218435466</v>
      </c>
      <c r="J63" s="1046"/>
      <c r="K63" s="306">
        <f t="shared" si="19"/>
        <v>0</v>
      </c>
      <c r="L63" s="307">
        <f t="shared" si="20"/>
        <v>0</v>
      </c>
      <c r="M63" s="1047">
        <f t="shared" si="21"/>
        <v>287.91000000000003</v>
      </c>
      <c r="N63" s="306">
        <f t="shared" si="5"/>
        <v>28298.67</v>
      </c>
      <c r="O63" s="307">
        <f t="shared" si="22"/>
        <v>0.99999986218435466</v>
      </c>
      <c r="P63" s="1047">
        <f t="shared" si="23"/>
        <v>0</v>
      </c>
      <c r="Q63" s="306">
        <f t="shared" si="24"/>
        <v>3.9000000069790985E-3</v>
      </c>
      <c r="R63" s="307">
        <f t="shared" si="25"/>
        <v>1.3781564538185297E-7</v>
      </c>
      <c r="S63" s="314" t="str">
        <f t="shared" si="6"/>
        <v>ok</v>
      </c>
      <c r="T63" s="314"/>
      <c r="U63" s="314"/>
      <c r="V63" s="314"/>
      <c r="W63" s="314"/>
      <c r="X63" s="314"/>
    </row>
    <row r="64" spans="1:24" s="313" customFormat="1" ht="29.25" customHeight="1">
      <c r="A64" s="1309" t="s">
        <v>2587</v>
      </c>
      <c r="B64" s="1316" t="s">
        <v>2588</v>
      </c>
      <c r="C64" s="1495" t="s">
        <v>51</v>
      </c>
      <c r="D64" s="1318">
        <v>422.12</v>
      </c>
      <c r="E64" s="1496">
        <v>92.53</v>
      </c>
      <c r="F64" s="1486">
        <f t="shared" si="26"/>
        <v>39058.763599999998</v>
      </c>
      <c r="G64" s="1049">
        <v>422.12</v>
      </c>
      <c r="H64" s="306">
        <v>39058.76</v>
      </c>
      <c r="I64" s="307">
        <v>0.99999990783118398</v>
      </c>
      <c r="J64" s="1046"/>
      <c r="K64" s="306">
        <f t="shared" si="19"/>
        <v>0</v>
      </c>
      <c r="L64" s="307">
        <f t="shared" si="20"/>
        <v>0</v>
      </c>
      <c r="M64" s="1047">
        <f t="shared" si="21"/>
        <v>422.12</v>
      </c>
      <c r="N64" s="306">
        <f t="shared" si="5"/>
        <v>39058.76</v>
      </c>
      <c r="O64" s="307">
        <f t="shared" si="22"/>
        <v>0.99999990783118398</v>
      </c>
      <c r="P64" s="1047">
        <f t="shared" si="23"/>
        <v>0</v>
      </c>
      <c r="Q64" s="306">
        <f t="shared" si="24"/>
        <v>3.599999996367842E-3</v>
      </c>
      <c r="R64" s="307">
        <f t="shared" si="25"/>
        <v>9.2168816023860062E-8</v>
      </c>
      <c r="S64" s="314" t="str">
        <f t="shared" si="6"/>
        <v>ok</v>
      </c>
      <c r="T64" s="314"/>
      <c r="U64" s="314"/>
      <c r="V64" s="314"/>
      <c r="W64" s="314"/>
      <c r="X64" s="314"/>
    </row>
    <row r="65" spans="1:24" s="313" customFormat="1" ht="30.75" customHeight="1">
      <c r="A65" s="1309" t="s">
        <v>2589</v>
      </c>
      <c r="B65" s="1316" t="s">
        <v>2590</v>
      </c>
      <c r="C65" s="1495" t="s">
        <v>51</v>
      </c>
      <c r="D65" s="1303">
        <v>45.95</v>
      </c>
      <c r="E65" s="1496">
        <v>103.03</v>
      </c>
      <c r="F65" s="1486">
        <f t="shared" si="26"/>
        <v>4734.2285000000002</v>
      </c>
      <c r="G65" s="1049">
        <v>45.95</v>
      </c>
      <c r="H65" s="306">
        <v>4734.2299999999996</v>
      </c>
      <c r="I65" s="307">
        <v>1.0000003168414873</v>
      </c>
      <c r="J65" s="1046"/>
      <c r="K65" s="306">
        <f t="shared" si="19"/>
        <v>0</v>
      </c>
      <c r="L65" s="307">
        <f t="shared" si="20"/>
        <v>0</v>
      </c>
      <c r="M65" s="1047">
        <f t="shared" si="21"/>
        <v>45.95</v>
      </c>
      <c r="N65" s="306">
        <f t="shared" si="5"/>
        <v>4734.2299999999996</v>
      </c>
      <c r="O65" s="307">
        <f t="shared" si="22"/>
        <v>1.0000003168414873</v>
      </c>
      <c r="P65" s="1047">
        <f t="shared" si="23"/>
        <v>0</v>
      </c>
      <c r="Q65" s="306">
        <f t="shared" si="24"/>
        <v>-1.4999999993960955E-3</v>
      </c>
      <c r="R65" s="307">
        <f t="shared" si="25"/>
        <v>-3.1684148735028218E-7</v>
      </c>
      <c r="S65" s="314" t="str">
        <f t="shared" si="6"/>
        <v>ok</v>
      </c>
      <c r="T65" s="314"/>
      <c r="U65" s="314"/>
      <c r="V65" s="314"/>
      <c r="W65" s="314"/>
      <c r="X65" s="314"/>
    </row>
    <row r="66" spans="1:24" s="313" customFormat="1" ht="16.5" customHeight="1">
      <c r="A66" s="1309" t="s">
        <v>1086</v>
      </c>
      <c r="B66" s="1307" t="s">
        <v>2591</v>
      </c>
      <c r="C66" s="1495"/>
      <c r="D66" s="1323"/>
      <c r="E66" s="1312"/>
      <c r="F66" s="1304"/>
      <c r="G66" s="1049"/>
      <c r="H66" s="306"/>
      <c r="I66" s="307"/>
      <c r="J66" s="1044"/>
      <c r="K66" s="306"/>
      <c r="L66" s="307"/>
      <c r="M66" s="1047"/>
      <c r="N66" s="306"/>
      <c r="O66" s="307"/>
      <c r="P66" s="1047"/>
      <c r="Q66" s="306"/>
      <c r="R66" s="307"/>
      <c r="S66" s="314" t="str">
        <f t="shared" si="6"/>
        <v>ok</v>
      </c>
      <c r="T66" s="314"/>
      <c r="U66" s="314"/>
      <c r="V66" s="314"/>
      <c r="W66" s="314"/>
      <c r="X66" s="314"/>
    </row>
    <row r="67" spans="1:24" s="313" customFormat="1" ht="30.75" customHeight="1">
      <c r="A67" s="1309" t="s">
        <v>1087</v>
      </c>
      <c r="B67" s="1316" t="s">
        <v>2592</v>
      </c>
      <c r="C67" s="1495" t="s">
        <v>51</v>
      </c>
      <c r="D67" s="1303">
        <v>631.38</v>
      </c>
      <c r="E67" s="1496">
        <v>67.930000000000007</v>
      </c>
      <c r="F67" s="1486">
        <f t="shared" ref="F67:F73" si="27">E67*D67</f>
        <v>42889.643400000001</v>
      </c>
      <c r="G67" s="1049">
        <v>631.38</v>
      </c>
      <c r="H67" s="306">
        <v>42889.64</v>
      </c>
      <c r="I67" s="307">
        <v>0.99999992072678312</v>
      </c>
      <c r="J67" s="1046"/>
      <c r="K67" s="306">
        <f t="shared" si="19"/>
        <v>0</v>
      </c>
      <c r="L67" s="307">
        <f t="shared" si="20"/>
        <v>0</v>
      </c>
      <c r="M67" s="1047">
        <f t="shared" si="21"/>
        <v>631.38</v>
      </c>
      <c r="N67" s="306">
        <f t="shared" si="5"/>
        <v>42889.64</v>
      </c>
      <c r="O67" s="307">
        <f t="shared" si="22"/>
        <v>0.99999992072678312</v>
      </c>
      <c r="P67" s="1047">
        <f t="shared" si="23"/>
        <v>0</v>
      </c>
      <c r="Q67" s="306">
        <f t="shared" si="24"/>
        <v>3.4000000014202669E-3</v>
      </c>
      <c r="R67" s="307">
        <f t="shared" si="25"/>
        <v>7.9273216839575471E-8</v>
      </c>
      <c r="S67" s="314" t="str">
        <f t="shared" si="6"/>
        <v>ok</v>
      </c>
      <c r="T67" s="314"/>
      <c r="U67" s="314"/>
      <c r="V67" s="314"/>
      <c r="W67" s="314"/>
      <c r="X67" s="314"/>
    </row>
    <row r="68" spans="1:24" s="313" customFormat="1" ht="30.75" customHeight="1">
      <c r="A68" s="1309" t="s">
        <v>2593</v>
      </c>
      <c r="B68" s="1316" t="s">
        <v>2594</v>
      </c>
      <c r="C68" s="1495" t="s">
        <v>49</v>
      </c>
      <c r="D68" s="1303">
        <v>241.63</v>
      </c>
      <c r="E68" s="1496">
        <v>240.01</v>
      </c>
      <c r="F68" s="1486">
        <f t="shared" si="27"/>
        <v>57993.616299999994</v>
      </c>
      <c r="G68" s="1049">
        <v>241.63</v>
      </c>
      <c r="H68" s="306">
        <v>57993.62</v>
      </c>
      <c r="I68" s="307">
        <v>1.0000000638001256</v>
      </c>
      <c r="J68" s="1046"/>
      <c r="K68" s="306">
        <f t="shared" si="19"/>
        <v>0</v>
      </c>
      <c r="L68" s="307">
        <f t="shared" si="20"/>
        <v>0</v>
      </c>
      <c r="M68" s="1047">
        <f t="shared" si="21"/>
        <v>241.63</v>
      </c>
      <c r="N68" s="306">
        <f t="shared" si="5"/>
        <v>57993.62</v>
      </c>
      <c r="O68" s="307">
        <f t="shared" si="22"/>
        <v>1.0000000638001256</v>
      </c>
      <c r="P68" s="1047">
        <f t="shared" si="23"/>
        <v>0</v>
      </c>
      <c r="Q68" s="306">
        <f t="shared" si="24"/>
        <v>-3.7000000083935447E-3</v>
      </c>
      <c r="R68" s="307">
        <f t="shared" si="25"/>
        <v>-6.380012567682462E-8</v>
      </c>
      <c r="S68" s="314" t="str">
        <f t="shared" si="6"/>
        <v>ok</v>
      </c>
      <c r="T68" s="314"/>
      <c r="U68" s="314"/>
      <c r="V68" s="314"/>
      <c r="W68" s="314"/>
      <c r="X68" s="314"/>
    </row>
    <row r="69" spans="1:24" s="313" customFormat="1" ht="16.5" customHeight="1">
      <c r="A69" s="1315" t="s">
        <v>2595</v>
      </c>
      <c r="B69" s="1311" t="s">
        <v>2596</v>
      </c>
      <c r="C69" s="1478" t="s">
        <v>49</v>
      </c>
      <c r="D69" s="1303">
        <v>24.1</v>
      </c>
      <c r="E69" s="1312">
        <v>136.38</v>
      </c>
      <c r="F69" s="1486">
        <f t="shared" si="27"/>
        <v>3286.7580000000003</v>
      </c>
      <c r="G69" s="1049">
        <v>0</v>
      </c>
      <c r="H69" s="306">
        <v>0</v>
      </c>
      <c r="I69" s="307">
        <v>0</v>
      </c>
      <c r="J69" s="1046"/>
      <c r="K69" s="306">
        <f t="shared" si="19"/>
        <v>0</v>
      </c>
      <c r="L69" s="307">
        <f t="shared" si="20"/>
        <v>0</v>
      </c>
      <c r="M69" s="1047">
        <f t="shared" si="21"/>
        <v>0</v>
      </c>
      <c r="N69" s="306">
        <f t="shared" si="5"/>
        <v>0</v>
      </c>
      <c r="O69" s="307">
        <f t="shared" si="22"/>
        <v>0</v>
      </c>
      <c r="P69" s="1047">
        <f t="shared" si="23"/>
        <v>24.1</v>
      </c>
      <c r="Q69" s="306">
        <f t="shared" si="24"/>
        <v>3286.7580000000003</v>
      </c>
      <c r="R69" s="307">
        <f t="shared" si="25"/>
        <v>1</v>
      </c>
      <c r="S69" s="314" t="str">
        <f t="shared" si="6"/>
        <v>ok</v>
      </c>
      <c r="T69" s="314"/>
      <c r="U69" s="314"/>
      <c r="V69" s="314"/>
      <c r="W69" s="314"/>
      <c r="X69" s="314"/>
    </row>
    <row r="70" spans="1:24" s="313" customFormat="1" ht="16.5" customHeight="1">
      <c r="A70" s="1315" t="s">
        <v>2597</v>
      </c>
      <c r="B70" s="1311" t="s">
        <v>2598</v>
      </c>
      <c r="C70" s="1495" t="s">
        <v>51</v>
      </c>
      <c r="D70" s="1303">
        <v>159.9</v>
      </c>
      <c r="E70" s="1312">
        <v>148.47999999999999</v>
      </c>
      <c r="F70" s="1486">
        <f t="shared" si="27"/>
        <v>23741.951999999997</v>
      </c>
      <c r="G70" s="1049">
        <v>159.9</v>
      </c>
      <c r="H70" s="306">
        <v>23741.95</v>
      </c>
      <c r="I70" s="307">
        <v>0.99999991576092828</v>
      </c>
      <c r="J70" s="1046"/>
      <c r="K70" s="306">
        <f t="shared" si="19"/>
        <v>0</v>
      </c>
      <c r="L70" s="307">
        <f t="shared" si="20"/>
        <v>0</v>
      </c>
      <c r="M70" s="1047">
        <f t="shared" si="21"/>
        <v>159.9</v>
      </c>
      <c r="N70" s="306">
        <f t="shared" si="5"/>
        <v>23741.95</v>
      </c>
      <c r="O70" s="307">
        <f t="shared" si="22"/>
        <v>0.99999991576092828</v>
      </c>
      <c r="P70" s="1047">
        <f t="shared" si="23"/>
        <v>0</v>
      </c>
      <c r="Q70" s="306">
        <f t="shared" si="24"/>
        <v>1.9999999967694748E-3</v>
      </c>
      <c r="R70" s="307">
        <f t="shared" si="25"/>
        <v>8.4239071697620951E-8</v>
      </c>
      <c r="S70" s="314" t="str">
        <f t="shared" si="6"/>
        <v>ok</v>
      </c>
      <c r="T70" s="314"/>
      <c r="U70" s="314"/>
      <c r="V70" s="314"/>
      <c r="W70" s="314"/>
      <c r="X70" s="314"/>
    </row>
    <row r="71" spans="1:24" s="313" customFormat="1" ht="16.5" customHeight="1">
      <c r="A71" s="1315" t="s">
        <v>2599</v>
      </c>
      <c r="B71" s="1311" t="s">
        <v>2600</v>
      </c>
      <c r="C71" s="1478" t="s">
        <v>49</v>
      </c>
      <c r="D71" s="1303">
        <v>24.63</v>
      </c>
      <c r="E71" s="1312">
        <v>206.44</v>
      </c>
      <c r="F71" s="1486">
        <f t="shared" si="27"/>
        <v>5084.6171999999997</v>
      </c>
      <c r="G71" s="1049">
        <v>24.63</v>
      </c>
      <c r="H71" s="306">
        <v>5084.62</v>
      </c>
      <c r="I71" s="307">
        <v>1.00000055068059</v>
      </c>
      <c r="J71" s="1046"/>
      <c r="K71" s="306">
        <f t="shared" si="19"/>
        <v>0</v>
      </c>
      <c r="L71" s="307">
        <f t="shared" si="20"/>
        <v>0</v>
      </c>
      <c r="M71" s="1047">
        <f t="shared" si="21"/>
        <v>24.63</v>
      </c>
      <c r="N71" s="306">
        <f t="shared" si="5"/>
        <v>5084.62</v>
      </c>
      <c r="O71" s="307">
        <f t="shared" si="22"/>
        <v>1.00000055068059</v>
      </c>
      <c r="P71" s="1047">
        <f t="shared" si="23"/>
        <v>0</v>
      </c>
      <c r="Q71" s="306">
        <f t="shared" si="24"/>
        <v>-2.8000000002066372E-3</v>
      </c>
      <c r="R71" s="307">
        <f t="shared" si="25"/>
        <v>-5.5068059011534585E-7</v>
      </c>
      <c r="S71" s="314" t="str">
        <f t="shared" si="6"/>
        <v>ok</v>
      </c>
      <c r="T71" s="314"/>
      <c r="U71" s="314"/>
      <c r="V71" s="314"/>
      <c r="W71" s="314"/>
      <c r="X71" s="314"/>
    </row>
    <row r="72" spans="1:24" s="313" customFormat="1" ht="16.5" customHeight="1">
      <c r="A72" s="1315" t="s">
        <v>2601</v>
      </c>
      <c r="B72" s="1311" t="s">
        <v>2602</v>
      </c>
      <c r="C72" s="1478" t="s">
        <v>49</v>
      </c>
      <c r="D72" s="1318">
        <v>327.01</v>
      </c>
      <c r="E72" s="1317">
        <v>211.33</v>
      </c>
      <c r="F72" s="1486">
        <f t="shared" si="27"/>
        <v>69107.023300000001</v>
      </c>
      <c r="G72" s="1049">
        <v>0</v>
      </c>
      <c r="H72" s="306">
        <v>0</v>
      </c>
      <c r="I72" s="307">
        <v>0</v>
      </c>
      <c r="J72" s="1046"/>
      <c r="K72" s="306">
        <f t="shared" si="19"/>
        <v>0</v>
      </c>
      <c r="L72" s="307">
        <f t="shared" si="20"/>
        <v>0</v>
      </c>
      <c r="M72" s="1047">
        <f t="shared" si="21"/>
        <v>0</v>
      </c>
      <c r="N72" s="306">
        <f t="shared" si="5"/>
        <v>0</v>
      </c>
      <c r="O72" s="307">
        <f t="shared" si="22"/>
        <v>0</v>
      </c>
      <c r="P72" s="1047">
        <f t="shared" si="23"/>
        <v>327.01</v>
      </c>
      <c r="Q72" s="306">
        <f t="shared" si="24"/>
        <v>69107.023300000001</v>
      </c>
      <c r="R72" s="307">
        <f t="shared" si="25"/>
        <v>1</v>
      </c>
      <c r="S72" s="314" t="str">
        <f t="shared" si="6"/>
        <v>ok</v>
      </c>
      <c r="T72" s="314"/>
      <c r="U72" s="314"/>
      <c r="V72" s="314"/>
      <c r="W72" s="314"/>
      <c r="X72" s="314"/>
    </row>
    <row r="73" spans="1:24" s="313" customFormat="1" ht="16.5" customHeight="1">
      <c r="A73" s="1315" t="s">
        <v>2603</v>
      </c>
      <c r="B73" s="1311" t="s">
        <v>2604</v>
      </c>
      <c r="C73" s="1495" t="s">
        <v>51</v>
      </c>
      <c r="D73" s="1318">
        <v>39.200000000000003</v>
      </c>
      <c r="E73" s="1317">
        <v>120.51</v>
      </c>
      <c r="F73" s="1486">
        <f t="shared" si="27"/>
        <v>4723.9920000000002</v>
      </c>
      <c r="G73" s="1049">
        <v>0</v>
      </c>
      <c r="H73" s="306">
        <v>0</v>
      </c>
      <c r="I73" s="307">
        <v>0</v>
      </c>
      <c r="J73" s="1046"/>
      <c r="K73" s="306">
        <f t="shared" si="19"/>
        <v>0</v>
      </c>
      <c r="L73" s="307">
        <f t="shared" si="20"/>
        <v>0</v>
      </c>
      <c r="M73" s="1047">
        <f t="shared" si="21"/>
        <v>0</v>
      </c>
      <c r="N73" s="306">
        <f t="shared" si="5"/>
        <v>0</v>
      </c>
      <c r="O73" s="307">
        <f t="shared" si="22"/>
        <v>0</v>
      </c>
      <c r="P73" s="1047">
        <f t="shared" si="23"/>
        <v>39.200000000000003</v>
      </c>
      <c r="Q73" s="306">
        <f t="shared" si="24"/>
        <v>4723.9920000000002</v>
      </c>
      <c r="R73" s="307">
        <f t="shared" si="25"/>
        <v>1</v>
      </c>
      <c r="S73" s="314" t="str">
        <f t="shared" si="6"/>
        <v>ok</v>
      </c>
      <c r="T73" s="314"/>
      <c r="U73" s="314"/>
      <c r="V73" s="314"/>
      <c r="W73" s="314"/>
      <c r="X73" s="314"/>
    </row>
    <row r="74" spans="1:24" s="313" customFormat="1" ht="16.5" customHeight="1">
      <c r="A74" s="1315" t="s">
        <v>2605</v>
      </c>
      <c r="B74" s="1481" t="s">
        <v>2606</v>
      </c>
      <c r="C74" s="1478"/>
      <c r="D74" s="1318"/>
      <c r="E74" s="1317"/>
      <c r="F74" s="1304"/>
      <c r="G74" s="1049"/>
      <c r="H74" s="306"/>
      <c r="I74" s="307"/>
      <c r="J74" s="1044"/>
      <c r="K74" s="306"/>
      <c r="L74" s="307"/>
      <c r="M74" s="1047"/>
      <c r="N74" s="306"/>
      <c r="O74" s="307"/>
      <c r="P74" s="1047"/>
      <c r="Q74" s="306"/>
      <c r="R74" s="307"/>
      <c r="S74" s="314" t="str">
        <f t="shared" si="6"/>
        <v>ok</v>
      </c>
      <c r="T74" s="314"/>
      <c r="U74" s="314"/>
      <c r="V74" s="314"/>
      <c r="W74" s="314"/>
      <c r="X74" s="314"/>
    </row>
    <row r="75" spans="1:24" s="313" customFormat="1" ht="16.5" customHeight="1">
      <c r="A75" s="1315" t="s">
        <v>2607</v>
      </c>
      <c r="B75" s="1311" t="s">
        <v>2608</v>
      </c>
      <c r="C75" s="1478" t="s">
        <v>50</v>
      </c>
      <c r="D75" s="1318">
        <v>26.72</v>
      </c>
      <c r="E75" s="1317">
        <v>97.04</v>
      </c>
      <c r="F75" s="1486">
        <f t="shared" ref="F75:F76" si="28">E75*D75</f>
        <v>2592.9088000000002</v>
      </c>
      <c r="G75" s="1049">
        <v>26.72</v>
      </c>
      <c r="H75" s="306">
        <v>2592.91</v>
      </c>
      <c r="I75" s="307">
        <v>1.0000004628006969</v>
      </c>
      <c r="J75" s="1046"/>
      <c r="K75" s="306">
        <f t="shared" si="19"/>
        <v>0</v>
      </c>
      <c r="L75" s="307">
        <f t="shared" si="20"/>
        <v>0</v>
      </c>
      <c r="M75" s="1047">
        <f t="shared" si="21"/>
        <v>26.72</v>
      </c>
      <c r="N75" s="306">
        <f t="shared" si="5"/>
        <v>2592.91</v>
      </c>
      <c r="O75" s="307">
        <f t="shared" si="22"/>
        <v>1.0000004628006969</v>
      </c>
      <c r="P75" s="1047">
        <f t="shared" si="23"/>
        <v>0</v>
      </c>
      <c r="Q75" s="306">
        <f t="shared" si="24"/>
        <v>-1.1999999996987754E-3</v>
      </c>
      <c r="R75" s="307">
        <f t="shared" si="25"/>
        <v>-4.6280069692338399E-7</v>
      </c>
      <c r="S75" s="314" t="str">
        <f t="shared" si="6"/>
        <v>ok</v>
      </c>
      <c r="T75" s="314"/>
      <c r="U75" s="314"/>
      <c r="V75" s="314"/>
      <c r="W75" s="314"/>
      <c r="X75" s="314"/>
    </row>
    <row r="76" spans="1:24" s="313" customFormat="1" ht="16.5" customHeight="1">
      <c r="A76" s="1315" t="s">
        <v>2609</v>
      </c>
      <c r="B76" s="1311" t="s">
        <v>2610</v>
      </c>
      <c r="C76" s="1478" t="s">
        <v>50</v>
      </c>
      <c r="D76" s="1318">
        <v>66.87</v>
      </c>
      <c r="E76" s="1317">
        <v>499.42</v>
      </c>
      <c r="F76" s="1486">
        <f t="shared" si="28"/>
        <v>33396.215400000001</v>
      </c>
      <c r="G76" s="1049">
        <v>66.87</v>
      </c>
      <c r="H76" s="306">
        <v>33396.22</v>
      </c>
      <c r="I76" s="307">
        <v>1.0000001377401584</v>
      </c>
      <c r="J76" s="1046"/>
      <c r="K76" s="306">
        <f t="shared" si="19"/>
        <v>0</v>
      </c>
      <c r="L76" s="307">
        <f t="shared" si="20"/>
        <v>0</v>
      </c>
      <c r="M76" s="1047">
        <f t="shared" si="21"/>
        <v>66.87</v>
      </c>
      <c r="N76" s="306">
        <f t="shared" si="5"/>
        <v>33396.22</v>
      </c>
      <c r="O76" s="307">
        <f t="shared" si="22"/>
        <v>1.0000001377401584</v>
      </c>
      <c r="P76" s="1047">
        <f t="shared" si="23"/>
        <v>0</v>
      </c>
      <c r="Q76" s="306">
        <f t="shared" si="24"/>
        <v>-4.6000000002095476E-3</v>
      </c>
      <c r="R76" s="307">
        <f t="shared" si="25"/>
        <v>-1.3774015843153137E-7</v>
      </c>
      <c r="S76" s="314" t="str">
        <f t="shared" si="6"/>
        <v>ok</v>
      </c>
      <c r="T76" s="314"/>
      <c r="U76" s="314"/>
      <c r="V76" s="314"/>
      <c r="W76" s="314"/>
      <c r="X76" s="314"/>
    </row>
    <row r="77" spans="1:24" s="313" customFormat="1" ht="16.5" customHeight="1">
      <c r="A77" s="1315" t="s">
        <v>2611</v>
      </c>
      <c r="B77" s="1307" t="s">
        <v>688</v>
      </c>
      <c r="C77" s="1478"/>
      <c r="D77" s="1318"/>
      <c r="E77" s="1317"/>
      <c r="F77" s="1304"/>
      <c r="G77" s="1049"/>
      <c r="H77" s="306">
        <v>0</v>
      </c>
      <c r="I77" s="307"/>
      <c r="J77" s="1044"/>
      <c r="K77" s="306"/>
      <c r="L77" s="307"/>
      <c r="M77" s="1047"/>
      <c r="N77" s="306">
        <f t="shared" si="5"/>
        <v>0</v>
      </c>
      <c r="O77" s="307"/>
      <c r="P77" s="1047"/>
      <c r="Q77" s="306"/>
      <c r="R77" s="307"/>
      <c r="S77" s="314" t="str">
        <f t="shared" si="6"/>
        <v>ok</v>
      </c>
      <c r="T77" s="314"/>
      <c r="U77" s="314"/>
      <c r="V77" s="314"/>
      <c r="W77" s="314"/>
      <c r="X77" s="314"/>
    </row>
    <row r="78" spans="1:24" s="313" customFormat="1" ht="16.5" customHeight="1">
      <c r="A78" s="1315" t="s">
        <v>2612</v>
      </c>
      <c r="B78" s="1311" t="s">
        <v>2613</v>
      </c>
      <c r="C78" s="1478" t="s">
        <v>49</v>
      </c>
      <c r="D78" s="1318">
        <v>154.46</v>
      </c>
      <c r="E78" s="1317">
        <v>86.17</v>
      </c>
      <c r="F78" s="1486">
        <f t="shared" ref="F78:F79" si="29">E78*D78</f>
        <v>13309.818200000002</v>
      </c>
      <c r="G78" s="1049">
        <v>154.45999999999998</v>
      </c>
      <c r="H78" s="306">
        <v>13309.82</v>
      </c>
      <c r="I78" s="307">
        <v>1.0000001352385113</v>
      </c>
      <c r="J78" s="1046"/>
      <c r="K78" s="306">
        <f t="shared" si="19"/>
        <v>0</v>
      </c>
      <c r="L78" s="307">
        <f t="shared" si="20"/>
        <v>0</v>
      </c>
      <c r="M78" s="1047">
        <f t="shared" si="21"/>
        <v>154.45999999999998</v>
      </c>
      <c r="N78" s="306">
        <f t="shared" si="5"/>
        <v>13309.82</v>
      </c>
      <c r="O78" s="307">
        <f t="shared" si="22"/>
        <v>1.0000001352385113</v>
      </c>
      <c r="P78" s="1047">
        <f t="shared" si="23"/>
        <v>0</v>
      </c>
      <c r="Q78" s="306">
        <f t="shared" si="24"/>
        <v>-1.799999998183921E-3</v>
      </c>
      <c r="R78" s="307">
        <f t="shared" si="25"/>
        <v>-1.3523851123555699E-7</v>
      </c>
      <c r="S78" s="314" t="str">
        <f t="shared" si="6"/>
        <v>ok</v>
      </c>
      <c r="T78" s="314"/>
      <c r="U78" s="314"/>
      <c r="V78" s="314"/>
      <c r="W78" s="314"/>
      <c r="X78" s="314"/>
    </row>
    <row r="79" spans="1:24" s="313" customFormat="1" ht="16.5" customHeight="1">
      <c r="A79" s="1315" t="s">
        <v>2614</v>
      </c>
      <c r="B79" s="1311" t="s">
        <v>2615</v>
      </c>
      <c r="C79" s="1478" t="s">
        <v>50</v>
      </c>
      <c r="D79" s="1318">
        <v>13.14</v>
      </c>
      <c r="E79" s="1317">
        <v>495.46</v>
      </c>
      <c r="F79" s="1486">
        <f t="shared" si="29"/>
        <v>6510.3444</v>
      </c>
      <c r="G79" s="1049">
        <v>13.14</v>
      </c>
      <c r="H79" s="306">
        <v>6510.34</v>
      </c>
      <c r="I79" s="307">
        <v>0.99999932415249804</v>
      </c>
      <c r="J79" s="1046"/>
      <c r="K79" s="306">
        <f t="shared" si="19"/>
        <v>0</v>
      </c>
      <c r="L79" s="307">
        <f t="shared" si="20"/>
        <v>0</v>
      </c>
      <c r="M79" s="1047">
        <f t="shared" si="21"/>
        <v>13.14</v>
      </c>
      <c r="N79" s="306">
        <f t="shared" si="5"/>
        <v>6510.34</v>
      </c>
      <c r="O79" s="307">
        <f t="shared" si="22"/>
        <v>0.99999932415249804</v>
      </c>
      <c r="P79" s="1047">
        <f t="shared" si="23"/>
        <v>0</v>
      </c>
      <c r="Q79" s="306">
        <f t="shared" si="24"/>
        <v>4.3999999998050043E-3</v>
      </c>
      <c r="R79" s="307">
        <f t="shared" si="25"/>
        <v>6.7584750198545634E-7</v>
      </c>
      <c r="S79" s="314" t="str">
        <f t="shared" si="6"/>
        <v>ok</v>
      </c>
      <c r="T79" s="314"/>
      <c r="U79" s="314"/>
      <c r="V79" s="314"/>
      <c r="W79" s="314"/>
      <c r="X79" s="314"/>
    </row>
    <row r="80" spans="1:24" s="313" customFormat="1" ht="17.25" customHeight="1">
      <c r="A80" s="1315" t="s">
        <v>2616</v>
      </c>
      <c r="B80" s="1307" t="s">
        <v>674</v>
      </c>
      <c r="C80" s="1478"/>
      <c r="D80" s="1318"/>
      <c r="E80" s="1317"/>
      <c r="F80" s="1304"/>
      <c r="G80" s="1049"/>
      <c r="H80" s="306">
        <v>0</v>
      </c>
      <c r="I80" s="307"/>
      <c r="J80" s="1044"/>
      <c r="K80" s="306"/>
      <c r="L80" s="307"/>
      <c r="M80" s="1047"/>
      <c r="N80" s="306">
        <f t="shared" si="5"/>
        <v>0</v>
      </c>
      <c r="O80" s="307"/>
      <c r="P80" s="1047"/>
      <c r="Q80" s="306"/>
      <c r="R80" s="307"/>
      <c r="S80" s="314" t="str">
        <f t="shared" si="6"/>
        <v>ok</v>
      </c>
      <c r="T80" s="314"/>
      <c r="U80" s="314"/>
      <c r="V80" s="314"/>
      <c r="W80" s="314"/>
      <c r="X80" s="314"/>
    </row>
    <row r="81" spans="1:24" s="313" customFormat="1" ht="16.5" customHeight="1">
      <c r="A81" s="1315" t="s">
        <v>2617</v>
      </c>
      <c r="B81" s="1311" t="s">
        <v>2618</v>
      </c>
      <c r="C81" s="1478" t="s">
        <v>50</v>
      </c>
      <c r="D81" s="1318">
        <v>45.55</v>
      </c>
      <c r="E81" s="1317">
        <v>79.64</v>
      </c>
      <c r="F81" s="1486">
        <f t="shared" ref="F81:F83" si="30">E81*D81</f>
        <v>3627.6019999999999</v>
      </c>
      <c r="G81" s="1049">
        <v>45.55</v>
      </c>
      <c r="H81" s="306">
        <v>3627.6</v>
      </c>
      <c r="I81" s="307">
        <v>0.99999944867160184</v>
      </c>
      <c r="J81" s="1046"/>
      <c r="K81" s="306">
        <f t="shared" si="19"/>
        <v>0</v>
      </c>
      <c r="L81" s="307">
        <f t="shared" si="20"/>
        <v>0</v>
      </c>
      <c r="M81" s="1047">
        <f t="shared" si="21"/>
        <v>45.55</v>
      </c>
      <c r="N81" s="306">
        <f t="shared" si="5"/>
        <v>3627.6</v>
      </c>
      <c r="O81" s="307">
        <f t="shared" si="22"/>
        <v>0.99999944867160184</v>
      </c>
      <c r="P81" s="1047">
        <f t="shared" si="23"/>
        <v>0</v>
      </c>
      <c r="Q81" s="306">
        <f t="shared" si="24"/>
        <v>1.9999999999527063E-3</v>
      </c>
      <c r="R81" s="307">
        <f t="shared" si="25"/>
        <v>5.5132839819602768E-7</v>
      </c>
      <c r="S81" s="314" t="str">
        <f t="shared" si="6"/>
        <v>ok</v>
      </c>
      <c r="T81" s="314"/>
      <c r="U81" s="314"/>
      <c r="V81" s="314"/>
      <c r="W81" s="314"/>
      <c r="X81" s="314"/>
    </row>
    <row r="82" spans="1:24" s="313" customFormat="1" ht="16.5" customHeight="1">
      <c r="A82" s="1315" t="s">
        <v>2619</v>
      </c>
      <c r="B82" s="1311" t="s">
        <v>2620</v>
      </c>
      <c r="C82" s="1478" t="s">
        <v>50</v>
      </c>
      <c r="D82" s="1318">
        <v>28.64</v>
      </c>
      <c r="E82" s="1317">
        <v>451.83</v>
      </c>
      <c r="F82" s="1486">
        <f t="shared" si="30"/>
        <v>12940.4112</v>
      </c>
      <c r="G82" s="1049">
        <v>28.64</v>
      </c>
      <c r="H82" s="306">
        <v>12940.41</v>
      </c>
      <c r="I82" s="307">
        <v>0.99999990726724353</v>
      </c>
      <c r="J82" s="1046"/>
      <c r="K82" s="306">
        <f t="shared" si="19"/>
        <v>0</v>
      </c>
      <c r="L82" s="307">
        <f t="shared" si="20"/>
        <v>0</v>
      </c>
      <c r="M82" s="1047">
        <f t="shared" si="21"/>
        <v>28.64</v>
      </c>
      <c r="N82" s="306">
        <f t="shared" si="5"/>
        <v>12940.41</v>
      </c>
      <c r="O82" s="307">
        <f t="shared" si="22"/>
        <v>0.99999990726724353</v>
      </c>
      <c r="P82" s="1047">
        <f t="shared" si="23"/>
        <v>0</v>
      </c>
      <c r="Q82" s="306">
        <f t="shared" si="24"/>
        <v>1.2000000006082701E-3</v>
      </c>
      <c r="R82" s="307">
        <f t="shared" si="25"/>
        <v>9.2732756483678817E-8</v>
      </c>
      <c r="S82" s="314" t="str">
        <f t="shared" si="6"/>
        <v>ok</v>
      </c>
      <c r="T82" s="314"/>
      <c r="U82" s="314"/>
      <c r="V82" s="314"/>
      <c r="W82" s="314"/>
      <c r="X82" s="314"/>
    </row>
    <row r="83" spans="1:24" s="313" customFormat="1" ht="16.5" customHeight="1">
      <c r="A83" s="1315" t="s">
        <v>2621</v>
      </c>
      <c r="B83" s="1311" t="s">
        <v>2622</v>
      </c>
      <c r="C83" s="1478" t="s">
        <v>49</v>
      </c>
      <c r="D83" s="1318">
        <v>125</v>
      </c>
      <c r="E83" s="1317">
        <v>79.87</v>
      </c>
      <c r="F83" s="1486">
        <f t="shared" si="30"/>
        <v>9983.75</v>
      </c>
      <c r="G83" s="1049">
        <v>101.2</v>
      </c>
      <c r="H83" s="306">
        <v>8082.84</v>
      </c>
      <c r="I83" s="307">
        <v>0.8095995993489421</v>
      </c>
      <c r="J83" s="1046"/>
      <c r="K83" s="306">
        <f t="shared" si="19"/>
        <v>0</v>
      </c>
      <c r="L83" s="307">
        <f t="shared" si="20"/>
        <v>0</v>
      </c>
      <c r="M83" s="1047">
        <f t="shared" si="21"/>
        <v>101.2</v>
      </c>
      <c r="N83" s="306">
        <f t="shared" si="5"/>
        <v>8082.84</v>
      </c>
      <c r="O83" s="307">
        <f t="shared" si="22"/>
        <v>0.8095995993489421</v>
      </c>
      <c r="P83" s="1047">
        <f t="shared" si="23"/>
        <v>23.799999999999997</v>
      </c>
      <c r="Q83" s="306">
        <f t="shared" si="24"/>
        <v>1900.9099999999999</v>
      </c>
      <c r="R83" s="307">
        <f t="shared" si="25"/>
        <v>0.19040040065105795</v>
      </c>
      <c r="S83" s="314" t="str">
        <f t="shared" si="6"/>
        <v>ok</v>
      </c>
      <c r="T83" s="314"/>
      <c r="U83" s="314"/>
      <c r="V83" s="314"/>
      <c r="W83" s="314"/>
      <c r="X83" s="314"/>
    </row>
    <row r="84" spans="1:24" s="313" customFormat="1" ht="16.5" customHeight="1">
      <c r="A84" s="1333" t="s">
        <v>2623</v>
      </c>
      <c r="B84" s="1307" t="s">
        <v>2624</v>
      </c>
      <c r="C84" s="1498"/>
      <c r="D84" s="1318"/>
      <c r="E84" s="1335"/>
      <c r="F84" s="1304"/>
      <c r="G84" s="1049"/>
      <c r="H84" s="306">
        <v>0</v>
      </c>
      <c r="I84" s="307"/>
      <c r="J84" s="1044"/>
      <c r="K84" s="306"/>
      <c r="L84" s="307"/>
      <c r="M84" s="1047"/>
      <c r="N84" s="306">
        <f t="shared" si="5"/>
        <v>0</v>
      </c>
      <c r="O84" s="307"/>
      <c r="P84" s="1047"/>
      <c r="Q84" s="306"/>
      <c r="R84" s="307"/>
      <c r="S84" s="314" t="str">
        <f t="shared" si="6"/>
        <v>ok</v>
      </c>
      <c r="T84" s="314"/>
      <c r="U84" s="314"/>
      <c r="V84" s="314"/>
      <c r="W84" s="314"/>
      <c r="X84" s="314"/>
    </row>
    <row r="85" spans="1:24" s="313" customFormat="1" ht="16.5" customHeight="1">
      <c r="A85" s="1333" t="s">
        <v>2625</v>
      </c>
      <c r="B85" s="1481" t="s">
        <v>2626</v>
      </c>
      <c r="C85" s="1498"/>
      <c r="D85" s="1318"/>
      <c r="E85" s="1335"/>
      <c r="F85" s="1304"/>
      <c r="G85" s="1049"/>
      <c r="H85" s="306">
        <v>0</v>
      </c>
      <c r="I85" s="307"/>
      <c r="J85" s="1044"/>
      <c r="K85" s="306"/>
      <c r="L85" s="307"/>
      <c r="M85" s="1047"/>
      <c r="N85" s="306">
        <f t="shared" ref="N85:N115" si="31">H85+K85</f>
        <v>0</v>
      </c>
      <c r="O85" s="307"/>
      <c r="P85" s="1047"/>
      <c r="Q85" s="306"/>
      <c r="R85" s="307"/>
      <c r="S85" s="314" t="str">
        <f t="shared" ref="S85:S115" si="32">IF(M85&gt;D85,"mayormetrado","ok")</f>
        <v>ok</v>
      </c>
      <c r="T85" s="314"/>
      <c r="U85" s="314"/>
      <c r="V85" s="314"/>
      <c r="W85" s="314"/>
      <c r="X85" s="314"/>
    </row>
    <row r="86" spans="1:24" s="313" customFormat="1" ht="16.5" customHeight="1">
      <c r="A86" s="1333" t="s">
        <v>2627</v>
      </c>
      <c r="B86" s="1311" t="s">
        <v>2628</v>
      </c>
      <c r="C86" s="1498" t="s">
        <v>49</v>
      </c>
      <c r="D86" s="1318">
        <v>610.86</v>
      </c>
      <c r="E86" s="1335">
        <v>97.81</v>
      </c>
      <c r="F86" s="1486">
        <f t="shared" ref="F86:F88" si="33">E86*D86</f>
        <v>59748.2166</v>
      </c>
      <c r="G86" s="1049">
        <v>610.86</v>
      </c>
      <c r="H86" s="306">
        <v>59748.22</v>
      </c>
      <c r="I86" s="307">
        <v>1.0000000569054641</v>
      </c>
      <c r="J86" s="1046"/>
      <c r="K86" s="306">
        <f t="shared" si="19"/>
        <v>0</v>
      </c>
      <c r="L86" s="307">
        <f t="shared" si="20"/>
        <v>0</v>
      </c>
      <c r="M86" s="1047">
        <f t="shared" si="21"/>
        <v>610.86</v>
      </c>
      <c r="N86" s="306">
        <f t="shared" si="31"/>
        <v>59748.22</v>
      </c>
      <c r="O86" s="307">
        <f t="shared" si="22"/>
        <v>1.0000000569054641</v>
      </c>
      <c r="P86" s="1047">
        <f t="shared" si="23"/>
        <v>0</v>
      </c>
      <c r="Q86" s="306">
        <f t="shared" si="24"/>
        <v>-3.4000000014202669E-3</v>
      </c>
      <c r="R86" s="307">
        <f t="shared" si="25"/>
        <v>-5.6905464211299437E-8</v>
      </c>
      <c r="S86" s="314" t="str">
        <f t="shared" si="32"/>
        <v>ok</v>
      </c>
      <c r="T86" s="314"/>
      <c r="U86" s="314"/>
      <c r="V86" s="314"/>
      <c r="W86" s="314"/>
      <c r="X86" s="314"/>
    </row>
    <row r="87" spans="1:24" s="313" customFormat="1" ht="16.5" customHeight="1">
      <c r="A87" s="1333" t="s">
        <v>2629</v>
      </c>
      <c r="B87" s="1311" t="s">
        <v>2630</v>
      </c>
      <c r="C87" s="1499" t="s">
        <v>49</v>
      </c>
      <c r="D87" s="1303">
        <v>155.99</v>
      </c>
      <c r="E87" s="1339">
        <v>22.82</v>
      </c>
      <c r="F87" s="1486">
        <f t="shared" si="33"/>
        <v>3559.6918000000001</v>
      </c>
      <c r="G87" s="1049">
        <v>0</v>
      </c>
      <c r="H87" s="306">
        <v>0</v>
      </c>
      <c r="I87" s="307">
        <v>0</v>
      </c>
      <c r="J87" s="1046"/>
      <c r="K87" s="306">
        <f t="shared" si="19"/>
        <v>0</v>
      </c>
      <c r="L87" s="307">
        <f t="shared" si="20"/>
        <v>0</v>
      </c>
      <c r="M87" s="1047">
        <f t="shared" si="21"/>
        <v>0</v>
      </c>
      <c r="N87" s="306">
        <f t="shared" si="31"/>
        <v>0</v>
      </c>
      <c r="O87" s="307">
        <f t="shared" si="22"/>
        <v>0</v>
      </c>
      <c r="P87" s="1047">
        <f t="shared" si="23"/>
        <v>155.99</v>
      </c>
      <c r="Q87" s="306">
        <f t="shared" si="24"/>
        <v>3559.6918000000001</v>
      </c>
      <c r="R87" s="307">
        <f t="shared" si="25"/>
        <v>1</v>
      </c>
      <c r="S87" s="314" t="str">
        <f t="shared" si="32"/>
        <v>ok</v>
      </c>
      <c r="T87" s="314"/>
      <c r="U87" s="314"/>
      <c r="V87" s="314"/>
      <c r="W87" s="314"/>
      <c r="X87" s="314"/>
    </row>
    <row r="88" spans="1:24" s="313" customFormat="1" ht="16.5" customHeight="1">
      <c r="A88" s="1333" t="s">
        <v>2631</v>
      </c>
      <c r="B88" s="1311" t="s">
        <v>2632</v>
      </c>
      <c r="C88" s="1499" t="s">
        <v>49</v>
      </c>
      <c r="D88" s="1303">
        <v>16.79</v>
      </c>
      <c r="E88" s="1339">
        <v>194.55</v>
      </c>
      <c r="F88" s="1486">
        <f t="shared" si="33"/>
        <v>3266.4945000000002</v>
      </c>
      <c r="G88" s="1049">
        <v>0</v>
      </c>
      <c r="H88" s="306">
        <v>0</v>
      </c>
      <c r="I88" s="307">
        <v>0</v>
      </c>
      <c r="J88" s="1046"/>
      <c r="K88" s="306">
        <f t="shared" si="19"/>
        <v>0</v>
      </c>
      <c r="L88" s="307">
        <f t="shared" si="20"/>
        <v>0</v>
      </c>
      <c r="M88" s="1047">
        <f t="shared" si="21"/>
        <v>0</v>
      </c>
      <c r="N88" s="306">
        <f t="shared" si="31"/>
        <v>0</v>
      </c>
      <c r="O88" s="307">
        <f t="shared" si="22"/>
        <v>0</v>
      </c>
      <c r="P88" s="1047">
        <f t="shared" si="23"/>
        <v>16.79</v>
      </c>
      <c r="Q88" s="306">
        <f t="shared" si="24"/>
        <v>3266.4945000000002</v>
      </c>
      <c r="R88" s="307">
        <f t="shared" si="25"/>
        <v>1</v>
      </c>
      <c r="S88" s="314" t="str">
        <f t="shared" si="32"/>
        <v>ok</v>
      </c>
      <c r="T88" s="314"/>
      <c r="U88" s="314"/>
      <c r="V88" s="314"/>
      <c r="W88" s="314"/>
      <c r="X88" s="314"/>
    </row>
    <row r="89" spans="1:24" s="313" customFormat="1" ht="16.5" customHeight="1">
      <c r="A89" s="1337" t="s">
        <v>2633</v>
      </c>
      <c r="B89" s="1481" t="s">
        <v>2634</v>
      </c>
      <c r="C89" s="1499"/>
      <c r="D89" s="1303"/>
      <c r="E89" s="1339"/>
      <c r="F89" s="1304"/>
      <c r="G89" s="1049"/>
      <c r="H89" s="306">
        <v>0</v>
      </c>
      <c r="I89" s="307"/>
      <c r="J89" s="1044"/>
      <c r="K89" s="306"/>
      <c r="L89" s="307"/>
      <c r="M89" s="1047"/>
      <c r="N89" s="306">
        <f t="shared" si="31"/>
        <v>0</v>
      </c>
      <c r="O89" s="307"/>
      <c r="P89" s="1047"/>
      <c r="Q89" s="306"/>
      <c r="R89" s="307"/>
      <c r="S89" s="314" t="str">
        <f t="shared" si="32"/>
        <v>ok</v>
      </c>
      <c r="T89" s="314"/>
      <c r="U89" s="314"/>
      <c r="V89" s="314"/>
      <c r="W89" s="314"/>
      <c r="X89" s="314"/>
    </row>
    <row r="90" spans="1:24" s="313" customFormat="1" ht="16.5" customHeight="1">
      <c r="A90" s="1337" t="s">
        <v>2635</v>
      </c>
      <c r="B90" s="1311" t="s">
        <v>2636</v>
      </c>
      <c r="C90" s="1499" t="s">
        <v>51</v>
      </c>
      <c r="D90" s="1303">
        <v>552.36</v>
      </c>
      <c r="E90" s="1339">
        <v>53.19</v>
      </c>
      <c r="F90" s="1486">
        <f t="shared" ref="F90:F115" si="34">E90*D90</f>
        <v>29380.028399999999</v>
      </c>
      <c r="G90" s="1049">
        <v>552.36</v>
      </c>
      <c r="H90" s="306">
        <v>29380.03</v>
      </c>
      <c r="I90" s="307">
        <v>1.0000000544587628</v>
      </c>
      <c r="J90" s="1046"/>
      <c r="K90" s="306">
        <f t="shared" si="19"/>
        <v>0</v>
      </c>
      <c r="L90" s="307">
        <f t="shared" si="20"/>
        <v>0</v>
      </c>
      <c r="M90" s="1047">
        <f t="shared" si="21"/>
        <v>552.36</v>
      </c>
      <c r="N90" s="306">
        <f t="shared" si="31"/>
        <v>29380.03</v>
      </c>
      <c r="O90" s="307">
        <f t="shared" si="22"/>
        <v>1.0000000544587628</v>
      </c>
      <c r="P90" s="1047">
        <f t="shared" si="23"/>
        <v>0</v>
      </c>
      <c r="Q90" s="306">
        <f t="shared" si="24"/>
        <v>-1.5999999995983671E-3</v>
      </c>
      <c r="R90" s="307">
        <f t="shared" si="25"/>
        <v>-5.445876286485711E-8</v>
      </c>
      <c r="S90" s="314" t="str">
        <f t="shared" si="32"/>
        <v>ok</v>
      </c>
      <c r="T90" s="314"/>
      <c r="U90" s="314"/>
      <c r="V90" s="314"/>
      <c r="W90" s="314"/>
      <c r="X90" s="314"/>
    </row>
    <row r="91" spans="1:24" s="313" customFormat="1" ht="16.5" customHeight="1">
      <c r="A91" s="1337" t="s">
        <v>2637</v>
      </c>
      <c r="B91" s="1311" t="s">
        <v>2638</v>
      </c>
      <c r="C91" s="1499" t="s">
        <v>51</v>
      </c>
      <c r="D91" s="1303">
        <v>2353.6</v>
      </c>
      <c r="E91" s="1339">
        <v>36.94</v>
      </c>
      <c r="F91" s="1486">
        <f t="shared" si="34"/>
        <v>86941.983999999997</v>
      </c>
      <c r="G91" s="1049">
        <v>1966.8799999999997</v>
      </c>
      <c r="H91" s="306">
        <v>72656.55</v>
      </c>
      <c r="I91" s="307">
        <v>0.83569003900348082</v>
      </c>
      <c r="J91" s="1046"/>
      <c r="K91" s="306">
        <f t="shared" si="19"/>
        <v>0</v>
      </c>
      <c r="L91" s="307">
        <f t="shared" si="20"/>
        <v>0</v>
      </c>
      <c r="M91" s="1047">
        <f t="shared" si="21"/>
        <v>1966.8799999999997</v>
      </c>
      <c r="N91" s="306">
        <f t="shared" si="31"/>
        <v>72656.55</v>
      </c>
      <c r="O91" s="307">
        <f t="shared" si="22"/>
        <v>0.83569003900348082</v>
      </c>
      <c r="P91" s="1047">
        <f t="shared" si="23"/>
        <v>386.72000000000025</v>
      </c>
      <c r="Q91" s="306">
        <f t="shared" si="24"/>
        <v>14285.433999999994</v>
      </c>
      <c r="R91" s="307">
        <f t="shared" si="25"/>
        <v>0.16430996099651918</v>
      </c>
      <c r="S91" s="314" t="str">
        <f t="shared" si="32"/>
        <v>ok</v>
      </c>
      <c r="T91" s="314"/>
      <c r="U91" s="314"/>
      <c r="V91" s="314"/>
      <c r="W91" s="314"/>
      <c r="X91" s="314"/>
    </row>
    <row r="92" spans="1:24" s="313" customFormat="1" ht="16.5" customHeight="1">
      <c r="A92" s="1337" t="s">
        <v>2639</v>
      </c>
      <c r="B92" s="1311" t="s">
        <v>2640</v>
      </c>
      <c r="C92" s="1499" t="s">
        <v>51</v>
      </c>
      <c r="D92" s="1303">
        <v>199.88</v>
      </c>
      <c r="E92" s="1339">
        <v>58.87</v>
      </c>
      <c r="F92" s="1486">
        <f t="shared" si="34"/>
        <v>11766.935599999999</v>
      </c>
      <c r="G92" s="1049">
        <v>199.88</v>
      </c>
      <c r="H92" s="306">
        <v>11766.94</v>
      </c>
      <c r="I92" s="307">
        <v>1.0000003739291308</v>
      </c>
      <c r="J92" s="1046"/>
      <c r="K92" s="306">
        <f t="shared" si="19"/>
        <v>0</v>
      </c>
      <c r="L92" s="307">
        <f t="shared" si="20"/>
        <v>0</v>
      </c>
      <c r="M92" s="1047">
        <f t="shared" si="21"/>
        <v>199.88</v>
      </c>
      <c r="N92" s="306">
        <f t="shared" si="31"/>
        <v>11766.94</v>
      </c>
      <c r="O92" s="307">
        <f t="shared" si="22"/>
        <v>1.0000003739291308</v>
      </c>
      <c r="P92" s="1047">
        <f t="shared" si="23"/>
        <v>0</v>
      </c>
      <c r="Q92" s="306">
        <f t="shared" si="24"/>
        <v>-4.4000000016239937E-3</v>
      </c>
      <c r="R92" s="307">
        <f t="shared" si="25"/>
        <v>-3.7392913084558688E-7</v>
      </c>
      <c r="S92" s="314" t="str">
        <f t="shared" si="32"/>
        <v>ok</v>
      </c>
      <c r="T92" s="314"/>
      <c r="U92" s="314"/>
      <c r="V92" s="314"/>
      <c r="W92" s="314"/>
      <c r="X92" s="314"/>
    </row>
    <row r="93" spans="1:24" s="313" customFormat="1" ht="16.5" customHeight="1">
      <c r="A93" s="1337" t="s">
        <v>2641</v>
      </c>
      <c r="B93" s="1311" t="s">
        <v>2642</v>
      </c>
      <c r="C93" s="1499" t="s">
        <v>51</v>
      </c>
      <c r="D93" s="1303">
        <v>70.64</v>
      </c>
      <c r="E93" s="1339">
        <v>24.25</v>
      </c>
      <c r="F93" s="1486">
        <f t="shared" si="34"/>
        <v>1713.02</v>
      </c>
      <c r="G93" s="1049">
        <v>70.64</v>
      </c>
      <c r="H93" s="306">
        <v>1713.02</v>
      </c>
      <c r="I93" s="307">
        <v>1</v>
      </c>
      <c r="J93" s="1046"/>
      <c r="K93" s="306">
        <f t="shared" si="19"/>
        <v>0</v>
      </c>
      <c r="L93" s="307">
        <f t="shared" si="20"/>
        <v>0</v>
      </c>
      <c r="M93" s="1047">
        <f t="shared" si="21"/>
        <v>70.64</v>
      </c>
      <c r="N93" s="306">
        <f t="shared" si="31"/>
        <v>1713.02</v>
      </c>
      <c r="O93" s="307">
        <f t="shared" si="22"/>
        <v>1</v>
      </c>
      <c r="P93" s="1047">
        <f t="shared" si="23"/>
        <v>0</v>
      </c>
      <c r="Q93" s="306">
        <f t="shared" si="24"/>
        <v>0</v>
      </c>
      <c r="R93" s="307">
        <f t="shared" si="25"/>
        <v>0</v>
      </c>
      <c r="S93" s="314" t="str">
        <f t="shared" si="32"/>
        <v>ok</v>
      </c>
      <c r="T93" s="314"/>
      <c r="U93" s="314"/>
      <c r="V93" s="314"/>
      <c r="W93" s="314"/>
      <c r="X93" s="314"/>
    </row>
    <row r="94" spans="1:24" s="313" customFormat="1" ht="16.5" customHeight="1">
      <c r="A94" s="1337" t="s">
        <v>2643</v>
      </c>
      <c r="B94" s="1311" t="s">
        <v>2644</v>
      </c>
      <c r="C94" s="1499" t="s">
        <v>51</v>
      </c>
      <c r="D94" s="1303">
        <v>191.73000000000002</v>
      </c>
      <c r="E94" s="1339">
        <v>40.410000000000004</v>
      </c>
      <c r="F94" s="1486">
        <f t="shared" si="34"/>
        <v>7747.8093000000017</v>
      </c>
      <c r="G94" s="1049">
        <v>0</v>
      </c>
      <c r="H94" s="306">
        <v>0</v>
      </c>
      <c r="I94" s="307">
        <v>0</v>
      </c>
      <c r="J94" s="1046"/>
      <c r="K94" s="306">
        <f t="shared" si="19"/>
        <v>0</v>
      </c>
      <c r="L94" s="307">
        <f t="shared" si="20"/>
        <v>0</v>
      </c>
      <c r="M94" s="1047">
        <f t="shared" si="21"/>
        <v>0</v>
      </c>
      <c r="N94" s="306">
        <f t="shared" si="31"/>
        <v>0</v>
      </c>
      <c r="O94" s="307">
        <f t="shared" si="22"/>
        <v>0</v>
      </c>
      <c r="P94" s="1047">
        <f t="shared" si="23"/>
        <v>191.73000000000002</v>
      </c>
      <c r="Q94" s="306">
        <f t="shared" si="24"/>
        <v>7747.8093000000017</v>
      </c>
      <c r="R94" s="307">
        <f t="shared" si="25"/>
        <v>1</v>
      </c>
      <c r="S94" s="314" t="str">
        <f t="shared" si="32"/>
        <v>ok</v>
      </c>
      <c r="T94" s="314"/>
      <c r="U94" s="314"/>
      <c r="V94" s="314"/>
      <c r="W94" s="314"/>
      <c r="X94" s="314"/>
    </row>
    <row r="95" spans="1:24" s="313" customFormat="1" ht="16.5" customHeight="1">
      <c r="A95" s="1337" t="s">
        <v>2645</v>
      </c>
      <c r="B95" s="1307" t="s">
        <v>2646</v>
      </c>
      <c r="C95" s="1499"/>
      <c r="D95" s="1303"/>
      <c r="E95" s="1339"/>
      <c r="F95" s="1486"/>
      <c r="G95" s="1049"/>
      <c r="H95" s="306"/>
      <c r="I95" s="307"/>
      <c r="J95" s="1046"/>
      <c r="K95" s="306"/>
      <c r="L95" s="307"/>
      <c r="M95" s="1047"/>
      <c r="N95" s="306"/>
      <c r="O95" s="307"/>
      <c r="P95" s="1047"/>
      <c r="Q95" s="306"/>
      <c r="R95" s="307"/>
      <c r="S95" s="314" t="str">
        <f t="shared" si="32"/>
        <v>ok</v>
      </c>
      <c r="T95" s="314"/>
      <c r="U95" s="314"/>
      <c r="V95" s="314"/>
      <c r="W95" s="314"/>
      <c r="X95" s="314"/>
    </row>
    <row r="96" spans="1:24" s="313" customFormat="1" ht="16.5" customHeight="1">
      <c r="A96" s="1337" t="s">
        <v>2647</v>
      </c>
      <c r="B96" s="1481" t="s">
        <v>2648</v>
      </c>
      <c r="C96" s="1499"/>
      <c r="D96" s="1303"/>
      <c r="E96" s="1339"/>
      <c r="F96" s="1486"/>
      <c r="G96" s="1049"/>
      <c r="H96" s="306"/>
      <c r="I96" s="307"/>
      <c r="J96" s="1046"/>
      <c r="K96" s="306"/>
      <c r="L96" s="307"/>
      <c r="M96" s="1047"/>
      <c r="N96" s="306"/>
      <c r="O96" s="307"/>
      <c r="P96" s="1047"/>
      <c r="Q96" s="306"/>
      <c r="R96" s="307"/>
      <c r="S96" s="314" t="str">
        <f t="shared" si="32"/>
        <v>ok</v>
      </c>
      <c r="T96" s="314"/>
      <c r="U96" s="314"/>
      <c r="V96" s="314"/>
      <c r="W96" s="314"/>
      <c r="X96" s="314"/>
    </row>
    <row r="97" spans="1:24" s="1427" customFormat="1" ht="16.5" customHeight="1">
      <c r="A97" s="1880" t="s">
        <v>2649</v>
      </c>
      <c r="B97" s="1908" t="s">
        <v>2650</v>
      </c>
      <c r="C97" s="1961" t="s">
        <v>51</v>
      </c>
      <c r="D97" s="1318">
        <v>18.41</v>
      </c>
      <c r="E97" s="1962">
        <v>485.31</v>
      </c>
      <c r="F97" s="1855">
        <f t="shared" si="34"/>
        <v>8934.5571</v>
      </c>
      <c r="G97" s="1049">
        <v>18.41</v>
      </c>
      <c r="H97" s="1425">
        <v>8934.5571</v>
      </c>
      <c r="I97" s="305">
        <v>1</v>
      </c>
      <c r="J97" s="1049"/>
      <c r="K97" s="1910">
        <f t="shared" ref="K97:K115" si="35">J97*E97</f>
        <v>0</v>
      </c>
      <c r="L97" s="305">
        <f t="shared" ref="L97:L115" si="36">+K97/$F97</f>
        <v>0</v>
      </c>
      <c r="M97" s="1049">
        <f t="shared" ref="M97:M115" si="37">+G97+J97</f>
        <v>18.41</v>
      </c>
      <c r="N97" s="1425">
        <f t="shared" si="31"/>
        <v>8934.5571</v>
      </c>
      <c r="O97" s="305">
        <f t="shared" ref="O97:O115" si="38">+N97/$F97</f>
        <v>1</v>
      </c>
      <c r="P97" s="1049">
        <f t="shared" ref="P97:P115" si="39">D97-M97</f>
        <v>0</v>
      </c>
      <c r="Q97" s="1425">
        <f t="shared" ref="Q97:Q115" si="40">F97-N97</f>
        <v>0</v>
      </c>
      <c r="R97" s="305">
        <f t="shared" ref="R97:R115" si="41">+Q97/$F97</f>
        <v>0</v>
      </c>
      <c r="S97" s="1426" t="str">
        <f t="shared" si="32"/>
        <v>ok</v>
      </c>
      <c r="T97" s="1426"/>
      <c r="U97" s="1426"/>
      <c r="V97" s="1426"/>
      <c r="W97" s="1426"/>
      <c r="X97" s="1426"/>
    </row>
    <row r="98" spans="1:24" s="1427" customFormat="1" ht="16.5" customHeight="1">
      <c r="A98" s="1880" t="s">
        <v>2651</v>
      </c>
      <c r="B98" s="1908" t="s">
        <v>2652</v>
      </c>
      <c r="C98" s="1909" t="s">
        <v>51</v>
      </c>
      <c r="D98" s="1318">
        <v>115.52</v>
      </c>
      <c r="E98" s="1854">
        <v>472.31</v>
      </c>
      <c r="F98" s="1855">
        <f t="shared" si="34"/>
        <v>54561.251199999999</v>
      </c>
      <c r="G98" s="1049">
        <v>115.52</v>
      </c>
      <c r="H98" s="1425">
        <v>54561.25</v>
      </c>
      <c r="I98" s="305">
        <v>0.99999997800636953</v>
      </c>
      <c r="J98" s="1049"/>
      <c r="K98" s="1425">
        <f t="shared" si="35"/>
        <v>0</v>
      </c>
      <c r="L98" s="305">
        <f t="shared" si="36"/>
        <v>0</v>
      </c>
      <c r="M98" s="1049">
        <f t="shared" si="37"/>
        <v>115.52</v>
      </c>
      <c r="N98" s="1425">
        <f t="shared" si="31"/>
        <v>54561.25</v>
      </c>
      <c r="O98" s="305">
        <f t="shared" si="38"/>
        <v>0.99999997800636953</v>
      </c>
      <c r="P98" s="1049">
        <f t="shared" si="39"/>
        <v>0</v>
      </c>
      <c r="Q98" s="1425">
        <f t="shared" si="40"/>
        <v>1.1999999987892807E-3</v>
      </c>
      <c r="R98" s="305">
        <f t="shared" si="41"/>
        <v>2.1993630505109837E-8</v>
      </c>
      <c r="S98" s="1426" t="str">
        <f t="shared" si="32"/>
        <v>ok</v>
      </c>
      <c r="T98" s="1426"/>
      <c r="U98" s="1426"/>
      <c r="V98" s="1426"/>
      <c r="W98" s="1426"/>
      <c r="X98" s="1426"/>
    </row>
    <row r="99" spans="1:24" s="1427" customFormat="1" ht="16.5" customHeight="1">
      <c r="A99" s="1880" t="s">
        <v>2653</v>
      </c>
      <c r="B99" s="1908" t="s">
        <v>2654</v>
      </c>
      <c r="C99" s="1909" t="s">
        <v>51</v>
      </c>
      <c r="D99" s="1318">
        <v>16.34</v>
      </c>
      <c r="E99" s="1854">
        <v>472.31</v>
      </c>
      <c r="F99" s="1855">
        <f t="shared" si="34"/>
        <v>7717.5454</v>
      </c>
      <c r="G99" s="1049">
        <v>16.34</v>
      </c>
      <c r="H99" s="1425">
        <v>7717.5454</v>
      </c>
      <c r="I99" s="305">
        <v>1</v>
      </c>
      <c r="J99" s="1049"/>
      <c r="K99" s="1910">
        <f t="shared" si="35"/>
        <v>0</v>
      </c>
      <c r="L99" s="305">
        <f t="shared" si="36"/>
        <v>0</v>
      </c>
      <c r="M99" s="1049">
        <f t="shared" si="37"/>
        <v>16.34</v>
      </c>
      <c r="N99" s="1425">
        <f t="shared" si="31"/>
        <v>7717.5454</v>
      </c>
      <c r="O99" s="305">
        <f t="shared" si="38"/>
        <v>1</v>
      </c>
      <c r="P99" s="1049">
        <f t="shared" si="39"/>
        <v>0</v>
      </c>
      <c r="Q99" s="1425">
        <f t="shared" si="40"/>
        <v>0</v>
      </c>
      <c r="R99" s="305">
        <f t="shared" si="41"/>
        <v>0</v>
      </c>
      <c r="S99" s="1426" t="str">
        <f t="shared" si="32"/>
        <v>ok</v>
      </c>
      <c r="T99" s="1426"/>
      <c r="U99" s="1426"/>
      <c r="V99" s="1426"/>
      <c r="W99" s="1426"/>
      <c r="X99" s="1426"/>
    </row>
    <row r="100" spans="1:24" s="1427" customFormat="1" ht="16.5" customHeight="1">
      <c r="A100" s="1880" t="s">
        <v>2655</v>
      </c>
      <c r="B100" s="1908" t="s">
        <v>2656</v>
      </c>
      <c r="C100" s="1909" t="s">
        <v>51</v>
      </c>
      <c r="D100" s="1318">
        <v>198.33</v>
      </c>
      <c r="E100" s="1854">
        <v>210.43</v>
      </c>
      <c r="F100" s="1855">
        <f t="shared" si="34"/>
        <v>41734.581900000005</v>
      </c>
      <c r="G100" s="1049">
        <v>198.32999999999998</v>
      </c>
      <c r="H100" s="1425">
        <v>41734.577700000002</v>
      </c>
      <c r="I100" s="305">
        <v>0.99999989936403311</v>
      </c>
      <c r="J100" s="1049"/>
      <c r="K100" s="1910">
        <f t="shared" si="35"/>
        <v>0</v>
      </c>
      <c r="L100" s="305">
        <f t="shared" si="36"/>
        <v>0</v>
      </c>
      <c r="M100" s="1049">
        <f t="shared" si="37"/>
        <v>198.32999999999998</v>
      </c>
      <c r="N100" s="1425">
        <f t="shared" si="31"/>
        <v>41734.577700000002</v>
      </c>
      <c r="O100" s="305">
        <f t="shared" si="38"/>
        <v>0.99999989936403311</v>
      </c>
      <c r="P100" s="1049">
        <f t="shared" si="39"/>
        <v>0</v>
      </c>
      <c r="Q100" s="1425">
        <f t="shared" si="40"/>
        <v>4.2000000030384399E-3</v>
      </c>
      <c r="R100" s="305">
        <f t="shared" si="41"/>
        <v>1.0063596690873857E-7</v>
      </c>
      <c r="S100" s="1426" t="str">
        <f t="shared" si="32"/>
        <v>ok</v>
      </c>
      <c r="T100" s="1426"/>
      <c r="U100" s="1426"/>
      <c r="V100" s="1426"/>
      <c r="W100" s="1426"/>
      <c r="X100" s="1426"/>
    </row>
    <row r="101" spans="1:24" s="1427" customFormat="1" ht="16.5" customHeight="1">
      <c r="A101" s="1880" t="s">
        <v>2657</v>
      </c>
      <c r="B101" s="1908" t="s">
        <v>2658</v>
      </c>
      <c r="C101" s="1909" t="s">
        <v>52</v>
      </c>
      <c r="D101" s="1318">
        <v>7</v>
      </c>
      <c r="E101" s="1854">
        <v>644.94000000000005</v>
      </c>
      <c r="F101" s="1855">
        <f t="shared" si="34"/>
        <v>4514.58</v>
      </c>
      <c r="G101" s="1049">
        <v>7</v>
      </c>
      <c r="H101" s="1425">
        <v>4514.58</v>
      </c>
      <c r="I101" s="305">
        <v>1</v>
      </c>
      <c r="J101" s="1049"/>
      <c r="K101" s="1425">
        <f t="shared" si="35"/>
        <v>0</v>
      </c>
      <c r="L101" s="305">
        <f t="shared" si="36"/>
        <v>0</v>
      </c>
      <c r="M101" s="1049">
        <f t="shared" si="37"/>
        <v>7</v>
      </c>
      <c r="N101" s="1425">
        <f t="shared" si="31"/>
        <v>4514.58</v>
      </c>
      <c r="O101" s="305">
        <f t="shared" si="38"/>
        <v>1</v>
      </c>
      <c r="P101" s="1049">
        <f t="shared" si="39"/>
        <v>0</v>
      </c>
      <c r="Q101" s="1425">
        <f t="shared" si="40"/>
        <v>0</v>
      </c>
      <c r="R101" s="305">
        <f t="shared" si="41"/>
        <v>0</v>
      </c>
      <c r="S101" s="1426" t="str">
        <f t="shared" si="32"/>
        <v>ok</v>
      </c>
      <c r="T101" s="1426"/>
      <c r="U101" s="1426"/>
      <c r="V101" s="1426"/>
      <c r="W101" s="1426"/>
      <c r="X101" s="1426"/>
    </row>
    <row r="102" spans="1:24" s="1427" customFormat="1" ht="16.5" customHeight="1">
      <c r="A102" s="1880" t="s">
        <v>2657</v>
      </c>
      <c r="B102" s="1908" t="s">
        <v>2659</v>
      </c>
      <c r="C102" s="1909" t="s">
        <v>52</v>
      </c>
      <c r="D102" s="1318">
        <v>7</v>
      </c>
      <c r="E102" s="1854">
        <v>114.94</v>
      </c>
      <c r="F102" s="1855">
        <f t="shared" si="34"/>
        <v>804.57999999999993</v>
      </c>
      <c r="G102" s="1049">
        <v>7</v>
      </c>
      <c r="H102" s="1425">
        <v>804.58</v>
      </c>
      <c r="I102" s="305">
        <v>1.0000000000000002</v>
      </c>
      <c r="J102" s="1049"/>
      <c r="K102" s="1425">
        <f t="shared" si="35"/>
        <v>0</v>
      </c>
      <c r="L102" s="305">
        <f t="shared" si="36"/>
        <v>0</v>
      </c>
      <c r="M102" s="1049">
        <f t="shared" si="37"/>
        <v>7</v>
      </c>
      <c r="N102" s="1425">
        <f t="shared" si="31"/>
        <v>804.58</v>
      </c>
      <c r="O102" s="305">
        <f t="shared" si="38"/>
        <v>1.0000000000000002</v>
      </c>
      <c r="P102" s="1049">
        <f t="shared" si="39"/>
        <v>0</v>
      </c>
      <c r="Q102" s="1425">
        <f t="shared" si="40"/>
        <v>0</v>
      </c>
      <c r="R102" s="305">
        <f t="shared" si="41"/>
        <v>0</v>
      </c>
      <c r="S102" s="1426" t="str">
        <f t="shared" si="32"/>
        <v>ok</v>
      </c>
      <c r="T102" s="1426"/>
      <c r="U102" s="1426"/>
      <c r="V102" s="1426"/>
      <c r="W102" s="1426"/>
      <c r="X102" s="1426"/>
    </row>
    <row r="103" spans="1:24" s="1427" customFormat="1" ht="16.5" customHeight="1">
      <c r="A103" s="1880" t="s">
        <v>2660</v>
      </c>
      <c r="B103" s="1911" t="s">
        <v>2661</v>
      </c>
      <c r="C103" s="1909"/>
      <c r="D103" s="1318"/>
      <c r="E103" s="1854"/>
      <c r="F103" s="1855"/>
      <c r="G103" s="1049"/>
      <c r="H103" s="1912">
        <v>2877.4</v>
      </c>
      <c r="I103" s="305"/>
      <c r="J103" s="1049"/>
      <c r="K103" s="1425"/>
      <c r="L103" s="305"/>
      <c r="M103" s="1049"/>
      <c r="N103" s="1425">
        <f t="shared" si="31"/>
        <v>2877.4</v>
      </c>
      <c r="O103" s="305"/>
      <c r="P103" s="1049"/>
      <c r="Q103" s="1425"/>
      <c r="R103" s="305"/>
      <c r="S103" s="1426" t="str">
        <f t="shared" si="32"/>
        <v>ok</v>
      </c>
      <c r="T103" s="1426"/>
      <c r="U103" s="1426"/>
      <c r="V103" s="1426"/>
      <c r="W103" s="1426"/>
      <c r="X103" s="1426"/>
    </row>
    <row r="104" spans="1:24" s="1427" customFormat="1" ht="16.5" customHeight="1">
      <c r="A104" s="1880" t="s">
        <v>2662</v>
      </c>
      <c r="B104" s="1908" t="s">
        <v>2663</v>
      </c>
      <c r="C104" s="1909" t="s">
        <v>49</v>
      </c>
      <c r="D104" s="1318">
        <v>4656.91</v>
      </c>
      <c r="E104" s="1854">
        <v>22.69</v>
      </c>
      <c r="F104" s="1855">
        <f t="shared" si="34"/>
        <v>105665.2879</v>
      </c>
      <c r="G104" s="1049">
        <v>4433.96</v>
      </c>
      <c r="H104" s="1425">
        <v>100606.55470000001</v>
      </c>
      <c r="I104" s="305">
        <v>0.95212492862568554</v>
      </c>
      <c r="J104" s="1049"/>
      <c r="K104" s="1910">
        <f t="shared" si="35"/>
        <v>0</v>
      </c>
      <c r="L104" s="305">
        <f t="shared" si="36"/>
        <v>0</v>
      </c>
      <c r="M104" s="1049">
        <f>+G104+J104</f>
        <v>4433.96</v>
      </c>
      <c r="N104" s="1425">
        <f t="shared" si="31"/>
        <v>100606.55470000001</v>
      </c>
      <c r="O104" s="305">
        <f t="shared" si="38"/>
        <v>0.95212492862568554</v>
      </c>
      <c r="P104" s="1049">
        <f t="shared" si="39"/>
        <v>222.94999999999982</v>
      </c>
      <c r="Q104" s="1425">
        <f t="shared" si="40"/>
        <v>5058.7331999999878</v>
      </c>
      <c r="R104" s="305">
        <f t="shared" si="41"/>
        <v>4.787507137431448E-2</v>
      </c>
      <c r="S104" s="1426" t="str">
        <f t="shared" si="32"/>
        <v>ok</v>
      </c>
      <c r="T104" s="1426"/>
      <c r="U104" s="1426"/>
      <c r="V104" s="1426"/>
      <c r="W104" s="1426"/>
      <c r="X104" s="1426"/>
    </row>
    <row r="105" spans="1:24" s="1427" customFormat="1" ht="16.5" customHeight="1">
      <c r="A105" s="1880" t="s">
        <v>2664</v>
      </c>
      <c r="B105" s="1908" t="s">
        <v>2665</v>
      </c>
      <c r="C105" s="1909" t="s">
        <v>49</v>
      </c>
      <c r="D105" s="1318">
        <v>2334.27</v>
      </c>
      <c r="E105" s="1854">
        <v>23.32</v>
      </c>
      <c r="F105" s="1855">
        <f t="shared" si="34"/>
        <v>54435.176399999997</v>
      </c>
      <c r="G105" s="1049">
        <v>2029.58</v>
      </c>
      <c r="H105" s="1425">
        <v>47329.804000000004</v>
      </c>
      <c r="I105" s="305">
        <v>0.86947094011805215</v>
      </c>
      <c r="J105" s="1049"/>
      <c r="K105" s="1910">
        <f t="shared" si="35"/>
        <v>0</v>
      </c>
      <c r="L105" s="305">
        <f t="shared" si="36"/>
        <v>0</v>
      </c>
      <c r="M105" s="1049">
        <f>+G105+J105</f>
        <v>2029.58</v>
      </c>
      <c r="N105" s="1425">
        <f t="shared" si="31"/>
        <v>47329.804000000004</v>
      </c>
      <c r="O105" s="305">
        <f t="shared" si="38"/>
        <v>0.86947094011805215</v>
      </c>
      <c r="P105" s="1049">
        <f t="shared" si="39"/>
        <v>304.69000000000005</v>
      </c>
      <c r="Q105" s="1425">
        <f t="shared" si="40"/>
        <v>7105.3723999999929</v>
      </c>
      <c r="R105" s="305">
        <f t="shared" si="41"/>
        <v>0.13052905988194782</v>
      </c>
      <c r="S105" s="1426" t="str">
        <f t="shared" si="32"/>
        <v>ok</v>
      </c>
      <c r="T105" s="1426"/>
      <c r="U105" s="1426"/>
      <c r="V105" s="1426"/>
      <c r="W105" s="1426"/>
      <c r="X105" s="1426"/>
    </row>
    <row r="106" spans="1:24" s="1427" customFormat="1" ht="16.5" customHeight="1">
      <c r="A106" s="1880" t="s">
        <v>2666</v>
      </c>
      <c r="B106" s="1908" t="s">
        <v>2667</v>
      </c>
      <c r="C106" s="1909" t="s">
        <v>49</v>
      </c>
      <c r="D106" s="1318">
        <v>1094.7</v>
      </c>
      <c r="E106" s="1854">
        <v>21.7</v>
      </c>
      <c r="F106" s="1855">
        <f t="shared" si="34"/>
        <v>23754.99</v>
      </c>
      <c r="G106" s="1049">
        <v>902.58</v>
      </c>
      <c r="H106" s="1425">
        <v>19585.988999999998</v>
      </c>
      <c r="I106" s="305">
        <v>0.82449998926541312</v>
      </c>
      <c r="J106" s="1049"/>
      <c r="K106" s="1910">
        <f t="shared" si="35"/>
        <v>0</v>
      </c>
      <c r="L106" s="305">
        <f t="shared" si="36"/>
        <v>0</v>
      </c>
      <c r="M106" s="1049">
        <f>+G106+J106</f>
        <v>902.58</v>
      </c>
      <c r="N106" s="1425">
        <f t="shared" si="31"/>
        <v>19585.988999999998</v>
      </c>
      <c r="O106" s="305">
        <f t="shared" si="38"/>
        <v>0.82449998926541312</v>
      </c>
      <c r="P106" s="1049">
        <f t="shared" si="39"/>
        <v>192.12</v>
      </c>
      <c r="Q106" s="1425">
        <f t="shared" si="40"/>
        <v>4169.0010000000038</v>
      </c>
      <c r="R106" s="305">
        <f t="shared" si="41"/>
        <v>0.17550001073458688</v>
      </c>
      <c r="S106" s="1426" t="str">
        <f t="shared" si="32"/>
        <v>ok</v>
      </c>
      <c r="T106" s="1426"/>
      <c r="U106" s="1426"/>
      <c r="V106" s="1426"/>
      <c r="W106" s="1426"/>
      <c r="X106" s="1426"/>
    </row>
    <row r="107" spans="1:24" s="1427" customFormat="1" ht="16.5" customHeight="1">
      <c r="A107" s="1880" t="s">
        <v>2668</v>
      </c>
      <c r="B107" s="1908" t="s">
        <v>2669</v>
      </c>
      <c r="C107" s="1909" t="s">
        <v>49</v>
      </c>
      <c r="D107" s="1318">
        <v>1087.76</v>
      </c>
      <c r="E107" s="1854">
        <v>22.69</v>
      </c>
      <c r="F107" s="1855">
        <f t="shared" si="34"/>
        <v>24681.274400000002</v>
      </c>
      <c r="G107" s="1049">
        <v>654.62</v>
      </c>
      <c r="H107" s="1425">
        <v>14853.327799999999</v>
      </c>
      <c r="I107" s="305">
        <v>0.60180554534088393</v>
      </c>
      <c r="J107" s="1049"/>
      <c r="K107" s="1425">
        <f t="shared" si="35"/>
        <v>0</v>
      </c>
      <c r="L107" s="305">
        <f t="shared" si="36"/>
        <v>0</v>
      </c>
      <c r="M107" s="1049">
        <f t="shared" si="37"/>
        <v>654.62</v>
      </c>
      <c r="N107" s="1425">
        <f t="shared" si="31"/>
        <v>14853.327799999999</v>
      </c>
      <c r="O107" s="305">
        <f t="shared" si="38"/>
        <v>0.60180554534088393</v>
      </c>
      <c r="P107" s="1049">
        <f t="shared" si="39"/>
        <v>433.14</v>
      </c>
      <c r="Q107" s="1425">
        <f t="shared" si="40"/>
        <v>9827.9466000000029</v>
      </c>
      <c r="R107" s="305">
        <f t="shared" si="41"/>
        <v>0.39819445465911607</v>
      </c>
      <c r="S107" s="1426" t="str">
        <f t="shared" si="32"/>
        <v>ok</v>
      </c>
      <c r="T107" s="1426"/>
      <c r="U107" s="1426"/>
      <c r="V107" s="1426"/>
      <c r="W107" s="1426"/>
      <c r="X107" s="1426"/>
    </row>
    <row r="108" spans="1:24" s="1427" customFormat="1" ht="16.5" customHeight="1">
      <c r="A108" s="1880" t="s">
        <v>2670</v>
      </c>
      <c r="B108" s="1908" t="s">
        <v>2671</v>
      </c>
      <c r="C108" s="1909" t="s">
        <v>49</v>
      </c>
      <c r="D108" s="1318">
        <v>1894.27</v>
      </c>
      <c r="E108" s="1854">
        <v>19.02</v>
      </c>
      <c r="F108" s="1855">
        <f t="shared" si="34"/>
        <v>36029.015399999997</v>
      </c>
      <c r="G108" s="1049">
        <v>748.73</v>
      </c>
      <c r="H108" s="1425">
        <v>14240.840199999999</v>
      </c>
      <c r="I108" s="305">
        <v>0.39526032121321863</v>
      </c>
      <c r="J108" s="1049"/>
      <c r="K108" s="1910">
        <f t="shared" si="35"/>
        <v>0</v>
      </c>
      <c r="L108" s="305">
        <f t="shared" si="36"/>
        <v>0</v>
      </c>
      <c r="M108" s="1049">
        <f>+G108+J108</f>
        <v>748.73</v>
      </c>
      <c r="N108" s="1425">
        <f t="shared" si="31"/>
        <v>14240.840199999999</v>
      </c>
      <c r="O108" s="305">
        <f t="shared" si="38"/>
        <v>0.39526032121321863</v>
      </c>
      <c r="P108" s="1049">
        <f t="shared" si="39"/>
        <v>1145.54</v>
      </c>
      <c r="Q108" s="1425">
        <f t="shared" si="40"/>
        <v>21788.175199999998</v>
      </c>
      <c r="R108" s="305">
        <f t="shared" si="41"/>
        <v>0.60473967878678137</v>
      </c>
      <c r="S108" s="1426" t="str">
        <f t="shared" si="32"/>
        <v>ok</v>
      </c>
      <c r="T108" s="1426"/>
      <c r="U108" s="1426"/>
      <c r="V108" s="1426"/>
      <c r="W108" s="1426"/>
      <c r="X108" s="1426"/>
    </row>
    <row r="109" spans="1:24" s="1427" customFormat="1" ht="16.5" customHeight="1">
      <c r="A109" s="1880" t="s">
        <v>2672</v>
      </c>
      <c r="B109" s="1908" t="s">
        <v>2673</v>
      </c>
      <c r="C109" s="1909" t="s">
        <v>49</v>
      </c>
      <c r="D109" s="1318">
        <v>435.26</v>
      </c>
      <c r="E109" s="1854">
        <v>17.420000000000002</v>
      </c>
      <c r="F109" s="1855">
        <f t="shared" si="34"/>
        <v>7582.2292000000007</v>
      </c>
      <c r="G109" s="1049">
        <v>0</v>
      </c>
      <c r="H109" s="1425">
        <v>0</v>
      </c>
      <c r="I109" s="305">
        <v>0</v>
      </c>
      <c r="J109" s="1049"/>
      <c r="K109" s="1425">
        <f t="shared" si="35"/>
        <v>0</v>
      </c>
      <c r="L109" s="305">
        <f t="shared" si="36"/>
        <v>0</v>
      </c>
      <c r="M109" s="1049">
        <f t="shared" si="37"/>
        <v>0</v>
      </c>
      <c r="N109" s="1425">
        <f t="shared" si="31"/>
        <v>0</v>
      </c>
      <c r="O109" s="305">
        <f t="shared" si="38"/>
        <v>0</v>
      </c>
      <c r="P109" s="1049">
        <f t="shared" si="39"/>
        <v>435.26</v>
      </c>
      <c r="Q109" s="1425">
        <f t="shared" si="40"/>
        <v>7582.2292000000007</v>
      </c>
      <c r="R109" s="305">
        <f t="shared" si="41"/>
        <v>1</v>
      </c>
      <c r="S109" s="1426" t="str">
        <f t="shared" si="32"/>
        <v>ok</v>
      </c>
      <c r="T109" s="1426"/>
      <c r="U109" s="1426"/>
      <c r="V109" s="1426"/>
      <c r="W109" s="1426"/>
      <c r="X109" s="1426"/>
    </row>
    <row r="110" spans="1:24" s="1427" customFormat="1" ht="16.5" customHeight="1">
      <c r="A110" s="1880" t="s">
        <v>2674</v>
      </c>
      <c r="B110" s="1908" t="s">
        <v>2675</v>
      </c>
      <c r="C110" s="1909" t="s">
        <v>49</v>
      </c>
      <c r="D110" s="1318">
        <v>283.8</v>
      </c>
      <c r="E110" s="1854">
        <v>19.95</v>
      </c>
      <c r="F110" s="1855">
        <f t="shared" si="34"/>
        <v>5661.81</v>
      </c>
      <c r="G110" s="1049">
        <v>0</v>
      </c>
      <c r="H110" s="1425">
        <v>0</v>
      </c>
      <c r="I110" s="305">
        <v>0</v>
      </c>
      <c r="J110" s="1049"/>
      <c r="K110" s="1425">
        <f t="shared" si="35"/>
        <v>0</v>
      </c>
      <c r="L110" s="305">
        <f t="shared" si="36"/>
        <v>0</v>
      </c>
      <c r="M110" s="1049">
        <f t="shared" si="37"/>
        <v>0</v>
      </c>
      <c r="N110" s="1425">
        <f t="shared" si="31"/>
        <v>0</v>
      </c>
      <c r="O110" s="305">
        <f t="shared" si="38"/>
        <v>0</v>
      </c>
      <c r="P110" s="1049">
        <f t="shared" si="39"/>
        <v>283.8</v>
      </c>
      <c r="Q110" s="1425">
        <f t="shared" si="40"/>
        <v>5661.81</v>
      </c>
      <c r="R110" s="305">
        <f t="shared" si="41"/>
        <v>1</v>
      </c>
      <c r="S110" s="1426" t="str">
        <f t="shared" si="32"/>
        <v>ok</v>
      </c>
      <c r="T110" s="1426"/>
      <c r="U110" s="1426"/>
      <c r="V110" s="1426"/>
      <c r="W110" s="1426"/>
      <c r="X110" s="1426"/>
    </row>
    <row r="111" spans="1:24" s="1427" customFormat="1" ht="16.5" customHeight="1">
      <c r="A111" s="1880" t="s">
        <v>2676</v>
      </c>
      <c r="B111" s="1908" t="s">
        <v>2677</v>
      </c>
      <c r="C111" s="1909" t="s">
        <v>49</v>
      </c>
      <c r="D111" s="1318">
        <v>917.91</v>
      </c>
      <c r="E111" s="1854">
        <v>21.66</v>
      </c>
      <c r="F111" s="1855">
        <f t="shared" si="34"/>
        <v>19881.9306</v>
      </c>
      <c r="G111" s="1049">
        <v>384.01</v>
      </c>
      <c r="H111" s="1425">
        <v>8317.66</v>
      </c>
      <c r="I111" s="305">
        <v>0.41835273280754737</v>
      </c>
      <c r="J111" s="1049"/>
      <c r="K111" s="1425">
        <f t="shared" si="35"/>
        <v>0</v>
      </c>
      <c r="L111" s="305">
        <f t="shared" si="36"/>
        <v>0</v>
      </c>
      <c r="M111" s="1049">
        <f t="shared" si="37"/>
        <v>384.01</v>
      </c>
      <c r="N111" s="1425">
        <f t="shared" si="31"/>
        <v>8317.66</v>
      </c>
      <c r="O111" s="305">
        <f t="shared" si="38"/>
        <v>0.41835273280754737</v>
      </c>
      <c r="P111" s="1049">
        <f t="shared" si="39"/>
        <v>533.9</v>
      </c>
      <c r="Q111" s="1425">
        <f t="shared" si="40"/>
        <v>11564.2706</v>
      </c>
      <c r="R111" s="305">
        <f t="shared" si="41"/>
        <v>0.58164726719245263</v>
      </c>
      <c r="S111" s="1426" t="str">
        <f t="shared" si="32"/>
        <v>ok</v>
      </c>
      <c r="T111" s="1426"/>
      <c r="U111" s="1426"/>
      <c r="V111" s="1426"/>
      <c r="W111" s="1426"/>
      <c r="X111" s="1426"/>
    </row>
    <row r="112" spans="1:24" s="1427" customFormat="1" ht="16.5" customHeight="1">
      <c r="A112" s="1880" t="s">
        <v>2678</v>
      </c>
      <c r="B112" s="1908" t="s">
        <v>2679</v>
      </c>
      <c r="C112" s="1909" t="s">
        <v>49</v>
      </c>
      <c r="D112" s="1318">
        <v>172.18</v>
      </c>
      <c r="E112" s="1854">
        <v>24.3</v>
      </c>
      <c r="F112" s="1855">
        <f t="shared" si="34"/>
        <v>4183.9740000000002</v>
      </c>
      <c r="G112" s="1049">
        <v>134.31</v>
      </c>
      <c r="H112" s="1425">
        <v>3263.73</v>
      </c>
      <c r="I112" s="305">
        <v>0.78005503858293568</v>
      </c>
      <c r="J112" s="1049"/>
      <c r="K112" s="1425">
        <f t="shared" si="35"/>
        <v>0</v>
      </c>
      <c r="L112" s="305">
        <f t="shared" si="36"/>
        <v>0</v>
      </c>
      <c r="M112" s="1049">
        <f t="shared" si="37"/>
        <v>134.31</v>
      </c>
      <c r="N112" s="1425">
        <f t="shared" si="31"/>
        <v>3263.73</v>
      </c>
      <c r="O112" s="305">
        <f t="shared" si="38"/>
        <v>0.78005503858293568</v>
      </c>
      <c r="P112" s="1049">
        <f t="shared" si="39"/>
        <v>37.870000000000005</v>
      </c>
      <c r="Q112" s="1425">
        <f t="shared" si="40"/>
        <v>920.24400000000014</v>
      </c>
      <c r="R112" s="305">
        <f t="shared" si="41"/>
        <v>0.21994496141706429</v>
      </c>
      <c r="S112" s="1426" t="str">
        <f t="shared" si="32"/>
        <v>ok</v>
      </c>
      <c r="T112" s="1426"/>
      <c r="U112" s="1426"/>
      <c r="V112" s="1426"/>
      <c r="W112" s="1426"/>
      <c r="X112" s="1426"/>
    </row>
    <row r="113" spans="1:24" s="1427" customFormat="1" ht="16.5" customHeight="1">
      <c r="A113" s="1880" t="s">
        <v>2680</v>
      </c>
      <c r="B113" s="1908" t="s">
        <v>2681</v>
      </c>
      <c r="C113" s="1909" t="s">
        <v>49</v>
      </c>
      <c r="D113" s="1318">
        <v>943.23</v>
      </c>
      <c r="E113" s="1854">
        <v>18.100000000000001</v>
      </c>
      <c r="F113" s="1855">
        <f t="shared" si="34"/>
        <v>17072.463000000003</v>
      </c>
      <c r="G113" s="1049">
        <v>685.97</v>
      </c>
      <c r="H113" s="1425">
        <v>12416.056</v>
      </c>
      <c r="I113" s="305">
        <v>0.72725628399370368</v>
      </c>
      <c r="J113" s="1049"/>
      <c r="K113" s="1910">
        <f t="shared" si="35"/>
        <v>0</v>
      </c>
      <c r="L113" s="305">
        <f t="shared" si="36"/>
        <v>0</v>
      </c>
      <c r="M113" s="1049">
        <f>+G113+J113</f>
        <v>685.97</v>
      </c>
      <c r="N113" s="1425">
        <f t="shared" si="31"/>
        <v>12416.056</v>
      </c>
      <c r="O113" s="305">
        <f t="shared" si="38"/>
        <v>0.72725628399370368</v>
      </c>
      <c r="P113" s="1049">
        <f t="shared" si="39"/>
        <v>257.26</v>
      </c>
      <c r="Q113" s="1425">
        <f t="shared" si="40"/>
        <v>4656.4070000000029</v>
      </c>
      <c r="R113" s="305">
        <f t="shared" si="41"/>
        <v>0.27274371600629632</v>
      </c>
      <c r="S113" s="1426" t="str">
        <f t="shared" si="32"/>
        <v>ok</v>
      </c>
      <c r="T113" s="1426"/>
      <c r="U113" s="1426"/>
      <c r="V113" s="1426"/>
      <c r="W113" s="1426"/>
      <c r="X113" s="1426"/>
    </row>
    <row r="114" spans="1:24" s="1427" customFormat="1" ht="16.5" customHeight="1">
      <c r="A114" s="1880" t="s">
        <v>2682</v>
      </c>
      <c r="B114" s="1908" t="s">
        <v>2683</v>
      </c>
      <c r="C114" s="1909" t="s">
        <v>49</v>
      </c>
      <c r="D114" s="1318">
        <v>84.44</v>
      </c>
      <c r="E114" s="1854">
        <v>17.28</v>
      </c>
      <c r="F114" s="1855">
        <f t="shared" si="34"/>
        <v>1459.1232</v>
      </c>
      <c r="G114" s="1049">
        <v>14.22</v>
      </c>
      <c r="H114" s="1425">
        <v>245.72</v>
      </c>
      <c r="I114" s="305">
        <v>0.16840250364054249</v>
      </c>
      <c r="J114" s="1049"/>
      <c r="K114" s="1425">
        <f t="shared" si="35"/>
        <v>0</v>
      </c>
      <c r="L114" s="305">
        <f t="shared" si="36"/>
        <v>0</v>
      </c>
      <c r="M114" s="1049">
        <f t="shared" si="37"/>
        <v>14.22</v>
      </c>
      <c r="N114" s="1425">
        <f t="shared" si="31"/>
        <v>245.72</v>
      </c>
      <c r="O114" s="305">
        <f t="shared" si="38"/>
        <v>0.16840250364054249</v>
      </c>
      <c r="P114" s="1049">
        <f t="shared" si="39"/>
        <v>70.22</v>
      </c>
      <c r="Q114" s="1425">
        <f t="shared" si="40"/>
        <v>1213.4032</v>
      </c>
      <c r="R114" s="305">
        <f t="shared" si="41"/>
        <v>0.83159749635945746</v>
      </c>
      <c r="S114" s="1426" t="str">
        <f t="shared" si="32"/>
        <v>ok</v>
      </c>
      <c r="T114" s="1426"/>
      <c r="U114" s="1426"/>
      <c r="V114" s="1426"/>
      <c r="W114" s="1426"/>
      <c r="X114" s="1426"/>
    </row>
    <row r="115" spans="1:24" s="1427" customFormat="1" ht="16.5" customHeight="1">
      <c r="A115" s="1880" t="s">
        <v>2684</v>
      </c>
      <c r="B115" s="1908" t="s">
        <v>2685</v>
      </c>
      <c r="C115" s="1909" t="s">
        <v>49</v>
      </c>
      <c r="D115" s="1318">
        <v>1195.92</v>
      </c>
      <c r="E115" s="1854">
        <v>15.51</v>
      </c>
      <c r="F115" s="1855">
        <f t="shared" si="34"/>
        <v>18548.7192</v>
      </c>
      <c r="G115" s="1049">
        <v>774.92000000000007</v>
      </c>
      <c r="H115" s="1425">
        <v>12019.0105</v>
      </c>
      <c r="I115" s="305">
        <v>0.64796983394950525</v>
      </c>
      <c r="J115" s="1049"/>
      <c r="K115" s="1910">
        <f t="shared" si="35"/>
        <v>0</v>
      </c>
      <c r="L115" s="305">
        <f t="shared" si="36"/>
        <v>0</v>
      </c>
      <c r="M115" s="1049">
        <f t="shared" si="37"/>
        <v>774.92000000000007</v>
      </c>
      <c r="N115" s="1425">
        <f t="shared" si="31"/>
        <v>12019.0105</v>
      </c>
      <c r="O115" s="305">
        <f t="shared" si="38"/>
        <v>0.64796983394950525</v>
      </c>
      <c r="P115" s="1049">
        <f t="shared" si="39"/>
        <v>421</v>
      </c>
      <c r="Q115" s="1425">
        <f t="shared" si="40"/>
        <v>6529.7086999999992</v>
      </c>
      <c r="R115" s="305">
        <f t="shared" si="41"/>
        <v>0.3520301660504947</v>
      </c>
      <c r="S115" s="1426" t="str">
        <f t="shared" si="32"/>
        <v>ok</v>
      </c>
      <c r="T115" s="1426"/>
      <c r="U115" s="1426"/>
      <c r="V115" s="1426"/>
      <c r="W115" s="1426"/>
      <c r="X115" s="1426"/>
    </row>
    <row r="116" spans="1:24" s="304" customFormat="1" ht="15" customHeight="1" thickBot="1">
      <c r="A116" s="933"/>
      <c r="B116" s="2537" t="s">
        <v>18</v>
      </c>
      <c r="C116" s="2538"/>
      <c r="D116" s="2538"/>
      <c r="E116" s="2539"/>
      <c r="F116" s="1295">
        <v>2022520.64</v>
      </c>
      <c r="G116" s="1295"/>
      <c r="H116" s="2017">
        <f>SUM(H17:H115)</f>
        <v>1831109.6892000006</v>
      </c>
      <c r="I116" s="1296">
        <f>+H116/$F116</f>
        <v>0.90536019904350673</v>
      </c>
      <c r="J116" s="1297"/>
      <c r="K116" s="1294">
        <f>SUM(K17:K115)</f>
        <v>0</v>
      </c>
      <c r="L116" s="1296">
        <f>+K116/$F116</f>
        <v>0</v>
      </c>
      <c r="M116" s="1298"/>
      <c r="N116" s="1294">
        <f>SUM(N20:N115)</f>
        <v>1831109.6892000006</v>
      </c>
      <c r="O116" s="1296">
        <f>+N116/$F116</f>
        <v>0.90536019904350673</v>
      </c>
      <c r="P116" s="1298"/>
      <c r="Q116" s="1294">
        <f>F116-N116</f>
        <v>191410.95079999929</v>
      </c>
      <c r="R116" s="1299">
        <f>+Q116/$F116</f>
        <v>9.4639800956493228E-2</v>
      </c>
      <c r="S116" s="314"/>
      <c r="T116" s="314"/>
      <c r="U116" s="1885"/>
      <c r="V116" s="314"/>
      <c r="W116" s="314"/>
      <c r="X116" s="314"/>
    </row>
    <row r="117" spans="1:24">
      <c r="G117" s="1191"/>
      <c r="N117" s="1191"/>
      <c r="Q117" s="1191"/>
      <c r="U117" s="1449"/>
    </row>
    <row r="118" spans="1:24" ht="32.25">
      <c r="A118" s="2148" t="s">
        <v>2686</v>
      </c>
      <c r="B118" s="2148"/>
      <c r="C118" s="2148"/>
      <c r="D118" s="2148"/>
      <c r="E118" s="2148"/>
      <c r="F118" s="2148"/>
      <c r="G118" s="2148"/>
      <c r="H118" s="2148"/>
      <c r="I118" s="2148"/>
      <c r="J118" s="2148"/>
      <c r="K118" s="2148"/>
      <c r="L118" s="2148"/>
      <c r="M118" s="2148"/>
      <c r="N118" s="2148"/>
      <c r="O118" s="2148"/>
      <c r="P118" s="2148"/>
      <c r="Q118" s="2148"/>
      <c r="R118" s="2148"/>
      <c r="S118" s="1191">
        <f>H116+K116</f>
        <v>1831109.6892000006</v>
      </c>
      <c r="T118" s="1191"/>
    </row>
    <row r="119" spans="1:24" ht="32.25">
      <c r="A119" s="1218"/>
      <c r="B119" s="1218"/>
      <c r="C119" s="1218"/>
      <c r="D119" s="2504" t="s">
        <v>2697</v>
      </c>
      <c r="E119" s="2504"/>
      <c r="F119" s="2504"/>
      <c r="G119" s="2504"/>
      <c r="H119" s="2504"/>
      <c r="I119" s="2504"/>
      <c r="J119" s="2504"/>
      <c r="K119" s="2504"/>
      <c r="L119" s="1218"/>
      <c r="M119" s="1218"/>
      <c r="N119" s="1218"/>
      <c r="O119" s="1218"/>
      <c r="P119" s="1218"/>
      <c r="Q119" s="1218"/>
      <c r="R119" s="1218"/>
    </row>
    <row r="120" spans="1:24" ht="22.9" customHeight="1">
      <c r="A120" s="2149" t="s">
        <v>4267</v>
      </c>
      <c r="B120" s="2149"/>
      <c r="C120" s="2149"/>
      <c r="D120" s="2149"/>
      <c r="E120" s="2149"/>
      <c r="F120" s="2149"/>
      <c r="G120" s="2149"/>
      <c r="H120" s="2149"/>
      <c r="I120" s="2149"/>
      <c r="J120" s="2149"/>
      <c r="K120" s="2149"/>
      <c r="L120" s="2149"/>
      <c r="M120" s="2149"/>
      <c r="N120" s="2149"/>
      <c r="O120" s="2149"/>
      <c r="P120" s="2149"/>
      <c r="Q120" s="2149"/>
      <c r="R120" s="2149"/>
    </row>
    <row r="121" spans="1:24" ht="15">
      <c r="A121" s="997"/>
      <c r="B121" s="998" t="s">
        <v>57</v>
      </c>
      <c r="C121" s="999"/>
      <c r="D121" s="998"/>
      <c r="E121" s="1464"/>
      <c r="F121" s="1391"/>
      <c r="G121" s="998"/>
      <c r="H121" s="998"/>
      <c r="I121" s="998"/>
      <c r="J121" s="998"/>
      <c r="K121" s="998"/>
      <c r="L121" s="998"/>
      <c r="M121" s="1000"/>
      <c r="N121" s="1001"/>
      <c r="O121" s="998"/>
      <c r="P121" s="998"/>
      <c r="Q121" s="998"/>
      <c r="R121" s="998"/>
    </row>
    <row r="122" spans="1:24" ht="15">
      <c r="A122" s="997" t="s">
        <v>136</v>
      </c>
      <c r="B122" s="998" t="str">
        <f>B5</f>
        <v>“MEJORAMIENTO DE LA GESTIÓN MUNICIPAL Y SERVICIO ADMINISTRATIVO DE LA MUNICIPALIDAD PROVINCIAL DE ABANCAY, DISTRITO DE ABANCAY - PROVINCIA DE ABANCAY - DEPARTAMENTO DE APURIMAC”.</v>
      </c>
      <c r="C122" s="999"/>
      <c r="D122" s="998"/>
      <c r="E122" s="1464"/>
      <c r="F122" s="1391"/>
      <c r="G122" s="998"/>
      <c r="H122" s="998"/>
      <c r="I122" s="998"/>
      <c r="J122" s="998"/>
      <c r="K122" s="998"/>
      <c r="L122" s="998"/>
      <c r="M122" s="998"/>
      <c r="N122" s="998"/>
      <c r="O122" s="998"/>
      <c r="P122" s="998"/>
      <c r="Q122" s="998"/>
      <c r="R122" s="998"/>
    </row>
    <row r="123" spans="1:24" ht="15">
      <c r="A123" s="997" t="s">
        <v>137</v>
      </c>
      <c r="B123" s="998" t="s">
        <v>126</v>
      </c>
      <c r="C123" s="1002"/>
      <c r="D123" s="1003"/>
      <c r="E123" s="1465"/>
      <c r="F123" s="1392"/>
      <c r="G123" s="1003"/>
      <c r="H123" s="1003"/>
      <c r="I123" s="1003"/>
      <c r="J123" s="1003"/>
      <c r="K123" s="1003"/>
      <c r="L123" s="1004"/>
      <c r="M123" s="1003"/>
      <c r="N123" s="1003"/>
      <c r="O123" s="1003"/>
      <c r="P123" s="1003"/>
      <c r="Q123" s="1003"/>
      <c r="R123" s="1003"/>
    </row>
    <row r="124" spans="1:24" ht="15">
      <c r="A124" s="997" t="s">
        <v>139</v>
      </c>
      <c r="B124" s="1003">
        <v>38</v>
      </c>
      <c r="C124" s="1002"/>
      <c r="D124" s="1003"/>
      <c r="E124" s="1465"/>
      <c r="F124" s="1392"/>
      <c r="G124" s="1003"/>
      <c r="H124" s="1003"/>
      <c r="I124" s="1003"/>
      <c r="J124" s="2143" t="s">
        <v>1147</v>
      </c>
      <c r="K124" s="2144"/>
      <c r="L124" s="2145" t="s">
        <v>4267</v>
      </c>
      <c r="M124" s="2146"/>
      <c r="N124" s="2146"/>
      <c r="O124" s="2147"/>
      <c r="P124" s="1005"/>
      <c r="Q124" s="1005"/>
      <c r="R124" s="1005"/>
    </row>
    <row r="125" spans="1:24" ht="20.25">
      <c r="A125" s="997" t="s">
        <v>129</v>
      </c>
      <c r="B125" s="998" t="str">
        <f>B8</f>
        <v>ING. RICHARD ERWIN MONTALVO ALVARO</v>
      </c>
      <c r="C125" s="1006"/>
      <c r="D125" s="1007"/>
      <c r="E125" s="1466"/>
      <c r="F125" s="1467"/>
      <c r="G125" s="1007"/>
      <c r="H125" s="1007"/>
      <c r="I125" s="1007"/>
      <c r="J125" s="2143" t="s">
        <v>1148</v>
      </c>
      <c r="K125" s="2144"/>
      <c r="L125" s="2502" t="s">
        <v>125</v>
      </c>
      <c r="M125" s="2502"/>
      <c r="N125" s="2502"/>
      <c r="O125" s="2502"/>
      <c r="P125" s="2503"/>
      <c r="Q125" s="2503"/>
      <c r="R125" s="2503"/>
    </row>
    <row r="126" spans="1:24" ht="16.5">
      <c r="A126" s="997" t="s">
        <v>128</v>
      </c>
      <c r="B126" s="1008" t="str">
        <f>B9</f>
        <v>ING. IVES BUSTHER GUTIERREZ ARENAS</v>
      </c>
      <c r="C126" s="1009"/>
      <c r="D126" s="1010"/>
      <c r="E126" s="1468"/>
      <c r="F126" s="1393"/>
      <c r="G126" s="1010"/>
      <c r="H126" s="1010"/>
      <c r="I126" s="1010"/>
      <c r="J126" s="2143" t="s">
        <v>1149</v>
      </c>
      <c r="K126" s="2144"/>
      <c r="L126" s="2502" t="s">
        <v>125</v>
      </c>
      <c r="M126" s="2502"/>
      <c r="N126" s="2502"/>
      <c r="O126" s="2502"/>
      <c r="P126" s="2503"/>
      <c r="Q126" s="2503"/>
      <c r="R126" s="2503"/>
    </row>
    <row r="127" spans="1:24" ht="16.5">
      <c r="A127" s="997" t="s">
        <v>1150</v>
      </c>
      <c r="B127" s="1008" t="s">
        <v>1187</v>
      </c>
      <c r="C127" s="1009"/>
      <c r="D127" s="1010"/>
      <c r="E127" s="1468"/>
      <c r="F127" s="1393"/>
      <c r="G127" s="1010"/>
      <c r="H127" s="1010"/>
      <c r="I127" s="1010"/>
      <c r="J127" s="2143" t="s">
        <v>1151</v>
      </c>
      <c r="K127" s="2144"/>
      <c r="L127" s="2502" t="s">
        <v>124</v>
      </c>
      <c r="M127" s="2502"/>
      <c r="N127" s="2502"/>
      <c r="O127" s="2502"/>
      <c r="P127" s="2503"/>
      <c r="Q127" s="2503"/>
      <c r="R127" s="2503"/>
    </row>
    <row r="128" spans="1:24">
      <c r="A128" s="315"/>
      <c r="B128" s="315"/>
      <c r="C128" s="1501"/>
      <c r="D128" s="313"/>
      <c r="E128" s="1257"/>
      <c r="F128" s="313"/>
      <c r="G128" s="314"/>
      <c r="H128" s="314"/>
      <c r="I128" s="314"/>
      <c r="J128" s="314"/>
      <c r="K128" s="314"/>
      <c r="L128" s="314"/>
      <c r="M128" s="314"/>
      <c r="N128" s="314"/>
      <c r="O128" s="314"/>
      <c r="P128" s="314"/>
      <c r="Q128" s="314"/>
      <c r="R128" s="314"/>
    </row>
    <row r="129" spans="1:24" ht="28.5" customHeight="1">
      <c r="A129" s="2501" t="s">
        <v>31</v>
      </c>
      <c r="B129" s="2501" t="s">
        <v>114</v>
      </c>
      <c r="C129" s="2501" t="s">
        <v>37</v>
      </c>
      <c r="D129" s="2501" t="s">
        <v>23</v>
      </c>
      <c r="E129" s="2536" t="s">
        <v>706</v>
      </c>
      <c r="F129" s="2536" t="s">
        <v>127</v>
      </c>
      <c r="G129" s="1036"/>
      <c r="H129" s="1037"/>
      <c r="I129" s="1037"/>
      <c r="J129" s="1037"/>
      <c r="K129" s="1038" t="s">
        <v>767</v>
      </c>
      <c r="L129" s="1037"/>
      <c r="M129" s="1037"/>
      <c r="N129" s="1037"/>
      <c r="O129" s="1039"/>
      <c r="P129" s="2497" t="s">
        <v>16</v>
      </c>
      <c r="Q129" s="2497"/>
      <c r="R129" s="2497"/>
    </row>
    <row r="130" spans="1:24" ht="34.5" customHeight="1">
      <c r="A130" s="2501"/>
      <c r="B130" s="2501"/>
      <c r="C130" s="2501"/>
      <c r="D130" s="2501"/>
      <c r="E130" s="2536"/>
      <c r="F130" s="2536"/>
      <c r="G130" s="2497" t="s">
        <v>140</v>
      </c>
      <c r="H130" s="2497"/>
      <c r="I130" s="2497"/>
      <c r="J130" s="2497" t="s">
        <v>141</v>
      </c>
      <c r="K130" s="2497"/>
      <c r="L130" s="2497"/>
      <c r="M130" s="2497" t="s">
        <v>142</v>
      </c>
      <c r="N130" s="2497"/>
      <c r="O130" s="2497"/>
      <c r="P130" s="2497"/>
      <c r="Q130" s="2497"/>
      <c r="R130" s="2497"/>
    </row>
    <row r="131" spans="1:24" ht="36" customHeight="1">
      <c r="A131" s="2501"/>
      <c r="B131" s="2501"/>
      <c r="C131" s="2501"/>
      <c r="D131" s="2501"/>
      <c r="E131" s="2536"/>
      <c r="F131" s="2536"/>
      <c r="G131" s="1040" t="s">
        <v>54</v>
      </c>
      <c r="H131" s="1040" t="s">
        <v>506</v>
      </c>
      <c r="I131" s="1040" t="s">
        <v>30</v>
      </c>
      <c r="J131" s="1040" t="s">
        <v>54</v>
      </c>
      <c r="K131" s="1040" t="s">
        <v>506</v>
      </c>
      <c r="L131" s="1040" t="s">
        <v>30</v>
      </c>
      <c r="M131" s="1040" t="s">
        <v>54</v>
      </c>
      <c r="N131" s="1040" t="s">
        <v>506</v>
      </c>
      <c r="O131" s="1040" t="s">
        <v>30</v>
      </c>
      <c r="P131" s="1040" t="s">
        <v>54</v>
      </c>
      <c r="Q131" s="1040" t="s">
        <v>506</v>
      </c>
      <c r="R131" s="1040" t="s">
        <v>30</v>
      </c>
    </row>
    <row r="132" spans="1:24" ht="29.25" customHeight="1">
      <c r="A132" s="300"/>
      <c r="B132" s="300"/>
      <c r="C132" s="300"/>
      <c r="D132" s="301"/>
      <c r="E132" s="1469"/>
      <c r="F132" s="1470">
        <f>F156</f>
        <v>130284.95700000002</v>
      </c>
      <c r="G132" s="1042"/>
      <c r="H132" s="1043">
        <f>H156</f>
        <v>104135.00000000001</v>
      </c>
      <c r="I132" s="308"/>
      <c r="J132" s="1044"/>
      <c r="K132" s="1043">
        <f>K156</f>
        <v>0</v>
      </c>
      <c r="L132" s="309"/>
      <c r="M132" s="1044"/>
      <c r="N132" s="1043">
        <f>N156</f>
        <v>104135.00000000001</v>
      </c>
      <c r="O132" s="308"/>
      <c r="P132" s="1044"/>
      <c r="Q132" s="1043">
        <f>Q156</f>
        <v>26149.957000000009</v>
      </c>
      <c r="R132" s="308"/>
    </row>
    <row r="133" spans="1:24" ht="50.25" customHeight="1">
      <c r="A133" s="996"/>
      <c r="B133" s="1097" t="s">
        <v>2150</v>
      </c>
      <c r="C133" s="1473"/>
      <c r="D133" s="302"/>
      <c r="E133" s="1474"/>
      <c r="F133" s="1475"/>
      <c r="G133" s="1048"/>
      <c r="H133" s="303"/>
      <c r="I133" s="310"/>
      <c r="J133" s="1045"/>
      <c r="K133" s="311"/>
      <c r="L133" s="311"/>
      <c r="M133" s="1045"/>
      <c r="N133" s="311"/>
      <c r="O133" s="311"/>
      <c r="P133" s="1045"/>
      <c r="Q133" s="311"/>
      <c r="R133" s="311"/>
    </row>
    <row r="134" spans="1:24" ht="31.5" customHeight="1">
      <c r="A134" s="1300">
        <v>1</v>
      </c>
      <c r="B134" s="1301" t="s">
        <v>1671</v>
      </c>
      <c r="C134" s="1491"/>
      <c r="D134" s="1303"/>
      <c r="E134" s="1492"/>
      <c r="F134" s="1493"/>
      <c r="G134" s="1049"/>
      <c r="H134" s="306"/>
      <c r="I134" s="307"/>
      <c r="J134" s="1046"/>
      <c r="K134" s="306"/>
      <c r="L134" s="307"/>
      <c r="M134" s="1047"/>
      <c r="N134" s="306"/>
      <c r="O134" s="307"/>
      <c r="P134" s="1047"/>
      <c r="Q134" s="306"/>
      <c r="R134" s="307"/>
    </row>
    <row r="135" spans="1:24">
      <c r="A135" s="1306">
        <v>1.1000000000000001</v>
      </c>
      <c r="B135" s="1307" t="s">
        <v>1672</v>
      </c>
      <c r="C135" s="1479"/>
      <c r="D135" s="1303"/>
      <c r="E135" s="1494">
        <v>0</v>
      </c>
      <c r="F135" s="1304" t="str">
        <f t="shared" ref="F135:F154" si="42">IF(ISBLANK(C135)," ",ROUND(E135*D135,2))</f>
        <v xml:space="preserve"> </v>
      </c>
      <c r="G135" s="1049"/>
      <c r="H135" s="306"/>
      <c r="I135" s="307"/>
      <c r="J135" s="1046"/>
      <c r="K135" s="306"/>
      <c r="L135" s="307"/>
      <c r="M135" s="1047"/>
      <c r="N135" s="306"/>
      <c r="O135" s="307"/>
      <c r="P135" s="1047"/>
      <c r="Q135" s="306"/>
      <c r="R135" s="307"/>
    </row>
    <row r="136" spans="1:24">
      <c r="A136" s="1309" t="s">
        <v>1201</v>
      </c>
      <c r="B136" s="1310" t="s">
        <v>1685</v>
      </c>
      <c r="C136" s="1479"/>
      <c r="D136" s="1303"/>
      <c r="E136" s="1312"/>
      <c r="F136" s="1304" t="str">
        <f t="shared" si="42"/>
        <v xml:space="preserve"> </v>
      </c>
      <c r="G136" s="1049"/>
      <c r="H136" s="306"/>
      <c r="I136" s="307"/>
      <c r="J136" s="1046"/>
      <c r="K136" s="306"/>
      <c r="L136" s="307"/>
      <c r="M136" s="1047"/>
      <c r="N136" s="306"/>
      <c r="O136" s="307"/>
      <c r="P136" s="1047"/>
      <c r="Q136" s="306"/>
      <c r="R136" s="307"/>
    </row>
    <row r="137" spans="1:24">
      <c r="A137" s="1309" t="s">
        <v>1202</v>
      </c>
      <c r="B137" s="1311" t="s">
        <v>1687</v>
      </c>
      <c r="C137" s="1502" t="s">
        <v>2147</v>
      </c>
      <c r="D137" s="1503">
        <v>4765.1499999999996</v>
      </c>
      <c r="E137" s="1497">
        <v>1.9</v>
      </c>
      <c r="F137" s="1304">
        <f t="shared" si="42"/>
        <v>9053.7900000000009</v>
      </c>
      <c r="G137" s="1049">
        <v>4765.1499999999996</v>
      </c>
      <c r="H137" s="306">
        <f t="shared" ref="H137" si="43">ROUND($E137*G137,2)</f>
        <v>9053.7900000000009</v>
      </c>
      <c r="I137" s="307">
        <f t="shared" ref="I137" si="44">+H137/$F137</f>
        <v>1</v>
      </c>
      <c r="J137" s="1046"/>
      <c r="K137" s="306">
        <f t="shared" ref="K137:K155" si="45">ROUND(+J137*E137,2)</f>
        <v>0</v>
      </c>
      <c r="L137" s="307">
        <f t="shared" ref="L137" si="46">+K137/$F137</f>
        <v>0</v>
      </c>
      <c r="M137" s="1047">
        <f>+G137+J137</f>
        <v>4765.1499999999996</v>
      </c>
      <c r="N137" s="306">
        <f t="shared" ref="N137" si="47">ROUND(+M137*E137,2)</f>
        <v>9053.7900000000009</v>
      </c>
      <c r="O137" s="307">
        <f t="shared" ref="O137" si="48">+N137/$F137</f>
        <v>1</v>
      </c>
      <c r="P137" s="1047">
        <f>D137-M137</f>
        <v>0</v>
      </c>
      <c r="Q137" s="306">
        <f t="shared" ref="Q137" si="49">F137-N137</f>
        <v>0</v>
      </c>
      <c r="R137" s="307">
        <f t="shared" ref="R137" si="50">+Q137/$F137</f>
        <v>0</v>
      </c>
    </row>
    <row r="138" spans="1:24">
      <c r="A138" s="1306">
        <v>1.2</v>
      </c>
      <c r="B138" s="1307" t="s">
        <v>1688</v>
      </c>
      <c r="C138" s="1502"/>
      <c r="D138" s="1303"/>
      <c r="E138" s="1497"/>
      <c r="F138" s="1304" t="str">
        <f t="shared" si="42"/>
        <v xml:space="preserve"> </v>
      </c>
      <c r="G138" s="1049"/>
      <c r="H138" s="306"/>
      <c r="I138" s="307"/>
      <c r="J138" s="1046"/>
      <c r="K138" s="306">
        <f t="shared" si="45"/>
        <v>0</v>
      </c>
      <c r="L138" s="307"/>
      <c r="M138" s="1047"/>
      <c r="N138" s="306"/>
      <c r="O138" s="307"/>
      <c r="P138" s="1047"/>
      <c r="Q138" s="306"/>
      <c r="R138" s="307"/>
    </row>
    <row r="139" spans="1:24">
      <c r="A139" s="1337" t="s">
        <v>1205</v>
      </c>
      <c r="B139" s="1362" t="s">
        <v>1690</v>
      </c>
      <c r="C139" s="1504" t="s">
        <v>52</v>
      </c>
      <c r="D139" s="1323">
        <v>200</v>
      </c>
      <c r="E139" s="1505">
        <v>226</v>
      </c>
      <c r="F139" s="1304">
        <f t="shared" si="42"/>
        <v>45200</v>
      </c>
      <c r="G139" s="1049">
        <v>200</v>
      </c>
      <c r="H139" s="306">
        <f t="shared" ref="H139:H141" si="51">ROUND($E139*G139,2)</f>
        <v>45200</v>
      </c>
      <c r="I139" s="307">
        <f t="shared" ref="I139:I141" si="52">+H139/$F139</f>
        <v>1</v>
      </c>
      <c r="J139" s="1046"/>
      <c r="K139" s="306">
        <f t="shared" si="45"/>
        <v>0</v>
      </c>
      <c r="L139" s="307">
        <f t="shared" ref="L139:L141" si="53">+K139/$F139</f>
        <v>0</v>
      </c>
      <c r="M139" s="1047">
        <f t="shared" ref="M139:M141" si="54">+G139+J139</f>
        <v>200</v>
      </c>
      <c r="N139" s="306">
        <f t="shared" ref="N139:N141" si="55">ROUND(+M139*E139,2)</f>
        <v>45200</v>
      </c>
      <c r="O139" s="307">
        <f t="shared" ref="O139:O141" si="56">+N139/$F139</f>
        <v>1</v>
      </c>
      <c r="P139" s="1047">
        <f t="shared" ref="P139:P141" si="57">D139-M139</f>
        <v>0</v>
      </c>
      <c r="Q139" s="306">
        <f t="shared" ref="Q139:Q141" si="58">F139-N139</f>
        <v>0</v>
      </c>
      <c r="R139" s="307">
        <f t="shared" ref="R139:R141" si="59">+Q139/$F139</f>
        <v>0</v>
      </c>
    </row>
    <row r="140" spans="1:24">
      <c r="A140" s="1337" t="s">
        <v>1206</v>
      </c>
      <c r="B140" s="1311" t="s">
        <v>1691</v>
      </c>
      <c r="C140" s="1502" t="s">
        <v>268</v>
      </c>
      <c r="D140" s="1303">
        <v>3</v>
      </c>
      <c r="E140" s="1497">
        <v>4500</v>
      </c>
      <c r="F140" s="1304">
        <f t="shared" si="42"/>
        <v>13500</v>
      </c>
      <c r="G140" s="1049">
        <v>3</v>
      </c>
      <c r="H140" s="306">
        <f t="shared" si="51"/>
        <v>13500</v>
      </c>
      <c r="I140" s="307">
        <f t="shared" si="52"/>
        <v>1</v>
      </c>
      <c r="J140" s="1046"/>
      <c r="K140" s="306">
        <f t="shared" si="45"/>
        <v>0</v>
      </c>
      <c r="L140" s="307">
        <f t="shared" si="53"/>
        <v>0</v>
      </c>
      <c r="M140" s="1047">
        <f t="shared" si="54"/>
        <v>3</v>
      </c>
      <c r="N140" s="306">
        <f t="shared" si="55"/>
        <v>13500</v>
      </c>
      <c r="O140" s="307">
        <f t="shared" si="56"/>
        <v>1</v>
      </c>
      <c r="P140" s="1047">
        <f t="shared" si="57"/>
        <v>0</v>
      </c>
      <c r="Q140" s="306">
        <f t="shared" si="58"/>
        <v>0</v>
      </c>
      <c r="R140" s="307">
        <f t="shared" si="59"/>
        <v>0</v>
      </c>
    </row>
    <row r="141" spans="1:24">
      <c r="A141" s="1337" t="s">
        <v>1209</v>
      </c>
      <c r="B141" s="1362" t="s">
        <v>1694</v>
      </c>
      <c r="C141" s="1504" t="s">
        <v>268</v>
      </c>
      <c r="D141" s="1323">
        <v>1</v>
      </c>
      <c r="E141" s="1506">
        <v>1282.8</v>
      </c>
      <c r="F141" s="1304">
        <f t="shared" si="42"/>
        <v>1282.8</v>
      </c>
      <c r="G141" s="1049">
        <v>1</v>
      </c>
      <c r="H141" s="306">
        <f t="shared" si="51"/>
        <v>1282.8</v>
      </c>
      <c r="I141" s="307">
        <f t="shared" si="52"/>
        <v>1</v>
      </c>
      <c r="J141" s="1046"/>
      <c r="K141" s="306">
        <f t="shared" si="45"/>
        <v>0</v>
      </c>
      <c r="L141" s="307">
        <f t="shared" si="53"/>
        <v>0</v>
      </c>
      <c r="M141" s="1047">
        <f t="shared" si="54"/>
        <v>1</v>
      </c>
      <c r="N141" s="306">
        <f t="shared" si="55"/>
        <v>1282.8</v>
      </c>
      <c r="O141" s="307">
        <f t="shared" si="56"/>
        <v>1</v>
      </c>
      <c r="P141" s="1047">
        <f t="shared" si="57"/>
        <v>0</v>
      </c>
      <c r="Q141" s="306">
        <f t="shared" si="58"/>
        <v>0</v>
      </c>
      <c r="R141" s="307">
        <f t="shared" si="59"/>
        <v>0</v>
      </c>
    </row>
    <row r="142" spans="1:24">
      <c r="A142" s="1324">
        <v>2</v>
      </c>
      <c r="B142" s="1325" t="s">
        <v>1695</v>
      </c>
      <c r="C142" s="1507"/>
      <c r="D142" s="1303"/>
      <c r="E142" s="1497"/>
      <c r="F142" s="1304" t="str">
        <f t="shared" si="42"/>
        <v xml:space="preserve"> </v>
      </c>
      <c r="G142" s="1049"/>
      <c r="H142" s="306"/>
      <c r="I142" s="307"/>
      <c r="J142" s="1046"/>
      <c r="K142" s="306">
        <f t="shared" si="45"/>
        <v>0</v>
      </c>
      <c r="L142" s="307"/>
      <c r="M142" s="1047"/>
      <c r="N142" s="306"/>
      <c r="O142" s="307"/>
      <c r="P142" s="1047"/>
      <c r="Q142" s="306"/>
      <c r="R142" s="307"/>
    </row>
    <row r="143" spans="1:24">
      <c r="A143" s="1306">
        <v>2.1</v>
      </c>
      <c r="B143" s="1307" t="s">
        <v>1701</v>
      </c>
      <c r="C143" s="1502"/>
      <c r="D143" s="1303"/>
      <c r="E143" s="1497"/>
      <c r="F143" s="1304" t="str">
        <f t="shared" si="42"/>
        <v xml:space="preserve"> </v>
      </c>
      <c r="G143" s="1049"/>
      <c r="H143" s="306"/>
      <c r="I143" s="307"/>
      <c r="J143" s="1046"/>
      <c r="K143" s="306">
        <f t="shared" si="45"/>
        <v>0</v>
      </c>
      <c r="L143" s="307"/>
      <c r="M143" s="1047"/>
      <c r="N143" s="306"/>
      <c r="O143" s="307"/>
      <c r="P143" s="1047"/>
      <c r="Q143" s="306"/>
      <c r="R143" s="307"/>
    </row>
    <row r="144" spans="1:24" s="313" customFormat="1" ht="16.5" customHeight="1">
      <c r="A144" s="1309" t="s">
        <v>1216</v>
      </c>
      <c r="B144" s="1310" t="s">
        <v>2377</v>
      </c>
      <c r="C144" s="1497"/>
      <c r="D144" s="1303"/>
      <c r="E144" s="1497"/>
      <c r="F144" s="1304" t="str">
        <f t="shared" si="42"/>
        <v xml:space="preserve"> </v>
      </c>
      <c r="G144" s="1046"/>
      <c r="H144" s="306"/>
      <c r="I144" s="307"/>
      <c r="J144" s="1046"/>
      <c r="K144" s="306">
        <f t="shared" si="45"/>
        <v>0</v>
      </c>
      <c r="L144" s="307"/>
      <c r="M144" s="1047"/>
      <c r="N144" s="306"/>
      <c r="O144" s="307"/>
      <c r="P144" s="1047"/>
      <c r="Q144" s="306"/>
      <c r="R144" s="307"/>
      <c r="S144" s="314"/>
      <c r="T144" s="314"/>
      <c r="U144" s="314"/>
      <c r="V144" s="314"/>
      <c r="W144" s="314"/>
      <c r="X144" s="314"/>
    </row>
    <row r="145" spans="1:24" s="313" customFormat="1" ht="16.5" customHeight="1">
      <c r="A145" s="1309" t="s">
        <v>2687</v>
      </c>
      <c r="B145" s="1311" t="s">
        <v>2380</v>
      </c>
      <c r="C145" s="1502" t="s">
        <v>50</v>
      </c>
      <c r="D145" s="1303">
        <v>2.1</v>
      </c>
      <c r="E145" s="1497">
        <v>486.9</v>
      </c>
      <c r="F145" s="1304">
        <f t="shared" si="42"/>
        <v>1022.49</v>
      </c>
      <c r="G145" s="1049">
        <v>2.1</v>
      </c>
      <c r="H145" s="306">
        <f t="shared" ref="H145" si="60">ROUND($E145*G145,2)</f>
        <v>1022.49</v>
      </c>
      <c r="I145" s="307">
        <f t="shared" ref="I145" si="61">+H145/$F145</f>
        <v>1</v>
      </c>
      <c r="J145" s="1046"/>
      <c r="K145" s="306">
        <f t="shared" si="45"/>
        <v>0</v>
      </c>
      <c r="L145" s="307">
        <f t="shared" ref="L145" si="62">+K145/$F145</f>
        <v>0</v>
      </c>
      <c r="M145" s="1047">
        <f>+G145+J145</f>
        <v>2.1</v>
      </c>
      <c r="N145" s="306">
        <f t="shared" ref="N145" si="63">ROUND(+M145*E145,2)</f>
        <v>1022.49</v>
      </c>
      <c r="O145" s="307">
        <f t="shared" ref="O145" si="64">+N145/$F145</f>
        <v>1</v>
      </c>
      <c r="P145" s="1047">
        <f>D145-M145</f>
        <v>0</v>
      </c>
      <c r="Q145" s="306">
        <f t="shared" ref="Q145" si="65">F145-N145</f>
        <v>0</v>
      </c>
      <c r="R145" s="307">
        <f t="shared" ref="R145" si="66">+Q145/$F145</f>
        <v>0</v>
      </c>
      <c r="S145" s="314"/>
      <c r="T145" s="314"/>
      <c r="U145" s="314"/>
      <c r="V145" s="314"/>
      <c r="W145" s="314"/>
      <c r="X145" s="314"/>
    </row>
    <row r="146" spans="1:24" s="313" customFormat="1" ht="16.5" customHeight="1">
      <c r="A146" s="1309" t="s">
        <v>1217</v>
      </c>
      <c r="B146" s="1310" t="s">
        <v>2382</v>
      </c>
      <c r="C146" s="1502"/>
      <c r="D146" s="1303"/>
      <c r="E146" s="1497"/>
      <c r="F146" s="1304" t="str">
        <f t="shared" si="42"/>
        <v xml:space="preserve"> </v>
      </c>
      <c r="G146" s="1046"/>
      <c r="H146" s="306"/>
      <c r="I146" s="307"/>
      <c r="J146" s="1046"/>
      <c r="K146" s="306">
        <f t="shared" si="45"/>
        <v>0</v>
      </c>
      <c r="L146" s="307"/>
      <c r="M146" s="1047"/>
      <c r="N146" s="306"/>
      <c r="O146" s="307"/>
      <c r="P146" s="1047"/>
      <c r="Q146" s="306"/>
      <c r="R146" s="307"/>
      <c r="S146" s="314"/>
      <c r="T146" s="314"/>
      <c r="U146" s="314"/>
      <c r="V146" s="314"/>
      <c r="W146" s="314"/>
      <c r="X146" s="314"/>
    </row>
    <row r="147" spans="1:24" s="313" customFormat="1" ht="16.5" customHeight="1">
      <c r="A147" s="1309" t="s">
        <v>2688</v>
      </c>
      <c r="B147" s="1311" t="s">
        <v>2384</v>
      </c>
      <c r="C147" s="1502" t="s">
        <v>49</v>
      </c>
      <c r="D147" s="1303">
        <v>3.5</v>
      </c>
      <c r="E147" s="1497">
        <v>66.37</v>
      </c>
      <c r="F147" s="1304">
        <f t="shared" si="42"/>
        <v>232.3</v>
      </c>
      <c r="G147" s="1049">
        <v>3.5</v>
      </c>
      <c r="H147" s="306">
        <f t="shared" ref="H147" si="67">ROUND($E147*G147,2)</f>
        <v>232.3</v>
      </c>
      <c r="I147" s="307">
        <f t="shared" ref="I147" si="68">+H147/$F147</f>
        <v>1</v>
      </c>
      <c r="J147" s="1046"/>
      <c r="K147" s="306">
        <f t="shared" si="45"/>
        <v>0</v>
      </c>
      <c r="L147" s="307">
        <f t="shared" ref="L147" si="69">+K147/$F147</f>
        <v>0</v>
      </c>
      <c r="M147" s="1047">
        <f>+G147+J147</f>
        <v>3.5</v>
      </c>
      <c r="N147" s="306">
        <f t="shared" ref="N147" si="70">ROUND(+M147*E147,2)</f>
        <v>232.3</v>
      </c>
      <c r="O147" s="307">
        <f t="shared" ref="O147" si="71">+N147/$F147</f>
        <v>1</v>
      </c>
      <c r="P147" s="1047">
        <f>D147-M147</f>
        <v>0</v>
      </c>
      <c r="Q147" s="306">
        <f t="shared" ref="Q147" si="72">F147-N147</f>
        <v>0</v>
      </c>
      <c r="R147" s="307">
        <f t="shared" ref="R147" si="73">+Q147/$F147</f>
        <v>0</v>
      </c>
      <c r="S147" s="314"/>
      <c r="T147" s="314"/>
      <c r="U147" s="314"/>
      <c r="V147" s="314"/>
      <c r="W147" s="314"/>
      <c r="X147" s="314"/>
    </row>
    <row r="148" spans="1:24">
      <c r="A148" s="1324">
        <v>3</v>
      </c>
      <c r="B148" s="1325" t="s">
        <v>1736</v>
      </c>
      <c r="C148" s="1507"/>
      <c r="D148" s="1303"/>
      <c r="E148" s="1497"/>
      <c r="F148" s="1304" t="str">
        <f t="shared" si="42"/>
        <v xml:space="preserve"> </v>
      </c>
      <c r="G148" s="1049"/>
      <c r="H148" s="306"/>
      <c r="I148" s="307"/>
      <c r="J148" s="1046"/>
      <c r="K148" s="306">
        <f t="shared" si="45"/>
        <v>0</v>
      </c>
      <c r="L148" s="307"/>
      <c r="M148" s="1047"/>
      <c r="N148" s="306"/>
      <c r="O148" s="307"/>
      <c r="P148" s="1047"/>
      <c r="Q148" s="306"/>
      <c r="R148" s="307"/>
    </row>
    <row r="149" spans="1:24">
      <c r="A149" s="1306">
        <v>3.2</v>
      </c>
      <c r="B149" s="1307" t="s">
        <v>1744</v>
      </c>
      <c r="C149" s="1502"/>
      <c r="D149" s="1303"/>
      <c r="E149" s="1497"/>
      <c r="F149" s="1304" t="str">
        <f t="shared" si="42"/>
        <v xml:space="preserve"> </v>
      </c>
      <c r="G149" s="1049"/>
      <c r="H149" s="306"/>
      <c r="I149" s="307"/>
      <c r="J149" s="1046"/>
      <c r="K149" s="306">
        <f t="shared" si="45"/>
        <v>0</v>
      </c>
      <c r="L149" s="307"/>
      <c r="M149" s="1047"/>
      <c r="N149" s="306"/>
      <c r="O149" s="307"/>
      <c r="P149" s="1047"/>
      <c r="Q149" s="306"/>
      <c r="R149" s="307"/>
    </row>
    <row r="150" spans="1:24" s="313" customFormat="1" ht="16.5" customHeight="1">
      <c r="A150" s="1309" t="s">
        <v>1251</v>
      </c>
      <c r="B150" s="1311" t="s">
        <v>2391</v>
      </c>
      <c r="C150" s="1502" t="s">
        <v>51</v>
      </c>
      <c r="D150" s="1303">
        <v>220</v>
      </c>
      <c r="E150" s="1497">
        <v>13.25</v>
      </c>
      <c r="F150" s="1314">
        <f t="shared" si="42"/>
        <v>2915</v>
      </c>
      <c r="G150" s="1046">
        <v>220</v>
      </c>
      <c r="H150" s="306">
        <f t="shared" ref="H150:H155" si="74">ROUND($E150*G150,2)</f>
        <v>2915</v>
      </c>
      <c r="I150" s="307">
        <f t="shared" ref="I150:I155" si="75">+H150/$F150</f>
        <v>1</v>
      </c>
      <c r="J150" s="1046"/>
      <c r="K150" s="306">
        <f t="shared" si="45"/>
        <v>0</v>
      </c>
      <c r="L150" s="307">
        <f t="shared" ref="L150:L155" si="76">+K150/$F150</f>
        <v>0</v>
      </c>
      <c r="M150" s="1047">
        <f>+G150+J150</f>
        <v>220</v>
      </c>
      <c r="N150" s="306">
        <f>ROUND(+M150*E150,2)</f>
        <v>2915</v>
      </c>
      <c r="O150" s="307">
        <f t="shared" ref="O150:O155" si="77">+N150/$F150</f>
        <v>1</v>
      </c>
      <c r="P150" s="1047">
        <f>D150-M150</f>
        <v>0</v>
      </c>
      <c r="Q150" s="306">
        <f>F150-N150</f>
        <v>0</v>
      </c>
      <c r="R150" s="307">
        <f t="shared" ref="R150:R155" si="78">+Q150/$F150</f>
        <v>0</v>
      </c>
      <c r="S150" s="314"/>
      <c r="T150" s="314"/>
      <c r="U150" s="314"/>
      <c r="V150" s="314"/>
      <c r="W150" s="314"/>
      <c r="X150" s="314"/>
    </row>
    <row r="151" spans="1:24">
      <c r="A151" s="1309" t="s">
        <v>1257</v>
      </c>
      <c r="B151" s="1311" t="s">
        <v>1748</v>
      </c>
      <c r="C151" s="1502" t="s">
        <v>2147</v>
      </c>
      <c r="D151" s="1303">
        <v>155.68</v>
      </c>
      <c r="E151" s="1508">
        <v>41.54</v>
      </c>
      <c r="F151" s="1304">
        <f t="shared" si="42"/>
        <v>6466.95</v>
      </c>
      <c r="G151" s="1049">
        <v>37.42</v>
      </c>
      <c r="H151" s="306">
        <f t="shared" si="74"/>
        <v>1554.43</v>
      </c>
      <c r="I151" s="307">
        <f t="shared" si="75"/>
        <v>0.24036524172909951</v>
      </c>
      <c r="J151" s="1046"/>
      <c r="K151" s="306">
        <f t="shared" si="45"/>
        <v>0</v>
      </c>
      <c r="L151" s="307">
        <f t="shared" si="76"/>
        <v>0</v>
      </c>
      <c r="M151" s="1047">
        <f t="shared" ref="M151:M155" si="79">+G151+J151</f>
        <v>37.42</v>
      </c>
      <c r="N151" s="306">
        <f t="shared" ref="N151:N155" si="80">ROUND(+M151*E151,2)</f>
        <v>1554.43</v>
      </c>
      <c r="O151" s="307">
        <f t="shared" si="77"/>
        <v>0.24036524172909951</v>
      </c>
      <c r="P151" s="1047">
        <f t="shared" ref="P151:P155" si="81">D151-M151</f>
        <v>118.26</v>
      </c>
      <c r="Q151" s="306">
        <f t="shared" ref="Q151:Q155" si="82">F151-N151</f>
        <v>4912.5199999999995</v>
      </c>
      <c r="R151" s="307">
        <f t="shared" si="78"/>
        <v>0.75963475827090043</v>
      </c>
    </row>
    <row r="152" spans="1:24" s="313" customFormat="1" ht="16.5" customHeight="1">
      <c r="A152" s="1309" t="s">
        <v>1253</v>
      </c>
      <c r="B152" s="1342" t="s">
        <v>2393</v>
      </c>
      <c r="C152" s="1502" t="s">
        <v>2147</v>
      </c>
      <c r="D152" s="1303">
        <v>40</v>
      </c>
      <c r="E152" s="1497">
        <v>28.68</v>
      </c>
      <c r="F152" s="1304">
        <f t="shared" si="42"/>
        <v>1147.2</v>
      </c>
      <c r="G152" s="1049">
        <v>40</v>
      </c>
      <c r="H152" s="306">
        <f t="shared" si="74"/>
        <v>1147.2</v>
      </c>
      <c r="I152" s="307">
        <f t="shared" si="75"/>
        <v>1</v>
      </c>
      <c r="J152" s="1046"/>
      <c r="K152" s="306">
        <f t="shared" si="45"/>
        <v>0</v>
      </c>
      <c r="L152" s="307">
        <f t="shared" si="76"/>
        <v>0</v>
      </c>
      <c r="M152" s="1047">
        <f>+G152+J152</f>
        <v>40</v>
      </c>
      <c r="N152" s="306">
        <f>ROUND(+M152*E152,2)</f>
        <v>1147.2</v>
      </c>
      <c r="O152" s="307">
        <f t="shared" si="77"/>
        <v>1</v>
      </c>
      <c r="P152" s="1047">
        <f>D152-M152</f>
        <v>0</v>
      </c>
      <c r="Q152" s="306">
        <f>F152-N152</f>
        <v>0</v>
      </c>
      <c r="R152" s="307">
        <f t="shared" si="78"/>
        <v>0</v>
      </c>
      <c r="S152" s="314"/>
      <c r="T152" s="314"/>
      <c r="U152" s="314"/>
      <c r="V152" s="314"/>
      <c r="W152" s="314"/>
      <c r="X152" s="314"/>
    </row>
    <row r="153" spans="1:24" s="313" customFormat="1" ht="16.5" customHeight="1">
      <c r="A153" s="1309" t="s">
        <v>2689</v>
      </c>
      <c r="B153" s="1438" t="s">
        <v>2394</v>
      </c>
      <c r="C153" s="1502" t="s">
        <v>2147</v>
      </c>
      <c r="D153" s="1409">
        <v>6513.73</v>
      </c>
      <c r="E153" s="1509">
        <v>3.7</v>
      </c>
      <c r="F153" s="1304">
        <f t="shared" si="42"/>
        <v>24100.799999999999</v>
      </c>
      <c r="G153" s="1049">
        <v>773.88</v>
      </c>
      <c r="H153" s="306">
        <f>ROUND($E153*G153,2)</f>
        <v>2863.36</v>
      </c>
      <c r="I153" s="307">
        <f>+H153/$F153</f>
        <v>0.11880767443404369</v>
      </c>
      <c r="J153" s="1046"/>
      <c r="K153" s="306">
        <f t="shared" si="45"/>
        <v>0</v>
      </c>
      <c r="L153" s="307">
        <f>+K153/$F153</f>
        <v>0</v>
      </c>
      <c r="M153" s="1047">
        <f>+G153+J153</f>
        <v>773.88</v>
      </c>
      <c r="N153" s="306">
        <f>ROUND(+M153*E153,2)</f>
        <v>2863.36</v>
      </c>
      <c r="O153" s="307">
        <f>+N153/$F153</f>
        <v>0.11880767443404369</v>
      </c>
      <c r="P153" s="1047">
        <f>D153-M153</f>
        <v>5739.8499999999995</v>
      </c>
      <c r="Q153" s="306">
        <f>F153-N153</f>
        <v>21237.439999999999</v>
      </c>
      <c r="R153" s="307">
        <f>+Q153/$F153</f>
        <v>0.88119232556595628</v>
      </c>
      <c r="S153" s="314"/>
      <c r="T153" s="314"/>
      <c r="U153" s="314"/>
      <c r="V153" s="314"/>
      <c r="W153" s="314"/>
      <c r="X153" s="314"/>
    </row>
    <row r="154" spans="1:24">
      <c r="A154" s="1309" t="s">
        <v>1259</v>
      </c>
      <c r="B154" s="1311" t="s">
        <v>1750</v>
      </c>
      <c r="C154" s="1502" t="s">
        <v>51</v>
      </c>
      <c r="D154" s="1303">
        <v>160</v>
      </c>
      <c r="E154" s="1497">
        <v>16.21</v>
      </c>
      <c r="F154" s="1304">
        <f t="shared" si="42"/>
        <v>2593.6</v>
      </c>
      <c r="G154" s="1049">
        <v>160</v>
      </c>
      <c r="H154" s="306">
        <f t="shared" si="74"/>
        <v>2593.6</v>
      </c>
      <c r="I154" s="307">
        <f t="shared" si="75"/>
        <v>1</v>
      </c>
      <c r="J154" s="1046"/>
      <c r="K154" s="306">
        <f t="shared" si="45"/>
        <v>0</v>
      </c>
      <c r="L154" s="307">
        <f t="shared" si="76"/>
        <v>0</v>
      </c>
      <c r="M154" s="1047">
        <f t="shared" si="79"/>
        <v>160</v>
      </c>
      <c r="N154" s="306">
        <f t="shared" si="80"/>
        <v>2593.6</v>
      </c>
      <c r="O154" s="307">
        <f t="shared" si="77"/>
        <v>1</v>
      </c>
      <c r="P154" s="1047">
        <f t="shared" si="81"/>
        <v>0</v>
      </c>
      <c r="Q154" s="306">
        <f t="shared" si="82"/>
        <v>0</v>
      </c>
      <c r="R154" s="307">
        <f t="shared" si="78"/>
        <v>0</v>
      </c>
    </row>
    <row r="155" spans="1:24" s="316" customFormat="1" ht="16.5" customHeight="1">
      <c r="A155" s="1309" t="s">
        <v>1262</v>
      </c>
      <c r="B155" s="1101" t="s">
        <v>1753</v>
      </c>
      <c r="C155" s="1502" t="s">
        <v>51</v>
      </c>
      <c r="D155" s="1105">
        <v>560.70000000000005</v>
      </c>
      <c r="E155" s="1497">
        <v>40.61</v>
      </c>
      <c r="F155" s="1304">
        <f t="shared" ref="F155" si="83">+D155*E155</f>
        <v>22770.027000000002</v>
      </c>
      <c r="G155" s="1049">
        <v>560.70000000000005</v>
      </c>
      <c r="H155" s="306">
        <f t="shared" si="74"/>
        <v>22770.03</v>
      </c>
      <c r="I155" s="307">
        <f t="shared" si="75"/>
        <v>1.0000001317521494</v>
      </c>
      <c r="J155" s="1046"/>
      <c r="K155" s="306">
        <f t="shared" si="45"/>
        <v>0</v>
      </c>
      <c r="L155" s="307">
        <f t="shared" si="76"/>
        <v>0</v>
      </c>
      <c r="M155" s="1047">
        <f t="shared" si="79"/>
        <v>560.70000000000005</v>
      </c>
      <c r="N155" s="306">
        <f t="shared" si="80"/>
        <v>22770.03</v>
      </c>
      <c r="O155" s="307">
        <f t="shared" si="77"/>
        <v>1.0000001317521494</v>
      </c>
      <c r="P155" s="1047">
        <f t="shared" si="81"/>
        <v>0</v>
      </c>
      <c r="Q155" s="306">
        <f t="shared" si="82"/>
        <v>-2.9999999969732016E-3</v>
      </c>
      <c r="R155" s="307">
        <f t="shared" si="78"/>
        <v>-1.3175214930457488E-7</v>
      </c>
      <c r="S155" s="1387"/>
      <c r="T155" s="314"/>
      <c r="U155" s="314"/>
      <c r="V155" s="314"/>
      <c r="W155" s="314"/>
    </row>
    <row r="156" spans="1:24" ht="16.5" thickBot="1">
      <c r="A156" s="933"/>
      <c r="B156" s="2537" t="s">
        <v>18</v>
      </c>
      <c r="C156" s="2538"/>
      <c r="D156" s="2538"/>
      <c r="E156" s="2539"/>
      <c r="F156" s="1295">
        <f>SUM(F134:F155)</f>
        <v>130284.95700000002</v>
      </c>
      <c r="G156" s="1295"/>
      <c r="H156" s="1294">
        <f>SUM(H137:H155)</f>
        <v>104135.00000000001</v>
      </c>
      <c r="I156" s="1296">
        <f>+H156/$F156</f>
        <v>0.79928644409807037</v>
      </c>
      <c r="J156" s="1297"/>
      <c r="K156" s="1294">
        <f>SUM(K134:K155)</f>
        <v>0</v>
      </c>
      <c r="L156" s="1296">
        <f>+K156/$F156</f>
        <v>0</v>
      </c>
      <c r="M156" s="1298"/>
      <c r="N156" s="1294">
        <f>H156+K156</f>
        <v>104135.00000000001</v>
      </c>
      <c r="O156" s="1296">
        <f>+N156/$F156</f>
        <v>0.79928644409807037</v>
      </c>
      <c r="P156" s="1298"/>
      <c r="Q156" s="1294">
        <f>F156-N156</f>
        <v>26149.957000000009</v>
      </c>
      <c r="R156" s="1299">
        <f>+Q156/$F156</f>
        <v>0.20071355590192969</v>
      </c>
    </row>
    <row r="158" spans="1:24" ht="32.25">
      <c r="A158" s="2148" t="s">
        <v>2690</v>
      </c>
      <c r="B158" s="2148"/>
      <c r="C158" s="2148"/>
      <c r="D158" s="2148"/>
      <c r="E158" s="2148"/>
      <c r="F158" s="2148"/>
      <c r="G158" s="2148"/>
      <c r="H158" s="2148"/>
      <c r="I158" s="2148"/>
      <c r="J158" s="2148"/>
      <c r="K158" s="2148"/>
      <c r="L158" s="2148"/>
      <c r="M158" s="2148"/>
      <c r="N158" s="2148"/>
      <c r="O158" s="2148"/>
      <c r="P158" s="2148"/>
      <c r="Q158" s="2148"/>
      <c r="R158" s="2148"/>
      <c r="T158" s="1449"/>
    </row>
    <row r="159" spans="1:24" ht="32.25">
      <c r="A159" s="1218"/>
      <c r="B159" s="1218"/>
      <c r="C159" s="1218"/>
      <c r="D159" s="2504" t="s">
        <v>2697</v>
      </c>
      <c r="E159" s="2504"/>
      <c r="F159" s="2504"/>
      <c r="G159" s="2504"/>
      <c r="H159" s="2504"/>
      <c r="I159" s="2504"/>
      <c r="J159" s="2504"/>
      <c r="K159" s="2504"/>
      <c r="L159" s="1218"/>
      <c r="M159" s="1218"/>
      <c r="N159" s="1218"/>
      <c r="O159" s="1218"/>
      <c r="P159" s="1456"/>
      <c r="Q159" s="1218"/>
      <c r="R159" s="1218"/>
    </row>
    <row r="160" spans="1:24" ht="22.5">
      <c r="A160" s="2149" t="s">
        <v>4267</v>
      </c>
      <c r="B160" s="2149"/>
      <c r="C160" s="2149"/>
      <c r="D160" s="2149"/>
      <c r="E160" s="2149"/>
      <c r="F160" s="2149"/>
      <c r="G160" s="2149"/>
      <c r="H160" s="2149"/>
      <c r="I160" s="2149"/>
      <c r="J160" s="2149"/>
      <c r="K160" s="2149"/>
      <c r="L160" s="2149"/>
      <c r="M160" s="2149"/>
      <c r="N160" s="2149"/>
      <c r="O160" s="2149"/>
      <c r="P160" s="2149"/>
      <c r="Q160" s="2149"/>
      <c r="R160" s="2149"/>
    </row>
    <row r="161" spans="1:23" ht="15">
      <c r="A161" s="997"/>
      <c r="B161" s="998" t="s">
        <v>57</v>
      </c>
      <c r="C161" s="999"/>
      <c r="D161" s="998"/>
      <c r="E161" s="1464"/>
      <c r="F161" s="1391"/>
      <c r="G161" s="998"/>
      <c r="H161" s="998"/>
      <c r="I161" s="998"/>
      <c r="J161" s="998"/>
      <c r="K161" s="998"/>
      <c r="L161" s="998"/>
      <c r="M161" s="1000"/>
      <c r="N161" s="1001"/>
      <c r="O161" s="998"/>
      <c r="P161" s="998"/>
      <c r="Q161" s="998"/>
      <c r="R161" s="998"/>
    </row>
    <row r="162" spans="1:23" ht="15">
      <c r="A162" s="997" t="s">
        <v>136</v>
      </c>
      <c r="B162" s="998" t="str">
        <f>B122</f>
        <v>“MEJORAMIENTO DE LA GESTIÓN MUNICIPAL Y SERVICIO ADMINISTRATIVO DE LA MUNICIPALIDAD PROVINCIAL DE ABANCAY, DISTRITO DE ABANCAY - PROVINCIA DE ABANCAY - DEPARTAMENTO DE APURIMAC”.</v>
      </c>
      <c r="C162" s="999"/>
      <c r="D162" s="998"/>
      <c r="E162" s="1464"/>
      <c r="F162" s="1391"/>
      <c r="G162" s="998"/>
      <c r="H162" s="998"/>
      <c r="I162" s="998"/>
      <c r="J162" s="998"/>
      <c r="K162" s="998"/>
      <c r="L162" s="998"/>
      <c r="M162" s="998"/>
      <c r="N162" s="998"/>
      <c r="O162" s="998"/>
      <c r="P162" s="998"/>
      <c r="Q162" s="998"/>
      <c r="R162" s="998"/>
    </row>
    <row r="163" spans="1:23" ht="15">
      <c r="A163" s="997" t="s">
        <v>137</v>
      </c>
      <c r="B163" s="998" t="s">
        <v>126</v>
      </c>
      <c r="C163" s="1002"/>
      <c r="D163" s="1003"/>
      <c r="E163" s="1465"/>
      <c r="F163" s="1392"/>
      <c r="G163" s="1003"/>
      <c r="H163" s="1003"/>
      <c r="I163" s="1003"/>
      <c r="J163" s="1003"/>
      <c r="K163" s="1003"/>
      <c r="L163" s="1004"/>
      <c r="M163" s="1003"/>
      <c r="N163" s="1003"/>
      <c r="O163" s="1003"/>
      <c r="P163" s="1003"/>
      <c r="Q163" s="1003"/>
      <c r="R163" s="1003"/>
    </row>
    <row r="164" spans="1:23" ht="15">
      <c r="A164" s="997" t="s">
        <v>139</v>
      </c>
      <c r="B164" s="1003" t="s">
        <v>2479</v>
      </c>
      <c r="C164" s="1002"/>
      <c r="D164" s="1003"/>
      <c r="E164" s="1465"/>
      <c r="F164" s="1392"/>
      <c r="G164" s="1003"/>
      <c r="H164" s="1003"/>
      <c r="I164" s="1003"/>
      <c r="J164" s="2143" t="s">
        <v>1147</v>
      </c>
      <c r="K164" s="2144"/>
      <c r="L164" s="2145" t="s">
        <v>4267</v>
      </c>
      <c r="M164" s="2146"/>
      <c r="N164" s="2146"/>
      <c r="O164" s="2147"/>
      <c r="P164" s="1005"/>
      <c r="Q164" s="1005"/>
      <c r="R164" s="1005"/>
    </row>
    <row r="165" spans="1:23" ht="20.25">
      <c r="A165" s="997" t="s">
        <v>129</v>
      </c>
      <c r="B165" s="998" t="str">
        <f>B125</f>
        <v>ING. RICHARD ERWIN MONTALVO ALVARO</v>
      </c>
      <c r="C165" s="1006"/>
      <c r="D165" s="1007"/>
      <c r="E165" s="1466"/>
      <c r="F165" s="1467"/>
      <c r="G165" s="1007"/>
      <c r="H165" s="1007"/>
      <c r="I165" s="1007"/>
      <c r="J165" s="2143" t="s">
        <v>1148</v>
      </c>
      <c r="K165" s="2144"/>
      <c r="L165" s="2502" t="s">
        <v>125</v>
      </c>
      <c r="M165" s="2502"/>
      <c r="N165" s="2502"/>
      <c r="O165" s="2502"/>
      <c r="P165" s="2503"/>
      <c r="Q165" s="2503"/>
      <c r="R165" s="2503"/>
    </row>
    <row r="166" spans="1:23" ht="16.5">
      <c r="A166" s="997" t="s">
        <v>128</v>
      </c>
      <c r="B166" s="1008" t="str">
        <f>B126</f>
        <v>ING. IVES BUSTHER GUTIERREZ ARENAS</v>
      </c>
      <c r="C166" s="1009"/>
      <c r="D166" s="1010"/>
      <c r="E166" s="1468"/>
      <c r="F166" s="1393"/>
      <c r="G166" s="1010"/>
      <c r="H166" s="1010"/>
      <c r="I166" s="1010"/>
      <c r="J166" s="2143" t="s">
        <v>1149</v>
      </c>
      <c r="K166" s="2144"/>
      <c r="L166" s="2502" t="s">
        <v>125</v>
      </c>
      <c r="M166" s="2502"/>
      <c r="N166" s="2502"/>
      <c r="O166" s="2502"/>
      <c r="P166" s="2503"/>
      <c r="Q166" s="2503"/>
      <c r="R166" s="2503"/>
    </row>
    <row r="167" spans="1:23" ht="16.5">
      <c r="A167" s="997"/>
      <c r="B167" s="1008"/>
      <c r="C167" s="1009"/>
      <c r="D167" s="1010"/>
      <c r="E167" s="1468"/>
      <c r="F167" s="1393"/>
      <c r="G167" s="1010"/>
      <c r="H167" s="1010"/>
      <c r="I167" s="1010"/>
      <c r="J167" s="2143" t="s">
        <v>1151</v>
      </c>
      <c r="K167" s="2144"/>
      <c r="L167" s="2502" t="s">
        <v>124</v>
      </c>
      <c r="M167" s="2502"/>
      <c r="N167" s="2502"/>
      <c r="O167" s="2502"/>
      <c r="P167" s="2503"/>
      <c r="Q167" s="2503"/>
      <c r="R167" s="2503"/>
    </row>
    <row r="168" spans="1:23">
      <c r="A168" s="315"/>
      <c r="B168" s="315"/>
      <c r="C168" s="1501"/>
      <c r="D168" s="313"/>
      <c r="E168" s="1257"/>
      <c r="F168" s="313"/>
      <c r="G168" s="314"/>
      <c r="H168" s="314"/>
      <c r="I168" s="314"/>
      <c r="J168" s="314"/>
      <c r="K168" s="314"/>
      <c r="L168" s="314"/>
      <c r="M168" s="314"/>
      <c r="N168" s="314"/>
      <c r="O168" s="314"/>
      <c r="P168" s="314"/>
      <c r="Q168" s="314"/>
      <c r="R168" s="314"/>
    </row>
    <row r="169" spans="1:23">
      <c r="A169" s="2501" t="s">
        <v>31</v>
      </c>
      <c r="B169" s="2501" t="s">
        <v>114</v>
      </c>
      <c r="C169" s="2501" t="s">
        <v>37</v>
      </c>
      <c r="D169" s="2501" t="s">
        <v>23</v>
      </c>
      <c r="E169" s="2536" t="s">
        <v>706</v>
      </c>
      <c r="F169" s="2536" t="s">
        <v>127</v>
      </c>
      <c r="G169" s="1036"/>
      <c r="H169" s="1037"/>
      <c r="I169" s="1037"/>
      <c r="J169" s="1037"/>
      <c r="K169" s="1038" t="s">
        <v>767</v>
      </c>
      <c r="L169" s="1037"/>
      <c r="M169" s="1037"/>
      <c r="N169" s="1037"/>
      <c r="O169" s="1039"/>
      <c r="P169" s="2497" t="s">
        <v>16</v>
      </c>
      <c r="Q169" s="2497"/>
      <c r="R169" s="2497"/>
    </row>
    <row r="170" spans="1:23">
      <c r="A170" s="2501"/>
      <c r="B170" s="2501"/>
      <c r="C170" s="2501"/>
      <c r="D170" s="2501"/>
      <c r="E170" s="2536"/>
      <c r="F170" s="2536"/>
      <c r="G170" s="2497" t="s">
        <v>140</v>
      </c>
      <c r="H170" s="2497"/>
      <c r="I170" s="2497"/>
      <c r="J170" s="2497" t="s">
        <v>141</v>
      </c>
      <c r="K170" s="2497"/>
      <c r="L170" s="2497"/>
      <c r="M170" s="2497" t="s">
        <v>142</v>
      </c>
      <c r="N170" s="2497"/>
      <c r="O170" s="2497"/>
      <c r="P170" s="2497"/>
      <c r="Q170" s="2497"/>
      <c r="R170" s="2497"/>
    </row>
    <row r="171" spans="1:23">
      <c r="A171" s="2501"/>
      <c r="B171" s="2501"/>
      <c r="C171" s="2501"/>
      <c r="D171" s="2501"/>
      <c r="E171" s="2536"/>
      <c r="F171" s="2536"/>
      <c r="G171" s="1040" t="s">
        <v>54</v>
      </c>
      <c r="H171" s="1040" t="s">
        <v>506</v>
      </c>
      <c r="I171" s="1040" t="s">
        <v>30</v>
      </c>
      <c r="J171" s="1040" t="s">
        <v>54</v>
      </c>
      <c r="K171" s="1040" t="s">
        <v>506</v>
      </c>
      <c r="L171" s="1040" t="s">
        <v>30</v>
      </c>
      <c r="M171" s="1040" t="s">
        <v>54</v>
      </c>
      <c r="N171" s="1040" t="s">
        <v>506</v>
      </c>
      <c r="O171" s="1040" t="s">
        <v>30</v>
      </c>
      <c r="P171" s="1040" t="s">
        <v>54</v>
      </c>
      <c r="Q171" s="1040" t="s">
        <v>506</v>
      </c>
      <c r="R171" s="1040" t="s">
        <v>30</v>
      </c>
    </row>
    <row r="172" spans="1:23">
      <c r="A172" s="300"/>
      <c r="B172" s="300"/>
      <c r="C172" s="300"/>
      <c r="D172" s="301"/>
      <c r="E172" s="1469"/>
      <c r="F172" s="1470">
        <f>F190</f>
        <v>704911.17499999993</v>
      </c>
      <c r="G172" s="1042"/>
      <c r="H172" s="1043">
        <f>H190</f>
        <v>0</v>
      </c>
      <c r="I172" s="308"/>
      <c r="J172" s="1044"/>
      <c r="K172" s="1043">
        <f>K190</f>
        <v>0</v>
      </c>
      <c r="L172" s="309"/>
      <c r="M172" s="1044"/>
      <c r="N172" s="1043">
        <f>N190</f>
        <v>0</v>
      </c>
      <c r="O172" s="308"/>
      <c r="P172" s="1044"/>
      <c r="Q172" s="1043">
        <f>Q190</f>
        <v>704911.17499999993</v>
      </c>
      <c r="R172" s="308"/>
    </row>
    <row r="173" spans="1:23" ht="31.5">
      <c r="A173" s="996"/>
      <c r="B173" s="1097" t="s">
        <v>2150</v>
      </c>
      <c r="C173" s="1473"/>
      <c r="D173" s="302"/>
      <c r="E173" s="1474"/>
      <c r="F173" s="1475"/>
      <c r="G173" s="1048"/>
      <c r="H173" s="303"/>
      <c r="I173" s="310"/>
      <c r="J173" s="1045"/>
      <c r="K173" s="311"/>
      <c r="L173" s="311"/>
      <c r="M173" s="1045"/>
      <c r="N173" s="311"/>
      <c r="O173" s="311"/>
      <c r="P173" s="1045"/>
      <c r="Q173" s="311"/>
      <c r="R173" s="311"/>
    </row>
    <row r="174" spans="1:23">
      <c r="A174" s="1309">
        <v>2</v>
      </c>
      <c r="B174" s="1325" t="s">
        <v>1695</v>
      </c>
      <c r="C174" s="1479"/>
      <c r="D174" s="1303"/>
      <c r="E174" s="1321"/>
      <c r="F174" s="1304" t="str">
        <f t="shared" ref="F174" si="84">IF(ISBLANK(C174)," ",ROUND(E174*D174,2))</f>
        <v xml:space="preserve"> </v>
      </c>
      <c r="G174" s="1049"/>
      <c r="H174" s="306"/>
      <c r="I174" s="307"/>
      <c r="J174" s="1046"/>
      <c r="K174" s="306"/>
      <c r="L174" s="307"/>
      <c r="M174" s="1047"/>
      <c r="N174" s="306"/>
      <c r="O174" s="307"/>
      <c r="P174" s="1047"/>
      <c r="Q174" s="306"/>
      <c r="R174" s="307"/>
    </row>
    <row r="175" spans="1:23" s="316" customFormat="1" ht="16.5" customHeight="1">
      <c r="A175" s="1309" t="s">
        <v>1247</v>
      </c>
      <c r="B175" s="1101" t="s">
        <v>1734</v>
      </c>
      <c r="C175" s="1104" t="s">
        <v>2149</v>
      </c>
      <c r="D175" s="1105">
        <v>14.22</v>
      </c>
      <c r="E175" s="1106">
        <v>17023.96</v>
      </c>
      <c r="F175" s="1404">
        <f t="shared" ref="F175:F176" si="85">+D175*E175</f>
        <v>242080.71119999999</v>
      </c>
      <c r="G175" s="1049">
        <v>0</v>
      </c>
      <c r="H175" s="306">
        <f t="shared" ref="H175:H188" si="86">ROUND($E175*G175,2)</f>
        <v>0</v>
      </c>
      <c r="I175" s="307">
        <f t="shared" ref="I175:I176" si="87">+H175/$F175</f>
        <v>0</v>
      </c>
      <c r="J175" s="1046"/>
      <c r="K175" s="306"/>
      <c r="L175" s="307">
        <f t="shared" ref="L175:L176" si="88">+K175/$F175</f>
        <v>0</v>
      </c>
      <c r="M175" s="1047">
        <f t="shared" ref="M175:M188" si="89">+G175+J175</f>
        <v>0</v>
      </c>
      <c r="N175" s="306">
        <f t="shared" ref="N175:N188" si="90">ROUND(+M175*E175,2)</f>
        <v>0</v>
      </c>
      <c r="O175" s="307">
        <f t="shared" ref="O175:O176" si="91">+N175/$F175</f>
        <v>0</v>
      </c>
      <c r="P175" s="1047">
        <f>D175-M175</f>
        <v>14.22</v>
      </c>
      <c r="Q175" s="306">
        <f t="shared" ref="Q175:Q188" si="92">F175-N175</f>
        <v>242080.71119999999</v>
      </c>
      <c r="R175" s="307">
        <f t="shared" ref="R175:R176" si="93">+Q175/$F175</f>
        <v>1</v>
      </c>
      <c r="S175" s="1387"/>
      <c r="T175" s="314"/>
      <c r="U175" s="314"/>
      <c r="V175" s="314"/>
      <c r="W175" s="314"/>
    </row>
    <row r="176" spans="1:23" s="316" customFormat="1" ht="16.5" customHeight="1">
      <c r="A176" s="1309" t="s">
        <v>1248</v>
      </c>
      <c r="B176" s="1101" t="s">
        <v>1735</v>
      </c>
      <c r="C176" s="1104" t="s">
        <v>2149</v>
      </c>
      <c r="D176" s="1105">
        <v>14.22</v>
      </c>
      <c r="E176" s="1106">
        <v>10367.040000000001</v>
      </c>
      <c r="F176" s="1404">
        <f t="shared" si="85"/>
        <v>147419.30880000003</v>
      </c>
      <c r="G176" s="1049">
        <v>0</v>
      </c>
      <c r="H176" s="306">
        <f t="shared" si="86"/>
        <v>0</v>
      </c>
      <c r="I176" s="307">
        <f t="shared" si="87"/>
        <v>0</v>
      </c>
      <c r="J176" s="1046"/>
      <c r="K176" s="306"/>
      <c r="L176" s="307">
        <f t="shared" si="88"/>
        <v>0</v>
      </c>
      <c r="M176" s="1047">
        <f t="shared" si="89"/>
        <v>0</v>
      </c>
      <c r="N176" s="306">
        <f t="shared" si="90"/>
        <v>0</v>
      </c>
      <c r="O176" s="307">
        <f t="shared" si="91"/>
        <v>0</v>
      </c>
      <c r="P176" s="1047">
        <f>D176-M176</f>
        <v>14.22</v>
      </c>
      <c r="Q176" s="306">
        <f t="shared" si="92"/>
        <v>147419.30880000003</v>
      </c>
      <c r="R176" s="307">
        <f t="shared" si="93"/>
        <v>1</v>
      </c>
      <c r="S176" s="1387"/>
      <c r="T176" s="314"/>
      <c r="U176" s="314"/>
      <c r="V176" s="314"/>
      <c r="W176" s="314"/>
    </row>
    <row r="177" spans="1:23" s="316" customFormat="1" ht="16.5" customHeight="1">
      <c r="A177" s="1309">
        <v>3</v>
      </c>
      <c r="B177" s="1110" t="s">
        <v>1736</v>
      </c>
      <c r="C177" s="1259"/>
      <c r="D177" s="1105"/>
      <c r="E177" s="1111"/>
      <c r="F177" s="1404"/>
      <c r="G177" s="1049">
        <v>0</v>
      </c>
      <c r="H177" s="306">
        <f t="shared" si="86"/>
        <v>0</v>
      </c>
      <c r="I177" s="307"/>
      <c r="J177" s="1046"/>
      <c r="K177" s="306"/>
      <c r="L177" s="307"/>
      <c r="M177" s="1047">
        <f t="shared" si="89"/>
        <v>0</v>
      </c>
      <c r="N177" s="306">
        <f t="shared" si="90"/>
        <v>0</v>
      </c>
      <c r="O177" s="307"/>
      <c r="P177" s="1047"/>
      <c r="Q177" s="306">
        <f t="shared" si="92"/>
        <v>0</v>
      </c>
      <c r="R177" s="307"/>
      <c r="S177" s="1387"/>
      <c r="T177" s="314"/>
      <c r="U177" s="314"/>
      <c r="V177" s="314"/>
      <c r="W177" s="314"/>
    </row>
    <row r="178" spans="1:23" s="316" customFormat="1" ht="16.5" customHeight="1">
      <c r="A178" s="1401" t="s">
        <v>1273</v>
      </c>
      <c r="B178" s="1401" t="s">
        <v>1767</v>
      </c>
      <c r="C178" s="1444" t="s">
        <v>2147</v>
      </c>
      <c r="D178" s="1105">
        <v>426.97</v>
      </c>
      <c r="E178" s="1445">
        <v>37.18</v>
      </c>
      <c r="F178" s="1404">
        <f t="shared" ref="F178:F180" si="94">+D178*E178</f>
        <v>15874.7446</v>
      </c>
      <c r="G178" s="1049">
        <v>0</v>
      </c>
      <c r="H178" s="306">
        <f t="shared" si="86"/>
        <v>0</v>
      </c>
      <c r="I178" s="307">
        <f t="shared" ref="I178:I180" si="95">+H178/$F178</f>
        <v>0</v>
      </c>
      <c r="J178" s="1046"/>
      <c r="K178" s="306"/>
      <c r="L178" s="307">
        <f t="shared" ref="L178:L180" si="96">+K178/$F178</f>
        <v>0</v>
      </c>
      <c r="M178" s="1047">
        <f t="shared" si="89"/>
        <v>0</v>
      </c>
      <c r="N178" s="306">
        <f t="shared" si="90"/>
        <v>0</v>
      </c>
      <c r="O178" s="307">
        <f t="shared" ref="O178:O180" si="97">+N178/$F178</f>
        <v>0</v>
      </c>
      <c r="P178" s="1047">
        <f t="shared" ref="P178:P180" si="98">D178-M178</f>
        <v>426.97</v>
      </c>
      <c r="Q178" s="306">
        <f t="shared" si="92"/>
        <v>15874.7446</v>
      </c>
      <c r="R178" s="307">
        <f t="shared" ref="R178:R180" si="99">+Q178/$F178</f>
        <v>1</v>
      </c>
      <c r="S178" s="1387"/>
      <c r="T178" s="314"/>
      <c r="U178" s="314"/>
      <c r="V178" s="314"/>
      <c r="W178" s="314"/>
    </row>
    <row r="179" spans="1:23" s="316" customFormat="1" ht="16.5" customHeight="1">
      <c r="A179" s="1309" t="s">
        <v>1275</v>
      </c>
      <c r="B179" s="1101" t="s">
        <v>1768</v>
      </c>
      <c r="C179" s="1104" t="s">
        <v>2147</v>
      </c>
      <c r="D179" s="1105">
        <v>404.15</v>
      </c>
      <c r="E179" s="1106">
        <v>150.84</v>
      </c>
      <c r="F179" s="1404">
        <f t="shared" si="94"/>
        <v>60961.985999999997</v>
      </c>
      <c r="G179" s="1049">
        <v>0</v>
      </c>
      <c r="H179" s="306">
        <f t="shared" si="86"/>
        <v>0</v>
      </c>
      <c r="I179" s="307">
        <f t="shared" si="95"/>
        <v>0</v>
      </c>
      <c r="J179" s="1046"/>
      <c r="K179" s="306"/>
      <c r="L179" s="307">
        <f t="shared" si="96"/>
        <v>0</v>
      </c>
      <c r="M179" s="1047">
        <f t="shared" si="89"/>
        <v>0</v>
      </c>
      <c r="N179" s="306">
        <f t="shared" si="90"/>
        <v>0</v>
      </c>
      <c r="O179" s="307">
        <f t="shared" si="97"/>
        <v>0</v>
      </c>
      <c r="P179" s="1047">
        <f t="shared" si="98"/>
        <v>404.15</v>
      </c>
      <c r="Q179" s="306">
        <f t="shared" si="92"/>
        <v>60961.985999999997</v>
      </c>
      <c r="R179" s="307">
        <f t="shared" si="99"/>
        <v>1</v>
      </c>
      <c r="S179" s="1387"/>
      <c r="T179" s="314"/>
      <c r="U179" s="314"/>
      <c r="V179" s="314"/>
      <c r="W179" s="314"/>
    </row>
    <row r="180" spans="1:23" s="316" customFormat="1" ht="16.5" customHeight="1">
      <c r="A180" s="1309" t="s">
        <v>1276</v>
      </c>
      <c r="B180" s="1101" t="s">
        <v>1769</v>
      </c>
      <c r="C180" s="1104" t="s">
        <v>2147</v>
      </c>
      <c r="D180" s="1105">
        <v>99.01</v>
      </c>
      <c r="E180" s="1106">
        <v>86.22</v>
      </c>
      <c r="F180" s="1404">
        <f t="shared" si="94"/>
        <v>8536.6422000000002</v>
      </c>
      <c r="G180" s="1049">
        <v>0</v>
      </c>
      <c r="H180" s="306">
        <f t="shared" si="86"/>
        <v>0</v>
      </c>
      <c r="I180" s="307">
        <f t="shared" si="95"/>
        <v>0</v>
      </c>
      <c r="J180" s="1046"/>
      <c r="K180" s="306"/>
      <c r="L180" s="307">
        <f t="shared" si="96"/>
        <v>0</v>
      </c>
      <c r="M180" s="1047">
        <f t="shared" si="89"/>
        <v>0</v>
      </c>
      <c r="N180" s="306">
        <f t="shared" si="90"/>
        <v>0</v>
      </c>
      <c r="O180" s="307">
        <f t="shared" si="97"/>
        <v>0</v>
      </c>
      <c r="P180" s="1047">
        <f t="shared" si="98"/>
        <v>99.01</v>
      </c>
      <c r="Q180" s="306">
        <f t="shared" si="92"/>
        <v>8536.6422000000002</v>
      </c>
      <c r="R180" s="307">
        <f t="shared" si="99"/>
        <v>1</v>
      </c>
      <c r="S180" s="1387"/>
      <c r="T180" s="314"/>
      <c r="U180" s="314"/>
      <c r="V180" s="314"/>
      <c r="W180" s="314"/>
    </row>
    <row r="181" spans="1:23" s="316" customFormat="1" ht="16.5" customHeight="1">
      <c r="A181" s="1309">
        <v>3.8</v>
      </c>
      <c r="B181" s="1102" t="s">
        <v>1774</v>
      </c>
      <c r="C181" s="1260"/>
      <c r="D181" s="1105"/>
      <c r="E181" s="1109"/>
      <c r="F181" s="1404"/>
      <c r="G181" s="1049">
        <v>0</v>
      </c>
      <c r="H181" s="306">
        <f t="shared" si="86"/>
        <v>0</v>
      </c>
      <c r="I181" s="307"/>
      <c r="J181" s="1046"/>
      <c r="K181" s="306"/>
      <c r="L181" s="307"/>
      <c r="M181" s="1047">
        <f t="shared" si="89"/>
        <v>0</v>
      </c>
      <c r="N181" s="306">
        <f t="shared" si="90"/>
        <v>0</v>
      </c>
      <c r="O181" s="307"/>
      <c r="P181" s="1047"/>
      <c r="Q181" s="306">
        <f t="shared" si="92"/>
        <v>0</v>
      </c>
      <c r="R181" s="307"/>
      <c r="S181" s="1387"/>
      <c r="T181" s="314"/>
      <c r="U181" s="314"/>
      <c r="V181" s="314"/>
      <c r="W181" s="314"/>
    </row>
    <row r="182" spans="1:23" s="316" customFormat="1" ht="16.5" customHeight="1">
      <c r="A182" s="1309" t="s">
        <v>1280</v>
      </c>
      <c r="B182" s="1101" t="s">
        <v>1775</v>
      </c>
      <c r="C182" s="1104" t="s">
        <v>51</v>
      </c>
      <c r="D182" s="1105">
        <v>3420.74</v>
      </c>
      <c r="E182" s="1106">
        <v>12.5</v>
      </c>
      <c r="F182" s="1404">
        <f t="shared" ref="F182:F184" si="100">+D182*E182</f>
        <v>42759.25</v>
      </c>
      <c r="G182" s="1049">
        <v>0</v>
      </c>
      <c r="H182" s="306">
        <f t="shared" si="86"/>
        <v>0</v>
      </c>
      <c r="I182" s="307">
        <f t="shared" ref="I182:I184" si="101">+H182/$F182</f>
        <v>0</v>
      </c>
      <c r="J182" s="1046"/>
      <c r="K182" s="306"/>
      <c r="L182" s="307">
        <f t="shared" ref="L182:L184" si="102">+K182/$F182</f>
        <v>0</v>
      </c>
      <c r="M182" s="1047">
        <f t="shared" si="89"/>
        <v>0</v>
      </c>
      <c r="N182" s="306">
        <f t="shared" si="90"/>
        <v>0</v>
      </c>
      <c r="O182" s="307">
        <f t="shared" ref="O182:O184" si="103">+N182/$F182</f>
        <v>0</v>
      </c>
      <c r="P182" s="1047">
        <f>D182-M182</f>
        <v>3420.74</v>
      </c>
      <c r="Q182" s="306">
        <f t="shared" si="92"/>
        <v>42759.25</v>
      </c>
      <c r="R182" s="307">
        <f t="shared" ref="R182:R184" si="104">+Q182/$F182</f>
        <v>1</v>
      </c>
      <c r="S182" s="1387"/>
      <c r="T182" s="314"/>
      <c r="U182" s="314"/>
      <c r="V182" s="314"/>
      <c r="W182" s="314"/>
    </row>
    <row r="183" spans="1:23" s="316" customFormat="1" ht="16.5" customHeight="1">
      <c r="A183" s="1309">
        <v>3.9</v>
      </c>
      <c r="B183" s="1102" t="s">
        <v>1776</v>
      </c>
      <c r="C183" s="1260"/>
      <c r="D183" s="1105"/>
      <c r="E183" s="1109"/>
      <c r="F183" s="1404"/>
      <c r="G183" s="1049">
        <v>0</v>
      </c>
      <c r="H183" s="306">
        <f t="shared" si="86"/>
        <v>0</v>
      </c>
      <c r="I183" s="307"/>
      <c r="J183" s="1046"/>
      <c r="K183" s="306"/>
      <c r="L183" s="307"/>
      <c r="M183" s="1047">
        <f t="shared" si="89"/>
        <v>0</v>
      </c>
      <c r="N183" s="306">
        <f t="shared" si="90"/>
        <v>0</v>
      </c>
      <c r="O183" s="307"/>
      <c r="P183" s="1047"/>
      <c r="Q183" s="306">
        <f t="shared" si="92"/>
        <v>0</v>
      </c>
      <c r="R183" s="307"/>
      <c r="S183" s="1387"/>
      <c r="T183" s="314"/>
      <c r="U183" s="314"/>
      <c r="V183" s="314"/>
      <c r="W183" s="314"/>
    </row>
    <row r="184" spans="1:23" s="316" customFormat="1" ht="16.5" customHeight="1">
      <c r="A184" s="1309" t="s">
        <v>1281</v>
      </c>
      <c r="B184" s="1101" t="s">
        <v>1777</v>
      </c>
      <c r="C184" s="1104" t="s">
        <v>2147</v>
      </c>
      <c r="D184" s="1105">
        <v>1244.94</v>
      </c>
      <c r="E184" s="1106">
        <v>60.35</v>
      </c>
      <c r="F184" s="1404">
        <f t="shared" si="100"/>
        <v>75132.129000000001</v>
      </c>
      <c r="G184" s="1049">
        <v>0</v>
      </c>
      <c r="H184" s="306">
        <f t="shared" si="86"/>
        <v>0</v>
      </c>
      <c r="I184" s="307">
        <f t="shared" si="101"/>
        <v>0</v>
      </c>
      <c r="J184" s="1046"/>
      <c r="K184" s="306"/>
      <c r="L184" s="307">
        <f t="shared" si="102"/>
        <v>0</v>
      </c>
      <c r="M184" s="1047">
        <f t="shared" si="89"/>
        <v>0</v>
      </c>
      <c r="N184" s="306">
        <f t="shared" si="90"/>
        <v>0</v>
      </c>
      <c r="O184" s="307">
        <f t="shared" si="103"/>
        <v>0</v>
      </c>
      <c r="P184" s="1047">
        <f>D184-M184</f>
        <v>1244.94</v>
      </c>
      <c r="Q184" s="306">
        <f t="shared" si="92"/>
        <v>75132.129000000001</v>
      </c>
      <c r="R184" s="307">
        <f t="shared" si="104"/>
        <v>1</v>
      </c>
      <c r="S184" s="1387"/>
      <c r="T184" s="314"/>
      <c r="U184" s="314"/>
      <c r="V184" s="314"/>
      <c r="W184" s="314"/>
    </row>
    <row r="185" spans="1:23" s="316" customFormat="1" ht="16.5" customHeight="1">
      <c r="A185" s="1309">
        <v>3.1</v>
      </c>
      <c r="B185" s="1102" t="s">
        <v>1778</v>
      </c>
      <c r="C185" s="1260"/>
      <c r="D185" s="1105"/>
      <c r="E185" s="1109"/>
      <c r="F185" s="1404"/>
      <c r="G185" s="1049">
        <v>0</v>
      </c>
      <c r="H185" s="306">
        <f t="shared" si="86"/>
        <v>0</v>
      </c>
      <c r="I185" s="307"/>
      <c r="J185" s="1046"/>
      <c r="K185" s="306"/>
      <c r="L185" s="307"/>
      <c r="M185" s="1047">
        <f t="shared" si="89"/>
        <v>0</v>
      </c>
      <c r="N185" s="306">
        <f t="shared" si="90"/>
        <v>0</v>
      </c>
      <c r="O185" s="307"/>
      <c r="P185" s="1047"/>
      <c r="Q185" s="306">
        <f t="shared" si="92"/>
        <v>0</v>
      </c>
      <c r="R185" s="307"/>
      <c r="S185" s="1387"/>
      <c r="T185" s="314"/>
      <c r="U185" s="314"/>
      <c r="V185" s="314"/>
      <c r="W185" s="314"/>
    </row>
    <row r="186" spans="1:23" s="316" customFormat="1" ht="16.5" customHeight="1">
      <c r="A186" s="1309" t="s">
        <v>1282</v>
      </c>
      <c r="B186" s="1101" t="s">
        <v>1779</v>
      </c>
      <c r="C186" s="1104" t="s">
        <v>2147</v>
      </c>
      <c r="D186" s="1105">
        <v>1817.42</v>
      </c>
      <c r="E186" s="1106">
        <v>10.91</v>
      </c>
      <c r="F186" s="1404">
        <f t="shared" ref="F186:F188" si="105">+D186*E186</f>
        <v>19828.052200000002</v>
      </c>
      <c r="G186" s="1049">
        <v>0</v>
      </c>
      <c r="H186" s="306">
        <f t="shared" si="86"/>
        <v>0</v>
      </c>
      <c r="I186" s="307">
        <f t="shared" ref="I186:I188" si="106">+H186/$F186</f>
        <v>0</v>
      </c>
      <c r="J186" s="1046"/>
      <c r="K186" s="306"/>
      <c r="L186" s="307">
        <f t="shared" ref="L186:L188" si="107">+K186/$F186</f>
        <v>0</v>
      </c>
      <c r="M186" s="1047">
        <f t="shared" si="89"/>
        <v>0</v>
      </c>
      <c r="N186" s="306">
        <f t="shared" si="90"/>
        <v>0</v>
      </c>
      <c r="O186" s="307">
        <f t="shared" ref="O186:O188" si="108">+N186/$F186</f>
        <v>0</v>
      </c>
      <c r="P186" s="1047">
        <f>D186-M186</f>
        <v>1817.42</v>
      </c>
      <c r="Q186" s="306">
        <f>F186-N186</f>
        <v>19828.052200000002</v>
      </c>
      <c r="R186" s="307">
        <f t="shared" ref="R186:R188" si="109">+Q186/$F186</f>
        <v>1</v>
      </c>
      <c r="S186" s="1387"/>
      <c r="T186" s="314"/>
      <c r="U186" s="314"/>
      <c r="V186" s="314"/>
      <c r="W186" s="314"/>
    </row>
    <row r="187" spans="1:23" s="316" customFormat="1" ht="16.5" customHeight="1">
      <c r="A187" s="1309" t="s">
        <v>1283</v>
      </c>
      <c r="B187" s="1101" t="s">
        <v>1780</v>
      </c>
      <c r="C187" s="1104" t="s">
        <v>2147</v>
      </c>
      <c r="D187" s="1105">
        <v>9049.7000000000007</v>
      </c>
      <c r="E187" s="1106">
        <v>9.8800000000000008</v>
      </c>
      <c r="F187" s="1404">
        <f t="shared" si="105"/>
        <v>89411.036000000007</v>
      </c>
      <c r="G187" s="1049">
        <v>0</v>
      </c>
      <c r="H187" s="306">
        <f t="shared" si="86"/>
        <v>0</v>
      </c>
      <c r="I187" s="307">
        <f t="shared" si="106"/>
        <v>0</v>
      </c>
      <c r="J187" s="1046"/>
      <c r="K187" s="306"/>
      <c r="L187" s="307">
        <f t="shared" si="107"/>
        <v>0</v>
      </c>
      <c r="M187" s="1047">
        <f t="shared" si="89"/>
        <v>0</v>
      </c>
      <c r="N187" s="306">
        <f t="shared" si="90"/>
        <v>0</v>
      </c>
      <c r="O187" s="307">
        <f t="shared" si="108"/>
        <v>0</v>
      </c>
      <c r="P187" s="1047">
        <f>D187-M187</f>
        <v>9049.7000000000007</v>
      </c>
      <c r="Q187" s="306">
        <f t="shared" si="92"/>
        <v>89411.036000000007</v>
      </c>
      <c r="R187" s="307">
        <f t="shared" si="109"/>
        <v>1</v>
      </c>
      <c r="S187" s="1387"/>
      <c r="T187" s="314"/>
      <c r="U187" s="314"/>
      <c r="V187" s="314"/>
      <c r="W187" s="314"/>
    </row>
    <row r="188" spans="1:23" s="316" customFormat="1" ht="16.5" customHeight="1">
      <c r="A188" s="1309" t="s">
        <v>1284</v>
      </c>
      <c r="B188" s="1101" t="s">
        <v>1781</v>
      </c>
      <c r="C188" s="1104" t="s">
        <v>51</v>
      </c>
      <c r="D188" s="1105">
        <v>842.7</v>
      </c>
      <c r="E188" s="1106">
        <v>3.45</v>
      </c>
      <c r="F188" s="1404">
        <f t="shared" si="105"/>
        <v>2907.3150000000005</v>
      </c>
      <c r="G188" s="1049">
        <v>0</v>
      </c>
      <c r="H188" s="306">
        <f t="shared" si="86"/>
        <v>0</v>
      </c>
      <c r="I188" s="307">
        <f t="shared" si="106"/>
        <v>0</v>
      </c>
      <c r="J188" s="1046"/>
      <c r="K188" s="306"/>
      <c r="L188" s="307">
        <f t="shared" si="107"/>
        <v>0</v>
      </c>
      <c r="M188" s="1047">
        <f t="shared" si="89"/>
        <v>0</v>
      </c>
      <c r="N188" s="306">
        <f t="shared" si="90"/>
        <v>0</v>
      </c>
      <c r="O188" s="307">
        <f t="shared" si="108"/>
        <v>0</v>
      </c>
      <c r="P188" s="1047">
        <f>D188-M188</f>
        <v>842.7</v>
      </c>
      <c r="Q188" s="306">
        <f t="shared" si="92"/>
        <v>2907.3150000000005</v>
      </c>
      <c r="R188" s="307">
        <f t="shared" si="109"/>
        <v>1</v>
      </c>
      <c r="S188" s="1387"/>
      <c r="T188" s="1510"/>
      <c r="U188" s="314"/>
      <c r="V188" s="314"/>
      <c r="W188" s="314"/>
    </row>
    <row r="189" spans="1:23" ht="16.5" thickBot="1">
      <c r="A189" s="1309"/>
      <c r="B189" s="1311"/>
      <c r="C189" s="1495"/>
      <c r="D189" s="1303"/>
      <c r="E189" s="1312"/>
      <c r="F189" s="1304"/>
      <c r="G189" s="1049"/>
      <c r="H189" s="306"/>
      <c r="I189" s="307"/>
      <c r="J189" s="1046"/>
      <c r="K189" s="306"/>
      <c r="L189" s="307"/>
      <c r="M189" s="1047"/>
      <c r="N189" s="306"/>
      <c r="O189" s="307"/>
      <c r="P189" s="1047"/>
      <c r="Q189" s="306"/>
      <c r="R189" s="307"/>
      <c r="T189" s="1511" t="s">
        <v>2691</v>
      </c>
    </row>
    <row r="190" spans="1:23" ht="16.5" thickBot="1">
      <c r="A190" s="933"/>
      <c r="B190" s="2498" t="s">
        <v>18</v>
      </c>
      <c r="C190" s="2499"/>
      <c r="D190" s="2499"/>
      <c r="E190" s="2500"/>
      <c r="F190" s="1051">
        <f>SUM(F175:F188)</f>
        <v>704911.17499999993</v>
      </c>
      <c r="G190" s="1051"/>
      <c r="H190" s="1050">
        <f>SUM(H173:H189)</f>
        <v>0</v>
      </c>
      <c r="I190" s="1052">
        <f>+H190/$F190</f>
        <v>0</v>
      </c>
      <c r="J190" s="1053"/>
      <c r="K190" s="1050"/>
      <c r="L190" s="1052">
        <f>+K190/$F190</f>
        <v>0</v>
      </c>
      <c r="M190" s="1054"/>
      <c r="N190" s="1050">
        <f>SUM(N173:N189)</f>
        <v>0</v>
      </c>
      <c r="O190" s="1052">
        <f>+N190/$F190</f>
        <v>0</v>
      </c>
      <c r="P190" s="1054"/>
      <c r="Q190" s="1050">
        <f>SUM(Q174:Q189)</f>
        <v>704911.17499999993</v>
      </c>
      <c r="R190" s="1055">
        <f>+Q190/$F190</f>
        <v>1</v>
      </c>
      <c r="T190" s="1512">
        <f>F156+F116-F190</f>
        <v>1447894.4220000003</v>
      </c>
    </row>
    <row r="191" spans="1:23">
      <c r="T191" s="230">
        <v>179876.43</v>
      </c>
    </row>
  </sheetData>
  <mergeCells count="72">
    <mergeCell ref="P169:R170"/>
    <mergeCell ref="G170:I170"/>
    <mergeCell ref="J170:L170"/>
    <mergeCell ref="M170:O170"/>
    <mergeCell ref="B190:E190"/>
    <mergeCell ref="F169:F171"/>
    <mergeCell ref="A169:A171"/>
    <mergeCell ref="B169:B171"/>
    <mergeCell ref="C169:C171"/>
    <mergeCell ref="D169:D171"/>
    <mergeCell ref="E169:E171"/>
    <mergeCell ref="J166:K166"/>
    <mergeCell ref="L166:O166"/>
    <mergeCell ref="P166:R166"/>
    <mergeCell ref="J167:K167"/>
    <mergeCell ref="L167:O167"/>
    <mergeCell ref="P167:R167"/>
    <mergeCell ref="D159:K159"/>
    <mergeCell ref="A160:R160"/>
    <mergeCell ref="J164:K164"/>
    <mergeCell ref="L164:O164"/>
    <mergeCell ref="J165:K165"/>
    <mergeCell ref="L165:O165"/>
    <mergeCell ref="P165:R165"/>
    <mergeCell ref="A158:R158"/>
    <mergeCell ref="A129:A131"/>
    <mergeCell ref="B129:B131"/>
    <mergeCell ref="C129:C131"/>
    <mergeCell ref="D129:D131"/>
    <mergeCell ref="E129:E131"/>
    <mergeCell ref="F129:F131"/>
    <mergeCell ref="P129:R130"/>
    <mergeCell ref="G130:I130"/>
    <mergeCell ref="J130:L130"/>
    <mergeCell ref="M130:O130"/>
    <mergeCell ref="B156:E156"/>
    <mergeCell ref="J126:K126"/>
    <mergeCell ref="L126:O126"/>
    <mergeCell ref="P126:R126"/>
    <mergeCell ref="J127:K127"/>
    <mergeCell ref="L127:O127"/>
    <mergeCell ref="P127:R127"/>
    <mergeCell ref="D119:K119"/>
    <mergeCell ref="A120:R120"/>
    <mergeCell ref="J124:K124"/>
    <mergeCell ref="L124:O124"/>
    <mergeCell ref="J125:K125"/>
    <mergeCell ref="L125:O125"/>
    <mergeCell ref="P125:R125"/>
    <mergeCell ref="A118:R118"/>
    <mergeCell ref="J9:K9"/>
    <mergeCell ref="L9:O9"/>
    <mergeCell ref="J10:K10"/>
    <mergeCell ref="L10:O10"/>
    <mergeCell ref="A12:A14"/>
    <mergeCell ref="B12:B14"/>
    <mergeCell ref="C12:C14"/>
    <mergeCell ref="D12:D14"/>
    <mergeCell ref="E12:E14"/>
    <mergeCell ref="F12:F14"/>
    <mergeCell ref="P12:R13"/>
    <mergeCell ref="G13:I13"/>
    <mergeCell ref="J13:L13"/>
    <mergeCell ref="M13:O13"/>
    <mergeCell ref="B116:E116"/>
    <mergeCell ref="J8:K8"/>
    <mergeCell ref="L8:O8"/>
    <mergeCell ref="A1:R1"/>
    <mergeCell ref="D2:K2"/>
    <mergeCell ref="A3:R3"/>
    <mergeCell ref="J7:K7"/>
    <mergeCell ref="L7:O7"/>
  </mergeCells>
  <conditionalFormatting sqref="C17:F20 F21:F22 C23:F23 C24 E24:F24 C25:F115">
    <cfRule type="expression" dxfId="60" priority="7">
      <formula>#REF!="T"</formula>
    </cfRule>
  </conditionalFormatting>
  <conditionalFormatting sqref="C134:F143 C148:F149 C151:F151 C154:F154 C155:E155">
    <cfRule type="expression" dxfId="59" priority="6">
      <formula>#REF!="T"</formula>
    </cfRule>
  </conditionalFormatting>
  <conditionalFormatting sqref="C144:F147">
    <cfRule type="expression" dxfId="58" priority="5">
      <formula>#REF!="T"</formula>
    </cfRule>
  </conditionalFormatting>
  <conditionalFormatting sqref="C150:F150">
    <cfRule type="expression" dxfId="57" priority="1">
      <formula>#REF!="T"</formula>
    </cfRule>
  </conditionalFormatting>
  <conditionalFormatting sqref="C152:F153">
    <cfRule type="expression" dxfId="56" priority="3">
      <formula>#REF!="T"</formula>
    </cfRule>
  </conditionalFormatting>
  <conditionalFormatting sqref="C174:F189">
    <cfRule type="expression" dxfId="55" priority="4">
      <formula>#REF!="T"</formula>
    </cfRule>
  </conditionalFormatting>
  <conditionalFormatting sqref="F155">
    <cfRule type="expression" dxfId="54" priority="2">
      <formula>#REF!="T"</formula>
    </cfRule>
  </conditionalFormatting>
  <printOptions horizontalCentered="1"/>
  <pageMargins left="0.23622047244094491" right="0.23622047244094491" top="0.74803149606299213" bottom="0.74803149606299213" header="0.31496062992125984" footer="0.31496062992125984"/>
  <pageSetup paperSize="9" scale="40" fitToHeight="0" orientation="landscape" r:id="rId1"/>
  <headerFooter>
    <oddFooter>&amp;CPágina &amp;P de &amp;N</oddFooter>
  </headerFooter>
  <rowBreaks count="4" manualBreakCount="4">
    <brk id="48" max="17" man="1"/>
    <brk id="94" max="17" man="1"/>
    <brk id="116" max="17" man="1"/>
    <brk id="156" max="17"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B5214-D424-4876-98A2-F0935C8FAD9B}">
  <sheetPr>
    <tabColor rgb="FFFFC000"/>
    <pageSetUpPr fitToPage="1"/>
  </sheetPr>
  <dimension ref="A1:AN295"/>
  <sheetViews>
    <sheetView view="pageBreakPreview" topLeftCell="A138" zoomScale="85" zoomScaleNormal="70" zoomScaleSheetLayoutView="85" zoomScalePageLayoutView="70" workbookViewId="0">
      <selection activeCell="A152" sqref="A152:XFD164"/>
    </sheetView>
  </sheetViews>
  <sheetFormatPr baseColWidth="10" defaultColWidth="11.42578125" defaultRowHeight="15"/>
  <cols>
    <col min="1" max="1" width="16.28515625" style="230" customWidth="1"/>
    <col min="2" max="2" width="99.42578125" style="230" customWidth="1"/>
    <col min="3" max="3" width="10.28515625" style="1263" customWidth="1"/>
    <col min="4" max="4" width="16.7109375" style="230" customWidth="1"/>
    <col min="5" max="5" width="12.28515625" style="230" customWidth="1"/>
    <col min="6" max="6" width="18.42578125" style="230" customWidth="1"/>
    <col min="7" max="7" width="12.5703125" style="230" customWidth="1"/>
    <col min="8" max="8" width="18" style="230" customWidth="1"/>
    <col min="9" max="9" width="11" style="230" customWidth="1"/>
    <col min="10" max="10" width="12.85546875" style="230" customWidth="1"/>
    <col min="11" max="11" width="16.85546875" style="230" customWidth="1"/>
    <col min="12" max="12" width="15" style="230" customWidth="1"/>
    <col min="13" max="13" width="12.85546875" style="230" customWidth="1"/>
    <col min="14" max="14" width="17.28515625" style="230" customWidth="1"/>
    <col min="15" max="15" width="12.140625" style="230" customWidth="1"/>
    <col min="16" max="16" width="14.28515625" style="230" customWidth="1"/>
    <col min="17" max="17" width="18.7109375" style="230" customWidth="1"/>
    <col min="18" max="18" width="12.42578125" style="230" customWidth="1"/>
    <col min="19" max="19" width="13.5703125" style="230" bestFit="1" customWidth="1"/>
    <col min="20" max="20" width="17.5703125" style="230" customWidth="1"/>
    <col min="21" max="22" width="14.5703125" style="230" bestFit="1" customWidth="1"/>
    <col min="23" max="16384" width="11.42578125" style="230"/>
  </cols>
  <sheetData>
    <row r="1" spans="1:40" ht="52.5" customHeight="1">
      <c r="A1" s="2148" t="s">
        <v>2322</v>
      </c>
      <c r="B1" s="2148"/>
      <c r="C1" s="2148"/>
      <c r="D1" s="2148"/>
      <c r="E1" s="2148"/>
      <c r="F1" s="2148"/>
      <c r="G1" s="2148"/>
      <c r="H1" s="2148"/>
      <c r="I1" s="2148"/>
      <c r="J1" s="2148"/>
      <c r="K1" s="2148"/>
      <c r="L1" s="2148"/>
      <c r="M1" s="2148"/>
      <c r="N1" s="2148"/>
      <c r="O1" s="2148"/>
      <c r="P1" s="2148"/>
      <c r="Q1" s="2148"/>
      <c r="R1" s="2148"/>
      <c r="S1" s="276"/>
      <c r="T1" s="276"/>
      <c r="U1" s="276"/>
      <c r="V1" s="276"/>
      <c r="W1" s="276"/>
      <c r="X1" s="276"/>
      <c r="Y1" s="276"/>
      <c r="Z1" s="276"/>
      <c r="AA1" s="276"/>
      <c r="AB1" s="276"/>
      <c r="AC1" s="276"/>
      <c r="AD1" s="276"/>
      <c r="AE1" s="276"/>
      <c r="AF1" s="276"/>
      <c r="AG1" s="276"/>
      <c r="AH1" s="276"/>
      <c r="AI1" s="276"/>
      <c r="AJ1" s="276"/>
      <c r="AK1" s="276"/>
      <c r="AL1" s="276"/>
      <c r="AM1" s="276"/>
      <c r="AN1" s="276"/>
    </row>
    <row r="2" spans="1:40" ht="17.25" customHeight="1">
      <c r="A2" s="1218"/>
      <c r="B2" s="1218"/>
      <c r="C2" s="1218"/>
      <c r="D2" s="2504" t="s">
        <v>2472</v>
      </c>
      <c r="E2" s="2504"/>
      <c r="F2" s="2504"/>
      <c r="G2" s="2504"/>
      <c r="H2" s="2504"/>
      <c r="I2" s="2504"/>
      <c r="J2" s="2504"/>
      <c r="K2" s="2504"/>
      <c r="L2" s="1218"/>
      <c r="M2" s="1218"/>
      <c r="N2" s="1218"/>
      <c r="O2" s="1218"/>
      <c r="P2" s="1218"/>
      <c r="Q2" s="1218"/>
      <c r="R2" s="1218"/>
      <c r="S2" s="276"/>
      <c r="T2" s="276"/>
      <c r="U2" s="276"/>
      <c r="V2" s="276"/>
      <c r="W2" s="276"/>
      <c r="X2" s="276"/>
      <c r="Y2" s="276"/>
      <c r="Z2" s="276"/>
      <c r="AA2" s="276"/>
      <c r="AB2" s="276"/>
      <c r="AC2" s="276"/>
      <c r="AD2" s="276"/>
      <c r="AE2" s="276"/>
      <c r="AF2" s="276"/>
      <c r="AG2" s="276"/>
      <c r="AH2" s="276"/>
      <c r="AI2" s="276"/>
      <c r="AJ2" s="276"/>
      <c r="AK2" s="276"/>
      <c r="AL2" s="276"/>
      <c r="AM2" s="276"/>
      <c r="AN2" s="276"/>
    </row>
    <row r="3" spans="1:40" s="8" customFormat="1" ht="44.25" customHeight="1">
      <c r="A3" s="2149" t="s">
        <v>4275</v>
      </c>
      <c r="B3" s="2149"/>
      <c r="C3" s="2149"/>
      <c r="D3" s="2149"/>
      <c r="E3" s="2149"/>
      <c r="F3" s="2149"/>
      <c r="G3" s="2149"/>
      <c r="H3" s="2149"/>
      <c r="I3" s="2149"/>
      <c r="J3" s="2149"/>
      <c r="K3" s="2149"/>
      <c r="L3" s="2149"/>
      <c r="M3" s="2149"/>
      <c r="N3" s="2149"/>
      <c r="O3" s="2149"/>
      <c r="P3" s="2149"/>
      <c r="Q3" s="2149"/>
      <c r="R3" s="2149"/>
    </row>
    <row r="4" spans="1:40" s="8" customFormat="1" ht="20.100000000000001" customHeight="1">
      <c r="A4" s="997"/>
      <c r="B4" s="998" t="s">
        <v>57</v>
      </c>
      <c r="C4" s="999"/>
      <c r="D4" s="998"/>
      <c r="E4" s="998"/>
      <c r="F4" s="998"/>
      <c r="G4" s="998"/>
      <c r="H4" s="998"/>
      <c r="I4" s="998"/>
      <c r="J4" s="998"/>
      <c r="K4" s="998"/>
      <c r="L4" s="998"/>
      <c r="M4" s="1000"/>
      <c r="N4" s="1001"/>
      <c r="O4" s="998"/>
      <c r="P4" s="998"/>
      <c r="Q4" s="998"/>
      <c r="R4" s="998"/>
    </row>
    <row r="5" spans="1:40" s="8" customFormat="1" ht="20.100000000000001" customHeight="1">
      <c r="A5" s="997" t="s">
        <v>136</v>
      </c>
      <c r="B5" s="998" t="str">
        <f>Datos!C25</f>
        <v>“MEJORAMIENTO DE LA GESTIÓN MUNICIPAL Y SERVICIO ADMINISTRATIVO DE LA MUNICIPALIDAD PROVINCIAL DE ABANCAY, DISTRITO DE ABANCAY - PROVINCIA DE ABANCAY - DEPARTAMENTO DE APURIMAC”.</v>
      </c>
      <c r="C5" s="999"/>
      <c r="D5" s="998"/>
      <c r="E5" s="998"/>
      <c r="F5" s="998"/>
      <c r="G5" s="998"/>
      <c r="H5" s="998"/>
      <c r="I5" s="998"/>
      <c r="J5" s="998"/>
      <c r="K5" s="998"/>
      <c r="L5" s="998"/>
      <c r="M5" s="998"/>
      <c r="N5" s="998"/>
      <c r="O5" s="998"/>
      <c r="P5" s="998"/>
      <c r="Q5" s="998"/>
      <c r="R5" s="998"/>
    </row>
    <row r="6" spans="1:40" s="8" customFormat="1" ht="20.100000000000001" customHeight="1">
      <c r="A6" s="997" t="s">
        <v>137</v>
      </c>
      <c r="B6" s="998" t="s">
        <v>126</v>
      </c>
      <c r="C6" s="1002"/>
      <c r="D6" s="1003"/>
      <c r="E6" s="1003"/>
      <c r="F6" s="1003"/>
      <c r="G6" s="1003"/>
      <c r="H6" s="1003"/>
      <c r="I6" s="1003"/>
      <c r="J6" s="1003"/>
      <c r="K6" s="1003"/>
      <c r="L6" s="1004"/>
      <c r="M6" s="1003"/>
      <c r="N6" s="1003"/>
      <c r="O6" s="1003"/>
      <c r="P6" s="1003"/>
      <c r="Q6" s="1003"/>
      <c r="R6" s="1003"/>
    </row>
    <row r="7" spans="1:40" s="8" customFormat="1" ht="19.899999999999999" customHeight="1">
      <c r="A7" s="997" t="s">
        <v>139</v>
      </c>
      <c r="B7" s="1003" t="s">
        <v>2480</v>
      </c>
      <c r="C7" s="1002"/>
      <c r="D7" s="1003"/>
      <c r="E7" s="1003"/>
      <c r="F7" s="1003"/>
      <c r="G7" s="1003"/>
      <c r="H7" s="1003"/>
      <c r="I7" s="1003"/>
      <c r="J7" s="2143" t="s">
        <v>1147</v>
      </c>
      <c r="K7" s="2144"/>
      <c r="L7" s="2145" t="s">
        <v>4267</v>
      </c>
      <c r="M7" s="2146"/>
      <c r="N7" s="2146"/>
      <c r="O7" s="2147"/>
      <c r="P7" s="1005"/>
      <c r="Q7" s="1005"/>
      <c r="R7" s="1005"/>
    </row>
    <row r="8" spans="1:40" s="8" customFormat="1" ht="20.100000000000001" customHeight="1">
      <c r="A8" s="997" t="s">
        <v>129</v>
      </c>
      <c r="B8" s="998" t="str">
        <f>Datos!C73</f>
        <v>ING. RICHARD ERWIN MONTALVO ALVARO</v>
      </c>
      <c r="C8" s="1006"/>
      <c r="D8" s="1007"/>
      <c r="E8" s="1007"/>
      <c r="F8" s="1007"/>
      <c r="G8" s="1007"/>
      <c r="H8" s="1007"/>
      <c r="I8" s="1007"/>
      <c r="J8" s="2143" t="s">
        <v>1148</v>
      </c>
      <c r="K8" s="2144"/>
      <c r="L8" s="2502" t="s">
        <v>125</v>
      </c>
      <c r="M8" s="2502"/>
      <c r="N8" s="2502"/>
      <c r="O8" s="2502"/>
      <c r="P8" s="2503"/>
      <c r="Q8" s="2503"/>
      <c r="R8" s="2503"/>
    </row>
    <row r="9" spans="1:40" s="8" customFormat="1" ht="20.100000000000001" customHeight="1">
      <c r="A9" s="997" t="s">
        <v>128</v>
      </c>
      <c r="B9" s="1008" t="str">
        <f>Datos!C80</f>
        <v>ING. IVES BUSTHER GUTIERREZ ARENAS</v>
      </c>
      <c r="C9" s="1009"/>
      <c r="D9" s="1010"/>
      <c r="E9" s="1010"/>
      <c r="F9" s="1010"/>
      <c r="G9" s="1010"/>
      <c r="H9" s="1010"/>
      <c r="I9" s="1010"/>
      <c r="J9" s="2143" t="s">
        <v>1149</v>
      </c>
      <c r="K9" s="2144"/>
      <c r="L9" s="2502" t="s">
        <v>125</v>
      </c>
      <c r="M9" s="2502"/>
      <c r="N9" s="2502"/>
      <c r="O9" s="2502"/>
      <c r="P9" s="2503"/>
      <c r="Q9" s="2503"/>
      <c r="R9" s="2503"/>
    </row>
    <row r="10" spans="1:40" s="314" customFormat="1" ht="20.100000000000001" customHeight="1">
      <c r="A10" s="997"/>
      <c r="B10" s="1008"/>
      <c r="C10" s="1009"/>
      <c r="D10" s="1010"/>
      <c r="E10" s="1010"/>
      <c r="F10" s="1010"/>
      <c r="G10" s="1010"/>
      <c r="H10" s="1010"/>
      <c r="I10" s="1010"/>
      <c r="J10" s="2143" t="s">
        <v>1151</v>
      </c>
      <c r="K10" s="2144"/>
      <c r="L10" s="2502" t="s">
        <v>124</v>
      </c>
      <c r="M10" s="2502"/>
      <c r="N10" s="2502"/>
      <c r="O10" s="2502"/>
      <c r="P10" s="2503"/>
      <c r="Q10" s="2503"/>
      <c r="R10" s="2503"/>
    </row>
    <row r="11" spans="1:40" s="314" customFormat="1" ht="14.25" customHeight="1">
      <c r="A11" s="998"/>
      <c r="B11" s="1011"/>
      <c r="C11" s="1009"/>
      <c r="D11" s="1010"/>
      <c r="E11" s="1010"/>
      <c r="F11" s="1010"/>
      <c r="G11" s="1010"/>
      <c r="H11" s="1010"/>
      <c r="I11" s="1010"/>
      <c r="J11" s="1010"/>
      <c r="K11" s="1012"/>
      <c r="L11" s="1012"/>
      <c r="M11" s="1012"/>
      <c r="N11" s="1012"/>
      <c r="O11" s="1012"/>
      <c r="P11" s="1012"/>
      <c r="Q11" s="1010"/>
      <c r="R11" s="1010"/>
    </row>
    <row r="12" spans="1:40" s="314" customFormat="1" ht="20.25" customHeight="1">
      <c r="A12" s="2501" t="s">
        <v>31</v>
      </c>
      <c r="B12" s="2501" t="s">
        <v>114</v>
      </c>
      <c r="C12" s="2501" t="s">
        <v>37</v>
      </c>
      <c r="D12" s="2501" t="s">
        <v>23</v>
      </c>
      <c r="E12" s="2501" t="s">
        <v>706</v>
      </c>
      <c r="F12" s="2501" t="s">
        <v>127</v>
      </c>
      <c r="G12" s="1036"/>
      <c r="H12" s="1037"/>
      <c r="I12" s="1037"/>
      <c r="J12" s="1037"/>
      <c r="K12" s="1038" t="s">
        <v>767</v>
      </c>
      <c r="L12" s="1037"/>
      <c r="M12" s="1037"/>
      <c r="N12" s="1037"/>
      <c r="O12" s="1039"/>
      <c r="P12" s="2497" t="s">
        <v>16</v>
      </c>
      <c r="Q12" s="2497"/>
      <c r="R12" s="2497"/>
    </row>
    <row r="13" spans="1:40" s="314" customFormat="1" ht="20.25" customHeight="1">
      <c r="A13" s="2501"/>
      <c r="B13" s="2501"/>
      <c r="C13" s="2501"/>
      <c r="D13" s="2501"/>
      <c r="E13" s="2501"/>
      <c r="F13" s="2501"/>
      <c r="G13" s="2497" t="s">
        <v>140</v>
      </c>
      <c r="H13" s="2497"/>
      <c r="I13" s="2497"/>
      <c r="J13" s="2497" t="s">
        <v>141</v>
      </c>
      <c r="K13" s="2497"/>
      <c r="L13" s="2497"/>
      <c r="M13" s="2497" t="s">
        <v>142</v>
      </c>
      <c r="N13" s="2497"/>
      <c r="O13" s="2497"/>
      <c r="P13" s="2497"/>
      <c r="Q13" s="2497"/>
      <c r="R13" s="2497"/>
    </row>
    <row r="14" spans="1:40" s="314" customFormat="1" ht="20.25" customHeight="1">
      <c r="A14" s="2501"/>
      <c r="B14" s="2501"/>
      <c r="C14" s="2501"/>
      <c r="D14" s="2501"/>
      <c r="E14" s="2501"/>
      <c r="F14" s="2501"/>
      <c r="G14" s="1040" t="s">
        <v>54</v>
      </c>
      <c r="H14" s="1040" t="s">
        <v>506</v>
      </c>
      <c r="I14" s="1040" t="s">
        <v>30</v>
      </c>
      <c r="J14" s="1040" t="s">
        <v>54</v>
      </c>
      <c r="K14" s="1040" t="s">
        <v>506</v>
      </c>
      <c r="L14" s="1040" t="s">
        <v>30</v>
      </c>
      <c r="M14" s="1040" t="s">
        <v>54</v>
      </c>
      <c r="N14" s="1040" t="s">
        <v>506</v>
      </c>
      <c r="O14" s="1040" t="s">
        <v>30</v>
      </c>
      <c r="P14" s="1040" t="s">
        <v>54</v>
      </c>
      <c r="Q14" s="1040" t="s">
        <v>506</v>
      </c>
      <c r="R14" s="1040" t="s">
        <v>30</v>
      </c>
    </row>
    <row r="15" spans="1:40" s="314" customFormat="1" ht="16.5" customHeight="1">
      <c r="A15" s="300"/>
      <c r="B15" s="300"/>
      <c r="C15" s="300"/>
      <c r="D15" s="301"/>
      <c r="E15" s="301"/>
      <c r="F15" s="1041">
        <f>F170</f>
        <v>1635915.4400000002</v>
      </c>
      <c r="G15" s="1042"/>
      <c r="H15" s="1043">
        <f>H170</f>
        <v>1421331.4917847496</v>
      </c>
      <c r="I15" s="308"/>
      <c r="J15" s="1044"/>
      <c r="K15" s="1043">
        <f>K170</f>
        <v>0</v>
      </c>
      <c r="L15" s="309"/>
      <c r="M15" s="1044"/>
      <c r="N15" s="1043">
        <f>N170</f>
        <v>1421331.4917847496</v>
      </c>
      <c r="O15" s="308"/>
      <c r="P15" s="1044"/>
      <c r="Q15" s="1043">
        <f>Q170</f>
        <v>214583.94821525062</v>
      </c>
      <c r="R15" s="308"/>
    </row>
    <row r="16" spans="1:40" s="313" customFormat="1" ht="37.5" customHeight="1">
      <c r="A16" s="996"/>
      <c r="B16" s="1097" t="s">
        <v>2150</v>
      </c>
      <c r="C16" s="1258"/>
      <c r="D16" s="302"/>
      <c r="E16" s="302"/>
      <c r="F16" s="303"/>
      <c r="G16" s="1048"/>
      <c r="H16" s="303"/>
      <c r="I16" s="310"/>
      <c r="J16" s="1045"/>
      <c r="K16" s="311"/>
      <c r="L16" s="311"/>
      <c r="M16" s="1045"/>
      <c r="N16" s="311"/>
      <c r="O16" s="311"/>
      <c r="P16" s="1045"/>
      <c r="Q16" s="311"/>
      <c r="R16" s="311"/>
      <c r="S16" s="314"/>
      <c r="T16" s="314"/>
      <c r="U16" s="314"/>
      <c r="V16" s="314"/>
      <c r="W16" s="314"/>
      <c r="X16" s="314"/>
    </row>
    <row r="17" spans="1:24" s="313" customFormat="1" ht="16.5" customHeight="1">
      <c r="A17" s="1300">
        <v>1</v>
      </c>
      <c r="B17" s="1301" t="s">
        <v>1671</v>
      </c>
      <c r="C17" s="1302"/>
      <c r="D17" s="1303"/>
      <c r="E17" s="1304"/>
      <c r="F17" s="1305"/>
      <c r="G17" s="1049"/>
      <c r="H17" s="306">
        <f t="shared" ref="H17" si="0">ROUND($E17*G17,2)</f>
        <v>0</v>
      </c>
      <c r="I17" s="307"/>
      <c r="J17" s="1046"/>
      <c r="K17" s="306"/>
      <c r="L17" s="307"/>
      <c r="M17" s="1047"/>
      <c r="N17" s="306">
        <f>ROUND(+M17*E17,2)</f>
        <v>0</v>
      </c>
      <c r="O17" s="307"/>
      <c r="P17" s="1047"/>
      <c r="Q17" s="306">
        <f>F17-N17</f>
        <v>0</v>
      </c>
      <c r="R17" s="307"/>
      <c r="S17" s="314"/>
      <c r="T17" s="314"/>
      <c r="U17" s="314"/>
      <c r="V17" s="314"/>
      <c r="W17" s="314"/>
      <c r="X17" s="314"/>
    </row>
    <row r="18" spans="1:24" s="313" customFormat="1" ht="16.5" customHeight="1">
      <c r="A18" s="1306">
        <v>1.1000000000000001</v>
      </c>
      <c r="B18" s="1307" t="s">
        <v>1672</v>
      </c>
      <c r="C18" s="1302"/>
      <c r="D18" s="1303">
        <v>0</v>
      </c>
      <c r="E18" s="1308">
        <v>0</v>
      </c>
      <c r="F18" s="1305"/>
      <c r="G18" s="1049"/>
      <c r="H18" s="306"/>
      <c r="I18" s="307"/>
      <c r="J18" s="1046"/>
      <c r="K18" s="306"/>
      <c r="L18" s="307"/>
      <c r="M18" s="1047"/>
      <c r="N18" s="306"/>
      <c r="O18" s="307"/>
      <c r="P18" s="1047"/>
      <c r="Q18" s="306"/>
      <c r="R18" s="307"/>
      <c r="S18" s="314"/>
      <c r="T18" s="314"/>
      <c r="U18" s="314"/>
      <c r="V18" s="314"/>
      <c r="W18" s="314"/>
      <c r="X18" s="314"/>
    </row>
    <row r="19" spans="1:24" s="313" customFormat="1" ht="16.5" customHeight="1">
      <c r="A19" s="1309" t="s">
        <v>1189</v>
      </c>
      <c r="B19" s="1310" t="s">
        <v>1673</v>
      </c>
      <c r="C19" s="1302"/>
      <c r="D19" s="1303">
        <v>0</v>
      </c>
      <c r="E19" s="1308">
        <v>0</v>
      </c>
      <c r="F19" s="1305"/>
      <c r="G19" s="1049"/>
      <c r="H19" s="306"/>
      <c r="I19" s="307"/>
      <c r="J19" s="1046"/>
      <c r="K19" s="306"/>
      <c r="L19" s="307"/>
      <c r="M19" s="1046"/>
      <c r="N19" s="306"/>
      <c r="O19" s="307"/>
      <c r="P19" s="1047"/>
      <c r="Q19" s="306"/>
      <c r="R19" s="307"/>
      <c r="S19" s="314"/>
      <c r="T19" s="314"/>
      <c r="U19" s="314"/>
      <c r="V19" s="314"/>
      <c r="W19" s="314"/>
      <c r="X19" s="314"/>
    </row>
    <row r="20" spans="1:24" s="313" customFormat="1" ht="16.5" customHeight="1">
      <c r="A20" s="1428"/>
      <c r="B20" s="1351" t="s">
        <v>2326</v>
      </c>
      <c r="C20" s="1352" t="s">
        <v>53</v>
      </c>
      <c r="D20" s="1409">
        <v>14</v>
      </c>
      <c r="E20" s="1429">
        <v>1000</v>
      </c>
      <c r="F20" s="1304">
        <f>IF(ISBLANK(C20)," ",ROUND(E20*D20,2))</f>
        <v>14000</v>
      </c>
      <c r="G20" s="1049">
        <v>14</v>
      </c>
      <c r="H20" s="306">
        <v>14000</v>
      </c>
      <c r="I20" s="307">
        <v>1</v>
      </c>
      <c r="J20" s="1046"/>
      <c r="K20" s="306">
        <f>J20*E20</f>
        <v>0</v>
      </c>
      <c r="L20" s="307">
        <f t="shared" ref="L20:L78" si="1">+K20/$F20</f>
        <v>0</v>
      </c>
      <c r="M20" s="1046">
        <f>+G20+J20</f>
        <v>14</v>
      </c>
      <c r="N20" s="306">
        <f>E20*M20</f>
        <v>14000</v>
      </c>
      <c r="O20" s="307">
        <f t="shared" ref="O20:O78" si="2">+N20/$F20</f>
        <v>1</v>
      </c>
      <c r="P20" s="1047">
        <f>D20-M20</f>
        <v>0</v>
      </c>
      <c r="Q20" s="306">
        <f>F20-N20</f>
        <v>0</v>
      </c>
      <c r="R20" s="307">
        <f t="shared" ref="R20:R78" si="3">+Q20/$F20</f>
        <v>0</v>
      </c>
      <c r="S20" s="314"/>
      <c r="T20" s="314"/>
      <c r="U20" s="314"/>
      <c r="V20" s="314"/>
      <c r="W20" s="314"/>
      <c r="X20" s="314"/>
    </row>
    <row r="21" spans="1:24" s="313" customFormat="1" ht="16.5" customHeight="1">
      <c r="A21" s="1428"/>
      <c r="B21" s="1351" t="s">
        <v>2327</v>
      </c>
      <c r="C21" s="1352" t="s">
        <v>52</v>
      </c>
      <c r="D21" s="1409">
        <v>7</v>
      </c>
      <c r="E21" s="1429">
        <v>731.57</v>
      </c>
      <c r="F21" s="1304">
        <f t="shared" ref="F21:F79" si="4">IF(ISBLANK(C21)," ",ROUND(E21*D21,2))</f>
        <v>5120.99</v>
      </c>
      <c r="G21" s="1049">
        <v>7</v>
      </c>
      <c r="H21" s="306">
        <v>5120.9900000000007</v>
      </c>
      <c r="I21" s="307">
        <v>1.0000000000000002</v>
      </c>
      <c r="J21" s="1046"/>
      <c r="K21" s="306">
        <f t="shared" ref="K21:K51" si="5">ROUND(+J21*E21,2)</f>
        <v>0</v>
      </c>
      <c r="L21" s="307">
        <f t="shared" si="1"/>
        <v>0</v>
      </c>
      <c r="M21" s="1046">
        <f>+G21+J21</f>
        <v>7</v>
      </c>
      <c r="N21" s="306">
        <f t="shared" ref="N21:N23" si="6">E21*M21</f>
        <v>5120.9900000000007</v>
      </c>
      <c r="O21" s="307">
        <f t="shared" si="2"/>
        <v>1.0000000000000002</v>
      </c>
      <c r="P21" s="1047">
        <f>D21-M21</f>
        <v>0</v>
      </c>
      <c r="Q21" s="306">
        <f>F21-N21</f>
        <v>0</v>
      </c>
      <c r="R21" s="307">
        <f t="shared" si="3"/>
        <v>0</v>
      </c>
      <c r="S21" s="314"/>
      <c r="T21" s="314"/>
      <c r="U21" s="314"/>
      <c r="V21" s="314"/>
      <c r="W21" s="314"/>
      <c r="X21" s="314"/>
    </row>
    <row r="22" spans="1:24" s="313" customFormat="1" ht="16.5" customHeight="1">
      <c r="A22" s="1428"/>
      <c r="B22" s="1351" t="s">
        <v>2328</v>
      </c>
      <c r="C22" s="1352" t="s">
        <v>53</v>
      </c>
      <c r="D22" s="1409">
        <v>14</v>
      </c>
      <c r="E22" s="1429">
        <v>8500</v>
      </c>
      <c r="F22" s="1304">
        <f t="shared" si="4"/>
        <v>119000</v>
      </c>
      <c r="G22" s="1049">
        <v>14</v>
      </c>
      <c r="H22" s="306">
        <v>119000</v>
      </c>
      <c r="I22" s="307">
        <v>1</v>
      </c>
      <c r="J22" s="1046"/>
      <c r="K22" s="306">
        <f>J22*E22</f>
        <v>0</v>
      </c>
      <c r="L22" s="307">
        <f t="shared" si="1"/>
        <v>0</v>
      </c>
      <c r="M22" s="1046">
        <f>+G22+J22</f>
        <v>14</v>
      </c>
      <c r="N22" s="306">
        <f t="shared" si="6"/>
        <v>119000</v>
      </c>
      <c r="O22" s="307">
        <f t="shared" si="2"/>
        <v>1</v>
      </c>
      <c r="P22" s="1047">
        <f>D22-M22</f>
        <v>0</v>
      </c>
      <c r="Q22" s="306">
        <f>F22-N22</f>
        <v>0</v>
      </c>
      <c r="R22" s="307">
        <f t="shared" si="3"/>
        <v>0</v>
      </c>
      <c r="S22" s="314"/>
      <c r="T22" s="314"/>
      <c r="U22" s="314"/>
      <c r="V22" s="314"/>
      <c r="W22" s="314"/>
      <c r="X22" s="314"/>
    </row>
    <row r="23" spans="1:24" s="313" customFormat="1" ht="16.5" customHeight="1">
      <c r="A23" s="1428"/>
      <c r="B23" s="1351" t="s">
        <v>2329</v>
      </c>
      <c r="C23" s="1352" t="s">
        <v>2147</v>
      </c>
      <c r="D23" s="1409">
        <v>200</v>
      </c>
      <c r="E23" s="1429">
        <v>44.31</v>
      </c>
      <c r="F23" s="1304">
        <f t="shared" si="4"/>
        <v>8862</v>
      </c>
      <c r="G23" s="1049">
        <v>200</v>
      </c>
      <c r="H23" s="306">
        <v>8862</v>
      </c>
      <c r="I23" s="307">
        <v>1</v>
      </c>
      <c r="J23" s="1046"/>
      <c r="K23" s="306">
        <f t="shared" si="5"/>
        <v>0</v>
      </c>
      <c r="L23" s="307">
        <f t="shared" si="1"/>
        <v>0</v>
      </c>
      <c r="M23" s="1046">
        <f>+G23+J23</f>
        <v>200</v>
      </c>
      <c r="N23" s="306">
        <f t="shared" si="6"/>
        <v>8862</v>
      </c>
      <c r="O23" s="307">
        <f t="shared" si="2"/>
        <v>1</v>
      </c>
      <c r="P23" s="1047">
        <f>D23-M23</f>
        <v>0</v>
      </c>
      <c r="Q23" s="306">
        <f>F23-N23</f>
        <v>0</v>
      </c>
      <c r="R23" s="307">
        <f t="shared" si="3"/>
        <v>0</v>
      </c>
      <c r="S23" s="314"/>
      <c r="T23" s="314"/>
      <c r="U23" s="314"/>
      <c r="V23" s="314"/>
      <c r="W23" s="314"/>
      <c r="X23" s="314"/>
    </row>
    <row r="24" spans="1:24" s="313" customFormat="1" ht="16.5" customHeight="1">
      <c r="A24" s="1428" t="s">
        <v>1194</v>
      </c>
      <c r="B24" s="1430" t="s">
        <v>1678</v>
      </c>
      <c r="C24" s="1352"/>
      <c r="D24" s="1409"/>
      <c r="E24" s="1429"/>
      <c r="F24" s="1304" t="str">
        <f t="shared" si="4"/>
        <v xml:space="preserve"> </v>
      </c>
      <c r="G24" s="1049"/>
      <c r="H24" s="306">
        <v>0</v>
      </c>
      <c r="I24" s="307"/>
      <c r="J24" s="1046"/>
      <c r="K24" s="306">
        <f t="shared" si="5"/>
        <v>0</v>
      </c>
      <c r="L24" s="307"/>
      <c r="M24" s="1046"/>
      <c r="N24" s="306">
        <f t="shared" ref="N24" si="7">ROUND(+M24*E24,2)</f>
        <v>0</v>
      </c>
      <c r="O24" s="307"/>
      <c r="P24" s="1047"/>
      <c r="Q24" s="306"/>
      <c r="R24" s="307"/>
      <c r="S24" s="314"/>
      <c r="T24" s="314"/>
      <c r="U24" s="314"/>
      <c r="V24" s="314"/>
      <c r="W24" s="314"/>
      <c r="X24" s="314"/>
    </row>
    <row r="25" spans="1:24" s="313" customFormat="1" ht="16.5" customHeight="1">
      <c r="A25" s="1428"/>
      <c r="B25" s="1351" t="s">
        <v>2330</v>
      </c>
      <c r="C25" s="1352" t="s">
        <v>53</v>
      </c>
      <c r="D25" s="1409">
        <v>14</v>
      </c>
      <c r="E25" s="1429">
        <v>350</v>
      </c>
      <c r="F25" s="1304">
        <f t="shared" si="4"/>
        <v>4900</v>
      </c>
      <c r="G25" s="1049">
        <v>14</v>
      </c>
      <c r="H25" s="306">
        <v>4900</v>
      </c>
      <c r="I25" s="307">
        <v>1</v>
      </c>
      <c r="J25" s="1046"/>
      <c r="K25" s="306">
        <f t="shared" ref="K25:K26" si="8">J25*E25</f>
        <v>0</v>
      </c>
      <c r="L25" s="307">
        <f t="shared" si="1"/>
        <v>0</v>
      </c>
      <c r="M25" s="1046">
        <f>+G25+J25</f>
        <v>14</v>
      </c>
      <c r="N25" s="306">
        <f t="shared" ref="N25:N26" si="9">E25*M25</f>
        <v>4900</v>
      </c>
      <c r="O25" s="307">
        <f t="shared" si="2"/>
        <v>1</v>
      </c>
      <c r="P25" s="1047">
        <f>D25-M25</f>
        <v>0</v>
      </c>
      <c r="Q25" s="306">
        <f>F25-N25</f>
        <v>0</v>
      </c>
      <c r="R25" s="307">
        <f t="shared" si="3"/>
        <v>0</v>
      </c>
      <c r="S25" s="314"/>
      <c r="T25" s="314"/>
      <c r="U25" s="314"/>
      <c r="V25" s="314"/>
      <c r="W25" s="314"/>
      <c r="X25" s="314"/>
    </row>
    <row r="26" spans="1:24" s="313" customFormat="1" ht="16.5" customHeight="1">
      <c r="A26" s="1428"/>
      <c r="B26" s="1351" t="s">
        <v>2331</v>
      </c>
      <c r="C26" s="1352" t="s">
        <v>53</v>
      </c>
      <c r="D26" s="1409">
        <v>14</v>
      </c>
      <c r="E26" s="1429">
        <v>800</v>
      </c>
      <c r="F26" s="1304">
        <f t="shared" si="4"/>
        <v>11200</v>
      </c>
      <c r="G26" s="1049">
        <v>14</v>
      </c>
      <c r="H26" s="306">
        <v>11200</v>
      </c>
      <c r="I26" s="307">
        <v>1</v>
      </c>
      <c r="J26" s="1046"/>
      <c r="K26" s="306">
        <f t="shared" si="8"/>
        <v>0</v>
      </c>
      <c r="L26" s="307">
        <f t="shared" si="1"/>
        <v>0</v>
      </c>
      <c r="M26" s="1046">
        <f>+G26+J26</f>
        <v>14</v>
      </c>
      <c r="N26" s="306">
        <f t="shared" si="9"/>
        <v>11200</v>
      </c>
      <c r="O26" s="307">
        <f t="shared" si="2"/>
        <v>1</v>
      </c>
      <c r="P26" s="1047">
        <f>D26-M26</f>
        <v>0</v>
      </c>
      <c r="Q26" s="306">
        <f>F26-N26</f>
        <v>0</v>
      </c>
      <c r="R26" s="307">
        <f t="shared" si="3"/>
        <v>0</v>
      </c>
      <c r="S26" s="314"/>
      <c r="T26" s="314"/>
      <c r="U26" s="314"/>
      <c r="V26" s="314"/>
      <c r="W26" s="314"/>
      <c r="X26" s="314"/>
    </row>
    <row r="27" spans="1:24" s="313" customFormat="1" ht="16.5" customHeight="1">
      <c r="A27" s="1428" t="s">
        <v>1197</v>
      </c>
      <c r="B27" s="1430" t="s">
        <v>1681</v>
      </c>
      <c r="C27" s="1431"/>
      <c r="D27" s="1409"/>
      <c r="E27" s="1429"/>
      <c r="F27" s="1304" t="str">
        <f t="shared" si="4"/>
        <v xml:space="preserve"> </v>
      </c>
      <c r="G27" s="1049">
        <v>0</v>
      </c>
      <c r="H27" s="306"/>
      <c r="I27" s="307"/>
      <c r="J27" s="1046"/>
      <c r="K27" s="306">
        <f t="shared" si="5"/>
        <v>0</v>
      </c>
      <c r="L27" s="307"/>
      <c r="M27" s="1046">
        <f>+G27+J27</f>
        <v>0</v>
      </c>
      <c r="N27" s="306"/>
      <c r="O27" s="307"/>
      <c r="P27" s="1047"/>
      <c r="Q27" s="306"/>
      <c r="R27" s="307"/>
      <c r="S27" s="314"/>
      <c r="T27" s="314"/>
      <c r="U27" s="314"/>
      <c r="V27" s="314"/>
      <c r="W27" s="314"/>
      <c r="X27" s="314"/>
    </row>
    <row r="28" spans="1:24" s="313" customFormat="1" ht="16.5" customHeight="1">
      <c r="A28" s="1428"/>
      <c r="B28" s="1351" t="s">
        <v>2332</v>
      </c>
      <c r="C28" s="1352" t="s">
        <v>2146</v>
      </c>
      <c r="D28" s="1409">
        <v>1</v>
      </c>
      <c r="E28" s="1429">
        <v>3500</v>
      </c>
      <c r="F28" s="1304">
        <f t="shared" si="4"/>
        <v>3500</v>
      </c>
      <c r="G28" s="1049">
        <v>1</v>
      </c>
      <c r="H28" s="306">
        <v>3500</v>
      </c>
      <c r="I28" s="307">
        <v>1</v>
      </c>
      <c r="J28" s="1046"/>
      <c r="K28" s="306">
        <f t="shared" si="5"/>
        <v>0</v>
      </c>
      <c r="L28" s="307">
        <f t="shared" si="1"/>
        <v>0</v>
      </c>
      <c r="M28" s="1046">
        <f>+G28+J28</f>
        <v>1</v>
      </c>
      <c r="N28" s="306">
        <f>E28*M28</f>
        <v>3500</v>
      </c>
      <c r="O28" s="307">
        <f t="shared" si="2"/>
        <v>1</v>
      </c>
      <c r="P28" s="1047">
        <f>D28-M28</f>
        <v>0</v>
      </c>
      <c r="Q28" s="306">
        <f>F28-N28</f>
        <v>0</v>
      </c>
      <c r="R28" s="307">
        <f t="shared" si="3"/>
        <v>0</v>
      </c>
      <c r="S28" s="314"/>
      <c r="T28" s="314"/>
      <c r="U28" s="314"/>
      <c r="V28" s="314"/>
      <c r="W28" s="314"/>
      <c r="X28" s="314"/>
    </row>
    <row r="29" spans="1:24" s="313" customFormat="1" ht="16.5" customHeight="1">
      <c r="A29" s="1428" t="s">
        <v>1199</v>
      </c>
      <c r="B29" s="1430" t="s">
        <v>1683</v>
      </c>
      <c r="C29" s="1431"/>
      <c r="D29" s="1409"/>
      <c r="E29" s="1429"/>
      <c r="F29" s="1304" t="str">
        <f t="shared" si="4"/>
        <v xml:space="preserve"> </v>
      </c>
      <c r="G29" s="1049"/>
      <c r="H29" s="306"/>
      <c r="I29" s="307"/>
      <c r="J29" s="1046"/>
      <c r="K29" s="306">
        <f t="shared" si="5"/>
        <v>0</v>
      </c>
      <c r="L29" s="307"/>
      <c r="M29" s="1046"/>
      <c r="N29" s="306"/>
      <c r="O29" s="307"/>
      <c r="P29" s="1047"/>
      <c r="Q29" s="306"/>
      <c r="R29" s="307"/>
      <c r="S29" s="314"/>
      <c r="T29" s="314"/>
      <c r="U29" s="314"/>
      <c r="V29" s="314"/>
      <c r="W29" s="314"/>
      <c r="X29" s="314"/>
    </row>
    <row r="30" spans="1:24" s="313" customFormat="1" ht="16.5" customHeight="1">
      <c r="A30" s="1428"/>
      <c r="B30" s="1351" t="s">
        <v>2333</v>
      </c>
      <c r="C30" s="1352" t="s">
        <v>53</v>
      </c>
      <c r="D30" s="1409">
        <v>8</v>
      </c>
      <c r="E30" s="1429">
        <v>12672.3</v>
      </c>
      <c r="F30" s="1304">
        <f t="shared" si="4"/>
        <v>101378.4</v>
      </c>
      <c r="G30" s="1049">
        <v>8</v>
      </c>
      <c r="H30" s="306">
        <v>101378.4</v>
      </c>
      <c r="I30" s="307">
        <v>1</v>
      </c>
      <c r="J30" s="1046"/>
      <c r="K30" s="306">
        <f>J30*E30</f>
        <v>0</v>
      </c>
      <c r="L30" s="307">
        <f t="shared" si="1"/>
        <v>0</v>
      </c>
      <c r="M30" s="1046">
        <f>+G30+J30</f>
        <v>8</v>
      </c>
      <c r="N30" s="306">
        <f>E30*M30</f>
        <v>101378.4</v>
      </c>
      <c r="O30" s="307">
        <f t="shared" si="2"/>
        <v>1</v>
      </c>
      <c r="P30" s="1047">
        <f>D30-M30</f>
        <v>0</v>
      </c>
      <c r="Q30" s="306">
        <f>F30-N30</f>
        <v>0</v>
      </c>
      <c r="R30" s="307">
        <f t="shared" si="3"/>
        <v>0</v>
      </c>
      <c r="S30" s="314"/>
      <c r="T30" s="314"/>
      <c r="U30" s="314"/>
      <c r="V30" s="314"/>
      <c r="W30" s="314"/>
      <c r="X30" s="314"/>
    </row>
    <row r="31" spans="1:24" s="313" customFormat="1" ht="16.5" customHeight="1">
      <c r="A31" s="1428" t="s">
        <v>1201</v>
      </c>
      <c r="B31" s="1430" t="s">
        <v>1685</v>
      </c>
      <c r="C31" s="1431"/>
      <c r="D31" s="1409"/>
      <c r="E31" s="1429"/>
      <c r="F31" s="1304" t="str">
        <f t="shared" si="4"/>
        <v xml:space="preserve"> </v>
      </c>
      <c r="G31" s="1049"/>
      <c r="H31" s="306"/>
      <c r="I31" s="307"/>
      <c r="J31" s="1046"/>
      <c r="K31" s="306">
        <f t="shared" si="5"/>
        <v>0</v>
      </c>
      <c r="L31" s="307"/>
      <c r="M31" s="1046"/>
      <c r="N31" s="306"/>
      <c r="O31" s="307"/>
      <c r="P31" s="1047"/>
      <c r="Q31" s="306"/>
      <c r="R31" s="307"/>
      <c r="S31" s="314"/>
      <c r="T31" s="314"/>
      <c r="U31" s="314"/>
      <c r="V31" s="314"/>
      <c r="W31" s="314"/>
      <c r="X31" s="314"/>
    </row>
    <row r="32" spans="1:24" s="313" customFormat="1" ht="16.5" customHeight="1">
      <c r="A32" s="1428"/>
      <c r="B32" s="1351" t="s">
        <v>2334</v>
      </c>
      <c r="C32" s="1352" t="s">
        <v>2147</v>
      </c>
      <c r="D32" s="1409">
        <v>6720</v>
      </c>
      <c r="E32" s="1429">
        <v>1.33</v>
      </c>
      <c r="F32" s="1304">
        <f t="shared" si="4"/>
        <v>8937.6</v>
      </c>
      <c r="G32" s="1049">
        <v>6720</v>
      </c>
      <c r="H32" s="306">
        <v>8937.6</v>
      </c>
      <c r="I32" s="307">
        <v>1</v>
      </c>
      <c r="J32" s="1046"/>
      <c r="K32" s="306">
        <f>J32*E32</f>
        <v>0</v>
      </c>
      <c r="L32" s="307">
        <f t="shared" si="1"/>
        <v>0</v>
      </c>
      <c r="M32" s="1046">
        <f>+G32+J32</f>
        <v>6720</v>
      </c>
      <c r="N32" s="306">
        <f>E32*M32</f>
        <v>8937.6</v>
      </c>
      <c r="O32" s="307">
        <f t="shared" si="2"/>
        <v>1</v>
      </c>
      <c r="P32" s="1047">
        <f>D32-M32</f>
        <v>0</v>
      </c>
      <c r="Q32" s="306">
        <f>F32-N32</f>
        <v>0</v>
      </c>
      <c r="R32" s="307">
        <f t="shared" si="3"/>
        <v>0</v>
      </c>
      <c r="S32" s="314"/>
      <c r="T32" s="314"/>
      <c r="U32" s="314"/>
      <c r="V32" s="314"/>
      <c r="W32" s="314"/>
      <c r="X32" s="314"/>
    </row>
    <row r="33" spans="1:24" s="313" customFormat="1" ht="16.5" customHeight="1">
      <c r="A33" s="1432">
        <v>1.2</v>
      </c>
      <c r="B33" s="1433" t="s">
        <v>1688</v>
      </c>
      <c r="C33" s="1434"/>
      <c r="D33" s="1409"/>
      <c r="E33" s="1435"/>
      <c r="F33" s="1304" t="str">
        <f t="shared" si="4"/>
        <v xml:space="preserve"> </v>
      </c>
      <c r="G33" s="1049"/>
      <c r="H33" s="306"/>
      <c r="I33" s="307"/>
      <c r="J33" s="1046"/>
      <c r="K33" s="306">
        <f t="shared" si="5"/>
        <v>0</v>
      </c>
      <c r="L33" s="307"/>
      <c r="M33" s="1046"/>
      <c r="N33" s="306"/>
      <c r="O33" s="307"/>
      <c r="P33" s="1047"/>
      <c r="Q33" s="306"/>
      <c r="R33" s="307"/>
      <c r="S33" s="314"/>
      <c r="T33" s="314"/>
      <c r="U33" s="314"/>
      <c r="V33" s="314"/>
      <c r="W33" s="314"/>
      <c r="X33" s="314"/>
    </row>
    <row r="34" spans="1:24" s="313" customFormat="1" ht="16.5" customHeight="1">
      <c r="A34" s="1428"/>
      <c r="B34" s="1351" t="s">
        <v>2335</v>
      </c>
      <c r="C34" s="1352" t="s">
        <v>268</v>
      </c>
      <c r="D34" s="1436">
        <v>1</v>
      </c>
      <c r="E34" s="1429">
        <v>2280</v>
      </c>
      <c r="F34" s="1304">
        <f t="shared" si="4"/>
        <v>2280</v>
      </c>
      <c r="G34" s="1049">
        <v>1</v>
      </c>
      <c r="H34" s="306">
        <v>2280</v>
      </c>
      <c r="I34" s="307">
        <v>1</v>
      </c>
      <c r="J34" s="1046"/>
      <c r="K34" s="306">
        <f t="shared" si="5"/>
        <v>0</v>
      </c>
      <c r="L34" s="307">
        <f t="shared" si="1"/>
        <v>0</v>
      </c>
      <c r="M34" s="1046">
        <f>+G34+J34</f>
        <v>1</v>
      </c>
      <c r="N34" s="306">
        <f t="shared" ref="N34:N36" si="10">E34*M34</f>
        <v>2280</v>
      </c>
      <c r="O34" s="307">
        <f t="shared" si="2"/>
        <v>1</v>
      </c>
      <c r="P34" s="1047">
        <f>D34-M34</f>
        <v>0</v>
      </c>
      <c r="Q34" s="306">
        <f>F34-N34</f>
        <v>0</v>
      </c>
      <c r="R34" s="307">
        <f t="shared" si="3"/>
        <v>0</v>
      </c>
      <c r="S34" s="314"/>
      <c r="T34" s="314"/>
      <c r="U34" s="314"/>
      <c r="V34" s="314"/>
      <c r="W34" s="314"/>
      <c r="X34" s="314"/>
    </row>
    <row r="35" spans="1:24" s="313" customFormat="1" ht="16.5" customHeight="1">
      <c r="A35" s="1428"/>
      <c r="B35" s="1351" t="s">
        <v>2336</v>
      </c>
      <c r="C35" s="1352" t="s">
        <v>53</v>
      </c>
      <c r="D35" s="1409">
        <v>14</v>
      </c>
      <c r="E35" s="1429">
        <v>3100</v>
      </c>
      <c r="F35" s="1304">
        <f t="shared" si="4"/>
        <v>43400</v>
      </c>
      <c r="G35" s="1049">
        <v>14</v>
      </c>
      <c r="H35" s="306">
        <v>43400</v>
      </c>
      <c r="I35" s="307">
        <v>1</v>
      </c>
      <c r="J35" s="1046"/>
      <c r="K35" s="306">
        <f>J35*E35</f>
        <v>0</v>
      </c>
      <c r="L35" s="307">
        <f t="shared" si="1"/>
        <v>0</v>
      </c>
      <c r="M35" s="1046">
        <f>+G35+J35</f>
        <v>14</v>
      </c>
      <c r="N35" s="306">
        <f t="shared" si="10"/>
        <v>43400</v>
      </c>
      <c r="O35" s="307">
        <f t="shared" si="2"/>
        <v>1</v>
      </c>
      <c r="P35" s="1047">
        <f>D35-M35</f>
        <v>0</v>
      </c>
      <c r="Q35" s="306">
        <f>F35-N35</f>
        <v>0</v>
      </c>
      <c r="R35" s="307">
        <f t="shared" si="3"/>
        <v>0</v>
      </c>
      <c r="S35" s="314"/>
      <c r="T35" s="314"/>
      <c r="U35" s="314"/>
      <c r="V35" s="314"/>
      <c r="W35" s="314"/>
      <c r="X35" s="314"/>
    </row>
    <row r="36" spans="1:24" s="313" customFormat="1" ht="16.5" customHeight="1">
      <c r="A36" s="1309"/>
      <c r="B36" s="1311" t="s">
        <v>2337</v>
      </c>
      <c r="C36" s="1312" t="s">
        <v>268</v>
      </c>
      <c r="D36" s="1303">
        <v>1</v>
      </c>
      <c r="E36" s="1313">
        <v>1005</v>
      </c>
      <c r="F36" s="1314">
        <f t="shared" si="4"/>
        <v>1005</v>
      </c>
      <c r="G36" s="1049">
        <v>1</v>
      </c>
      <c r="H36" s="306">
        <v>1005</v>
      </c>
      <c r="I36" s="307">
        <v>1</v>
      </c>
      <c r="J36" s="1046"/>
      <c r="K36" s="306">
        <f t="shared" si="5"/>
        <v>0</v>
      </c>
      <c r="L36" s="307">
        <f t="shared" si="1"/>
        <v>0</v>
      </c>
      <c r="M36" s="1046">
        <f>+G36+J36</f>
        <v>1</v>
      </c>
      <c r="N36" s="306">
        <f t="shared" si="10"/>
        <v>1005</v>
      </c>
      <c r="O36" s="307">
        <f t="shared" si="2"/>
        <v>1</v>
      </c>
      <c r="P36" s="1047">
        <f>D36-M36</f>
        <v>0</v>
      </c>
      <c r="Q36" s="306">
        <f>F36-N36</f>
        <v>0</v>
      </c>
      <c r="R36" s="307">
        <f t="shared" si="3"/>
        <v>0</v>
      </c>
      <c r="S36" s="314"/>
      <c r="T36" s="314"/>
      <c r="U36" s="314"/>
      <c r="V36" s="314"/>
      <c r="W36" s="314"/>
      <c r="X36" s="314"/>
    </row>
    <row r="37" spans="1:24" s="313" customFormat="1" ht="16.5" customHeight="1">
      <c r="A37" s="1324">
        <v>2</v>
      </c>
      <c r="B37" s="1325" t="s">
        <v>1695</v>
      </c>
      <c r="C37" s="1326"/>
      <c r="D37" s="1303"/>
      <c r="E37" s="1321"/>
      <c r="F37" s="1314" t="str">
        <f t="shared" si="4"/>
        <v xml:space="preserve"> </v>
      </c>
      <c r="G37" s="1046"/>
      <c r="H37" s="306">
        <v>0</v>
      </c>
      <c r="I37" s="307"/>
      <c r="J37" s="1046"/>
      <c r="K37" s="306">
        <f t="shared" si="5"/>
        <v>0</v>
      </c>
      <c r="L37" s="307"/>
      <c r="M37" s="1047"/>
      <c r="N37" s="306">
        <f t="shared" ref="N37:N40" si="11">ROUND(+M37*E37,2)</f>
        <v>0</v>
      </c>
      <c r="O37" s="307"/>
      <c r="P37" s="1047"/>
      <c r="Q37" s="306"/>
      <c r="R37" s="307"/>
      <c r="S37" s="314"/>
      <c r="T37" s="314"/>
      <c r="U37" s="314"/>
      <c r="V37" s="314"/>
      <c r="W37" s="314"/>
      <c r="X37" s="314"/>
    </row>
    <row r="38" spans="1:24" s="313" customFormat="1" ht="16.5" customHeight="1">
      <c r="A38" s="1306">
        <v>2.1</v>
      </c>
      <c r="B38" s="1307" t="s">
        <v>1696</v>
      </c>
      <c r="C38" s="1321"/>
      <c r="D38" s="1303"/>
      <c r="E38" s="1322"/>
      <c r="F38" s="1314" t="str">
        <f t="shared" si="4"/>
        <v xml:space="preserve"> </v>
      </c>
      <c r="G38" s="1046"/>
      <c r="H38" s="306">
        <v>0</v>
      </c>
      <c r="I38" s="307"/>
      <c r="J38" s="1046"/>
      <c r="K38" s="306">
        <f t="shared" si="5"/>
        <v>0</v>
      </c>
      <c r="L38" s="307"/>
      <c r="M38" s="1047"/>
      <c r="N38" s="306">
        <f t="shared" si="11"/>
        <v>0</v>
      </c>
      <c r="O38" s="307"/>
      <c r="P38" s="1047"/>
      <c r="Q38" s="306"/>
      <c r="R38" s="307"/>
      <c r="S38" s="314"/>
      <c r="T38" s="314"/>
      <c r="U38" s="314"/>
      <c r="V38" s="314"/>
      <c r="W38" s="314"/>
      <c r="X38" s="314"/>
    </row>
    <row r="39" spans="1:24" s="313" customFormat="1" ht="16.5" customHeight="1">
      <c r="A39" s="1309" t="s">
        <v>1210</v>
      </c>
      <c r="B39" s="1310" t="s">
        <v>1697</v>
      </c>
      <c r="C39" s="1320"/>
      <c r="D39" s="1303"/>
      <c r="E39" s="1313"/>
      <c r="F39" s="1314" t="str">
        <f t="shared" si="4"/>
        <v xml:space="preserve"> </v>
      </c>
      <c r="G39" s="1046"/>
      <c r="H39" s="306">
        <v>0</v>
      </c>
      <c r="I39" s="307"/>
      <c r="J39" s="1046"/>
      <c r="K39" s="306">
        <f t="shared" si="5"/>
        <v>0</v>
      </c>
      <c r="L39" s="307"/>
      <c r="M39" s="1047"/>
      <c r="N39" s="306">
        <f t="shared" si="11"/>
        <v>0</v>
      </c>
      <c r="O39" s="307"/>
      <c r="P39" s="1047"/>
      <c r="Q39" s="306"/>
      <c r="R39" s="307"/>
      <c r="S39" s="314"/>
      <c r="T39" s="314"/>
      <c r="U39" s="314"/>
      <c r="V39" s="314"/>
      <c r="W39" s="314"/>
      <c r="X39" s="314"/>
    </row>
    <row r="40" spans="1:24" s="313" customFormat="1" ht="16.5" customHeight="1">
      <c r="A40" s="1315"/>
      <c r="B40" s="1316" t="s">
        <v>2338</v>
      </c>
      <c r="C40" s="1317" t="s">
        <v>2148</v>
      </c>
      <c r="D40" s="1318">
        <v>62.98</v>
      </c>
      <c r="E40" s="1319">
        <v>73.680000000000007</v>
      </c>
      <c r="F40" s="1314">
        <f t="shared" si="4"/>
        <v>4640.37</v>
      </c>
      <c r="G40" s="1046">
        <v>5</v>
      </c>
      <c r="H40" s="306">
        <v>368.4</v>
      </c>
      <c r="I40" s="307">
        <v>7.9390221038408579E-2</v>
      </c>
      <c r="J40" s="1046"/>
      <c r="K40" s="306">
        <f t="shared" si="5"/>
        <v>0</v>
      </c>
      <c r="L40" s="307">
        <f t="shared" si="1"/>
        <v>0</v>
      </c>
      <c r="M40" s="1047">
        <f>+G40+J40</f>
        <v>5</v>
      </c>
      <c r="N40" s="306">
        <f t="shared" si="11"/>
        <v>368.4</v>
      </c>
      <c r="O40" s="307">
        <f t="shared" si="2"/>
        <v>7.9390221038408579E-2</v>
      </c>
      <c r="P40" s="1047">
        <f>D40-M40</f>
        <v>57.98</v>
      </c>
      <c r="Q40" s="306">
        <f>F40-N40</f>
        <v>4271.97</v>
      </c>
      <c r="R40" s="307">
        <f t="shared" si="3"/>
        <v>0.92060977896159146</v>
      </c>
      <c r="S40" s="314"/>
      <c r="T40" s="314"/>
      <c r="U40" s="314"/>
      <c r="V40" s="314"/>
      <c r="W40" s="314"/>
      <c r="X40" s="314"/>
    </row>
    <row r="41" spans="1:24" s="313" customFormat="1" ht="16.5" customHeight="1">
      <c r="A41" s="1315"/>
      <c r="B41" s="1316" t="s">
        <v>2339</v>
      </c>
      <c r="C41" s="1317" t="s">
        <v>1145</v>
      </c>
      <c r="D41" s="1318">
        <v>100</v>
      </c>
      <c r="E41" s="1319">
        <v>51.42</v>
      </c>
      <c r="F41" s="1314">
        <f t="shared" si="4"/>
        <v>5142</v>
      </c>
      <c r="G41" s="1046">
        <v>100</v>
      </c>
      <c r="H41" s="306">
        <v>5142</v>
      </c>
      <c r="I41" s="307">
        <v>1</v>
      </c>
      <c r="J41" s="1046"/>
      <c r="K41" s="306">
        <f t="shared" si="5"/>
        <v>0</v>
      </c>
      <c r="L41" s="307">
        <f t="shared" si="1"/>
        <v>0</v>
      </c>
      <c r="M41" s="1047">
        <f>+G41+J41</f>
        <v>100</v>
      </c>
      <c r="N41" s="306">
        <f>E41*M41</f>
        <v>5142</v>
      </c>
      <c r="O41" s="307">
        <f t="shared" si="2"/>
        <v>1</v>
      </c>
      <c r="P41" s="1047">
        <f>D41-M41</f>
        <v>0</v>
      </c>
      <c r="Q41" s="306">
        <f>F41-N41</f>
        <v>0</v>
      </c>
      <c r="R41" s="307">
        <f t="shared" si="3"/>
        <v>0</v>
      </c>
      <c r="S41" s="314"/>
      <c r="T41" s="314"/>
      <c r="U41" s="314"/>
      <c r="V41" s="314"/>
      <c r="W41" s="314"/>
      <c r="X41" s="314"/>
    </row>
    <row r="42" spans="1:24" s="313" customFormat="1" ht="16.5" customHeight="1">
      <c r="A42" s="1315" t="s">
        <v>1212</v>
      </c>
      <c r="B42" s="1327" t="s">
        <v>1699</v>
      </c>
      <c r="C42" s="1328"/>
      <c r="D42" s="1318"/>
      <c r="E42" s="1319"/>
      <c r="F42" s="1314" t="str">
        <f t="shared" si="4"/>
        <v xml:space="preserve"> </v>
      </c>
      <c r="G42" s="1046"/>
      <c r="H42" s="306"/>
      <c r="I42" s="307"/>
      <c r="J42" s="1046"/>
      <c r="K42" s="306">
        <f t="shared" si="5"/>
        <v>0</v>
      </c>
      <c r="L42" s="307"/>
      <c r="M42" s="1047"/>
      <c r="N42" s="306"/>
      <c r="O42" s="307"/>
      <c r="P42" s="1047"/>
      <c r="Q42" s="306"/>
      <c r="R42" s="307"/>
      <c r="S42" s="314"/>
      <c r="T42" s="314"/>
      <c r="U42" s="314"/>
      <c r="V42" s="314"/>
      <c r="W42" s="314"/>
      <c r="X42" s="314"/>
    </row>
    <row r="43" spans="1:24" s="313" customFormat="1" ht="16.5" customHeight="1">
      <c r="A43" s="1315"/>
      <c r="B43" s="1316" t="s">
        <v>2161</v>
      </c>
      <c r="C43" s="1317" t="s">
        <v>2148</v>
      </c>
      <c r="D43" s="1318">
        <v>125</v>
      </c>
      <c r="E43" s="1319">
        <v>29.47</v>
      </c>
      <c r="F43" s="1314">
        <f t="shared" si="4"/>
        <v>3683.75</v>
      </c>
      <c r="G43" s="1046">
        <v>125</v>
      </c>
      <c r="H43" s="306">
        <v>3683.75</v>
      </c>
      <c r="I43" s="307">
        <v>1</v>
      </c>
      <c r="J43" s="1046"/>
      <c r="K43" s="306">
        <f t="shared" si="5"/>
        <v>0</v>
      </c>
      <c r="L43" s="307">
        <f t="shared" si="1"/>
        <v>0</v>
      </c>
      <c r="M43" s="1047">
        <f>+G43+J43</f>
        <v>125</v>
      </c>
      <c r="N43" s="306">
        <f>ROUND(+M43*E43,2)</f>
        <v>3683.75</v>
      </c>
      <c r="O43" s="307">
        <f t="shared" si="2"/>
        <v>1</v>
      </c>
      <c r="P43" s="1047">
        <f>D43-M43</f>
        <v>0</v>
      </c>
      <c r="Q43" s="306">
        <f>F43-N43</f>
        <v>0</v>
      </c>
      <c r="R43" s="307">
        <f t="shared" si="3"/>
        <v>0</v>
      </c>
      <c r="S43" s="314"/>
      <c r="T43" s="314"/>
      <c r="U43" s="314"/>
      <c r="V43" s="314"/>
      <c r="W43" s="314"/>
      <c r="X43" s="314"/>
    </row>
    <row r="44" spans="1:24" s="313" customFormat="1" ht="16.5" customHeight="1">
      <c r="A44" s="1315" t="s">
        <v>2340</v>
      </c>
      <c r="B44" s="1327" t="s">
        <v>2341</v>
      </c>
      <c r="C44" s="1317"/>
      <c r="D44" s="1318"/>
      <c r="E44" s="1319"/>
      <c r="F44" s="1314" t="str">
        <f t="shared" si="4"/>
        <v xml:space="preserve"> </v>
      </c>
      <c r="G44" s="1046"/>
      <c r="H44" s="306"/>
      <c r="I44" s="307"/>
      <c r="J44" s="1046"/>
      <c r="K44" s="306">
        <f t="shared" si="5"/>
        <v>0</v>
      </c>
      <c r="L44" s="307"/>
      <c r="M44" s="1047"/>
      <c r="N44" s="306"/>
      <c r="O44" s="307"/>
      <c r="P44" s="1047"/>
      <c r="Q44" s="306"/>
      <c r="R44" s="307"/>
      <c r="S44" s="314"/>
      <c r="T44" s="314"/>
      <c r="U44" s="314"/>
      <c r="V44" s="314"/>
      <c r="W44" s="314"/>
      <c r="X44" s="314"/>
    </row>
    <row r="45" spans="1:24" s="313" customFormat="1" ht="16.5" customHeight="1">
      <c r="A45" s="1315"/>
      <c r="B45" s="1316" t="s">
        <v>2155</v>
      </c>
      <c r="C45" s="1317" t="s">
        <v>2147</v>
      </c>
      <c r="D45" s="1318">
        <v>968.54</v>
      </c>
      <c r="E45" s="1319">
        <v>16.190000000000001</v>
      </c>
      <c r="F45" s="1314">
        <f t="shared" si="4"/>
        <v>15680.66</v>
      </c>
      <c r="G45" s="1046">
        <v>887.54</v>
      </c>
      <c r="H45" s="306">
        <v>14369.2726</v>
      </c>
      <c r="I45" s="307">
        <v>0.91636911966715684</v>
      </c>
      <c r="J45" s="1046"/>
      <c r="K45" s="306">
        <f t="shared" si="5"/>
        <v>0</v>
      </c>
      <c r="L45" s="307">
        <f t="shared" si="1"/>
        <v>0</v>
      </c>
      <c r="M45" s="1047">
        <f>+G45+J45</f>
        <v>887.54</v>
      </c>
      <c r="N45" s="306">
        <f t="shared" ref="N45:N46" si="12">E45*M45</f>
        <v>14369.2726</v>
      </c>
      <c r="O45" s="307">
        <f t="shared" si="2"/>
        <v>0.91636911966715684</v>
      </c>
      <c r="P45" s="1047">
        <f>D45-M45</f>
        <v>81</v>
      </c>
      <c r="Q45" s="306">
        <f>F45-N45</f>
        <v>1311.3873999999996</v>
      </c>
      <c r="R45" s="307">
        <f t="shared" si="3"/>
        <v>8.3630880332843105E-2</v>
      </c>
      <c r="S45" s="314"/>
      <c r="T45" s="314"/>
      <c r="U45" s="314"/>
      <c r="V45" s="314"/>
      <c r="W45" s="314"/>
      <c r="X45" s="314"/>
    </row>
    <row r="46" spans="1:24" s="313" customFormat="1" ht="16.5" customHeight="1">
      <c r="A46" s="1315"/>
      <c r="B46" s="1316" t="s">
        <v>2156</v>
      </c>
      <c r="C46" s="1317" t="s">
        <v>2148</v>
      </c>
      <c r="D46" s="1318">
        <v>475.77</v>
      </c>
      <c r="E46" s="1319">
        <v>87.53</v>
      </c>
      <c r="F46" s="1314">
        <f t="shared" si="4"/>
        <v>41644.15</v>
      </c>
      <c r="G46" s="1046">
        <v>475.77</v>
      </c>
      <c r="H46" s="306">
        <v>41644.148099999999</v>
      </c>
      <c r="I46" s="307">
        <v>0.99999995437534439</v>
      </c>
      <c r="J46" s="1046"/>
      <c r="K46" s="306">
        <f t="shared" si="5"/>
        <v>0</v>
      </c>
      <c r="L46" s="307">
        <f t="shared" si="1"/>
        <v>0</v>
      </c>
      <c r="M46" s="1047">
        <f>+G46+J46</f>
        <v>475.77</v>
      </c>
      <c r="N46" s="306">
        <f t="shared" si="12"/>
        <v>41644.148099999999</v>
      </c>
      <c r="O46" s="307">
        <f t="shared" si="2"/>
        <v>0.99999995437534439</v>
      </c>
      <c r="P46" s="1047">
        <f>D46-M46</f>
        <v>0</v>
      </c>
      <c r="Q46" s="306">
        <f>F46-N46</f>
        <v>1.9000000029336661E-3</v>
      </c>
      <c r="R46" s="307">
        <f t="shared" si="3"/>
        <v>4.5624655634312765E-8</v>
      </c>
      <c r="S46" s="314"/>
      <c r="T46" s="314"/>
      <c r="U46" s="314"/>
      <c r="V46" s="314"/>
      <c r="W46" s="314"/>
      <c r="X46" s="314"/>
    </row>
    <row r="47" spans="1:24" s="313" customFormat="1" ht="16.5" customHeight="1">
      <c r="A47" s="1315"/>
      <c r="B47" s="1316" t="s">
        <v>2342</v>
      </c>
      <c r="C47" s="1317" t="s">
        <v>2148</v>
      </c>
      <c r="D47" s="1318">
        <v>20.260000000000002</v>
      </c>
      <c r="E47" s="1319">
        <v>84.53</v>
      </c>
      <c r="F47" s="1314">
        <f t="shared" si="4"/>
        <v>1712.58</v>
      </c>
      <c r="G47" s="1046">
        <v>0</v>
      </c>
      <c r="H47" s="306">
        <v>0</v>
      </c>
      <c r="I47" s="307">
        <v>0</v>
      </c>
      <c r="J47" s="1046"/>
      <c r="K47" s="306">
        <f t="shared" si="5"/>
        <v>0</v>
      </c>
      <c r="L47" s="307">
        <f t="shared" si="1"/>
        <v>0</v>
      </c>
      <c r="M47" s="1047">
        <f>+G47+J47</f>
        <v>0</v>
      </c>
      <c r="N47" s="306">
        <f>ROUND(+M47*E47,2)</f>
        <v>0</v>
      </c>
      <c r="O47" s="307">
        <f t="shared" si="2"/>
        <v>0</v>
      </c>
      <c r="P47" s="1047">
        <f>D47-M47</f>
        <v>20.260000000000002</v>
      </c>
      <c r="Q47" s="306">
        <f>F47-N47</f>
        <v>1712.58</v>
      </c>
      <c r="R47" s="307">
        <f t="shared" si="3"/>
        <v>1</v>
      </c>
      <c r="S47" s="314"/>
      <c r="T47" s="314"/>
      <c r="U47" s="314"/>
      <c r="V47" s="314"/>
      <c r="W47" s="314"/>
      <c r="X47" s="314"/>
    </row>
    <row r="48" spans="1:24" s="313" customFormat="1" ht="15.75">
      <c r="A48" s="1315" t="s">
        <v>2343</v>
      </c>
      <c r="B48" s="1327" t="s">
        <v>2344</v>
      </c>
      <c r="C48" s="1317"/>
      <c r="D48" s="1318"/>
      <c r="E48" s="1319"/>
      <c r="F48" s="1314" t="str">
        <f t="shared" si="4"/>
        <v xml:space="preserve"> </v>
      </c>
      <c r="G48" s="1046"/>
      <c r="H48" s="306"/>
      <c r="I48" s="307"/>
      <c r="J48" s="1046"/>
      <c r="K48" s="306">
        <f t="shared" si="5"/>
        <v>0</v>
      </c>
      <c r="L48" s="307"/>
      <c r="M48" s="1047"/>
      <c r="N48" s="306"/>
      <c r="O48" s="307"/>
      <c r="P48" s="1047"/>
      <c r="Q48" s="306"/>
      <c r="R48" s="307"/>
      <c r="S48" s="314"/>
      <c r="T48" s="314"/>
      <c r="U48" s="314"/>
      <c r="V48" s="314"/>
      <c r="W48" s="314"/>
      <c r="X48" s="314"/>
    </row>
    <row r="49" spans="1:24" s="313" customFormat="1" ht="33" customHeight="1">
      <c r="A49" s="1315"/>
      <c r="B49" s="1316" t="s">
        <v>2158</v>
      </c>
      <c r="C49" s="1317" t="s">
        <v>2148</v>
      </c>
      <c r="D49" s="1318">
        <f>1217.53+968</f>
        <v>2185.5299999999997</v>
      </c>
      <c r="E49" s="1319">
        <v>95.69</v>
      </c>
      <c r="F49" s="1314">
        <f t="shared" si="4"/>
        <v>209133.37</v>
      </c>
      <c r="G49" s="1046">
        <v>2185.5299999999997</v>
      </c>
      <c r="H49" s="306">
        <v>209133.36569999997</v>
      </c>
      <c r="I49" s="307">
        <v>0.99999997943895791</v>
      </c>
      <c r="J49" s="1046"/>
      <c r="K49" s="306">
        <f t="shared" si="5"/>
        <v>0</v>
      </c>
      <c r="L49" s="307">
        <f t="shared" si="1"/>
        <v>0</v>
      </c>
      <c r="M49" s="1047">
        <f>+G49+J49</f>
        <v>2185.5299999999997</v>
      </c>
      <c r="N49" s="306">
        <f>E49*M49</f>
        <v>209133.36569999997</v>
      </c>
      <c r="O49" s="307">
        <f t="shared" si="2"/>
        <v>0.99999997943895791</v>
      </c>
      <c r="P49" s="1047">
        <f>D49-M49</f>
        <v>0</v>
      </c>
      <c r="Q49" s="306">
        <f>F49-N49</f>
        <v>4.3000000296160579E-3</v>
      </c>
      <c r="R49" s="307">
        <f t="shared" si="3"/>
        <v>2.0561042121666464E-8</v>
      </c>
      <c r="S49" s="314"/>
      <c r="T49" s="314"/>
      <c r="U49" s="314"/>
      <c r="V49" s="314"/>
      <c r="W49" s="314"/>
      <c r="X49" s="314"/>
    </row>
    <row r="50" spans="1:24" s="313" customFormat="1" ht="33" customHeight="1">
      <c r="A50" s="1315"/>
      <c r="B50" s="1316" t="s">
        <v>2159</v>
      </c>
      <c r="C50" s="1317" t="s">
        <v>2148</v>
      </c>
      <c r="D50" s="1318">
        <v>940.92</v>
      </c>
      <c r="E50" s="1319">
        <v>99.88</v>
      </c>
      <c r="F50" s="1314">
        <f t="shared" si="4"/>
        <v>93979.09</v>
      </c>
      <c r="G50" s="1046">
        <v>861.01</v>
      </c>
      <c r="H50" s="306">
        <v>85997.678799999994</v>
      </c>
      <c r="I50" s="307">
        <v>0.91507247835662164</v>
      </c>
      <c r="J50" s="1046"/>
      <c r="K50" s="306">
        <f t="shared" si="5"/>
        <v>0</v>
      </c>
      <c r="L50" s="307">
        <f t="shared" si="1"/>
        <v>0</v>
      </c>
      <c r="M50" s="1047">
        <f>+G50+J50</f>
        <v>861.01</v>
      </c>
      <c r="N50" s="306">
        <f>E50*M50</f>
        <v>85997.678799999994</v>
      </c>
      <c r="O50" s="307">
        <f t="shared" si="2"/>
        <v>0.91507247835662164</v>
      </c>
      <c r="P50" s="1047">
        <f>D50-M50</f>
        <v>79.909999999999968</v>
      </c>
      <c r="Q50" s="306">
        <f>F50-N50</f>
        <v>7981.4112000000023</v>
      </c>
      <c r="R50" s="307">
        <f t="shared" si="3"/>
        <v>8.4927521643378356E-2</v>
      </c>
      <c r="S50" s="314"/>
      <c r="T50" s="314"/>
      <c r="U50" s="314"/>
      <c r="V50" s="314"/>
      <c r="W50" s="314"/>
      <c r="X50" s="314"/>
    </row>
    <row r="51" spans="1:24" s="313" customFormat="1" ht="16.5" customHeight="1">
      <c r="A51" s="1329" t="s">
        <v>2345</v>
      </c>
      <c r="B51" s="1330" t="s">
        <v>2346</v>
      </c>
      <c r="C51" s="1331"/>
      <c r="D51" s="1318"/>
      <c r="E51" s="1332"/>
      <c r="F51" s="1314" t="str">
        <f t="shared" si="4"/>
        <v xml:space="preserve"> </v>
      </c>
      <c r="G51" s="1046"/>
      <c r="H51" s="306"/>
      <c r="I51" s="307"/>
      <c r="J51" s="1046"/>
      <c r="K51" s="306">
        <f t="shared" si="5"/>
        <v>0</v>
      </c>
      <c r="L51" s="307"/>
      <c r="M51" s="1047"/>
      <c r="N51" s="306"/>
      <c r="O51" s="307"/>
      <c r="P51" s="1047"/>
      <c r="Q51" s="306"/>
      <c r="R51" s="307"/>
      <c r="S51" s="314"/>
      <c r="T51" s="314"/>
      <c r="U51" s="314"/>
      <c r="V51" s="314"/>
      <c r="W51" s="314"/>
      <c r="X51" s="314"/>
    </row>
    <row r="52" spans="1:24" s="313" customFormat="1" ht="16.5" customHeight="1">
      <c r="A52" s="1333" t="s">
        <v>2347</v>
      </c>
      <c r="B52" s="1327" t="s">
        <v>2348</v>
      </c>
      <c r="C52" s="1331"/>
      <c r="D52" s="1318"/>
      <c r="E52" s="1332"/>
      <c r="F52" s="1314" t="str">
        <f t="shared" si="4"/>
        <v xml:space="preserve"> </v>
      </c>
      <c r="G52" s="1046"/>
      <c r="H52" s="306"/>
      <c r="I52" s="307"/>
      <c r="J52" s="1046"/>
      <c r="K52" s="306">
        <f t="shared" ref="K52:K80" si="13">ROUND(+J52*E52,2)</f>
        <v>0</v>
      </c>
      <c r="L52" s="307"/>
      <c r="M52" s="1047"/>
      <c r="N52" s="306"/>
      <c r="O52" s="307"/>
      <c r="P52" s="1047"/>
      <c r="Q52" s="306"/>
      <c r="R52" s="307"/>
      <c r="S52" s="314"/>
      <c r="T52" s="314"/>
      <c r="U52" s="314"/>
      <c r="V52" s="314"/>
      <c r="W52" s="314"/>
      <c r="X52" s="314"/>
    </row>
    <row r="53" spans="1:24" s="313" customFormat="1" ht="16.5" customHeight="1">
      <c r="A53" s="1333"/>
      <c r="B53" s="1334" t="s">
        <v>2349</v>
      </c>
      <c r="C53" s="1335" t="s">
        <v>2148</v>
      </c>
      <c r="D53" s="1318">
        <v>70.55</v>
      </c>
      <c r="E53" s="1336">
        <v>231.06</v>
      </c>
      <c r="F53" s="1314">
        <f t="shared" si="4"/>
        <v>16301.28</v>
      </c>
      <c r="G53" s="1046">
        <v>70.55</v>
      </c>
      <c r="H53" s="306">
        <v>16301.282999999999</v>
      </c>
      <c r="I53" s="307">
        <v>1.000000184034628</v>
      </c>
      <c r="J53" s="1046"/>
      <c r="K53" s="306">
        <f t="shared" si="13"/>
        <v>0</v>
      </c>
      <c r="L53" s="307">
        <f t="shared" si="1"/>
        <v>0</v>
      </c>
      <c r="M53" s="1047">
        <f>+G53+J53</f>
        <v>70.55</v>
      </c>
      <c r="N53" s="306">
        <f t="shared" ref="N53:N54" si="14">E53*M53</f>
        <v>16301.282999999999</v>
      </c>
      <c r="O53" s="307">
        <f t="shared" si="2"/>
        <v>1.000000184034628</v>
      </c>
      <c r="P53" s="1047">
        <f>D53-M53</f>
        <v>0</v>
      </c>
      <c r="Q53" s="306">
        <f>F53-N53</f>
        <v>-2.999999998792191E-3</v>
      </c>
      <c r="R53" s="307">
        <f t="shared" si="3"/>
        <v>-1.8403462788150323E-7</v>
      </c>
      <c r="S53" s="314"/>
      <c r="T53" s="314"/>
      <c r="U53" s="314"/>
      <c r="V53" s="314"/>
      <c r="W53" s="314"/>
      <c r="X53" s="314"/>
    </row>
    <row r="54" spans="1:24" s="313" customFormat="1" ht="16.5" customHeight="1">
      <c r="A54" s="1333"/>
      <c r="B54" s="1334" t="s">
        <v>2165</v>
      </c>
      <c r="C54" s="1335" t="s">
        <v>2147</v>
      </c>
      <c r="D54" s="1318">
        <v>47.22</v>
      </c>
      <c r="E54" s="1336">
        <v>32.57</v>
      </c>
      <c r="F54" s="1314">
        <f t="shared" si="4"/>
        <v>1537.96</v>
      </c>
      <c r="G54" s="1046">
        <v>21.06</v>
      </c>
      <c r="H54" s="306">
        <v>685.92419999999993</v>
      </c>
      <c r="I54" s="307">
        <v>0.44599612473666411</v>
      </c>
      <c r="J54" s="1046"/>
      <c r="K54" s="306">
        <f t="shared" si="13"/>
        <v>0</v>
      </c>
      <c r="L54" s="307">
        <f t="shared" si="1"/>
        <v>0</v>
      </c>
      <c r="M54" s="1047">
        <f>+G54+J54</f>
        <v>21.06</v>
      </c>
      <c r="N54" s="306">
        <f t="shared" si="14"/>
        <v>685.92419999999993</v>
      </c>
      <c r="O54" s="307">
        <f t="shared" si="2"/>
        <v>0.44599612473666411</v>
      </c>
      <c r="P54" s="1047">
        <f>D54-M54</f>
        <v>26.16</v>
      </c>
      <c r="Q54" s="306">
        <f>F54-N54</f>
        <v>852.03580000000011</v>
      </c>
      <c r="R54" s="307">
        <f t="shared" si="3"/>
        <v>0.55400387526333594</v>
      </c>
      <c r="S54" s="314"/>
      <c r="T54" s="314"/>
      <c r="U54" s="314"/>
      <c r="V54" s="314"/>
      <c r="W54" s="314"/>
      <c r="X54" s="314"/>
    </row>
    <row r="55" spans="1:24" s="313" customFormat="1" ht="16.5" customHeight="1">
      <c r="A55" s="1333" t="s">
        <v>2350</v>
      </c>
      <c r="B55" s="1327" t="s">
        <v>2351</v>
      </c>
      <c r="C55" s="1335"/>
      <c r="D55" s="1318"/>
      <c r="E55" s="1336"/>
      <c r="F55" s="1314" t="str">
        <f t="shared" si="4"/>
        <v xml:space="preserve"> </v>
      </c>
      <c r="G55" s="1046"/>
      <c r="H55" s="306">
        <v>0</v>
      </c>
      <c r="I55" s="307"/>
      <c r="J55" s="1046"/>
      <c r="K55" s="306">
        <f t="shared" si="13"/>
        <v>0</v>
      </c>
      <c r="L55" s="307"/>
      <c r="M55" s="1047"/>
      <c r="N55" s="306">
        <f t="shared" ref="N55:N60" si="15">ROUND(+M55*E55,2)</f>
        <v>0</v>
      </c>
      <c r="O55" s="307"/>
      <c r="P55" s="1047"/>
      <c r="Q55" s="306"/>
      <c r="R55" s="307"/>
      <c r="S55" s="314"/>
      <c r="T55" s="314"/>
      <c r="U55" s="314"/>
      <c r="V55" s="314"/>
      <c r="W55" s="314"/>
      <c r="X55" s="314"/>
    </row>
    <row r="56" spans="1:24" s="313" customFormat="1" ht="16.5" customHeight="1">
      <c r="A56" s="1337"/>
      <c r="B56" s="1338" t="s">
        <v>2352</v>
      </c>
      <c r="C56" s="1339" t="s">
        <v>2148</v>
      </c>
      <c r="D56" s="1303">
        <v>55.39</v>
      </c>
      <c r="E56" s="1340">
        <v>337.34</v>
      </c>
      <c r="F56" s="1314">
        <f t="shared" si="4"/>
        <v>18685.259999999998</v>
      </c>
      <c r="G56" s="1046">
        <v>37.78</v>
      </c>
      <c r="H56" s="306">
        <v>12744.7052</v>
      </c>
      <c r="I56" s="307">
        <v>0.68207267118573689</v>
      </c>
      <c r="J56" s="1046"/>
      <c r="K56" s="306">
        <f t="shared" si="13"/>
        <v>0</v>
      </c>
      <c r="L56" s="307">
        <f t="shared" si="1"/>
        <v>0</v>
      </c>
      <c r="M56" s="1047">
        <f>+G56+J56</f>
        <v>37.78</v>
      </c>
      <c r="N56" s="306">
        <f>E56*M56</f>
        <v>12744.7052</v>
      </c>
      <c r="O56" s="307">
        <f t="shared" si="2"/>
        <v>0.68207267118573689</v>
      </c>
      <c r="P56" s="1047">
        <f>D56-M56</f>
        <v>17.61</v>
      </c>
      <c r="Q56" s="306">
        <f>F56-N56</f>
        <v>5940.5547999999981</v>
      </c>
      <c r="R56" s="307">
        <f t="shared" si="3"/>
        <v>0.31792732881426317</v>
      </c>
      <c r="S56" s="314"/>
      <c r="T56" s="314"/>
      <c r="U56" s="314"/>
      <c r="V56" s="314"/>
      <c r="W56" s="314"/>
      <c r="X56" s="314"/>
    </row>
    <row r="57" spans="1:24" s="313" customFormat="1" ht="16.5" customHeight="1">
      <c r="A57" s="1337" t="s">
        <v>2353</v>
      </c>
      <c r="B57" s="1310" t="s">
        <v>2354</v>
      </c>
      <c r="C57" s="1339"/>
      <c r="D57" s="1303"/>
      <c r="E57" s="1340"/>
      <c r="F57" s="1314" t="str">
        <f t="shared" si="4"/>
        <v xml:space="preserve"> </v>
      </c>
      <c r="G57" s="1046"/>
      <c r="H57" s="306">
        <v>0</v>
      </c>
      <c r="I57" s="307"/>
      <c r="J57" s="1046"/>
      <c r="K57" s="306">
        <f t="shared" si="13"/>
        <v>0</v>
      </c>
      <c r="L57" s="307"/>
      <c r="M57" s="1047"/>
      <c r="N57" s="306">
        <f t="shared" si="15"/>
        <v>0</v>
      </c>
      <c r="O57" s="307"/>
      <c r="P57" s="1047"/>
      <c r="Q57" s="306"/>
      <c r="R57" s="307"/>
      <c r="S57" s="314"/>
      <c r="T57" s="314"/>
      <c r="U57" s="314"/>
      <c r="V57" s="314"/>
      <c r="W57" s="314"/>
      <c r="X57" s="314"/>
    </row>
    <row r="58" spans="1:24" s="313" customFormat="1" ht="16.5" customHeight="1">
      <c r="A58" s="1337"/>
      <c r="B58" s="1338" t="s">
        <v>2355</v>
      </c>
      <c r="C58" s="1339" t="s">
        <v>2148</v>
      </c>
      <c r="D58" s="1303">
        <v>22.75</v>
      </c>
      <c r="E58" s="1340">
        <v>461.61</v>
      </c>
      <c r="F58" s="1314">
        <f t="shared" si="4"/>
        <v>10501.63</v>
      </c>
      <c r="G58" s="1046">
        <v>22.75</v>
      </c>
      <c r="H58" s="306">
        <v>10501.627500000001</v>
      </c>
      <c r="I58" s="307">
        <v>0.99999976194171769</v>
      </c>
      <c r="J58" s="1046"/>
      <c r="K58" s="306">
        <f t="shared" si="13"/>
        <v>0</v>
      </c>
      <c r="L58" s="307">
        <f t="shared" si="1"/>
        <v>0</v>
      </c>
      <c r="M58" s="1047">
        <f>+G58+J58</f>
        <v>22.75</v>
      </c>
      <c r="N58" s="306">
        <f t="shared" ref="N58:N59" si="16">E58*M58</f>
        <v>10501.627500000001</v>
      </c>
      <c r="O58" s="307">
        <f t="shared" si="2"/>
        <v>0.99999976194171769</v>
      </c>
      <c r="P58" s="1047">
        <f>D58-M58</f>
        <v>0</v>
      </c>
      <c r="Q58" s="306">
        <f>F58-N58</f>
        <v>2.4999999986903276E-3</v>
      </c>
      <c r="R58" s="307">
        <f t="shared" si="3"/>
        <v>2.380582822562143E-7</v>
      </c>
      <c r="S58" s="314"/>
      <c r="T58" s="314"/>
      <c r="U58" s="314"/>
      <c r="V58" s="314"/>
      <c r="W58" s="314"/>
      <c r="X58" s="314"/>
    </row>
    <row r="59" spans="1:24" s="313" customFormat="1" ht="16.5" customHeight="1">
      <c r="A59" s="1337"/>
      <c r="B59" s="1338" t="s">
        <v>2356</v>
      </c>
      <c r="C59" s="1339" t="s">
        <v>2147</v>
      </c>
      <c r="D59" s="1303">
        <v>115.19</v>
      </c>
      <c r="E59" s="1340">
        <v>47.3</v>
      </c>
      <c r="F59" s="1314">
        <f t="shared" si="4"/>
        <v>5448.49</v>
      </c>
      <c r="G59" s="1046">
        <v>115.19</v>
      </c>
      <c r="H59" s="306">
        <v>5448.4869999999992</v>
      </c>
      <c r="I59" s="307">
        <v>0.99999944938872964</v>
      </c>
      <c r="J59" s="1046"/>
      <c r="K59" s="306">
        <f t="shared" si="13"/>
        <v>0</v>
      </c>
      <c r="L59" s="307">
        <f t="shared" si="1"/>
        <v>0</v>
      </c>
      <c r="M59" s="1047">
        <f>+G59+J59</f>
        <v>115.19</v>
      </c>
      <c r="N59" s="306">
        <f t="shared" si="16"/>
        <v>5448.4869999999992</v>
      </c>
      <c r="O59" s="307">
        <f t="shared" si="2"/>
        <v>0.99999944938872964</v>
      </c>
      <c r="P59" s="1047">
        <f>D59-M59</f>
        <v>0</v>
      </c>
      <c r="Q59" s="306">
        <f>F59-N59</f>
        <v>3.0000000006111804E-3</v>
      </c>
      <c r="R59" s="307">
        <f t="shared" si="3"/>
        <v>5.5061127039072855E-7</v>
      </c>
      <c r="S59" s="314"/>
      <c r="T59" s="314"/>
      <c r="U59" s="314"/>
      <c r="V59" s="314"/>
      <c r="W59" s="314"/>
      <c r="X59" s="314"/>
    </row>
    <row r="60" spans="1:24" s="313" customFormat="1" ht="16.5" customHeight="1">
      <c r="A60" s="1337" t="s">
        <v>2357</v>
      </c>
      <c r="B60" s="1310" t="s">
        <v>2358</v>
      </c>
      <c r="C60" s="1339"/>
      <c r="D60" s="1303"/>
      <c r="E60" s="1340"/>
      <c r="F60" s="1314" t="str">
        <f t="shared" si="4"/>
        <v xml:space="preserve"> </v>
      </c>
      <c r="G60" s="1046"/>
      <c r="H60" s="306">
        <v>0</v>
      </c>
      <c r="I60" s="307"/>
      <c r="J60" s="1046"/>
      <c r="K60" s="306">
        <f t="shared" si="13"/>
        <v>0</v>
      </c>
      <c r="L60" s="307"/>
      <c r="M60" s="1047"/>
      <c r="N60" s="306">
        <f t="shared" si="15"/>
        <v>0</v>
      </c>
      <c r="O60" s="307"/>
      <c r="P60" s="1047"/>
      <c r="Q60" s="306"/>
      <c r="R60" s="307"/>
      <c r="S60" s="314"/>
      <c r="T60" s="314"/>
      <c r="U60" s="314"/>
      <c r="V60" s="314"/>
      <c r="W60" s="314"/>
      <c r="X60" s="314"/>
    </row>
    <row r="61" spans="1:24" s="313" customFormat="1" ht="16.5" customHeight="1">
      <c r="A61" s="1337"/>
      <c r="B61" s="1338" t="s">
        <v>2359</v>
      </c>
      <c r="C61" s="1339" t="s">
        <v>2148</v>
      </c>
      <c r="D61" s="1303">
        <v>4.12</v>
      </c>
      <c r="E61" s="1340">
        <v>507.28</v>
      </c>
      <c r="F61" s="1314">
        <f t="shared" si="4"/>
        <v>2089.9899999999998</v>
      </c>
      <c r="G61" s="1046">
        <v>4.12</v>
      </c>
      <c r="H61" s="306">
        <v>2089.9935999999998</v>
      </c>
      <c r="I61" s="307">
        <v>1.0000017224962798</v>
      </c>
      <c r="J61" s="1046"/>
      <c r="K61" s="306">
        <f t="shared" si="13"/>
        <v>0</v>
      </c>
      <c r="L61" s="307">
        <f t="shared" si="1"/>
        <v>0</v>
      </c>
      <c r="M61" s="1047">
        <f>+G61+J61</f>
        <v>4.12</v>
      </c>
      <c r="N61" s="306">
        <f t="shared" ref="N61:N63" si="17">E61*M61</f>
        <v>2089.9935999999998</v>
      </c>
      <c r="O61" s="307">
        <f t="shared" si="2"/>
        <v>1.0000017224962798</v>
      </c>
      <c r="P61" s="1047">
        <f>D61-M61</f>
        <v>0</v>
      </c>
      <c r="Q61" s="306">
        <f>F61-N61</f>
        <v>-3.6000000000058208E-3</v>
      </c>
      <c r="R61" s="307">
        <f t="shared" si="3"/>
        <v>-1.7224962798892918E-6</v>
      </c>
      <c r="S61" s="314"/>
      <c r="T61" s="314"/>
      <c r="U61" s="314"/>
      <c r="V61" s="314"/>
      <c r="W61" s="314"/>
      <c r="X61" s="314"/>
    </row>
    <row r="62" spans="1:24" s="313" customFormat="1" ht="16.5" customHeight="1">
      <c r="A62" s="1337"/>
      <c r="B62" s="1338" t="s">
        <v>2360</v>
      </c>
      <c r="C62" s="1339" t="s">
        <v>2148</v>
      </c>
      <c r="D62" s="1303">
        <v>17.68</v>
      </c>
      <c r="E62" s="1340">
        <v>316.20999999999998</v>
      </c>
      <c r="F62" s="1314">
        <f t="shared" si="4"/>
        <v>5590.59</v>
      </c>
      <c r="G62" s="1046">
        <v>17.68</v>
      </c>
      <c r="H62" s="306">
        <v>5590.5927999999994</v>
      </c>
      <c r="I62" s="307">
        <v>1.0000005008415926</v>
      </c>
      <c r="J62" s="1046"/>
      <c r="K62" s="306">
        <f t="shared" si="13"/>
        <v>0</v>
      </c>
      <c r="L62" s="307">
        <f t="shared" si="1"/>
        <v>0</v>
      </c>
      <c r="M62" s="1047">
        <f>+G62+J62</f>
        <v>17.68</v>
      </c>
      <c r="N62" s="306">
        <f t="shared" si="17"/>
        <v>5590.5927999999994</v>
      </c>
      <c r="O62" s="307">
        <f t="shared" si="2"/>
        <v>1.0000005008415926</v>
      </c>
      <c r="P62" s="1047">
        <f>D62-M62</f>
        <v>0</v>
      </c>
      <c r="Q62" s="306">
        <f>F62-N62</f>
        <v>-2.7999999992971425E-3</v>
      </c>
      <c r="R62" s="307">
        <f t="shared" si="3"/>
        <v>-5.0084159262209216E-7</v>
      </c>
      <c r="S62" s="314"/>
      <c r="T62" s="314"/>
      <c r="U62" s="314"/>
      <c r="V62" s="314"/>
      <c r="W62" s="314"/>
      <c r="X62" s="314"/>
    </row>
    <row r="63" spans="1:24" s="313" customFormat="1" ht="16.5" customHeight="1">
      <c r="A63" s="1337"/>
      <c r="B63" s="1338" t="s">
        <v>2361</v>
      </c>
      <c r="C63" s="1339" t="s">
        <v>2147</v>
      </c>
      <c r="D63" s="1303">
        <v>72.349999999999994</v>
      </c>
      <c r="E63" s="1340">
        <v>72.87</v>
      </c>
      <c r="F63" s="1314">
        <f t="shared" si="4"/>
        <v>5272.14</v>
      </c>
      <c r="G63" s="1046">
        <v>72.349999999999994</v>
      </c>
      <c r="H63" s="306">
        <v>5272.1445000000003</v>
      </c>
      <c r="I63" s="307">
        <v>1.0000008535433429</v>
      </c>
      <c r="J63" s="1046"/>
      <c r="K63" s="306">
        <f t="shared" si="13"/>
        <v>0</v>
      </c>
      <c r="L63" s="307">
        <f t="shared" si="1"/>
        <v>0</v>
      </c>
      <c r="M63" s="1047">
        <f>+G63+J63</f>
        <v>72.349999999999994</v>
      </c>
      <c r="N63" s="306">
        <f t="shared" si="17"/>
        <v>5272.1445000000003</v>
      </c>
      <c r="O63" s="307">
        <f t="shared" si="2"/>
        <v>1.0000008535433429</v>
      </c>
      <c r="P63" s="1047">
        <f>D63-M63</f>
        <v>0</v>
      </c>
      <c r="Q63" s="306">
        <f>F63-N63</f>
        <v>-4.500000000007276E-3</v>
      </c>
      <c r="R63" s="307">
        <f t="shared" si="3"/>
        <v>-8.5354334293233409E-7</v>
      </c>
      <c r="S63" s="314"/>
      <c r="T63" s="314"/>
      <c r="U63" s="314"/>
      <c r="V63" s="314"/>
      <c r="W63" s="314"/>
      <c r="X63" s="314"/>
    </row>
    <row r="64" spans="1:24" s="313" customFormat="1" ht="16.5" customHeight="1">
      <c r="A64" s="1337" t="s">
        <v>2362</v>
      </c>
      <c r="B64" s="1310" t="s">
        <v>2363</v>
      </c>
      <c r="C64" s="1339"/>
      <c r="D64" s="1303"/>
      <c r="E64" s="1340"/>
      <c r="F64" s="1314" t="str">
        <f t="shared" si="4"/>
        <v xml:space="preserve"> </v>
      </c>
      <c r="G64" s="1046"/>
      <c r="H64" s="306"/>
      <c r="I64" s="307"/>
      <c r="J64" s="1046"/>
      <c r="K64" s="306">
        <f t="shared" si="13"/>
        <v>0</v>
      </c>
      <c r="L64" s="307"/>
      <c r="M64" s="1047"/>
      <c r="N64" s="306"/>
      <c r="O64" s="307"/>
      <c r="P64" s="1047"/>
      <c r="Q64" s="306"/>
      <c r="R64" s="307"/>
      <c r="S64" s="314"/>
      <c r="T64" s="314"/>
      <c r="U64" s="314"/>
      <c r="V64" s="314"/>
      <c r="W64" s="314"/>
      <c r="X64" s="314"/>
    </row>
    <row r="65" spans="1:24" s="313" customFormat="1" ht="16.5" customHeight="1">
      <c r="A65" s="1337"/>
      <c r="B65" s="1338" t="s">
        <v>2364</v>
      </c>
      <c r="C65" s="1339" t="s">
        <v>2147</v>
      </c>
      <c r="D65" s="1303">
        <v>2.68</v>
      </c>
      <c r="E65" s="1340">
        <v>32.71</v>
      </c>
      <c r="F65" s="1314">
        <f t="shared" si="4"/>
        <v>87.66</v>
      </c>
      <c r="G65" s="1046">
        <v>0</v>
      </c>
      <c r="H65" s="306">
        <v>0</v>
      </c>
      <c r="I65" s="307">
        <v>0</v>
      </c>
      <c r="J65" s="1046"/>
      <c r="K65" s="306">
        <f t="shared" si="13"/>
        <v>0</v>
      </c>
      <c r="L65" s="307">
        <f t="shared" si="1"/>
        <v>0</v>
      </c>
      <c r="M65" s="1047">
        <f>+G65+J65</f>
        <v>0</v>
      </c>
      <c r="N65" s="306">
        <f>ROUND(+M65*E65,2)</f>
        <v>0</v>
      </c>
      <c r="O65" s="307">
        <f t="shared" si="2"/>
        <v>0</v>
      </c>
      <c r="P65" s="1047">
        <f>D65-M65</f>
        <v>2.68</v>
      </c>
      <c r="Q65" s="306">
        <f>F65-N65</f>
        <v>87.66</v>
      </c>
      <c r="R65" s="307">
        <f t="shared" si="3"/>
        <v>1</v>
      </c>
      <c r="S65" s="314"/>
      <c r="T65" s="314"/>
      <c r="U65" s="314"/>
      <c r="V65" s="314"/>
      <c r="W65" s="314"/>
      <c r="X65" s="314"/>
    </row>
    <row r="66" spans="1:24" s="313" customFormat="1" ht="16.5" customHeight="1">
      <c r="A66" s="1337"/>
      <c r="B66" s="1338" t="s">
        <v>2365</v>
      </c>
      <c r="C66" s="1339" t="s">
        <v>2147</v>
      </c>
      <c r="D66" s="1303">
        <v>8.1</v>
      </c>
      <c r="E66" s="1340">
        <v>122.12</v>
      </c>
      <c r="F66" s="1314">
        <f t="shared" si="4"/>
        <v>989.17</v>
      </c>
      <c r="G66" s="1046">
        <v>0</v>
      </c>
      <c r="H66" s="306">
        <v>0</v>
      </c>
      <c r="I66" s="307">
        <v>0</v>
      </c>
      <c r="J66" s="1046"/>
      <c r="K66" s="306">
        <f t="shared" si="13"/>
        <v>0</v>
      </c>
      <c r="L66" s="307">
        <f t="shared" si="1"/>
        <v>0</v>
      </c>
      <c r="M66" s="1047">
        <f>+G66+J66</f>
        <v>0</v>
      </c>
      <c r="N66" s="306">
        <f>ROUND(+M66*E66,2)</f>
        <v>0</v>
      </c>
      <c r="O66" s="307">
        <f t="shared" si="2"/>
        <v>0</v>
      </c>
      <c r="P66" s="1047">
        <f>D66-M66</f>
        <v>8.1</v>
      </c>
      <c r="Q66" s="306">
        <f>F66-N66</f>
        <v>989.17</v>
      </c>
      <c r="R66" s="307">
        <f t="shared" si="3"/>
        <v>1</v>
      </c>
      <c r="S66" s="314"/>
      <c r="T66" s="314"/>
      <c r="U66" s="314"/>
      <c r="V66" s="314"/>
      <c r="W66" s="314"/>
      <c r="X66" s="314"/>
    </row>
    <row r="67" spans="1:24" s="313" customFormat="1" ht="16.5" customHeight="1">
      <c r="A67" s="1306">
        <v>2.2000000000000002</v>
      </c>
      <c r="B67" s="1307" t="s">
        <v>1701</v>
      </c>
      <c r="C67" s="1321"/>
      <c r="D67" s="1303"/>
      <c r="E67" s="1322"/>
      <c r="F67" s="1314" t="str">
        <f t="shared" si="4"/>
        <v xml:space="preserve"> </v>
      </c>
      <c r="G67" s="1046"/>
      <c r="H67" s="306"/>
      <c r="I67" s="307"/>
      <c r="J67" s="1046"/>
      <c r="K67" s="306">
        <f t="shared" si="13"/>
        <v>0</v>
      </c>
      <c r="L67" s="307"/>
      <c r="M67" s="1047"/>
      <c r="N67" s="306"/>
      <c r="O67" s="307"/>
      <c r="P67" s="1047"/>
      <c r="Q67" s="306"/>
      <c r="R67" s="307"/>
      <c r="S67" s="314"/>
      <c r="T67" s="314"/>
      <c r="U67" s="314"/>
      <c r="V67" s="314"/>
      <c r="W67" s="314"/>
      <c r="X67" s="314"/>
    </row>
    <row r="68" spans="1:24" s="313" customFormat="1" ht="16.5" customHeight="1">
      <c r="A68" s="1309" t="s">
        <v>2366</v>
      </c>
      <c r="B68" s="1310" t="s">
        <v>2367</v>
      </c>
      <c r="C68" s="1312"/>
      <c r="D68" s="1303"/>
      <c r="E68" s="1313"/>
      <c r="F68" s="1314" t="str">
        <f t="shared" si="4"/>
        <v xml:space="preserve"> </v>
      </c>
      <c r="G68" s="1046"/>
      <c r="H68" s="306">
        <v>0</v>
      </c>
      <c r="I68" s="307"/>
      <c r="J68" s="1046"/>
      <c r="K68" s="306">
        <f t="shared" si="13"/>
        <v>0</v>
      </c>
      <c r="L68" s="307"/>
      <c r="M68" s="1047"/>
      <c r="N68" s="306">
        <f t="shared" ref="N68:N72" si="18">ROUND(+M68*E68,2)</f>
        <v>0</v>
      </c>
      <c r="O68" s="307"/>
      <c r="P68" s="1047"/>
      <c r="Q68" s="306"/>
      <c r="R68" s="307"/>
      <c r="S68" s="314"/>
      <c r="T68" s="314"/>
      <c r="U68" s="314"/>
      <c r="V68" s="314"/>
      <c r="W68" s="314"/>
      <c r="X68" s="314"/>
    </row>
    <row r="69" spans="1:24" s="313" customFormat="1" ht="16.5" customHeight="1">
      <c r="A69" s="1309"/>
      <c r="B69" s="1311" t="s">
        <v>2368</v>
      </c>
      <c r="C69" s="1312" t="s">
        <v>420</v>
      </c>
      <c r="D69" s="1303">
        <v>2629.13</v>
      </c>
      <c r="E69" s="1313">
        <v>4.97</v>
      </c>
      <c r="F69" s="1314">
        <f t="shared" si="4"/>
        <v>13066.78</v>
      </c>
      <c r="G69" s="1046">
        <v>2629.13</v>
      </c>
      <c r="H69" s="306">
        <v>13066.776099999999</v>
      </c>
      <c r="I69" s="307">
        <v>0.99999970153320084</v>
      </c>
      <c r="J69" s="1046"/>
      <c r="K69" s="306">
        <f t="shared" si="13"/>
        <v>0</v>
      </c>
      <c r="L69" s="307">
        <f t="shared" si="1"/>
        <v>0</v>
      </c>
      <c r="M69" s="1047">
        <f>+G69+J69</f>
        <v>2629.13</v>
      </c>
      <c r="N69" s="306">
        <f t="shared" ref="N69:N71" si="19">E69*M69</f>
        <v>13066.776099999999</v>
      </c>
      <c r="O69" s="307">
        <f t="shared" si="2"/>
        <v>0.99999970153320084</v>
      </c>
      <c r="P69" s="1047">
        <f>D69-M69</f>
        <v>0</v>
      </c>
      <c r="Q69" s="306">
        <f>F69-N69</f>
        <v>3.9000000015221303E-3</v>
      </c>
      <c r="R69" s="307">
        <f t="shared" si="3"/>
        <v>2.9846679912894608E-7</v>
      </c>
      <c r="S69" s="314"/>
      <c r="T69" s="314"/>
      <c r="U69" s="314"/>
      <c r="V69" s="314"/>
      <c r="W69" s="314"/>
      <c r="X69" s="314"/>
    </row>
    <row r="70" spans="1:24" s="313" customFormat="1" ht="16.5" customHeight="1">
      <c r="A70" s="1309"/>
      <c r="B70" s="1311" t="s">
        <v>2369</v>
      </c>
      <c r="C70" s="1312" t="s">
        <v>2147</v>
      </c>
      <c r="D70" s="1303">
        <v>163.36000000000001</v>
      </c>
      <c r="E70" s="1313">
        <v>57.92</v>
      </c>
      <c r="F70" s="1314">
        <f t="shared" si="4"/>
        <v>9461.81</v>
      </c>
      <c r="G70" s="1046">
        <v>163.36000000000001</v>
      </c>
      <c r="H70" s="306">
        <v>9461.8112000000019</v>
      </c>
      <c r="I70" s="307">
        <v>1.0000001268256287</v>
      </c>
      <c r="J70" s="1046"/>
      <c r="K70" s="306">
        <f t="shared" si="13"/>
        <v>0</v>
      </c>
      <c r="L70" s="307">
        <f t="shared" si="1"/>
        <v>0</v>
      </c>
      <c r="M70" s="1047">
        <f>+G70+J70</f>
        <v>163.36000000000001</v>
      </c>
      <c r="N70" s="306">
        <f t="shared" si="19"/>
        <v>9461.8112000000019</v>
      </c>
      <c r="O70" s="307">
        <f t="shared" si="2"/>
        <v>1.0000001268256287</v>
      </c>
      <c r="P70" s="1047">
        <f>D70-M70</f>
        <v>0</v>
      </c>
      <c r="Q70" s="306">
        <f>F70-N70</f>
        <v>-1.2000000024272595E-3</v>
      </c>
      <c r="R70" s="307">
        <f t="shared" si="3"/>
        <v>-1.2682562875678749E-7</v>
      </c>
      <c r="S70" s="314"/>
      <c r="T70" s="314"/>
      <c r="U70" s="314"/>
      <c r="V70" s="314"/>
      <c r="W70" s="314"/>
      <c r="X70" s="314"/>
    </row>
    <row r="71" spans="1:24" s="313" customFormat="1" ht="16.5" customHeight="1">
      <c r="A71" s="1309"/>
      <c r="B71" s="1311" t="s">
        <v>2370</v>
      </c>
      <c r="C71" s="1312" t="s">
        <v>2148</v>
      </c>
      <c r="D71" s="1303">
        <v>36.299999999999997</v>
      </c>
      <c r="E71" s="1313">
        <v>609.01</v>
      </c>
      <c r="F71" s="1314">
        <f t="shared" si="4"/>
        <v>22107.06</v>
      </c>
      <c r="G71" s="1046">
        <v>36.299999999999997</v>
      </c>
      <c r="H71" s="306">
        <v>22107.062999999998</v>
      </c>
      <c r="I71" s="307">
        <v>1.0000001357032549</v>
      </c>
      <c r="J71" s="1046"/>
      <c r="K71" s="306">
        <f t="shared" si="13"/>
        <v>0</v>
      </c>
      <c r="L71" s="307">
        <f t="shared" si="1"/>
        <v>0</v>
      </c>
      <c r="M71" s="1047">
        <f>+G71+J71</f>
        <v>36.299999999999997</v>
      </c>
      <c r="N71" s="306">
        <f t="shared" si="19"/>
        <v>22107.062999999998</v>
      </c>
      <c r="O71" s="307">
        <f t="shared" si="2"/>
        <v>1.0000001357032549</v>
      </c>
      <c r="P71" s="1047">
        <f>D71-M71</f>
        <v>0</v>
      </c>
      <c r="Q71" s="306">
        <f>F71-N71</f>
        <v>-2.9999999969732016E-3</v>
      </c>
      <c r="R71" s="307">
        <f t="shared" si="3"/>
        <v>-1.3570325484135844E-7</v>
      </c>
      <c r="S71" s="314"/>
      <c r="T71" s="314"/>
      <c r="U71" s="314"/>
      <c r="V71" s="314"/>
      <c r="W71" s="314"/>
      <c r="X71" s="314"/>
    </row>
    <row r="72" spans="1:24" s="313" customFormat="1" ht="16.5" customHeight="1">
      <c r="A72" s="1309" t="s">
        <v>2371</v>
      </c>
      <c r="B72" s="1310" t="s">
        <v>2372</v>
      </c>
      <c r="C72" s="1312"/>
      <c r="D72" s="1303"/>
      <c r="E72" s="1313"/>
      <c r="F72" s="1314" t="str">
        <f t="shared" si="4"/>
        <v xml:space="preserve"> </v>
      </c>
      <c r="G72" s="1046"/>
      <c r="H72" s="306">
        <v>0</v>
      </c>
      <c r="I72" s="307"/>
      <c r="J72" s="1046"/>
      <c r="K72" s="306">
        <f t="shared" si="13"/>
        <v>0</v>
      </c>
      <c r="L72" s="307"/>
      <c r="M72" s="1047"/>
      <c r="N72" s="306">
        <f t="shared" si="18"/>
        <v>0</v>
      </c>
      <c r="O72" s="307"/>
      <c r="P72" s="1047"/>
      <c r="Q72" s="306"/>
      <c r="R72" s="307"/>
      <c r="S72" s="314"/>
      <c r="T72" s="314"/>
      <c r="U72" s="314"/>
      <c r="V72" s="314"/>
      <c r="W72" s="314"/>
      <c r="X72" s="314"/>
    </row>
    <row r="73" spans="1:24" s="313" customFormat="1" ht="16.5" customHeight="1">
      <c r="A73" s="1309"/>
      <c r="B73" s="1311" t="s">
        <v>2373</v>
      </c>
      <c r="C73" s="1312" t="s">
        <v>420</v>
      </c>
      <c r="D73" s="1303">
        <v>291.18</v>
      </c>
      <c r="E73" s="1313">
        <v>4.97</v>
      </c>
      <c r="F73" s="1314">
        <f t="shared" si="4"/>
        <v>1447.16</v>
      </c>
      <c r="G73" s="1046">
        <v>291.18</v>
      </c>
      <c r="H73" s="306">
        <v>1447.1646000000001</v>
      </c>
      <c r="I73" s="307">
        <v>1.0000031786395422</v>
      </c>
      <c r="J73" s="1046"/>
      <c r="K73" s="306">
        <f t="shared" si="13"/>
        <v>0</v>
      </c>
      <c r="L73" s="307">
        <f t="shared" si="1"/>
        <v>0</v>
      </c>
      <c r="M73" s="1047">
        <f>+G73+J73</f>
        <v>291.18</v>
      </c>
      <c r="N73" s="306">
        <f t="shared" ref="N73:N75" si="20">E73*M73</f>
        <v>1447.1646000000001</v>
      </c>
      <c r="O73" s="307">
        <f t="shared" si="2"/>
        <v>1.0000031786395422</v>
      </c>
      <c r="P73" s="1047">
        <f>D73-M73</f>
        <v>0</v>
      </c>
      <c r="Q73" s="306">
        <f>F73-N73</f>
        <v>-4.5999999999821739E-3</v>
      </c>
      <c r="R73" s="307">
        <f t="shared" si="3"/>
        <v>-3.1786395422635878E-6</v>
      </c>
      <c r="S73" s="314"/>
      <c r="T73" s="314"/>
      <c r="U73" s="314"/>
      <c r="V73" s="314"/>
      <c r="W73" s="314"/>
      <c r="X73" s="314"/>
    </row>
    <row r="74" spans="1:24" s="313" customFormat="1" ht="16.5" customHeight="1">
      <c r="A74" s="1309"/>
      <c r="B74" s="1311" t="s">
        <v>2374</v>
      </c>
      <c r="C74" s="1312" t="s">
        <v>2147</v>
      </c>
      <c r="D74" s="1303">
        <v>57.15</v>
      </c>
      <c r="E74" s="1313">
        <v>62.67</v>
      </c>
      <c r="F74" s="1314">
        <f t="shared" si="4"/>
        <v>3581.59</v>
      </c>
      <c r="G74" s="1046">
        <v>57.15</v>
      </c>
      <c r="H74" s="306">
        <v>3581.5904999999998</v>
      </c>
      <c r="I74" s="307">
        <v>1.000000139602802</v>
      </c>
      <c r="J74" s="1046"/>
      <c r="K74" s="306">
        <f t="shared" si="13"/>
        <v>0</v>
      </c>
      <c r="L74" s="307">
        <f t="shared" si="1"/>
        <v>0</v>
      </c>
      <c r="M74" s="1047">
        <f>+G74+J74</f>
        <v>57.15</v>
      </c>
      <c r="N74" s="306">
        <f t="shared" si="20"/>
        <v>3581.5904999999998</v>
      </c>
      <c r="O74" s="307">
        <f t="shared" si="2"/>
        <v>1.000000139602802</v>
      </c>
      <c r="P74" s="1047">
        <f>D74-M74</f>
        <v>0</v>
      </c>
      <c r="Q74" s="306">
        <f>F74-N74</f>
        <v>-4.9999999964711606E-4</v>
      </c>
      <c r="R74" s="307">
        <f t="shared" si="3"/>
        <v>-1.3960280200891672E-7</v>
      </c>
      <c r="S74" s="314"/>
      <c r="T74" s="314"/>
      <c r="U74" s="314"/>
      <c r="V74" s="314"/>
      <c r="W74" s="314"/>
      <c r="X74" s="314"/>
    </row>
    <row r="75" spans="1:24" s="313" customFormat="1" ht="16.5" customHeight="1">
      <c r="A75" s="1309"/>
      <c r="B75" s="1311" t="s">
        <v>2375</v>
      </c>
      <c r="C75" s="1312" t="s">
        <v>2148</v>
      </c>
      <c r="D75" s="1303">
        <v>4.62</v>
      </c>
      <c r="E75" s="1313">
        <v>311.91000000000003</v>
      </c>
      <c r="F75" s="1314">
        <f t="shared" si="4"/>
        <v>1441.02</v>
      </c>
      <c r="G75" s="1046">
        <v>4.62</v>
      </c>
      <c r="H75" s="306">
        <v>1441.0242000000001</v>
      </c>
      <c r="I75" s="307">
        <v>1.000002914602157</v>
      </c>
      <c r="J75" s="1046"/>
      <c r="K75" s="306">
        <f t="shared" si="13"/>
        <v>0</v>
      </c>
      <c r="L75" s="307">
        <f t="shared" si="1"/>
        <v>0</v>
      </c>
      <c r="M75" s="1047">
        <f>+G75+J75</f>
        <v>4.62</v>
      </c>
      <c r="N75" s="306">
        <f t="shared" si="20"/>
        <v>1441.0242000000001</v>
      </c>
      <c r="O75" s="307">
        <f t="shared" si="2"/>
        <v>1.000002914602157</v>
      </c>
      <c r="P75" s="1047">
        <f>D75-M75</f>
        <v>0</v>
      </c>
      <c r="Q75" s="306">
        <f>F75-N75</f>
        <v>-4.2000000000825821E-3</v>
      </c>
      <c r="R75" s="307">
        <f t="shared" si="3"/>
        <v>-2.914602156862904E-6</v>
      </c>
      <c r="S75" s="314"/>
      <c r="T75" s="314"/>
      <c r="U75" s="314"/>
      <c r="V75" s="314"/>
      <c r="W75" s="314"/>
      <c r="X75" s="314"/>
    </row>
    <row r="76" spans="1:24" s="313" customFormat="1" ht="16.5" customHeight="1">
      <c r="A76" s="1309" t="s">
        <v>2376</v>
      </c>
      <c r="B76" s="1310" t="s">
        <v>2377</v>
      </c>
      <c r="C76" s="1312"/>
      <c r="D76" s="1303"/>
      <c r="E76" s="1313"/>
      <c r="F76" s="1314" t="str">
        <f t="shared" si="4"/>
        <v xml:space="preserve"> </v>
      </c>
      <c r="G76" s="1046"/>
      <c r="H76" s="306"/>
      <c r="I76" s="307"/>
      <c r="J76" s="1046"/>
      <c r="K76" s="306"/>
      <c r="L76" s="307"/>
      <c r="M76" s="1046"/>
      <c r="N76" s="306"/>
      <c r="O76" s="307"/>
      <c r="P76" s="1047"/>
      <c r="Q76" s="306"/>
      <c r="R76" s="307"/>
      <c r="S76" s="314"/>
      <c r="T76" s="314"/>
      <c r="U76" s="314"/>
      <c r="V76" s="314"/>
      <c r="W76" s="314"/>
      <c r="X76" s="314"/>
    </row>
    <row r="77" spans="1:24" s="313" customFormat="1" ht="16.5" customHeight="1">
      <c r="A77" s="1428"/>
      <c r="B77" s="1351" t="s">
        <v>2378</v>
      </c>
      <c r="C77" s="1352" t="s">
        <v>420</v>
      </c>
      <c r="D77" s="1409">
        <v>9705.6200000000008</v>
      </c>
      <c r="E77" s="1429">
        <v>4.72</v>
      </c>
      <c r="F77" s="1304">
        <f t="shared" si="4"/>
        <v>45810.53</v>
      </c>
      <c r="G77" s="1046">
        <v>6987.4893999999831</v>
      </c>
      <c r="H77" s="306">
        <v>32980.949967999921</v>
      </c>
      <c r="I77" s="307">
        <v>0.71994255399358886</v>
      </c>
      <c r="J77" s="1046"/>
      <c r="K77" s="306">
        <f>J77*E77</f>
        <v>0</v>
      </c>
      <c r="L77" s="307">
        <f t="shared" si="1"/>
        <v>0</v>
      </c>
      <c r="M77" s="1046">
        <f>+G77+J77</f>
        <v>6987.4893999999831</v>
      </c>
      <c r="N77" s="306">
        <f t="shared" ref="N77:N79" si="21">E77*M77</f>
        <v>32980.949967999921</v>
      </c>
      <c r="O77" s="307">
        <f t="shared" si="2"/>
        <v>0.71994255399358886</v>
      </c>
      <c r="P77" s="1047">
        <f>D77-M77</f>
        <v>2718.1306000000177</v>
      </c>
      <c r="Q77" s="306">
        <f>F77-N77</f>
        <v>12829.580032000078</v>
      </c>
      <c r="R77" s="307">
        <f t="shared" si="3"/>
        <v>0.28005744600641114</v>
      </c>
      <c r="S77" s="314"/>
      <c r="T77" s="314"/>
      <c r="U77" s="314"/>
      <c r="V77" s="314"/>
      <c r="W77" s="314"/>
      <c r="X77" s="314"/>
    </row>
    <row r="78" spans="1:24" s="313" customFormat="1" ht="16.5" customHeight="1">
      <c r="A78" s="1428"/>
      <c r="B78" s="1351" t="s">
        <v>2379</v>
      </c>
      <c r="C78" s="1352" t="s">
        <v>2147</v>
      </c>
      <c r="D78" s="1409">
        <v>1173.6600000000001</v>
      </c>
      <c r="E78" s="1429">
        <v>62.9</v>
      </c>
      <c r="F78" s="1304">
        <f t="shared" si="4"/>
        <v>73823.210000000006</v>
      </c>
      <c r="G78" s="1046">
        <v>1034.5501000000011</v>
      </c>
      <c r="H78" s="306">
        <v>65073.201290000063</v>
      </c>
      <c r="I78" s="307">
        <v>0.88147347277367183</v>
      </c>
      <c r="J78" s="1046"/>
      <c r="K78" s="306">
        <f>J78*E78</f>
        <v>0</v>
      </c>
      <c r="L78" s="307">
        <f t="shared" si="1"/>
        <v>0</v>
      </c>
      <c r="M78" s="1046">
        <f>+G78+J78</f>
        <v>1034.5501000000011</v>
      </c>
      <c r="N78" s="306">
        <f t="shared" si="21"/>
        <v>65073.201290000063</v>
      </c>
      <c r="O78" s="307">
        <f t="shared" si="2"/>
        <v>0.88147347277367183</v>
      </c>
      <c r="P78" s="1047">
        <f>D78-M78</f>
        <v>139.10989999999902</v>
      </c>
      <c r="Q78" s="306">
        <f>F78-N78</f>
        <v>8750.0087099999437</v>
      </c>
      <c r="R78" s="307">
        <f t="shared" si="3"/>
        <v>0.11852652722632818</v>
      </c>
      <c r="S78" s="314"/>
      <c r="T78" s="314"/>
      <c r="U78" s="314"/>
      <c r="V78" s="314"/>
      <c r="W78" s="314"/>
      <c r="X78" s="314"/>
    </row>
    <row r="79" spans="1:24" s="313" customFormat="1" ht="16.5" customHeight="1">
      <c r="A79" s="1428"/>
      <c r="B79" s="1351" t="s">
        <v>2380</v>
      </c>
      <c r="C79" s="1352" t="s">
        <v>2148</v>
      </c>
      <c r="D79" s="1409">
        <v>73.150000000000006</v>
      </c>
      <c r="E79" s="1429">
        <v>486.9</v>
      </c>
      <c r="F79" s="1304">
        <f t="shared" si="4"/>
        <v>35616.74</v>
      </c>
      <c r="G79" s="1046">
        <v>73.147840000000159</v>
      </c>
      <c r="H79" s="306">
        <v>35615.683296000076</v>
      </c>
      <c r="I79" s="307">
        <v>0.99997033125435053</v>
      </c>
      <c r="J79" s="1046"/>
      <c r="K79" s="306">
        <f>J79*E79</f>
        <v>0</v>
      </c>
      <c r="L79" s="307">
        <f t="shared" ref="L79:L142" si="22">+K79/$F79</f>
        <v>0</v>
      </c>
      <c r="M79" s="1046">
        <f>+G79+J79</f>
        <v>73.147840000000159</v>
      </c>
      <c r="N79" s="306">
        <f t="shared" si="21"/>
        <v>35615.683296000076</v>
      </c>
      <c r="O79" s="307">
        <f t="shared" ref="O79:O142" si="23">+N79/$F79</f>
        <v>0.99997033125435053</v>
      </c>
      <c r="P79" s="1047">
        <f>D79-M79</f>
        <v>2.1599999998471731E-3</v>
      </c>
      <c r="Q79" s="306">
        <f>F79-N79</f>
        <v>1.0567039999223198</v>
      </c>
      <c r="R79" s="307">
        <f t="shared" ref="R79:R142" si="24">+Q79/$F79</f>
        <v>2.9668745649442366E-5</v>
      </c>
      <c r="S79" s="314"/>
      <c r="T79" s="314"/>
      <c r="U79" s="314"/>
      <c r="V79" s="314"/>
      <c r="W79" s="314"/>
      <c r="X79" s="314"/>
    </row>
    <row r="80" spans="1:24" s="313" customFormat="1" ht="16.5" customHeight="1">
      <c r="A80" s="1428" t="s">
        <v>2381</v>
      </c>
      <c r="B80" s="1430" t="s">
        <v>2382</v>
      </c>
      <c r="C80" s="1352"/>
      <c r="D80" s="1409"/>
      <c r="E80" s="1429"/>
      <c r="F80" s="1304" t="str">
        <f t="shared" ref="F80:F143" si="25">IF(ISBLANK(C80)," ",ROUND(E80*D80,2))</f>
        <v xml:space="preserve"> </v>
      </c>
      <c r="G80" s="1046"/>
      <c r="H80" s="306"/>
      <c r="I80" s="307"/>
      <c r="J80" s="1046"/>
      <c r="K80" s="306">
        <f t="shared" si="13"/>
        <v>0</v>
      </c>
      <c r="L80" s="307"/>
      <c r="M80" s="1046"/>
      <c r="N80" s="306"/>
      <c r="O80" s="307"/>
      <c r="P80" s="1047"/>
      <c r="Q80" s="306"/>
      <c r="R80" s="307"/>
      <c r="S80" s="314"/>
      <c r="T80" s="314"/>
      <c r="U80" s="314"/>
      <c r="V80" s="314"/>
      <c r="W80" s="314"/>
      <c r="X80" s="314"/>
    </row>
    <row r="81" spans="1:24" s="313" customFormat="1" ht="16.5" customHeight="1">
      <c r="A81" s="1428"/>
      <c r="B81" s="1351" t="s">
        <v>2383</v>
      </c>
      <c r="C81" s="1352" t="s">
        <v>420</v>
      </c>
      <c r="D81" s="1409">
        <v>3550</v>
      </c>
      <c r="E81" s="1429">
        <v>4.72</v>
      </c>
      <c r="F81" s="1304">
        <f t="shared" si="25"/>
        <v>16756</v>
      </c>
      <c r="G81" s="1046">
        <v>3438.1688999999992</v>
      </c>
      <c r="H81" s="306">
        <v>16228.157207999995</v>
      </c>
      <c r="I81" s="307">
        <v>0.96849828169014052</v>
      </c>
      <c r="J81" s="1046"/>
      <c r="K81" s="306">
        <f t="shared" ref="K81:K83" si="26">J81*E81</f>
        <v>0</v>
      </c>
      <c r="L81" s="307">
        <f t="shared" si="22"/>
        <v>0</v>
      </c>
      <c r="M81" s="1046">
        <f>+G81+J81</f>
        <v>3438.1688999999992</v>
      </c>
      <c r="N81" s="306">
        <f t="shared" ref="N81:N84" si="27">E81*M81</f>
        <v>16228.157207999995</v>
      </c>
      <c r="O81" s="307">
        <f t="shared" si="23"/>
        <v>0.96849828169014052</v>
      </c>
      <c r="P81" s="1047">
        <f>D81-M81</f>
        <v>111.83110000000079</v>
      </c>
      <c r="Q81" s="306">
        <f>F81-N81</f>
        <v>527.84279200000492</v>
      </c>
      <c r="R81" s="307">
        <f t="shared" si="24"/>
        <v>3.1501718309859449E-2</v>
      </c>
      <c r="S81" s="314"/>
      <c r="T81" s="314"/>
      <c r="U81" s="314"/>
      <c r="V81" s="314"/>
      <c r="W81" s="314"/>
      <c r="X81" s="314"/>
    </row>
    <row r="82" spans="1:24" s="313" customFormat="1" ht="16.5" customHeight="1">
      <c r="A82" s="1428"/>
      <c r="B82" s="1351" t="s">
        <v>2384</v>
      </c>
      <c r="C82" s="1352" t="s">
        <v>2147</v>
      </c>
      <c r="D82" s="1409">
        <v>470</v>
      </c>
      <c r="E82" s="1429">
        <v>66.37</v>
      </c>
      <c r="F82" s="1304">
        <f t="shared" si="25"/>
        <v>31193.9</v>
      </c>
      <c r="G82" s="1046">
        <v>469.99700000000058</v>
      </c>
      <c r="H82" s="306">
        <v>31193.70089000004</v>
      </c>
      <c r="I82" s="307">
        <v>0.99999361702127787</v>
      </c>
      <c r="J82" s="1046"/>
      <c r="K82" s="306">
        <f t="shared" si="26"/>
        <v>0</v>
      </c>
      <c r="L82" s="307">
        <f t="shared" si="22"/>
        <v>0</v>
      </c>
      <c r="M82" s="1046">
        <f>+G82+J82</f>
        <v>469.99700000000058</v>
      </c>
      <c r="N82" s="306">
        <f t="shared" si="27"/>
        <v>31193.70089000004</v>
      </c>
      <c r="O82" s="307">
        <f t="shared" si="23"/>
        <v>0.99999361702127787</v>
      </c>
      <c r="P82" s="1047">
        <f>D82-M82</f>
        <v>2.9999999994174686E-3</v>
      </c>
      <c r="Q82" s="306">
        <f>F82-N82</f>
        <v>0.19910999996136525</v>
      </c>
      <c r="R82" s="307">
        <f t="shared" si="24"/>
        <v>6.3829787221657197E-6</v>
      </c>
      <c r="S82" s="314"/>
      <c r="T82" s="314"/>
      <c r="U82" s="314"/>
      <c r="V82" s="314"/>
      <c r="W82" s="314"/>
      <c r="X82" s="314"/>
    </row>
    <row r="83" spans="1:24" s="313" customFormat="1" ht="16.5" customHeight="1">
      <c r="A83" s="1428"/>
      <c r="B83" s="1351" t="s">
        <v>2385</v>
      </c>
      <c r="C83" s="1352" t="s">
        <v>2148</v>
      </c>
      <c r="D83" s="1409">
        <v>59.892670000000003</v>
      </c>
      <c r="E83" s="1429">
        <v>472.51</v>
      </c>
      <c r="F83" s="1304">
        <f t="shared" si="25"/>
        <v>28299.89</v>
      </c>
      <c r="G83" s="1046">
        <v>44.392025000000054</v>
      </c>
      <c r="H83" s="306">
        <v>20975.675732750024</v>
      </c>
      <c r="I83" s="307">
        <v>0.74119283618240295</v>
      </c>
      <c r="J83" s="1046"/>
      <c r="K83" s="306">
        <f t="shared" si="26"/>
        <v>0</v>
      </c>
      <c r="L83" s="307">
        <f t="shared" si="22"/>
        <v>0</v>
      </c>
      <c r="M83" s="1046">
        <f>+G83+J83</f>
        <v>44.392025000000054</v>
      </c>
      <c r="N83" s="306">
        <f t="shared" si="27"/>
        <v>20975.675732750024</v>
      </c>
      <c r="O83" s="307">
        <f t="shared" si="23"/>
        <v>0.74119283618240295</v>
      </c>
      <c r="P83" s="1047">
        <f>D83-M83</f>
        <v>15.500644999999949</v>
      </c>
      <c r="Q83" s="306">
        <f>F83-N83</f>
        <v>7324.2142672499758</v>
      </c>
      <c r="R83" s="307">
        <f t="shared" si="24"/>
        <v>0.25880716381759705</v>
      </c>
      <c r="S83" s="314"/>
      <c r="T83" s="314"/>
      <c r="U83" s="314"/>
      <c r="V83" s="314"/>
      <c r="W83" s="314"/>
      <c r="X83" s="314"/>
    </row>
    <row r="84" spans="1:24" s="313" customFormat="1" ht="16.5" customHeight="1">
      <c r="A84" s="1428"/>
      <c r="B84" s="1351" t="s">
        <v>2386</v>
      </c>
      <c r="C84" s="1352" t="s">
        <v>2387</v>
      </c>
      <c r="D84" s="1409">
        <v>3700</v>
      </c>
      <c r="E84" s="1429">
        <v>11.05</v>
      </c>
      <c r="F84" s="1304">
        <f t="shared" si="25"/>
        <v>40885</v>
      </c>
      <c r="G84" s="1046">
        <v>3700</v>
      </c>
      <c r="H84" s="306">
        <v>40885</v>
      </c>
      <c r="I84" s="307">
        <v>1</v>
      </c>
      <c r="J84" s="1046"/>
      <c r="K84" s="306">
        <f t="shared" ref="K84:K115" si="28">ROUND(+J84*E84,2)</f>
        <v>0</v>
      </c>
      <c r="L84" s="307">
        <f t="shared" si="22"/>
        <v>0</v>
      </c>
      <c r="M84" s="1046">
        <f>+G84+J84</f>
        <v>3700</v>
      </c>
      <c r="N84" s="306">
        <f t="shared" si="27"/>
        <v>40885</v>
      </c>
      <c r="O84" s="307">
        <f t="shared" si="23"/>
        <v>1</v>
      </c>
      <c r="P84" s="1047">
        <f>D84-M84</f>
        <v>0</v>
      </c>
      <c r="Q84" s="306">
        <f>F84-N84</f>
        <v>0</v>
      </c>
      <c r="R84" s="307">
        <f t="shared" si="24"/>
        <v>0</v>
      </c>
      <c r="S84" s="314"/>
      <c r="T84" s="314"/>
      <c r="U84" s="314"/>
      <c r="V84" s="314"/>
      <c r="W84" s="314"/>
      <c r="X84" s="314"/>
    </row>
    <row r="85" spans="1:24" s="313" customFormat="1" ht="16.5" customHeight="1">
      <c r="A85" s="1432">
        <v>2.5</v>
      </c>
      <c r="B85" s="1433" t="s">
        <v>2388</v>
      </c>
      <c r="C85" s="1352"/>
      <c r="D85" s="1409"/>
      <c r="E85" s="1429"/>
      <c r="F85" s="1304" t="str">
        <f t="shared" si="25"/>
        <v xml:space="preserve"> </v>
      </c>
      <c r="G85" s="1046"/>
      <c r="H85" s="306"/>
      <c r="I85" s="307"/>
      <c r="J85" s="1046"/>
      <c r="K85" s="306"/>
      <c r="L85" s="307"/>
      <c r="M85" s="1046"/>
      <c r="N85" s="306"/>
      <c r="O85" s="307"/>
      <c r="P85" s="1047"/>
      <c r="Q85" s="306"/>
      <c r="R85" s="307"/>
      <c r="S85" s="314"/>
      <c r="T85" s="314"/>
      <c r="U85" s="314"/>
      <c r="V85" s="314"/>
      <c r="W85" s="314"/>
      <c r="X85" s="314"/>
    </row>
    <row r="86" spans="1:24" s="313" customFormat="1" ht="16.5" customHeight="1">
      <c r="A86" s="1428"/>
      <c r="B86" s="1351" t="s">
        <v>2389</v>
      </c>
      <c r="C86" s="1352" t="s">
        <v>2147</v>
      </c>
      <c r="D86" s="1409">
        <v>893.5</v>
      </c>
      <c r="E86" s="1429">
        <v>6.84</v>
      </c>
      <c r="F86" s="1304">
        <f t="shared" si="25"/>
        <v>6111.54</v>
      </c>
      <c r="G86" s="1046">
        <v>269.91000000000003</v>
      </c>
      <c r="H86" s="306">
        <v>1846.1844000000001</v>
      </c>
      <c r="I86" s="307">
        <v>0.30208170117515393</v>
      </c>
      <c r="J86" s="1046"/>
      <c r="K86" s="306">
        <f t="shared" si="28"/>
        <v>0</v>
      </c>
      <c r="L86" s="307">
        <f t="shared" si="22"/>
        <v>0</v>
      </c>
      <c r="M86" s="1046">
        <f>+G86+J86</f>
        <v>269.91000000000003</v>
      </c>
      <c r="N86" s="306">
        <f t="shared" ref="N86:N87" si="29">E86*M86</f>
        <v>1846.1844000000001</v>
      </c>
      <c r="O86" s="307">
        <f t="shared" si="23"/>
        <v>0.30208170117515393</v>
      </c>
      <c r="P86" s="1047">
        <f>D86-M86</f>
        <v>623.58999999999992</v>
      </c>
      <c r="Q86" s="306">
        <f>F86-N86</f>
        <v>4265.3555999999999</v>
      </c>
      <c r="R86" s="307">
        <f t="shared" si="24"/>
        <v>0.69791829882484613</v>
      </c>
      <c r="S86" s="314"/>
      <c r="T86" s="314"/>
      <c r="U86" s="314"/>
      <c r="V86" s="314"/>
      <c r="W86" s="314"/>
      <c r="X86" s="314"/>
    </row>
    <row r="87" spans="1:24" s="313" customFormat="1" ht="16.5" customHeight="1">
      <c r="A87" s="1437"/>
      <c r="B87" s="1438" t="s">
        <v>2390</v>
      </c>
      <c r="C87" s="1352" t="s">
        <v>53</v>
      </c>
      <c r="D87" s="1409">
        <v>4</v>
      </c>
      <c r="E87" s="1429">
        <v>13119.6</v>
      </c>
      <c r="F87" s="1304">
        <f t="shared" si="25"/>
        <v>52478.400000000001</v>
      </c>
      <c r="G87" s="1046">
        <v>4</v>
      </c>
      <c r="H87" s="306">
        <v>52478.400000000001</v>
      </c>
      <c r="I87" s="307">
        <v>1</v>
      </c>
      <c r="J87" s="1046"/>
      <c r="K87" s="306">
        <f>J87*E87</f>
        <v>0</v>
      </c>
      <c r="L87" s="307">
        <f t="shared" si="22"/>
        <v>0</v>
      </c>
      <c r="M87" s="1046">
        <f>+G87+J87</f>
        <v>4</v>
      </c>
      <c r="N87" s="306">
        <f t="shared" si="29"/>
        <v>52478.400000000001</v>
      </c>
      <c r="O87" s="307">
        <f t="shared" si="23"/>
        <v>1</v>
      </c>
      <c r="P87" s="1047">
        <f>D87-M87</f>
        <v>0</v>
      </c>
      <c r="Q87" s="306">
        <f>F87-N87</f>
        <v>0</v>
      </c>
      <c r="R87" s="307">
        <f t="shared" si="24"/>
        <v>0</v>
      </c>
      <c r="S87" s="314"/>
      <c r="T87" s="314"/>
      <c r="U87" s="314"/>
      <c r="V87" s="314"/>
      <c r="W87" s="314"/>
      <c r="X87" s="314"/>
    </row>
    <row r="88" spans="1:24" s="313" customFormat="1" ht="16.5" customHeight="1">
      <c r="A88" s="1439">
        <v>3</v>
      </c>
      <c r="B88" s="1440" t="s">
        <v>1736</v>
      </c>
      <c r="C88" s="1441"/>
      <c r="D88" s="1409"/>
      <c r="E88" s="1434"/>
      <c r="F88" s="1304"/>
      <c r="G88" s="1046"/>
      <c r="H88" s="306"/>
      <c r="I88" s="307"/>
      <c r="J88" s="1046"/>
      <c r="K88" s="306"/>
      <c r="L88" s="307"/>
      <c r="M88" s="1046"/>
      <c r="N88" s="306"/>
      <c r="O88" s="307"/>
      <c r="P88" s="1047"/>
      <c r="Q88" s="306"/>
      <c r="R88" s="307"/>
      <c r="S88" s="314"/>
      <c r="T88" s="314"/>
      <c r="U88" s="314"/>
      <c r="V88" s="314"/>
      <c r="W88" s="314"/>
      <c r="X88" s="314"/>
    </row>
    <row r="89" spans="1:24" s="313" customFormat="1" ht="16.5" customHeight="1">
      <c r="A89" s="1432">
        <v>3.2</v>
      </c>
      <c r="B89" s="1433" t="s">
        <v>1744</v>
      </c>
      <c r="C89" s="1434"/>
      <c r="D89" s="1409"/>
      <c r="E89" s="1435"/>
      <c r="F89" s="1304"/>
      <c r="G89" s="1046"/>
      <c r="H89" s="306"/>
      <c r="I89" s="307"/>
      <c r="J89" s="1046"/>
      <c r="K89" s="306"/>
      <c r="L89" s="307"/>
      <c r="M89" s="1046"/>
      <c r="N89" s="306"/>
      <c r="O89" s="307"/>
      <c r="P89" s="1047"/>
      <c r="Q89" s="306"/>
      <c r="R89" s="307"/>
      <c r="S89" s="314"/>
      <c r="T89" s="314"/>
      <c r="U89" s="314"/>
      <c r="V89" s="314"/>
      <c r="W89" s="314"/>
      <c r="X89" s="314"/>
    </row>
    <row r="90" spans="1:24" s="313" customFormat="1" ht="16.5" customHeight="1">
      <c r="A90" s="1428"/>
      <c r="B90" s="1351" t="s">
        <v>2391</v>
      </c>
      <c r="C90" s="1352" t="s">
        <v>51</v>
      </c>
      <c r="D90" s="1409">
        <v>4243.2744000000002</v>
      </c>
      <c r="E90" s="1429">
        <v>13.25</v>
      </c>
      <c r="F90" s="1304">
        <f t="shared" si="25"/>
        <v>56223.39</v>
      </c>
      <c r="G90" s="1046">
        <v>4243.2700000000004</v>
      </c>
      <c r="H90" s="306">
        <v>56223.327500000007</v>
      </c>
      <c r="I90" s="307">
        <v>0.99999888836301065</v>
      </c>
      <c r="J90" s="1046"/>
      <c r="K90" s="306">
        <f>J90*E90</f>
        <v>0</v>
      </c>
      <c r="L90" s="307">
        <f t="shared" si="22"/>
        <v>0</v>
      </c>
      <c r="M90" s="1046">
        <f>+G90+J90</f>
        <v>4243.2700000000004</v>
      </c>
      <c r="N90" s="306">
        <f t="shared" ref="N90:N93" si="30">E90*M90</f>
        <v>56223.327500000007</v>
      </c>
      <c r="O90" s="307">
        <f t="shared" si="23"/>
        <v>0.99999888836301065</v>
      </c>
      <c r="P90" s="1047">
        <f>D90-M90</f>
        <v>4.3999999998050043E-3</v>
      </c>
      <c r="Q90" s="306">
        <f>F90-N90</f>
        <v>6.2499999992724042E-2</v>
      </c>
      <c r="R90" s="307">
        <f t="shared" si="24"/>
        <v>1.1116369893868733E-6</v>
      </c>
      <c r="S90" s="314"/>
      <c r="T90" s="314"/>
      <c r="U90" s="314"/>
      <c r="V90" s="314"/>
      <c r="W90" s="314"/>
      <c r="X90" s="314"/>
    </row>
    <row r="91" spans="1:24" s="313" customFormat="1" ht="16.5" customHeight="1">
      <c r="A91" s="1428"/>
      <c r="B91" s="1351" t="s">
        <v>2392</v>
      </c>
      <c r="C91" s="1352" t="s">
        <v>51</v>
      </c>
      <c r="D91" s="1409">
        <v>118.724</v>
      </c>
      <c r="E91" s="1429">
        <v>15.34</v>
      </c>
      <c r="F91" s="1304">
        <f t="shared" si="25"/>
        <v>1821.23</v>
      </c>
      <c r="G91" s="1046">
        <v>118.72</v>
      </c>
      <c r="H91" s="306">
        <v>1821.1648</v>
      </c>
      <c r="I91" s="307">
        <v>0.9999642000186687</v>
      </c>
      <c r="J91" s="1046"/>
      <c r="K91" s="306">
        <f t="shared" si="28"/>
        <v>0</v>
      </c>
      <c r="L91" s="307">
        <f t="shared" si="22"/>
        <v>0</v>
      </c>
      <c r="M91" s="1046">
        <f>+G91+J91</f>
        <v>118.72</v>
      </c>
      <c r="N91" s="306">
        <f t="shared" si="30"/>
        <v>1821.1648</v>
      </c>
      <c r="O91" s="307">
        <f t="shared" si="23"/>
        <v>0.9999642000186687</v>
      </c>
      <c r="P91" s="1047">
        <f>D91-M91</f>
        <v>4.0000000000048885E-3</v>
      </c>
      <c r="Q91" s="306">
        <f>F91-N91</f>
        <v>6.5200000000004366E-2</v>
      </c>
      <c r="R91" s="307">
        <f t="shared" si="24"/>
        <v>3.5799981331300475E-5</v>
      </c>
      <c r="S91" s="314"/>
      <c r="T91" s="314"/>
      <c r="U91" s="314"/>
      <c r="V91" s="314"/>
      <c r="W91" s="314"/>
      <c r="X91" s="314"/>
    </row>
    <row r="92" spans="1:24" s="313" customFormat="1" ht="16.5" customHeight="1">
      <c r="A92" s="1428"/>
      <c r="B92" s="1438" t="s">
        <v>2393</v>
      </c>
      <c r="C92" s="1352" t="s">
        <v>2147</v>
      </c>
      <c r="D92" s="1409">
        <v>295.83</v>
      </c>
      <c r="E92" s="1429">
        <v>28.68</v>
      </c>
      <c r="F92" s="1304">
        <f t="shared" si="25"/>
        <v>8484.4</v>
      </c>
      <c r="G92" s="1046">
        <v>295.83</v>
      </c>
      <c r="H92" s="306">
        <v>8484.4043999999994</v>
      </c>
      <c r="I92" s="307">
        <v>1.0000005185988401</v>
      </c>
      <c r="J92" s="1046"/>
      <c r="K92" s="306">
        <f t="shared" si="28"/>
        <v>0</v>
      </c>
      <c r="L92" s="307">
        <f t="shared" si="22"/>
        <v>0</v>
      </c>
      <c r="M92" s="1046">
        <f>+G92+J92</f>
        <v>295.83</v>
      </c>
      <c r="N92" s="306">
        <f t="shared" si="30"/>
        <v>8484.4043999999994</v>
      </c>
      <c r="O92" s="307">
        <f t="shared" si="23"/>
        <v>1.0000005185988401</v>
      </c>
      <c r="P92" s="1047">
        <f>D92-M92</f>
        <v>0</v>
      </c>
      <c r="Q92" s="306">
        <f>F92-N92</f>
        <v>-4.3999999998050043E-3</v>
      </c>
      <c r="R92" s="307">
        <f t="shared" si="24"/>
        <v>-5.1859884020142901E-7</v>
      </c>
      <c r="S92" s="314"/>
      <c r="T92" s="314"/>
      <c r="U92" s="314"/>
      <c r="V92" s="314"/>
      <c r="W92" s="314"/>
      <c r="X92" s="314"/>
    </row>
    <row r="93" spans="1:24" s="313" customFormat="1" ht="16.5" customHeight="1">
      <c r="A93" s="1428"/>
      <c r="B93" s="1438" t="s">
        <v>2394</v>
      </c>
      <c r="C93" s="1352" t="s">
        <v>2147</v>
      </c>
      <c r="D93" s="1409">
        <v>6513.73</v>
      </c>
      <c r="E93" s="1429">
        <v>3.7</v>
      </c>
      <c r="F93" s="1304">
        <f t="shared" si="25"/>
        <v>24100.799999999999</v>
      </c>
      <c r="G93" s="1046">
        <v>6513.73</v>
      </c>
      <c r="H93" s="306">
        <v>24100.800999999999</v>
      </c>
      <c r="I93" s="307">
        <v>1.0000000414923986</v>
      </c>
      <c r="J93" s="1046"/>
      <c r="K93" s="306">
        <f t="shared" si="28"/>
        <v>0</v>
      </c>
      <c r="L93" s="307">
        <f t="shared" si="22"/>
        <v>0</v>
      </c>
      <c r="M93" s="1046">
        <f>+G93+J93</f>
        <v>6513.73</v>
      </c>
      <c r="N93" s="306">
        <f t="shared" si="30"/>
        <v>24100.800999999999</v>
      </c>
      <c r="O93" s="307">
        <f t="shared" si="23"/>
        <v>1.0000000414923986</v>
      </c>
      <c r="P93" s="1047">
        <f>D93-M93</f>
        <v>0</v>
      </c>
      <c r="Q93" s="306">
        <f>F93-N93</f>
        <v>-1.0000000002037268E-3</v>
      </c>
      <c r="R93" s="307">
        <f t="shared" si="24"/>
        <v>-4.1492398601030955E-8</v>
      </c>
      <c r="S93" s="314"/>
      <c r="T93" s="314"/>
      <c r="U93" s="314"/>
      <c r="V93" s="314"/>
      <c r="W93" s="314"/>
      <c r="X93" s="314"/>
    </row>
    <row r="94" spans="1:24" s="313" customFormat="1" ht="16.5" customHeight="1">
      <c r="A94" s="1432">
        <v>3.3</v>
      </c>
      <c r="B94" s="1433" t="s">
        <v>1756</v>
      </c>
      <c r="C94" s="1434"/>
      <c r="D94" s="1409"/>
      <c r="E94" s="1435"/>
      <c r="F94" s="1304" t="str">
        <f t="shared" si="25"/>
        <v xml:space="preserve"> </v>
      </c>
      <c r="G94" s="1046"/>
      <c r="H94" s="306"/>
      <c r="I94" s="307"/>
      <c r="J94" s="1046"/>
      <c r="K94" s="306"/>
      <c r="L94" s="307"/>
      <c r="M94" s="1046"/>
      <c r="N94" s="306"/>
      <c r="O94" s="307"/>
      <c r="P94" s="1047"/>
      <c r="Q94" s="306"/>
      <c r="R94" s="307"/>
      <c r="S94" s="314"/>
      <c r="T94" s="314"/>
      <c r="U94" s="314"/>
      <c r="V94" s="314"/>
      <c r="W94" s="314"/>
      <c r="X94" s="314"/>
    </row>
    <row r="95" spans="1:24" s="313" customFormat="1" ht="16.5" customHeight="1">
      <c r="A95" s="1437"/>
      <c r="B95" s="1438" t="s">
        <v>2395</v>
      </c>
      <c r="C95" s="1352" t="s">
        <v>2147</v>
      </c>
      <c r="D95" s="1409">
        <v>1320.99</v>
      </c>
      <c r="E95" s="1429">
        <v>52.35</v>
      </c>
      <c r="F95" s="1304">
        <f t="shared" si="25"/>
        <v>69153.83</v>
      </c>
      <c r="G95" s="1046">
        <v>1320.99</v>
      </c>
      <c r="H95" s="306">
        <v>69153.826499999996</v>
      </c>
      <c r="I95" s="307">
        <v>0.99999994938819725</v>
      </c>
      <c r="J95" s="1046"/>
      <c r="K95" s="306">
        <f>J95*E95</f>
        <v>0</v>
      </c>
      <c r="L95" s="307">
        <f t="shared" si="22"/>
        <v>0</v>
      </c>
      <c r="M95" s="1046">
        <f>+G95+J95</f>
        <v>1320.99</v>
      </c>
      <c r="N95" s="306">
        <f>E95*M95</f>
        <v>69153.826499999996</v>
      </c>
      <c r="O95" s="307">
        <f t="shared" si="23"/>
        <v>0.99999994938819725</v>
      </c>
      <c r="P95" s="1047">
        <f>D95-M95</f>
        <v>0</v>
      </c>
      <c r="Q95" s="306">
        <f>F95-N95</f>
        <v>3.5000000061700121E-3</v>
      </c>
      <c r="R95" s="307">
        <f t="shared" si="24"/>
        <v>5.0611802790532528E-8</v>
      </c>
      <c r="S95" s="314"/>
      <c r="T95" s="314"/>
      <c r="U95" s="314"/>
      <c r="V95" s="314"/>
      <c r="W95" s="314"/>
      <c r="X95" s="314"/>
    </row>
    <row r="96" spans="1:24" s="313" customFormat="1" ht="16.5" customHeight="1">
      <c r="A96" s="1442" t="s">
        <v>2396</v>
      </c>
      <c r="B96" s="1443" t="s">
        <v>2397</v>
      </c>
      <c r="C96" s="1352"/>
      <c r="D96" s="1409"/>
      <c r="E96" s="1429"/>
      <c r="F96" s="1304" t="str">
        <f t="shared" si="25"/>
        <v xml:space="preserve"> </v>
      </c>
      <c r="G96" s="1046"/>
      <c r="H96" s="306"/>
      <c r="I96" s="307"/>
      <c r="J96" s="1046"/>
      <c r="K96" s="306">
        <f t="shared" si="28"/>
        <v>0</v>
      </c>
      <c r="L96" s="307"/>
      <c r="M96" s="1046"/>
      <c r="N96" s="306"/>
      <c r="O96" s="307"/>
      <c r="P96" s="1047"/>
      <c r="Q96" s="306"/>
      <c r="R96" s="307"/>
      <c r="S96" s="314"/>
      <c r="T96" s="314"/>
      <c r="U96" s="314"/>
      <c r="V96" s="314"/>
      <c r="W96" s="314"/>
      <c r="X96" s="314"/>
    </row>
    <row r="97" spans="1:24" s="313" customFormat="1" ht="16.5" customHeight="1">
      <c r="A97" s="1437"/>
      <c r="B97" s="1438" t="s">
        <v>2398</v>
      </c>
      <c r="C97" s="1352" t="s">
        <v>2147</v>
      </c>
      <c r="D97" s="1409">
        <v>4600.26</v>
      </c>
      <c r="E97" s="1429">
        <v>2.72</v>
      </c>
      <c r="F97" s="1304">
        <f t="shared" si="25"/>
        <v>12512.71</v>
      </c>
      <c r="G97" s="1046">
        <v>4600.26</v>
      </c>
      <c r="H97" s="306">
        <v>12512.707200000001</v>
      </c>
      <c r="I97" s="307">
        <v>0.999999776227532</v>
      </c>
      <c r="J97" s="1046"/>
      <c r="K97" s="306">
        <f>J97*E97</f>
        <v>0</v>
      </c>
      <c r="L97" s="307">
        <f t="shared" si="22"/>
        <v>0</v>
      </c>
      <c r="M97" s="1046">
        <f>+G97+J97</f>
        <v>4600.26</v>
      </c>
      <c r="N97" s="306">
        <f>E97*M97</f>
        <v>12512.707200000001</v>
      </c>
      <c r="O97" s="307">
        <f t="shared" si="23"/>
        <v>0.999999776227532</v>
      </c>
      <c r="P97" s="1047">
        <f>D97-M97</f>
        <v>0</v>
      </c>
      <c r="Q97" s="306">
        <f>F97-N97</f>
        <v>2.7999999983876478E-3</v>
      </c>
      <c r="R97" s="307">
        <f t="shared" si="24"/>
        <v>2.2377246802552349E-7</v>
      </c>
      <c r="S97" s="314"/>
      <c r="T97" s="314"/>
      <c r="U97" s="314"/>
      <c r="V97" s="314"/>
      <c r="W97" s="314"/>
      <c r="X97" s="314"/>
    </row>
    <row r="98" spans="1:24" s="313" customFormat="1" ht="16.5" customHeight="1">
      <c r="A98" s="1324">
        <v>4</v>
      </c>
      <c r="B98" s="1325" t="s">
        <v>1784</v>
      </c>
      <c r="C98" s="1326"/>
      <c r="D98" s="1303"/>
      <c r="E98" s="1321"/>
      <c r="F98" s="1314" t="str">
        <f t="shared" si="25"/>
        <v xml:space="preserve"> </v>
      </c>
      <c r="G98" s="1046"/>
      <c r="H98" s="306"/>
      <c r="I98" s="307"/>
      <c r="J98" s="1046"/>
      <c r="K98" s="306"/>
      <c r="L98" s="307"/>
      <c r="M98" s="1046"/>
      <c r="N98" s="306"/>
      <c r="O98" s="307"/>
      <c r="P98" s="1047"/>
      <c r="Q98" s="306"/>
      <c r="R98" s="307"/>
      <c r="S98" s="314"/>
      <c r="T98" s="314"/>
      <c r="U98" s="314"/>
      <c r="V98" s="314"/>
      <c r="W98" s="314"/>
      <c r="X98" s="314"/>
    </row>
    <row r="99" spans="1:24" s="313" customFormat="1" ht="16.5" customHeight="1">
      <c r="A99" s="1345">
        <v>4.0599999999999996</v>
      </c>
      <c r="B99" s="1346" t="s">
        <v>2399</v>
      </c>
      <c r="C99" s="1347"/>
      <c r="D99" s="1303"/>
      <c r="E99" s="1313"/>
      <c r="F99" s="1314" t="str">
        <f t="shared" si="25"/>
        <v xml:space="preserve"> </v>
      </c>
      <c r="G99" s="1046"/>
      <c r="H99" s="306"/>
      <c r="I99" s="307"/>
      <c r="J99" s="1046"/>
      <c r="K99" s="306"/>
      <c r="L99" s="307"/>
      <c r="M99" s="1046"/>
      <c r="N99" s="306"/>
      <c r="O99" s="307"/>
      <c r="P99" s="1047"/>
      <c r="Q99" s="306"/>
      <c r="R99" s="307"/>
      <c r="S99" s="314"/>
      <c r="T99" s="314"/>
      <c r="U99" s="314"/>
      <c r="V99" s="314"/>
      <c r="W99" s="314"/>
      <c r="X99" s="314"/>
    </row>
    <row r="100" spans="1:24" s="313" customFormat="1" ht="16.5" customHeight="1">
      <c r="A100" s="1343" t="s">
        <v>2400</v>
      </c>
      <c r="B100" s="1344" t="s">
        <v>2401</v>
      </c>
      <c r="C100" s="1348"/>
      <c r="D100" s="1303"/>
      <c r="E100" s="1313"/>
      <c r="F100" s="1314" t="str">
        <f t="shared" si="25"/>
        <v xml:space="preserve"> </v>
      </c>
      <c r="G100" s="1046"/>
      <c r="H100" s="306"/>
      <c r="I100" s="307"/>
      <c r="J100" s="1046"/>
      <c r="K100" s="306"/>
      <c r="L100" s="307"/>
      <c r="M100" s="1047"/>
      <c r="N100" s="306"/>
      <c r="O100" s="307"/>
      <c r="P100" s="1047"/>
      <c r="Q100" s="306"/>
      <c r="R100" s="307"/>
      <c r="S100" s="314"/>
      <c r="T100" s="314"/>
      <c r="U100" s="314"/>
      <c r="V100" s="314"/>
      <c r="W100" s="314"/>
      <c r="X100" s="314"/>
    </row>
    <row r="101" spans="1:24" s="313" customFormat="1" ht="16.5" customHeight="1">
      <c r="A101" s="1341"/>
      <c r="B101" s="1342" t="s">
        <v>2402</v>
      </c>
      <c r="C101" s="1349" t="s">
        <v>52</v>
      </c>
      <c r="D101" s="1303">
        <v>56</v>
      </c>
      <c r="E101" s="1313">
        <v>27.41</v>
      </c>
      <c r="F101" s="1314">
        <f t="shared" si="25"/>
        <v>1534.96</v>
      </c>
      <c r="G101" s="1046">
        <v>0</v>
      </c>
      <c r="H101" s="306">
        <v>0</v>
      </c>
      <c r="I101" s="307">
        <v>0</v>
      </c>
      <c r="J101" s="1046"/>
      <c r="K101" s="306">
        <f t="shared" si="28"/>
        <v>0</v>
      </c>
      <c r="L101" s="307">
        <f t="shared" si="22"/>
        <v>0</v>
      </c>
      <c r="M101" s="1047">
        <f t="shared" ref="M101:M109" si="31">+G101+J101</f>
        <v>0</v>
      </c>
      <c r="N101" s="306">
        <f t="shared" ref="N101:N109" si="32">ROUND(+M101*E101,2)</f>
        <v>0</v>
      </c>
      <c r="O101" s="307">
        <f t="shared" si="23"/>
        <v>0</v>
      </c>
      <c r="P101" s="1047">
        <f t="shared" ref="P101:P109" si="33">D101-M101</f>
        <v>56</v>
      </c>
      <c r="Q101" s="306">
        <f t="shared" ref="Q101:Q109" si="34">F101-N101</f>
        <v>1534.96</v>
      </c>
      <c r="R101" s="307">
        <f t="shared" si="24"/>
        <v>1</v>
      </c>
      <c r="S101" s="314"/>
      <c r="T101" s="314"/>
      <c r="U101" s="314"/>
      <c r="V101" s="314"/>
      <c r="W101" s="314"/>
      <c r="X101" s="314"/>
    </row>
    <row r="102" spans="1:24" s="313" customFormat="1" ht="16.5" customHeight="1">
      <c r="A102" s="1341"/>
      <c r="B102" s="1342" t="s">
        <v>2403</v>
      </c>
      <c r="C102" s="1349" t="s">
        <v>52</v>
      </c>
      <c r="D102" s="1303">
        <v>15</v>
      </c>
      <c r="E102" s="1313">
        <v>33.409999999999997</v>
      </c>
      <c r="F102" s="1314">
        <f t="shared" si="25"/>
        <v>501.15</v>
      </c>
      <c r="G102" s="1046">
        <v>0</v>
      </c>
      <c r="H102" s="306">
        <v>0</v>
      </c>
      <c r="I102" s="307">
        <v>0</v>
      </c>
      <c r="J102" s="1046"/>
      <c r="K102" s="306">
        <f t="shared" si="28"/>
        <v>0</v>
      </c>
      <c r="L102" s="307">
        <f t="shared" si="22"/>
        <v>0</v>
      </c>
      <c r="M102" s="1047">
        <f t="shared" si="31"/>
        <v>0</v>
      </c>
      <c r="N102" s="306">
        <f t="shared" si="32"/>
        <v>0</v>
      </c>
      <c r="O102" s="307">
        <f t="shared" si="23"/>
        <v>0</v>
      </c>
      <c r="P102" s="1047">
        <f t="shared" si="33"/>
        <v>15</v>
      </c>
      <c r="Q102" s="306">
        <f t="shared" si="34"/>
        <v>501.15</v>
      </c>
      <c r="R102" s="307">
        <f t="shared" si="24"/>
        <v>1</v>
      </c>
      <c r="S102" s="314"/>
      <c r="T102" s="314"/>
      <c r="U102" s="314"/>
      <c r="V102" s="314"/>
      <c r="W102" s="314"/>
      <c r="X102" s="314"/>
    </row>
    <row r="103" spans="1:24" s="313" customFormat="1" ht="16.5" customHeight="1">
      <c r="A103" s="1341"/>
      <c r="B103" s="1342" t="s">
        <v>2404</v>
      </c>
      <c r="C103" s="1349" t="s">
        <v>52</v>
      </c>
      <c r="D103" s="1303">
        <v>71</v>
      </c>
      <c r="E103" s="1313">
        <v>50.41</v>
      </c>
      <c r="F103" s="1314">
        <f t="shared" si="25"/>
        <v>3579.11</v>
      </c>
      <c r="G103" s="1046">
        <v>0</v>
      </c>
      <c r="H103" s="306">
        <v>0</v>
      </c>
      <c r="I103" s="307">
        <v>0</v>
      </c>
      <c r="J103" s="1046"/>
      <c r="K103" s="306">
        <f t="shared" si="28"/>
        <v>0</v>
      </c>
      <c r="L103" s="307">
        <f t="shared" si="22"/>
        <v>0</v>
      </c>
      <c r="M103" s="1047">
        <f t="shared" si="31"/>
        <v>0</v>
      </c>
      <c r="N103" s="306">
        <f t="shared" si="32"/>
        <v>0</v>
      </c>
      <c r="O103" s="307">
        <f t="shared" si="23"/>
        <v>0</v>
      </c>
      <c r="P103" s="1047">
        <f t="shared" si="33"/>
        <v>71</v>
      </c>
      <c r="Q103" s="306">
        <f t="shared" si="34"/>
        <v>3579.11</v>
      </c>
      <c r="R103" s="307">
        <f t="shared" si="24"/>
        <v>1</v>
      </c>
      <c r="S103" s="314"/>
      <c r="T103" s="314"/>
      <c r="U103" s="314"/>
      <c r="V103" s="314"/>
      <c r="W103" s="314"/>
      <c r="X103" s="314"/>
    </row>
    <row r="104" spans="1:24" s="313" customFormat="1" ht="16.5" customHeight="1">
      <c r="A104" s="1341"/>
      <c r="B104" s="1342" t="s">
        <v>2405</v>
      </c>
      <c r="C104" s="1349" t="s">
        <v>52</v>
      </c>
      <c r="D104" s="1303">
        <v>17</v>
      </c>
      <c r="E104" s="1313">
        <v>32.71</v>
      </c>
      <c r="F104" s="1314">
        <f t="shared" si="25"/>
        <v>556.07000000000005</v>
      </c>
      <c r="G104" s="1046">
        <v>0</v>
      </c>
      <c r="H104" s="306">
        <v>0</v>
      </c>
      <c r="I104" s="307">
        <v>0</v>
      </c>
      <c r="J104" s="1046"/>
      <c r="K104" s="306">
        <f t="shared" si="28"/>
        <v>0</v>
      </c>
      <c r="L104" s="307">
        <f t="shared" si="22"/>
        <v>0</v>
      </c>
      <c r="M104" s="1047">
        <f t="shared" si="31"/>
        <v>0</v>
      </c>
      <c r="N104" s="306">
        <f t="shared" si="32"/>
        <v>0</v>
      </c>
      <c r="O104" s="307">
        <f t="shared" si="23"/>
        <v>0</v>
      </c>
      <c r="P104" s="1047">
        <f t="shared" si="33"/>
        <v>17</v>
      </c>
      <c r="Q104" s="306">
        <f t="shared" si="34"/>
        <v>556.07000000000005</v>
      </c>
      <c r="R104" s="307">
        <f t="shared" si="24"/>
        <v>1</v>
      </c>
      <c r="S104" s="314"/>
      <c r="T104" s="314"/>
      <c r="U104" s="314"/>
      <c r="V104" s="314"/>
      <c r="W104" s="314"/>
      <c r="X104" s="314"/>
    </row>
    <row r="105" spans="1:24" s="313" customFormat="1" ht="16.5" customHeight="1">
      <c r="A105" s="1341"/>
      <c r="B105" s="1342" t="s">
        <v>2406</v>
      </c>
      <c r="C105" s="1349" t="s">
        <v>52</v>
      </c>
      <c r="D105" s="1303">
        <v>25</v>
      </c>
      <c r="E105" s="1313">
        <v>52.41</v>
      </c>
      <c r="F105" s="1314">
        <f t="shared" si="25"/>
        <v>1310.25</v>
      </c>
      <c r="G105" s="1046">
        <v>0</v>
      </c>
      <c r="H105" s="306">
        <v>0</v>
      </c>
      <c r="I105" s="307">
        <v>0</v>
      </c>
      <c r="J105" s="1046"/>
      <c r="K105" s="306">
        <f t="shared" si="28"/>
        <v>0</v>
      </c>
      <c r="L105" s="307">
        <f t="shared" si="22"/>
        <v>0</v>
      </c>
      <c r="M105" s="1047">
        <f t="shared" si="31"/>
        <v>0</v>
      </c>
      <c r="N105" s="306">
        <f t="shared" si="32"/>
        <v>0</v>
      </c>
      <c r="O105" s="307">
        <f t="shared" si="23"/>
        <v>0</v>
      </c>
      <c r="P105" s="1047">
        <f t="shared" si="33"/>
        <v>25</v>
      </c>
      <c r="Q105" s="306">
        <f t="shared" si="34"/>
        <v>1310.25</v>
      </c>
      <c r="R105" s="307">
        <f t="shared" si="24"/>
        <v>1</v>
      </c>
      <c r="S105" s="314"/>
      <c r="T105" s="314"/>
      <c r="U105" s="314"/>
      <c r="V105" s="314"/>
      <c r="W105" s="314"/>
      <c r="X105" s="314"/>
    </row>
    <row r="106" spans="1:24" s="313" customFormat="1" ht="16.5" customHeight="1">
      <c r="A106" s="1341"/>
      <c r="B106" s="1342" t="s">
        <v>2407</v>
      </c>
      <c r="C106" s="1349" t="s">
        <v>52</v>
      </c>
      <c r="D106" s="1303">
        <v>10</v>
      </c>
      <c r="E106" s="1313">
        <v>55.41</v>
      </c>
      <c r="F106" s="1314">
        <f t="shared" si="25"/>
        <v>554.1</v>
      </c>
      <c r="G106" s="1046">
        <v>0</v>
      </c>
      <c r="H106" s="306">
        <v>0</v>
      </c>
      <c r="I106" s="307">
        <v>0</v>
      </c>
      <c r="J106" s="1046"/>
      <c r="K106" s="306">
        <f t="shared" si="28"/>
        <v>0</v>
      </c>
      <c r="L106" s="307">
        <f t="shared" si="22"/>
        <v>0</v>
      </c>
      <c r="M106" s="1047">
        <f t="shared" si="31"/>
        <v>0</v>
      </c>
      <c r="N106" s="306">
        <f t="shared" si="32"/>
        <v>0</v>
      </c>
      <c r="O106" s="307">
        <f t="shared" si="23"/>
        <v>0</v>
      </c>
      <c r="P106" s="1047">
        <f t="shared" si="33"/>
        <v>10</v>
      </c>
      <c r="Q106" s="306">
        <f t="shared" si="34"/>
        <v>554.1</v>
      </c>
      <c r="R106" s="307">
        <f t="shared" si="24"/>
        <v>1</v>
      </c>
      <c r="S106" s="314"/>
      <c r="T106" s="314"/>
      <c r="U106" s="314"/>
      <c r="V106" s="314"/>
      <c r="W106" s="314"/>
      <c r="X106" s="314"/>
    </row>
    <row r="107" spans="1:24" s="313" customFormat="1" ht="16.5" customHeight="1">
      <c r="A107" s="1341"/>
      <c r="B107" s="1342" t="s">
        <v>2408</v>
      </c>
      <c r="C107" s="1349" t="s">
        <v>52</v>
      </c>
      <c r="D107" s="1303">
        <v>10</v>
      </c>
      <c r="E107" s="1313">
        <v>52.41</v>
      </c>
      <c r="F107" s="1314">
        <f t="shared" si="25"/>
        <v>524.1</v>
      </c>
      <c r="G107" s="1046">
        <v>0</v>
      </c>
      <c r="H107" s="306">
        <v>0</v>
      </c>
      <c r="I107" s="307">
        <v>0</v>
      </c>
      <c r="J107" s="1046"/>
      <c r="K107" s="306">
        <f t="shared" si="28"/>
        <v>0</v>
      </c>
      <c r="L107" s="307">
        <f t="shared" si="22"/>
        <v>0</v>
      </c>
      <c r="M107" s="1047">
        <f t="shared" si="31"/>
        <v>0</v>
      </c>
      <c r="N107" s="306">
        <f t="shared" si="32"/>
        <v>0</v>
      </c>
      <c r="O107" s="307">
        <f t="shared" si="23"/>
        <v>0</v>
      </c>
      <c r="P107" s="1047">
        <f t="shared" si="33"/>
        <v>10</v>
      </c>
      <c r="Q107" s="306">
        <f t="shared" si="34"/>
        <v>524.1</v>
      </c>
      <c r="R107" s="307">
        <f t="shared" si="24"/>
        <v>1</v>
      </c>
      <c r="S107" s="314"/>
      <c r="T107" s="314"/>
      <c r="U107" s="314"/>
      <c r="V107" s="314"/>
      <c r="W107" s="314"/>
      <c r="X107" s="314"/>
    </row>
    <row r="108" spans="1:24" s="313" customFormat="1" ht="16.5" customHeight="1">
      <c r="A108" s="1341"/>
      <c r="B108" s="1342" t="s">
        <v>2409</v>
      </c>
      <c r="C108" s="1349" t="s">
        <v>52</v>
      </c>
      <c r="D108" s="1303">
        <v>9</v>
      </c>
      <c r="E108" s="1313">
        <v>49.41</v>
      </c>
      <c r="F108" s="1314">
        <f t="shared" si="25"/>
        <v>444.69</v>
      </c>
      <c r="G108" s="1046">
        <v>0</v>
      </c>
      <c r="H108" s="306">
        <v>0</v>
      </c>
      <c r="I108" s="307">
        <v>0</v>
      </c>
      <c r="J108" s="1046"/>
      <c r="K108" s="306">
        <f t="shared" si="28"/>
        <v>0</v>
      </c>
      <c r="L108" s="307">
        <f t="shared" si="22"/>
        <v>0</v>
      </c>
      <c r="M108" s="1047">
        <f t="shared" si="31"/>
        <v>0</v>
      </c>
      <c r="N108" s="306">
        <f t="shared" si="32"/>
        <v>0</v>
      </c>
      <c r="O108" s="307">
        <f t="shared" si="23"/>
        <v>0</v>
      </c>
      <c r="P108" s="1047">
        <f t="shared" si="33"/>
        <v>9</v>
      </c>
      <c r="Q108" s="306">
        <f t="shared" si="34"/>
        <v>444.69</v>
      </c>
      <c r="R108" s="307">
        <f t="shared" si="24"/>
        <v>1</v>
      </c>
      <c r="S108" s="314"/>
      <c r="T108" s="314"/>
      <c r="U108" s="314"/>
      <c r="V108" s="314"/>
      <c r="W108" s="314"/>
      <c r="X108" s="314"/>
    </row>
    <row r="109" spans="1:24" s="313" customFormat="1" ht="16.5" customHeight="1">
      <c r="A109" s="1341"/>
      <c r="B109" s="1342" t="s">
        <v>2410</v>
      </c>
      <c r="C109" s="1349" t="s">
        <v>52</v>
      </c>
      <c r="D109" s="1303">
        <v>6</v>
      </c>
      <c r="E109" s="1313">
        <v>36.409999999999997</v>
      </c>
      <c r="F109" s="1314">
        <f t="shared" si="25"/>
        <v>218.46</v>
      </c>
      <c r="G109" s="1046">
        <v>0</v>
      </c>
      <c r="H109" s="306">
        <v>0</v>
      </c>
      <c r="I109" s="307">
        <v>0</v>
      </c>
      <c r="J109" s="1046"/>
      <c r="K109" s="306">
        <f t="shared" si="28"/>
        <v>0</v>
      </c>
      <c r="L109" s="307">
        <f t="shared" si="22"/>
        <v>0</v>
      </c>
      <c r="M109" s="1046">
        <f t="shared" si="31"/>
        <v>0</v>
      </c>
      <c r="N109" s="306">
        <f t="shared" si="32"/>
        <v>0</v>
      </c>
      <c r="O109" s="307">
        <f t="shared" si="23"/>
        <v>0</v>
      </c>
      <c r="P109" s="1047">
        <f t="shared" si="33"/>
        <v>6</v>
      </c>
      <c r="Q109" s="306">
        <f t="shared" si="34"/>
        <v>218.46</v>
      </c>
      <c r="R109" s="307">
        <f t="shared" si="24"/>
        <v>1</v>
      </c>
      <c r="S109" s="314"/>
      <c r="T109" s="314"/>
      <c r="U109" s="314"/>
      <c r="V109" s="314"/>
      <c r="W109" s="314"/>
      <c r="X109" s="314"/>
    </row>
    <row r="110" spans="1:24" s="313" customFormat="1" ht="16.5" customHeight="1">
      <c r="A110" s="1324">
        <v>5</v>
      </c>
      <c r="B110" s="1325" t="s">
        <v>1885</v>
      </c>
      <c r="C110" s="1326"/>
      <c r="D110" s="1303"/>
      <c r="E110" s="1321"/>
      <c r="F110" s="1314" t="str">
        <f t="shared" si="25"/>
        <v xml:space="preserve"> </v>
      </c>
      <c r="G110" s="1046"/>
      <c r="H110" s="306"/>
      <c r="I110" s="307"/>
      <c r="J110" s="1046"/>
      <c r="K110" s="306"/>
      <c r="L110" s="307"/>
      <c r="M110" s="1046"/>
      <c r="N110" s="307"/>
      <c r="O110" s="307"/>
      <c r="P110" s="1046"/>
      <c r="Q110" s="307"/>
      <c r="R110" s="307"/>
      <c r="S110" s="314"/>
      <c r="T110" s="314"/>
      <c r="U110" s="314"/>
      <c r="V110" s="314"/>
      <c r="W110" s="314"/>
      <c r="X110" s="314"/>
    </row>
    <row r="111" spans="1:24" s="313" customFormat="1" ht="16.5" customHeight="1">
      <c r="A111" s="1306">
        <v>5.4</v>
      </c>
      <c r="B111" s="1307" t="s">
        <v>1897</v>
      </c>
      <c r="C111" s="1321"/>
      <c r="D111" s="1303"/>
      <c r="E111" s="1322"/>
      <c r="F111" s="1314" t="str">
        <f t="shared" si="25"/>
        <v xml:space="preserve"> </v>
      </c>
      <c r="G111" s="1046"/>
      <c r="H111" s="306"/>
      <c r="I111" s="307"/>
      <c r="J111" s="1046"/>
      <c r="K111" s="306"/>
      <c r="L111" s="307"/>
      <c r="M111" s="1046"/>
      <c r="N111" s="307"/>
      <c r="O111" s="307"/>
      <c r="P111" s="1046"/>
      <c r="Q111" s="307"/>
      <c r="R111" s="307"/>
      <c r="S111" s="314"/>
      <c r="T111" s="314"/>
      <c r="U111" s="314"/>
      <c r="V111" s="314"/>
      <c r="W111" s="314"/>
      <c r="X111" s="314"/>
    </row>
    <row r="112" spans="1:24" s="313" customFormat="1" ht="16.5" customHeight="1">
      <c r="A112" s="1309" t="s">
        <v>1434</v>
      </c>
      <c r="B112" s="1310" t="s">
        <v>1939</v>
      </c>
      <c r="C112" s="1320"/>
      <c r="D112" s="1303"/>
      <c r="E112" s="1319"/>
      <c r="F112" s="1314" t="str">
        <f t="shared" si="25"/>
        <v xml:space="preserve"> </v>
      </c>
      <c r="G112" s="1046"/>
      <c r="H112" s="306"/>
      <c r="I112" s="307"/>
      <c r="J112" s="1046"/>
      <c r="K112" s="306"/>
      <c r="L112" s="307"/>
      <c r="M112" s="1046"/>
      <c r="N112" s="307"/>
      <c r="O112" s="307"/>
      <c r="P112" s="1046"/>
      <c r="Q112" s="307"/>
      <c r="R112" s="307"/>
      <c r="S112" s="314"/>
      <c r="T112" s="314"/>
      <c r="U112" s="314"/>
      <c r="V112" s="314"/>
      <c r="W112" s="314"/>
      <c r="X112" s="314"/>
    </row>
    <row r="113" spans="1:24" s="313" customFormat="1" ht="16.5" customHeight="1">
      <c r="A113" s="1309"/>
      <c r="B113" s="1311" t="s">
        <v>1944</v>
      </c>
      <c r="C113" s="1312" t="s">
        <v>51</v>
      </c>
      <c r="D113" s="1303">
        <v>50</v>
      </c>
      <c r="E113" s="1319">
        <v>28.59</v>
      </c>
      <c r="F113" s="1314">
        <f t="shared" si="25"/>
        <v>1429.5</v>
      </c>
      <c r="G113" s="1046">
        <v>0</v>
      </c>
      <c r="H113" s="306">
        <v>0</v>
      </c>
      <c r="I113" s="307">
        <v>0</v>
      </c>
      <c r="J113" s="1046"/>
      <c r="K113" s="306">
        <f t="shared" si="28"/>
        <v>0</v>
      </c>
      <c r="L113" s="307">
        <f t="shared" si="22"/>
        <v>0</v>
      </c>
      <c r="M113" s="1047">
        <f>+G113+J113</f>
        <v>0</v>
      </c>
      <c r="N113" s="306">
        <f t="shared" ref="N113:N144" si="35">ROUND(+M113*E113,2)</f>
        <v>0</v>
      </c>
      <c r="O113" s="307">
        <f t="shared" si="23"/>
        <v>0</v>
      </c>
      <c r="P113" s="1047">
        <f>D113-M113</f>
        <v>50</v>
      </c>
      <c r="Q113" s="306">
        <f>F113-N113</f>
        <v>1429.5</v>
      </c>
      <c r="R113" s="307">
        <f t="shared" si="24"/>
        <v>1</v>
      </c>
      <c r="S113" s="314"/>
      <c r="T113" s="314"/>
      <c r="U113" s="314"/>
      <c r="V113" s="314"/>
      <c r="W113" s="314"/>
      <c r="X113" s="314"/>
    </row>
    <row r="114" spans="1:24" s="313" customFormat="1" ht="16.5" customHeight="1">
      <c r="A114" s="1309"/>
      <c r="B114" s="1311" t="s">
        <v>2411</v>
      </c>
      <c r="C114" s="1312" t="s">
        <v>51</v>
      </c>
      <c r="D114" s="1303">
        <v>60</v>
      </c>
      <c r="E114" s="1313">
        <v>20.77</v>
      </c>
      <c r="F114" s="1314">
        <f t="shared" si="25"/>
        <v>1246.2</v>
      </c>
      <c r="G114" s="1046">
        <v>0</v>
      </c>
      <c r="H114" s="306">
        <v>0</v>
      </c>
      <c r="I114" s="307">
        <v>0</v>
      </c>
      <c r="J114" s="1046"/>
      <c r="K114" s="306">
        <f t="shared" si="28"/>
        <v>0</v>
      </c>
      <c r="L114" s="307">
        <f t="shared" si="22"/>
        <v>0</v>
      </c>
      <c r="M114" s="1047">
        <f>+G114+J114</f>
        <v>0</v>
      </c>
      <c r="N114" s="306">
        <f t="shared" si="35"/>
        <v>0</v>
      </c>
      <c r="O114" s="307">
        <f t="shared" si="23"/>
        <v>0</v>
      </c>
      <c r="P114" s="1047">
        <f>D114-M114</f>
        <v>60</v>
      </c>
      <c r="Q114" s="306">
        <f>F114-N114</f>
        <v>1246.2</v>
      </c>
      <c r="R114" s="307">
        <f t="shared" si="24"/>
        <v>1</v>
      </c>
      <c r="S114" s="314"/>
      <c r="T114" s="314"/>
      <c r="U114" s="314"/>
      <c r="V114" s="314"/>
      <c r="W114" s="314"/>
      <c r="X114" s="314"/>
    </row>
    <row r="115" spans="1:24" s="313" customFormat="1" ht="16.5" customHeight="1">
      <c r="A115" s="1309"/>
      <c r="B115" s="1311" t="s">
        <v>2412</v>
      </c>
      <c r="C115" s="1312" t="s">
        <v>51</v>
      </c>
      <c r="D115" s="1303">
        <v>50</v>
      </c>
      <c r="E115" s="1313">
        <v>7.81</v>
      </c>
      <c r="F115" s="1314">
        <f t="shared" si="25"/>
        <v>390.5</v>
      </c>
      <c r="G115" s="1046">
        <v>0</v>
      </c>
      <c r="H115" s="306">
        <v>0</v>
      </c>
      <c r="I115" s="307">
        <v>0</v>
      </c>
      <c r="J115" s="1046"/>
      <c r="K115" s="306">
        <f t="shared" si="28"/>
        <v>0</v>
      </c>
      <c r="L115" s="307">
        <f t="shared" si="22"/>
        <v>0</v>
      </c>
      <c r="M115" s="1047">
        <f>+G115+J115</f>
        <v>0</v>
      </c>
      <c r="N115" s="306">
        <f t="shared" si="35"/>
        <v>0</v>
      </c>
      <c r="O115" s="307">
        <f t="shared" si="23"/>
        <v>0</v>
      </c>
      <c r="P115" s="1047">
        <f>D115-M115</f>
        <v>50</v>
      </c>
      <c r="Q115" s="306">
        <f>F115-N115</f>
        <v>390.5</v>
      </c>
      <c r="R115" s="307">
        <f t="shared" si="24"/>
        <v>1</v>
      </c>
      <c r="S115" s="314"/>
      <c r="T115" s="314"/>
      <c r="U115" s="314"/>
      <c r="V115" s="314"/>
      <c r="W115" s="314"/>
      <c r="X115" s="314"/>
    </row>
    <row r="116" spans="1:24" s="313" customFormat="1" ht="16.5" customHeight="1">
      <c r="A116" s="1309"/>
      <c r="B116" s="1311" t="s">
        <v>2413</v>
      </c>
      <c r="C116" s="1312" t="s">
        <v>51</v>
      </c>
      <c r="D116" s="1303">
        <v>100</v>
      </c>
      <c r="E116" s="1313">
        <v>3.73</v>
      </c>
      <c r="F116" s="1314">
        <f t="shared" si="25"/>
        <v>373</v>
      </c>
      <c r="G116" s="1046">
        <v>0</v>
      </c>
      <c r="H116" s="306">
        <v>0</v>
      </c>
      <c r="I116" s="307">
        <v>0</v>
      </c>
      <c r="J116" s="1046"/>
      <c r="K116" s="306">
        <f t="shared" ref="K116:K147" si="36">ROUND(+J116*E116,2)</f>
        <v>0</v>
      </c>
      <c r="L116" s="307">
        <f t="shared" si="22"/>
        <v>0</v>
      </c>
      <c r="M116" s="1047">
        <f>+G116+J116</f>
        <v>0</v>
      </c>
      <c r="N116" s="306">
        <f t="shared" si="35"/>
        <v>0</v>
      </c>
      <c r="O116" s="307">
        <f t="shared" si="23"/>
        <v>0</v>
      </c>
      <c r="P116" s="1047">
        <f>D116-M116</f>
        <v>100</v>
      </c>
      <c r="Q116" s="306">
        <f>F116-N116</f>
        <v>373</v>
      </c>
      <c r="R116" s="307">
        <f t="shared" si="24"/>
        <v>1</v>
      </c>
      <c r="S116" s="314"/>
      <c r="T116" s="314"/>
      <c r="U116" s="314"/>
      <c r="V116" s="314"/>
      <c r="W116" s="314"/>
      <c r="X116" s="314"/>
    </row>
    <row r="117" spans="1:24" s="313" customFormat="1" ht="16.5" customHeight="1">
      <c r="A117" s="1309"/>
      <c r="B117" s="1311" t="s">
        <v>2414</v>
      </c>
      <c r="C117" s="1312" t="s">
        <v>51</v>
      </c>
      <c r="D117" s="1303">
        <v>500</v>
      </c>
      <c r="E117" s="1313">
        <v>3.98</v>
      </c>
      <c r="F117" s="1314">
        <f t="shared" si="25"/>
        <v>1990</v>
      </c>
      <c r="G117" s="1046">
        <v>0</v>
      </c>
      <c r="H117" s="306">
        <v>0</v>
      </c>
      <c r="I117" s="307">
        <v>0</v>
      </c>
      <c r="J117" s="1046"/>
      <c r="K117" s="306">
        <f t="shared" si="36"/>
        <v>0</v>
      </c>
      <c r="L117" s="307">
        <f t="shared" si="22"/>
        <v>0</v>
      </c>
      <c r="M117" s="1047">
        <f>+G117+J117</f>
        <v>0</v>
      </c>
      <c r="N117" s="306">
        <f t="shared" si="35"/>
        <v>0</v>
      </c>
      <c r="O117" s="307">
        <f t="shared" si="23"/>
        <v>0</v>
      </c>
      <c r="P117" s="1047">
        <f>D117-M117</f>
        <v>500</v>
      </c>
      <c r="Q117" s="306">
        <f>F117-N117</f>
        <v>1990</v>
      </c>
      <c r="R117" s="307">
        <f t="shared" si="24"/>
        <v>1</v>
      </c>
      <c r="S117" s="314"/>
      <c r="T117" s="314"/>
      <c r="U117" s="314"/>
      <c r="V117" s="314"/>
      <c r="W117" s="314"/>
      <c r="X117" s="314"/>
    </row>
    <row r="118" spans="1:24" s="313" customFormat="1" ht="16.5" customHeight="1">
      <c r="A118" s="1306">
        <v>5.5</v>
      </c>
      <c r="B118" s="1307" t="s">
        <v>1945</v>
      </c>
      <c r="C118" s="1321"/>
      <c r="D118" s="1303"/>
      <c r="E118" s="1332"/>
      <c r="F118" s="1314" t="str">
        <f t="shared" si="25"/>
        <v xml:space="preserve"> </v>
      </c>
      <c r="G118" s="1046"/>
      <c r="H118" s="306"/>
      <c r="I118" s="307"/>
      <c r="J118" s="1046"/>
      <c r="K118" s="306"/>
      <c r="L118" s="307"/>
      <c r="M118" s="1047"/>
      <c r="N118" s="306"/>
      <c r="O118" s="307"/>
      <c r="P118" s="1047"/>
      <c r="Q118" s="306"/>
      <c r="R118" s="307"/>
      <c r="S118" s="314"/>
      <c r="T118" s="314"/>
      <c r="U118" s="314"/>
      <c r="V118" s="314"/>
      <c r="W118" s="314"/>
      <c r="X118" s="314"/>
    </row>
    <row r="119" spans="1:24" s="313" customFormat="1" ht="16.5" customHeight="1">
      <c r="A119" s="1309" t="s">
        <v>1440</v>
      </c>
      <c r="B119" s="1310" t="s">
        <v>1934</v>
      </c>
      <c r="C119" s="1320"/>
      <c r="D119" s="1303"/>
      <c r="E119" s="1319"/>
      <c r="F119" s="1314" t="str">
        <f t="shared" si="25"/>
        <v xml:space="preserve"> </v>
      </c>
      <c r="G119" s="1046"/>
      <c r="H119" s="306"/>
      <c r="I119" s="307"/>
      <c r="J119" s="1046"/>
      <c r="K119" s="306"/>
      <c r="L119" s="307"/>
      <c r="M119" s="1047"/>
      <c r="N119" s="306"/>
      <c r="O119" s="307"/>
      <c r="P119" s="1047"/>
      <c r="Q119" s="306"/>
      <c r="R119" s="307"/>
      <c r="S119" s="314"/>
      <c r="T119" s="314"/>
      <c r="U119" s="314"/>
      <c r="V119" s="314"/>
      <c r="W119" s="314"/>
      <c r="X119" s="314"/>
    </row>
    <row r="120" spans="1:24" s="313" customFormat="1" ht="16.5" customHeight="1">
      <c r="A120" s="1309"/>
      <c r="B120" s="1311" t="s">
        <v>2415</v>
      </c>
      <c r="C120" s="1312" t="s">
        <v>52</v>
      </c>
      <c r="D120" s="1303">
        <v>3000</v>
      </c>
      <c r="E120" s="1319">
        <v>5.72</v>
      </c>
      <c r="F120" s="1314">
        <f t="shared" si="25"/>
        <v>17160</v>
      </c>
      <c r="G120" s="1046">
        <v>2846</v>
      </c>
      <c r="H120" s="306">
        <v>16279.119999999999</v>
      </c>
      <c r="I120" s="307">
        <v>0.94866666666666666</v>
      </c>
      <c r="J120" s="1046"/>
      <c r="K120" s="306">
        <f t="shared" si="36"/>
        <v>0</v>
      </c>
      <c r="L120" s="307">
        <f t="shared" si="22"/>
        <v>0</v>
      </c>
      <c r="M120" s="1047">
        <f>+G120+J120</f>
        <v>2846</v>
      </c>
      <c r="N120" s="306">
        <f t="shared" ref="N120:N122" si="37">E120*M120</f>
        <v>16279.119999999999</v>
      </c>
      <c r="O120" s="307">
        <f t="shared" si="23"/>
        <v>0.94866666666666666</v>
      </c>
      <c r="P120" s="1047">
        <f>D120-M120</f>
        <v>154</v>
      </c>
      <c r="Q120" s="306">
        <f>F120-N120</f>
        <v>880.88000000000102</v>
      </c>
      <c r="R120" s="307">
        <f t="shared" si="24"/>
        <v>5.133333333333339E-2</v>
      </c>
      <c r="S120" s="314"/>
      <c r="T120" s="314"/>
      <c r="U120" s="314"/>
      <c r="V120" s="314"/>
      <c r="W120" s="314"/>
      <c r="X120" s="314"/>
    </row>
    <row r="121" spans="1:24" s="313" customFormat="1" ht="16.5" customHeight="1">
      <c r="A121" s="1309"/>
      <c r="B121" s="1311" t="s">
        <v>2416</v>
      </c>
      <c r="C121" s="1312" t="s">
        <v>52</v>
      </c>
      <c r="D121" s="1303">
        <v>1600</v>
      </c>
      <c r="E121" s="1319">
        <v>5.07</v>
      </c>
      <c r="F121" s="1314">
        <f t="shared" si="25"/>
        <v>8112</v>
      </c>
      <c r="G121" s="1046">
        <v>1600</v>
      </c>
      <c r="H121" s="306">
        <v>8112</v>
      </c>
      <c r="I121" s="307">
        <v>1</v>
      </c>
      <c r="J121" s="1046"/>
      <c r="K121" s="306">
        <f t="shared" si="36"/>
        <v>0</v>
      </c>
      <c r="L121" s="307">
        <f t="shared" si="22"/>
        <v>0</v>
      </c>
      <c r="M121" s="1047">
        <f>+G121+J121</f>
        <v>1600</v>
      </c>
      <c r="N121" s="306">
        <f t="shared" si="37"/>
        <v>8112</v>
      </c>
      <c r="O121" s="307">
        <f t="shared" si="23"/>
        <v>1</v>
      </c>
      <c r="P121" s="1047">
        <f>D121-M121</f>
        <v>0</v>
      </c>
      <c r="Q121" s="306">
        <f>F121-N121</f>
        <v>0</v>
      </c>
      <c r="R121" s="307">
        <f t="shared" si="24"/>
        <v>0</v>
      </c>
      <c r="S121" s="314"/>
      <c r="T121" s="314"/>
      <c r="U121" s="314"/>
      <c r="V121" s="314"/>
      <c r="W121" s="314"/>
      <c r="X121" s="314"/>
    </row>
    <row r="122" spans="1:24" s="313" customFormat="1" ht="16.5" customHeight="1">
      <c r="A122" s="1309"/>
      <c r="B122" s="1311" t="s">
        <v>2417</v>
      </c>
      <c r="C122" s="1312" t="s">
        <v>52</v>
      </c>
      <c r="D122" s="1303">
        <v>2500</v>
      </c>
      <c r="E122" s="1319">
        <v>4.6399999999999997</v>
      </c>
      <c r="F122" s="1314">
        <f t="shared" si="25"/>
        <v>11600</v>
      </c>
      <c r="G122" s="1046">
        <v>2500</v>
      </c>
      <c r="H122" s="306">
        <v>11600</v>
      </c>
      <c r="I122" s="307">
        <v>1</v>
      </c>
      <c r="J122" s="1046"/>
      <c r="K122" s="306">
        <f t="shared" si="36"/>
        <v>0</v>
      </c>
      <c r="L122" s="307">
        <f t="shared" si="22"/>
        <v>0</v>
      </c>
      <c r="M122" s="1047">
        <f>+G122+J122</f>
        <v>2500</v>
      </c>
      <c r="N122" s="306">
        <f t="shared" si="37"/>
        <v>11600</v>
      </c>
      <c r="O122" s="307">
        <f t="shared" si="23"/>
        <v>1</v>
      </c>
      <c r="P122" s="1047">
        <f>D122-M122</f>
        <v>0</v>
      </c>
      <c r="Q122" s="306">
        <f>F122-N122</f>
        <v>0</v>
      </c>
      <c r="R122" s="307">
        <f t="shared" si="24"/>
        <v>0</v>
      </c>
      <c r="S122" s="314"/>
      <c r="T122" s="314"/>
      <c r="U122" s="314"/>
      <c r="V122" s="314"/>
      <c r="W122" s="314"/>
      <c r="X122" s="314"/>
    </row>
    <row r="123" spans="1:24" s="313" customFormat="1" ht="16.5" customHeight="1">
      <c r="A123" s="1309" t="s">
        <v>1442</v>
      </c>
      <c r="B123" s="1310" t="s">
        <v>1947</v>
      </c>
      <c r="C123" s="1320"/>
      <c r="D123" s="1303"/>
      <c r="E123" s="1319"/>
      <c r="F123" s="1314" t="str">
        <f t="shared" si="25"/>
        <v xml:space="preserve"> </v>
      </c>
      <c r="G123" s="1046"/>
      <c r="H123" s="306"/>
      <c r="I123" s="307"/>
      <c r="J123" s="1046"/>
      <c r="K123" s="306"/>
      <c r="L123" s="307"/>
      <c r="M123" s="1047"/>
      <c r="N123" s="306"/>
      <c r="O123" s="307"/>
      <c r="P123" s="1047"/>
      <c r="Q123" s="306"/>
      <c r="R123" s="307"/>
      <c r="S123" s="314"/>
      <c r="T123" s="314"/>
      <c r="U123" s="314"/>
      <c r="V123" s="314"/>
      <c r="W123" s="314"/>
      <c r="X123" s="314"/>
    </row>
    <row r="124" spans="1:24" s="313" customFormat="1" ht="16.5" customHeight="1">
      <c r="A124" s="1428"/>
      <c r="B124" s="1351" t="s">
        <v>2418</v>
      </c>
      <c r="C124" s="1352" t="s">
        <v>51</v>
      </c>
      <c r="D124" s="1409">
        <v>8400</v>
      </c>
      <c r="E124" s="1429">
        <v>3.81</v>
      </c>
      <c r="F124" s="1304">
        <f t="shared" si="25"/>
        <v>32004</v>
      </c>
      <c r="G124" s="1046">
        <v>8400</v>
      </c>
      <c r="H124" s="306">
        <v>32004</v>
      </c>
      <c r="I124" s="307">
        <v>1</v>
      </c>
      <c r="J124" s="1046"/>
      <c r="K124" s="306">
        <f>J124*E124</f>
        <v>0</v>
      </c>
      <c r="L124" s="307">
        <f t="shared" si="22"/>
        <v>0</v>
      </c>
      <c r="M124" s="1046">
        <f>+G124+J124</f>
        <v>8400</v>
      </c>
      <c r="N124" s="306">
        <f t="shared" ref="N124:N125" si="38">E124*M124</f>
        <v>32004</v>
      </c>
      <c r="O124" s="307">
        <f t="shared" si="23"/>
        <v>1</v>
      </c>
      <c r="P124" s="1047">
        <f>D124-M124</f>
        <v>0</v>
      </c>
      <c r="Q124" s="306">
        <f>F124-N124</f>
        <v>0</v>
      </c>
      <c r="R124" s="307">
        <f t="shared" si="24"/>
        <v>0</v>
      </c>
      <c r="S124" s="314"/>
      <c r="T124" s="314"/>
      <c r="U124" s="314"/>
      <c r="V124" s="314"/>
      <c r="W124" s="314"/>
      <c r="X124" s="314"/>
    </row>
    <row r="125" spans="1:24" s="313" customFormat="1" ht="16.5" customHeight="1">
      <c r="A125" s="1428"/>
      <c r="B125" s="1351" t="s">
        <v>1949</v>
      </c>
      <c r="C125" s="1352" t="s">
        <v>51</v>
      </c>
      <c r="D125" s="1409">
        <v>9714.5470000000005</v>
      </c>
      <c r="E125" s="1429">
        <v>5.0999999999999996</v>
      </c>
      <c r="F125" s="1304">
        <f t="shared" si="25"/>
        <v>49544.19</v>
      </c>
      <c r="G125" s="1046">
        <v>9714.5499999999993</v>
      </c>
      <c r="H125" s="306">
        <v>49544.204999999994</v>
      </c>
      <c r="I125" s="307">
        <v>1.0000003027600208</v>
      </c>
      <c r="J125" s="1046"/>
      <c r="K125" s="306">
        <f>J125*E125</f>
        <v>0</v>
      </c>
      <c r="L125" s="307">
        <f t="shared" si="22"/>
        <v>0</v>
      </c>
      <c r="M125" s="1046">
        <f>+G125+J125</f>
        <v>9714.5499999999993</v>
      </c>
      <c r="N125" s="306">
        <f t="shared" si="38"/>
        <v>49544.204999999994</v>
      </c>
      <c r="O125" s="307">
        <f t="shared" si="23"/>
        <v>1.0000003027600208</v>
      </c>
      <c r="P125" s="1047">
        <f>D125-M125</f>
        <v>-2.999999998792191E-3</v>
      </c>
      <c r="Q125" s="306">
        <f>F125-N125</f>
        <v>-1.4999999992141966E-2</v>
      </c>
      <c r="R125" s="307">
        <f t="shared" si="24"/>
        <v>-3.0276002074394524E-7</v>
      </c>
      <c r="S125" s="314"/>
      <c r="T125" s="314"/>
      <c r="U125" s="314"/>
      <c r="V125" s="314"/>
      <c r="W125" s="314"/>
      <c r="X125" s="314"/>
    </row>
    <row r="126" spans="1:24" s="313" customFormat="1" ht="16.5" customHeight="1">
      <c r="A126" s="1309" t="s">
        <v>1445</v>
      </c>
      <c r="B126" s="1310" t="s">
        <v>1950</v>
      </c>
      <c r="C126" s="1320"/>
      <c r="D126" s="1303"/>
      <c r="E126" s="1319"/>
      <c r="F126" s="1314" t="str">
        <f t="shared" si="25"/>
        <v xml:space="preserve"> </v>
      </c>
      <c r="G126" s="1046"/>
      <c r="H126" s="306">
        <v>0</v>
      </c>
      <c r="I126" s="307"/>
      <c r="J126" s="1046"/>
      <c r="K126" s="306">
        <f t="shared" si="36"/>
        <v>0</v>
      </c>
      <c r="L126" s="307"/>
      <c r="M126" s="1046"/>
      <c r="N126" s="306">
        <f t="shared" si="35"/>
        <v>0</v>
      </c>
      <c r="O126" s="307"/>
      <c r="P126" s="1047"/>
      <c r="Q126" s="306"/>
      <c r="R126" s="307"/>
      <c r="S126" s="314"/>
      <c r="T126" s="314"/>
      <c r="U126" s="314"/>
      <c r="V126" s="314"/>
      <c r="W126" s="314"/>
      <c r="X126" s="314"/>
    </row>
    <row r="127" spans="1:24" s="313" customFormat="1" ht="16.5" customHeight="1">
      <c r="A127" s="1452"/>
      <c r="B127" s="1453" t="s">
        <v>2419</v>
      </c>
      <c r="C127" s="1454" t="s">
        <v>1145</v>
      </c>
      <c r="D127" s="1409">
        <v>12</v>
      </c>
      <c r="E127" s="1455">
        <v>21.38</v>
      </c>
      <c r="F127" s="1304">
        <f t="shared" si="25"/>
        <v>256.56</v>
      </c>
      <c r="G127" s="1046">
        <v>5</v>
      </c>
      <c r="H127" s="306">
        <v>106.89999999999999</v>
      </c>
      <c r="I127" s="307">
        <v>0.41666666666666663</v>
      </c>
      <c r="J127" s="1046"/>
      <c r="K127" s="306">
        <f>J127*E127</f>
        <v>0</v>
      </c>
      <c r="L127" s="307">
        <f t="shared" si="22"/>
        <v>0</v>
      </c>
      <c r="M127" s="1046">
        <f t="shared" ref="M127:M164" si="39">+G127+J127</f>
        <v>5</v>
      </c>
      <c r="N127" s="306">
        <f t="shared" ref="N127:N129" si="40">E127*M127</f>
        <v>106.89999999999999</v>
      </c>
      <c r="O127" s="307">
        <f t="shared" si="23"/>
        <v>0.41666666666666663</v>
      </c>
      <c r="P127" s="1046">
        <f>D127-M127</f>
        <v>7</v>
      </c>
      <c r="Q127" s="306">
        <f>F127-N127</f>
        <v>149.66000000000003</v>
      </c>
      <c r="R127" s="307">
        <f t="shared" si="24"/>
        <v>0.58333333333333337</v>
      </c>
      <c r="S127" s="314"/>
      <c r="T127" s="314"/>
      <c r="U127" s="314"/>
      <c r="V127" s="314"/>
      <c r="W127" s="314"/>
      <c r="X127" s="314"/>
    </row>
    <row r="128" spans="1:24" s="313" customFormat="1" ht="16.5" customHeight="1">
      <c r="A128" s="1452"/>
      <c r="B128" s="1453" t="s">
        <v>2420</v>
      </c>
      <c r="C128" s="1454" t="s">
        <v>1145</v>
      </c>
      <c r="D128" s="1409">
        <v>70</v>
      </c>
      <c r="E128" s="1455">
        <v>25.84</v>
      </c>
      <c r="F128" s="1304">
        <f t="shared" si="25"/>
        <v>1808.8</v>
      </c>
      <c r="G128" s="1046">
        <v>30</v>
      </c>
      <c r="H128" s="306">
        <v>775.2</v>
      </c>
      <c r="I128" s="307">
        <v>0.4285714285714286</v>
      </c>
      <c r="J128" s="1046"/>
      <c r="K128" s="306">
        <f>J128*E128</f>
        <v>0</v>
      </c>
      <c r="L128" s="307">
        <f t="shared" si="22"/>
        <v>0</v>
      </c>
      <c r="M128" s="1046">
        <f t="shared" si="39"/>
        <v>30</v>
      </c>
      <c r="N128" s="306">
        <f t="shared" si="40"/>
        <v>775.2</v>
      </c>
      <c r="O128" s="307">
        <f t="shared" si="23"/>
        <v>0.4285714285714286</v>
      </c>
      <c r="P128" s="1046">
        <f>D128-M128</f>
        <v>40</v>
      </c>
      <c r="Q128" s="306">
        <f>F128-N128</f>
        <v>1033.5999999999999</v>
      </c>
      <c r="R128" s="307">
        <f t="shared" si="24"/>
        <v>0.5714285714285714</v>
      </c>
      <c r="S128" s="314"/>
      <c r="T128" s="314"/>
      <c r="U128" s="314"/>
      <c r="V128" s="314"/>
      <c r="W128" s="314"/>
      <c r="X128" s="314"/>
    </row>
    <row r="129" spans="1:24" s="313" customFormat="1" ht="16.5" customHeight="1">
      <c r="A129" s="1452"/>
      <c r="B129" s="1453" t="s">
        <v>2421</v>
      </c>
      <c r="C129" s="1454" t="s">
        <v>1145</v>
      </c>
      <c r="D129" s="1409">
        <v>5</v>
      </c>
      <c r="E129" s="1455">
        <v>30.84</v>
      </c>
      <c r="F129" s="1304">
        <f t="shared" si="25"/>
        <v>154.19999999999999</v>
      </c>
      <c r="G129" s="1046">
        <v>2</v>
      </c>
      <c r="H129" s="306">
        <v>61.68</v>
      </c>
      <c r="I129" s="307">
        <v>0.4</v>
      </c>
      <c r="J129" s="1046"/>
      <c r="K129" s="306">
        <f>J129*E129</f>
        <v>0</v>
      </c>
      <c r="L129" s="307">
        <f t="shared" si="22"/>
        <v>0</v>
      </c>
      <c r="M129" s="1046">
        <f t="shared" si="39"/>
        <v>2</v>
      </c>
      <c r="N129" s="306">
        <f t="shared" si="40"/>
        <v>61.68</v>
      </c>
      <c r="O129" s="307">
        <f t="shared" si="23"/>
        <v>0.4</v>
      </c>
      <c r="P129" s="1046">
        <f>D129-M129</f>
        <v>3</v>
      </c>
      <c r="Q129" s="306">
        <f>F129-N129</f>
        <v>92.519999999999982</v>
      </c>
      <c r="R129" s="307">
        <f t="shared" si="24"/>
        <v>0.6</v>
      </c>
      <c r="S129" s="314"/>
      <c r="T129" s="314"/>
      <c r="U129" s="314"/>
      <c r="V129" s="314"/>
      <c r="W129" s="314"/>
      <c r="X129" s="314"/>
    </row>
    <row r="130" spans="1:24" s="2086" customFormat="1" ht="16.5" customHeight="1">
      <c r="A130" s="2081">
        <v>5.6</v>
      </c>
      <c r="B130" s="2082" t="s">
        <v>1960</v>
      </c>
      <c r="C130" s="2081"/>
      <c r="D130" s="2083"/>
      <c r="E130" s="2084"/>
      <c r="F130" s="2085"/>
      <c r="G130" s="1975">
        <v>0</v>
      </c>
      <c r="H130" s="1967">
        <v>0</v>
      </c>
      <c r="I130" s="1968"/>
      <c r="J130" s="1975"/>
      <c r="K130" s="1967">
        <f t="shared" si="36"/>
        <v>0</v>
      </c>
      <c r="L130" s="1968"/>
      <c r="M130" s="1970">
        <f t="shared" si="39"/>
        <v>0</v>
      </c>
      <c r="N130" s="1967">
        <f t="shared" si="35"/>
        <v>0</v>
      </c>
      <c r="O130" s="1968"/>
      <c r="P130" s="1975"/>
      <c r="Q130" s="1967"/>
      <c r="R130" s="1968"/>
      <c r="S130" s="1971"/>
      <c r="T130" s="1971"/>
      <c r="U130" s="1971"/>
      <c r="V130" s="1971"/>
      <c r="W130" s="1971"/>
      <c r="X130" s="1971"/>
    </row>
    <row r="131" spans="1:24" s="313" customFormat="1" ht="16.5" customHeight="1">
      <c r="A131" s="1309"/>
      <c r="B131" s="1311" t="s">
        <v>2422</v>
      </c>
      <c r="C131" s="1312" t="s">
        <v>52</v>
      </c>
      <c r="D131" s="1303">
        <v>80</v>
      </c>
      <c r="E131" s="1319">
        <v>145.11000000000001</v>
      </c>
      <c r="F131" s="1314">
        <f t="shared" si="25"/>
        <v>11608.8</v>
      </c>
      <c r="G131" s="1046">
        <v>0</v>
      </c>
      <c r="H131" s="306">
        <v>0</v>
      </c>
      <c r="I131" s="307">
        <v>0</v>
      </c>
      <c r="J131" s="1046"/>
      <c r="K131" s="306">
        <f t="shared" si="36"/>
        <v>0</v>
      </c>
      <c r="L131" s="307">
        <f t="shared" si="22"/>
        <v>0</v>
      </c>
      <c r="M131" s="1047">
        <f t="shared" si="39"/>
        <v>0</v>
      </c>
      <c r="N131" s="306">
        <f t="shared" si="35"/>
        <v>0</v>
      </c>
      <c r="O131" s="307">
        <f t="shared" si="23"/>
        <v>0</v>
      </c>
      <c r="P131" s="1047">
        <f t="shared" ref="P131:P145" si="41">D131-M131</f>
        <v>80</v>
      </c>
      <c r="Q131" s="306">
        <f t="shared" ref="Q131:Q145" si="42">F131-N131</f>
        <v>11608.8</v>
      </c>
      <c r="R131" s="307">
        <f t="shared" si="24"/>
        <v>1</v>
      </c>
      <c r="S131" s="314"/>
      <c r="T131" s="314"/>
      <c r="U131" s="314"/>
      <c r="V131" s="314"/>
      <c r="W131" s="314"/>
      <c r="X131" s="314"/>
    </row>
    <row r="132" spans="1:24" s="313" customFormat="1" ht="16.5" customHeight="1">
      <c r="A132" s="1309"/>
      <c r="B132" s="1311" t="s">
        <v>2423</v>
      </c>
      <c r="C132" s="1312" t="s">
        <v>52</v>
      </c>
      <c r="D132" s="1303">
        <v>30</v>
      </c>
      <c r="E132" s="1319">
        <v>121.41</v>
      </c>
      <c r="F132" s="1314">
        <f t="shared" si="25"/>
        <v>3642.3</v>
      </c>
      <c r="G132" s="1046">
        <v>0</v>
      </c>
      <c r="H132" s="306">
        <v>0</v>
      </c>
      <c r="I132" s="307">
        <v>0</v>
      </c>
      <c r="J132" s="1046"/>
      <c r="K132" s="306">
        <f t="shared" si="36"/>
        <v>0</v>
      </c>
      <c r="L132" s="307">
        <f t="shared" si="22"/>
        <v>0</v>
      </c>
      <c r="M132" s="1047">
        <f t="shared" si="39"/>
        <v>0</v>
      </c>
      <c r="N132" s="306">
        <f t="shared" si="35"/>
        <v>0</v>
      </c>
      <c r="O132" s="307">
        <f t="shared" si="23"/>
        <v>0</v>
      </c>
      <c r="P132" s="1047">
        <f t="shared" si="41"/>
        <v>30</v>
      </c>
      <c r="Q132" s="306">
        <f t="shared" si="42"/>
        <v>3642.3</v>
      </c>
      <c r="R132" s="307">
        <f t="shared" si="24"/>
        <v>1</v>
      </c>
      <c r="S132" s="314"/>
      <c r="T132" s="314"/>
      <c r="U132" s="314"/>
      <c r="V132" s="314"/>
      <c r="W132" s="314"/>
      <c r="X132" s="314"/>
    </row>
    <row r="133" spans="1:24" s="313" customFormat="1" ht="16.5" customHeight="1">
      <c r="A133" s="1309"/>
      <c r="B133" s="1311" t="s">
        <v>2424</v>
      </c>
      <c r="C133" s="1312" t="s">
        <v>52</v>
      </c>
      <c r="D133" s="1303">
        <v>110</v>
      </c>
      <c r="E133" s="1319">
        <v>111.41</v>
      </c>
      <c r="F133" s="1314">
        <f t="shared" si="25"/>
        <v>12255.1</v>
      </c>
      <c r="G133" s="1046">
        <v>0</v>
      </c>
      <c r="H133" s="306">
        <v>0</v>
      </c>
      <c r="I133" s="307">
        <v>0</v>
      </c>
      <c r="J133" s="1046"/>
      <c r="K133" s="306">
        <f t="shared" si="36"/>
        <v>0</v>
      </c>
      <c r="L133" s="307">
        <f t="shared" si="22"/>
        <v>0</v>
      </c>
      <c r="M133" s="1047">
        <f t="shared" si="39"/>
        <v>0</v>
      </c>
      <c r="N133" s="306">
        <f t="shared" si="35"/>
        <v>0</v>
      </c>
      <c r="O133" s="307">
        <f t="shared" si="23"/>
        <v>0</v>
      </c>
      <c r="P133" s="1047">
        <f t="shared" si="41"/>
        <v>110</v>
      </c>
      <c r="Q133" s="306">
        <f t="shared" si="42"/>
        <v>12255.1</v>
      </c>
      <c r="R133" s="307">
        <f t="shared" si="24"/>
        <v>1</v>
      </c>
      <c r="S133" s="314"/>
      <c r="T133" s="314"/>
      <c r="U133" s="314"/>
      <c r="V133" s="314"/>
      <c r="W133" s="314"/>
      <c r="X133" s="314"/>
    </row>
    <row r="134" spans="1:24" s="313" customFormat="1" ht="16.5" customHeight="1">
      <c r="A134" s="1309"/>
      <c r="B134" s="1311" t="s">
        <v>2425</v>
      </c>
      <c r="C134" s="1312" t="s">
        <v>52</v>
      </c>
      <c r="D134" s="1303">
        <v>65</v>
      </c>
      <c r="E134" s="1319">
        <v>74.55</v>
      </c>
      <c r="F134" s="1314">
        <f t="shared" si="25"/>
        <v>4845.75</v>
      </c>
      <c r="G134" s="1046">
        <v>0</v>
      </c>
      <c r="H134" s="306">
        <v>0</v>
      </c>
      <c r="I134" s="307">
        <v>0</v>
      </c>
      <c r="J134" s="1046"/>
      <c r="K134" s="306">
        <f t="shared" si="36"/>
        <v>0</v>
      </c>
      <c r="L134" s="307">
        <f t="shared" si="22"/>
        <v>0</v>
      </c>
      <c r="M134" s="1047">
        <f t="shared" si="39"/>
        <v>0</v>
      </c>
      <c r="N134" s="306">
        <f t="shared" si="35"/>
        <v>0</v>
      </c>
      <c r="O134" s="307">
        <f t="shared" si="23"/>
        <v>0</v>
      </c>
      <c r="P134" s="1047">
        <f t="shared" si="41"/>
        <v>65</v>
      </c>
      <c r="Q134" s="306">
        <f t="shared" si="42"/>
        <v>4845.75</v>
      </c>
      <c r="R134" s="307">
        <f t="shared" si="24"/>
        <v>1</v>
      </c>
      <c r="S134" s="314"/>
      <c r="T134" s="314"/>
      <c r="U134" s="314"/>
      <c r="V134" s="314"/>
      <c r="W134" s="314"/>
      <c r="X134" s="314"/>
    </row>
    <row r="135" spans="1:24" s="313" customFormat="1" ht="16.5" customHeight="1">
      <c r="A135" s="1309"/>
      <c r="B135" s="1311" t="s">
        <v>2426</v>
      </c>
      <c r="C135" s="1312" t="s">
        <v>52</v>
      </c>
      <c r="D135" s="1303">
        <v>35</v>
      </c>
      <c r="E135" s="1319">
        <v>74.55</v>
      </c>
      <c r="F135" s="1314">
        <f t="shared" si="25"/>
        <v>2609.25</v>
      </c>
      <c r="G135" s="1046">
        <v>0</v>
      </c>
      <c r="H135" s="306">
        <v>0</v>
      </c>
      <c r="I135" s="307">
        <v>0</v>
      </c>
      <c r="J135" s="1046"/>
      <c r="K135" s="306">
        <f t="shared" si="36"/>
        <v>0</v>
      </c>
      <c r="L135" s="307">
        <f t="shared" si="22"/>
        <v>0</v>
      </c>
      <c r="M135" s="1047">
        <f t="shared" si="39"/>
        <v>0</v>
      </c>
      <c r="N135" s="306">
        <f t="shared" si="35"/>
        <v>0</v>
      </c>
      <c r="O135" s="307">
        <f t="shared" si="23"/>
        <v>0</v>
      </c>
      <c r="P135" s="1047">
        <f t="shared" si="41"/>
        <v>35</v>
      </c>
      <c r="Q135" s="306">
        <f t="shared" si="42"/>
        <v>2609.25</v>
      </c>
      <c r="R135" s="307">
        <f t="shared" si="24"/>
        <v>1</v>
      </c>
      <c r="S135" s="314"/>
      <c r="T135" s="314"/>
      <c r="U135" s="314"/>
      <c r="V135" s="314"/>
      <c r="W135" s="314"/>
      <c r="X135" s="314"/>
    </row>
    <row r="136" spans="1:24" s="313" customFormat="1" ht="16.5" customHeight="1">
      <c r="A136" s="1309"/>
      <c r="B136" s="1311" t="s">
        <v>2427</v>
      </c>
      <c r="C136" s="1312" t="s">
        <v>52</v>
      </c>
      <c r="D136" s="1303">
        <v>12</v>
      </c>
      <c r="E136" s="1319">
        <v>141.41</v>
      </c>
      <c r="F136" s="1314">
        <f t="shared" si="25"/>
        <v>1696.92</v>
      </c>
      <c r="G136" s="1046">
        <v>0</v>
      </c>
      <c r="H136" s="306">
        <v>0</v>
      </c>
      <c r="I136" s="307">
        <v>0</v>
      </c>
      <c r="J136" s="1046"/>
      <c r="K136" s="306">
        <f t="shared" si="36"/>
        <v>0</v>
      </c>
      <c r="L136" s="307">
        <f t="shared" si="22"/>
        <v>0</v>
      </c>
      <c r="M136" s="1047">
        <f t="shared" si="39"/>
        <v>0</v>
      </c>
      <c r="N136" s="306">
        <f t="shared" si="35"/>
        <v>0</v>
      </c>
      <c r="O136" s="307">
        <f t="shared" si="23"/>
        <v>0</v>
      </c>
      <c r="P136" s="1047">
        <f t="shared" si="41"/>
        <v>12</v>
      </c>
      <c r="Q136" s="306">
        <f t="shared" si="42"/>
        <v>1696.92</v>
      </c>
      <c r="R136" s="307">
        <f t="shared" si="24"/>
        <v>1</v>
      </c>
      <c r="S136" s="314"/>
      <c r="T136" s="314"/>
      <c r="U136" s="314"/>
      <c r="V136" s="314"/>
      <c r="W136" s="314"/>
      <c r="X136" s="314"/>
    </row>
    <row r="137" spans="1:24" s="313" customFormat="1" ht="16.5" customHeight="1">
      <c r="A137" s="1309"/>
      <c r="B137" s="1311" t="s">
        <v>2428</v>
      </c>
      <c r="C137" s="1312" t="s">
        <v>52</v>
      </c>
      <c r="D137" s="1303">
        <v>35</v>
      </c>
      <c r="E137" s="1319">
        <v>64.55</v>
      </c>
      <c r="F137" s="1314">
        <f t="shared" si="25"/>
        <v>2259.25</v>
      </c>
      <c r="G137" s="1046">
        <v>0</v>
      </c>
      <c r="H137" s="306">
        <v>0</v>
      </c>
      <c r="I137" s="307">
        <v>0</v>
      </c>
      <c r="J137" s="1046"/>
      <c r="K137" s="306">
        <f t="shared" si="36"/>
        <v>0</v>
      </c>
      <c r="L137" s="307">
        <f t="shared" si="22"/>
        <v>0</v>
      </c>
      <c r="M137" s="1047">
        <f t="shared" si="39"/>
        <v>0</v>
      </c>
      <c r="N137" s="306">
        <f t="shared" si="35"/>
        <v>0</v>
      </c>
      <c r="O137" s="307">
        <f t="shared" si="23"/>
        <v>0</v>
      </c>
      <c r="P137" s="1047">
        <f t="shared" si="41"/>
        <v>35</v>
      </c>
      <c r="Q137" s="306">
        <f t="shared" si="42"/>
        <v>2259.25</v>
      </c>
      <c r="R137" s="307">
        <f t="shared" si="24"/>
        <v>1</v>
      </c>
      <c r="S137" s="314"/>
      <c r="T137" s="314"/>
      <c r="U137" s="314"/>
      <c r="V137" s="314"/>
      <c r="W137" s="314"/>
      <c r="X137" s="314"/>
    </row>
    <row r="138" spans="1:24" s="313" customFormat="1" ht="16.5" customHeight="1">
      <c r="A138" s="1309"/>
      <c r="B138" s="1311" t="s">
        <v>2429</v>
      </c>
      <c r="C138" s="1312" t="s">
        <v>52</v>
      </c>
      <c r="D138" s="1303">
        <v>4</v>
      </c>
      <c r="E138" s="1319">
        <v>712.91</v>
      </c>
      <c r="F138" s="1314">
        <f t="shared" si="25"/>
        <v>2851.64</v>
      </c>
      <c r="G138" s="1046">
        <v>0</v>
      </c>
      <c r="H138" s="306">
        <v>0</v>
      </c>
      <c r="I138" s="307">
        <v>0</v>
      </c>
      <c r="J138" s="1046"/>
      <c r="K138" s="306">
        <f t="shared" si="36"/>
        <v>0</v>
      </c>
      <c r="L138" s="307">
        <f t="shared" si="22"/>
        <v>0</v>
      </c>
      <c r="M138" s="1047">
        <f t="shared" si="39"/>
        <v>0</v>
      </c>
      <c r="N138" s="306">
        <f t="shared" si="35"/>
        <v>0</v>
      </c>
      <c r="O138" s="307">
        <f t="shared" si="23"/>
        <v>0</v>
      </c>
      <c r="P138" s="1047">
        <f t="shared" si="41"/>
        <v>4</v>
      </c>
      <c r="Q138" s="306">
        <f t="shared" si="42"/>
        <v>2851.64</v>
      </c>
      <c r="R138" s="307">
        <f t="shared" si="24"/>
        <v>1</v>
      </c>
      <c r="S138" s="314"/>
      <c r="T138" s="314"/>
      <c r="U138" s="314"/>
      <c r="V138" s="314"/>
      <c r="W138" s="314"/>
      <c r="X138" s="314"/>
    </row>
    <row r="139" spans="1:24" s="313" customFormat="1" ht="16.5" customHeight="1">
      <c r="A139" s="1309"/>
      <c r="B139" s="1311" t="s">
        <v>2430</v>
      </c>
      <c r="C139" s="1312" t="s">
        <v>52</v>
      </c>
      <c r="D139" s="1303">
        <v>4</v>
      </c>
      <c r="E139" s="1319">
        <v>359.55</v>
      </c>
      <c r="F139" s="1314">
        <f t="shared" si="25"/>
        <v>1438.2</v>
      </c>
      <c r="G139" s="1046">
        <v>0</v>
      </c>
      <c r="H139" s="306">
        <v>0</v>
      </c>
      <c r="I139" s="307">
        <v>0</v>
      </c>
      <c r="J139" s="1046"/>
      <c r="K139" s="306">
        <f t="shared" si="36"/>
        <v>0</v>
      </c>
      <c r="L139" s="307">
        <f t="shared" si="22"/>
        <v>0</v>
      </c>
      <c r="M139" s="1047">
        <f t="shared" si="39"/>
        <v>0</v>
      </c>
      <c r="N139" s="306">
        <f t="shared" si="35"/>
        <v>0</v>
      </c>
      <c r="O139" s="307">
        <f t="shared" si="23"/>
        <v>0</v>
      </c>
      <c r="P139" s="1047">
        <f t="shared" si="41"/>
        <v>4</v>
      </c>
      <c r="Q139" s="306">
        <f t="shared" si="42"/>
        <v>1438.2</v>
      </c>
      <c r="R139" s="307">
        <f t="shared" si="24"/>
        <v>1</v>
      </c>
      <c r="S139" s="314"/>
      <c r="T139" s="314"/>
      <c r="U139" s="314"/>
      <c r="V139" s="314"/>
      <c r="W139" s="314"/>
      <c r="X139" s="314"/>
    </row>
    <row r="140" spans="1:24" s="313" customFormat="1" ht="16.5" customHeight="1">
      <c r="A140" s="1309"/>
      <c r="B140" s="1311" t="s">
        <v>2431</v>
      </c>
      <c r="C140" s="1312" t="s">
        <v>52</v>
      </c>
      <c r="D140" s="1303">
        <v>6</v>
      </c>
      <c r="E140" s="1319">
        <v>51.83</v>
      </c>
      <c r="F140" s="1314">
        <f t="shared" si="25"/>
        <v>310.98</v>
      </c>
      <c r="G140" s="1046">
        <v>0</v>
      </c>
      <c r="H140" s="306">
        <v>0</v>
      </c>
      <c r="I140" s="307">
        <v>0</v>
      </c>
      <c r="J140" s="1046"/>
      <c r="K140" s="306">
        <f t="shared" si="36"/>
        <v>0</v>
      </c>
      <c r="L140" s="307">
        <f t="shared" si="22"/>
        <v>0</v>
      </c>
      <c r="M140" s="1047">
        <f t="shared" si="39"/>
        <v>0</v>
      </c>
      <c r="N140" s="306">
        <f t="shared" si="35"/>
        <v>0</v>
      </c>
      <c r="O140" s="307">
        <f t="shared" si="23"/>
        <v>0</v>
      </c>
      <c r="P140" s="1047">
        <f t="shared" si="41"/>
        <v>6</v>
      </c>
      <c r="Q140" s="306">
        <f t="shared" si="42"/>
        <v>310.98</v>
      </c>
      <c r="R140" s="307">
        <f t="shared" si="24"/>
        <v>1</v>
      </c>
      <c r="S140" s="314"/>
      <c r="T140" s="314"/>
      <c r="U140" s="314"/>
      <c r="V140" s="314"/>
      <c r="W140" s="314"/>
      <c r="X140" s="314"/>
    </row>
    <row r="141" spans="1:24" s="313" customFormat="1" ht="16.5" customHeight="1">
      <c r="A141" s="1309"/>
      <c r="B141" s="1311" t="s">
        <v>2432</v>
      </c>
      <c r="C141" s="1312" t="s">
        <v>52</v>
      </c>
      <c r="D141" s="1303">
        <v>8</v>
      </c>
      <c r="E141" s="1319">
        <v>51.83</v>
      </c>
      <c r="F141" s="1314">
        <f t="shared" si="25"/>
        <v>414.64</v>
      </c>
      <c r="G141" s="1046">
        <v>0</v>
      </c>
      <c r="H141" s="306">
        <v>0</v>
      </c>
      <c r="I141" s="307">
        <v>0</v>
      </c>
      <c r="J141" s="1046"/>
      <c r="K141" s="306">
        <f t="shared" si="36"/>
        <v>0</v>
      </c>
      <c r="L141" s="307">
        <f t="shared" si="22"/>
        <v>0</v>
      </c>
      <c r="M141" s="1047">
        <f t="shared" si="39"/>
        <v>0</v>
      </c>
      <c r="N141" s="306">
        <f t="shared" si="35"/>
        <v>0</v>
      </c>
      <c r="O141" s="307">
        <f t="shared" si="23"/>
        <v>0</v>
      </c>
      <c r="P141" s="1047">
        <f t="shared" si="41"/>
        <v>8</v>
      </c>
      <c r="Q141" s="306">
        <f t="shared" si="42"/>
        <v>414.64</v>
      </c>
      <c r="R141" s="307">
        <f t="shared" si="24"/>
        <v>1</v>
      </c>
      <c r="S141" s="314"/>
      <c r="T141" s="314"/>
      <c r="U141" s="314"/>
      <c r="V141" s="314"/>
      <c r="W141" s="314"/>
      <c r="X141" s="314"/>
    </row>
    <row r="142" spans="1:24" s="313" customFormat="1" ht="16.5" customHeight="1">
      <c r="A142" s="1309"/>
      <c r="B142" s="1311" t="s">
        <v>2433</v>
      </c>
      <c r="C142" s="1312" t="s">
        <v>52</v>
      </c>
      <c r="D142" s="1303">
        <v>24</v>
      </c>
      <c r="E142" s="1319">
        <v>46.48</v>
      </c>
      <c r="F142" s="1314">
        <f t="shared" si="25"/>
        <v>1115.52</v>
      </c>
      <c r="G142" s="1046">
        <v>0</v>
      </c>
      <c r="H142" s="306">
        <v>0</v>
      </c>
      <c r="I142" s="307">
        <v>0</v>
      </c>
      <c r="J142" s="1046"/>
      <c r="K142" s="306">
        <f t="shared" si="36"/>
        <v>0</v>
      </c>
      <c r="L142" s="307">
        <f t="shared" si="22"/>
        <v>0</v>
      </c>
      <c r="M142" s="1047">
        <f t="shared" si="39"/>
        <v>0</v>
      </c>
      <c r="N142" s="306">
        <f t="shared" si="35"/>
        <v>0</v>
      </c>
      <c r="O142" s="307">
        <f t="shared" si="23"/>
        <v>0</v>
      </c>
      <c r="P142" s="1047">
        <f t="shared" si="41"/>
        <v>24</v>
      </c>
      <c r="Q142" s="306">
        <f t="shared" si="42"/>
        <v>1115.52</v>
      </c>
      <c r="R142" s="307">
        <f t="shared" si="24"/>
        <v>1</v>
      </c>
      <c r="S142" s="314"/>
      <c r="T142" s="314"/>
      <c r="U142" s="314"/>
      <c r="V142" s="314"/>
      <c r="W142" s="314"/>
      <c r="X142" s="314"/>
    </row>
    <row r="143" spans="1:24" s="313" customFormat="1" ht="16.5" customHeight="1">
      <c r="A143" s="1309"/>
      <c r="B143" s="1311" t="s">
        <v>2434</v>
      </c>
      <c r="C143" s="1312" t="s">
        <v>52</v>
      </c>
      <c r="D143" s="1303">
        <v>5</v>
      </c>
      <c r="E143" s="1319">
        <v>64.650000000000006</v>
      </c>
      <c r="F143" s="1314">
        <f t="shared" si="25"/>
        <v>323.25</v>
      </c>
      <c r="G143" s="1046">
        <v>0</v>
      </c>
      <c r="H143" s="306">
        <v>0</v>
      </c>
      <c r="I143" s="307">
        <v>0</v>
      </c>
      <c r="J143" s="1046"/>
      <c r="K143" s="306">
        <f t="shared" si="36"/>
        <v>0</v>
      </c>
      <c r="L143" s="307">
        <f t="shared" ref="L143:L160" si="43">+K143/$F143</f>
        <v>0</v>
      </c>
      <c r="M143" s="1047">
        <f t="shared" si="39"/>
        <v>0</v>
      </c>
      <c r="N143" s="306">
        <f t="shared" si="35"/>
        <v>0</v>
      </c>
      <c r="O143" s="307">
        <f t="shared" ref="O143:O160" si="44">+N143/$F143</f>
        <v>0</v>
      </c>
      <c r="P143" s="1047">
        <f t="shared" si="41"/>
        <v>5</v>
      </c>
      <c r="Q143" s="306">
        <f t="shared" si="42"/>
        <v>323.25</v>
      </c>
      <c r="R143" s="307">
        <f t="shared" ref="R143:R160" si="45">+Q143/$F143</f>
        <v>1</v>
      </c>
      <c r="S143" s="314"/>
      <c r="T143" s="314"/>
      <c r="U143" s="314"/>
      <c r="V143" s="314"/>
      <c r="W143" s="314"/>
      <c r="X143" s="314"/>
    </row>
    <row r="144" spans="1:24" s="313" customFormat="1" ht="16.5" customHeight="1">
      <c r="A144" s="1309"/>
      <c r="B144" s="1311" t="s">
        <v>2435</v>
      </c>
      <c r="C144" s="1312" t="s">
        <v>52</v>
      </c>
      <c r="D144" s="1303">
        <v>15</v>
      </c>
      <c r="E144" s="1319">
        <v>112.72</v>
      </c>
      <c r="F144" s="1314">
        <f t="shared" ref="F144:F169" si="46">IF(ISBLANK(C144)," ",ROUND(E144*D144,2))</f>
        <v>1690.8</v>
      </c>
      <c r="G144" s="1046">
        <v>0</v>
      </c>
      <c r="H144" s="306">
        <v>0</v>
      </c>
      <c r="I144" s="307">
        <v>0</v>
      </c>
      <c r="J144" s="1046"/>
      <c r="K144" s="306">
        <f t="shared" si="36"/>
        <v>0</v>
      </c>
      <c r="L144" s="307">
        <f t="shared" si="43"/>
        <v>0</v>
      </c>
      <c r="M144" s="1047">
        <f t="shared" si="39"/>
        <v>0</v>
      </c>
      <c r="N144" s="306">
        <f t="shared" si="35"/>
        <v>0</v>
      </c>
      <c r="O144" s="307">
        <f t="shared" si="44"/>
        <v>0</v>
      </c>
      <c r="P144" s="1047">
        <f t="shared" si="41"/>
        <v>15</v>
      </c>
      <c r="Q144" s="306">
        <f t="shared" si="42"/>
        <v>1690.8</v>
      </c>
      <c r="R144" s="307">
        <f t="shared" si="45"/>
        <v>1</v>
      </c>
      <c r="S144" s="314"/>
      <c r="T144" s="314"/>
      <c r="U144" s="314"/>
      <c r="V144" s="314"/>
      <c r="W144" s="314"/>
      <c r="X144" s="314"/>
    </row>
    <row r="145" spans="1:24" s="313" customFormat="1" ht="16.5" customHeight="1">
      <c r="A145" s="1309"/>
      <c r="B145" s="1311" t="s">
        <v>2436</v>
      </c>
      <c r="C145" s="1312" t="s">
        <v>52</v>
      </c>
      <c r="D145" s="1303">
        <v>80</v>
      </c>
      <c r="E145" s="1319">
        <v>82.07</v>
      </c>
      <c r="F145" s="1314">
        <f t="shared" si="46"/>
        <v>6565.6</v>
      </c>
      <c r="G145" s="1046">
        <v>0</v>
      </c>
      <c r="H145" s="306">
        <v>0</v>
      </c>
      <c r="I145" s="307">
        <v>0</v>
      </c>
      <c r="J145" s="1046"/>
      <c r="K145" s="306">
        <f t="shared" si="36"/>
        <v>0</v>
      </c>
      <c r="L145" s="307">
        <f t="shared" si="43"/>
        <v>0</v>
      </c>
      <c r="M145" s="1047">
        <f t="shared" si="39"/>
        <v>0</v>
      </c>
      <c r="N145" s="306">
        <f t="shared" ref="N145:N164" si="47">ROUND(+M145*E145,2)</f>
        <v>0</v>
      </c>
      <c r="O145" s="307">
        <f t="shared" si="44"/>
        <v>0</v>
      </c>
      <c r="P145" s="1047">
        <f t="shared" si="41"/>
        <v>80</v>
      </c>
      <c r="Q145" s="306">
        <f t="shared" si="42"/>
        <v>6565.6</v>
      </c>
      <c r="R145" s="307">
        <f t="shared" si="45"/>
        <v>1</v>
      </c>
      <c r="S145" s="314"/>
      <c r="T145" s="314"/>
      <c r="U145" s="314"/>
      <c r="V145" s="314"/>
      <c r="W145" s="314"/>
      <c r="X145" s="314"/>
    </row>
    <row r="146" spans="1:24" s="313" customFormat="1" ht="16.5" customHeight="1">
      <c r="A146" s="1309">
        <v>5.7</v>
      </c>
      <c r="B146" s="1350" t="s">
        <v>2437</v>
      </c>
      <c r="C146" s="1312"/>
      <c r="D146" s="1303"/>
      <c r="E146" s="1319"/>
      <c r="F146" s="1314" t="str">
        <f t="shared" si="46"/>
        <v xml:space="preserve"> </v>
      </c>
      <c r="G146" s="1046">
        <v>0</v>
      </c>
      <c r="H146" s="306">
        <v>0</v>
      </c>
      <c r="I146" s="307"/>
      <c r="J146" s="1046"/>
      <c r="K146" s="306">
        <f t="shared" si="36"/>
        <v>0</v>
      </c>
      <c r="L146" s="307"/>
      <c r="M146" s="1047">
        <f t="shared" si="39"/>
        <v>0</v>
      </c>
      <c r="N146" s="306">
        <f t="shared" si="47"/>
        <v>0</v>
      </c>
      <c r="O146" s="307"/>
      <c r="P146" s="1047"/>
      <c r="Q146" s="306"/>
      <c r="R146" s="307"/>
      <c r="S146" s="314"/>
      <c r="T146" s="314"/>
      <c r="U146" s="314"/>
      <c r="V146" s="314"/>
      <c r="W146" s="314"/>
      <c r="X146" s="314"/>
    </row>
    <row r="147" spans="1:24" s="1427" customFormat="1" ht="16.5" customHeight="1">
      <c r="A147" s="1315"/>
      <c r="B147" s="1316" t="s">
        <v>2438</v>
      </c>
      <c r="C147" s="1317" t="s">
        <v>52</v>
      </c>
      <c r="D147" s="1318">
        <v>5</v>
      </c>
      <c r="E147" s="1319">
        <v>84.19</v>
      </c>
      <c r="F147" s="1314">
        <f t="shared" si="46"/>
        <v>420.95</v>
      </c>
      <c r="G147" s="1046">
        <v>5</v>
      </c>
      <c r="H147" s="306">
        <v>420.95</v>
      </c>
      <c r="I147" s="305">
        <v>1</v>
      </c>
      <c r="J147" s="1046"/>
      <c r="K147" s="1425">
        <f t="shared" si="36"/>
        <v>0</v>
      </c>
      <c r="L147" s="305">
        <f t="shared" si="43"/>
        <v>0</v>
      </c>
      <c r="M147" s="1046">
        <f t="shared" si="39"/>
        <v>5</v>
      </c>
      <c r="N147" s="306">
        <f t="shared" ref="N147:N151" si="48">E147*M147</f>
        <v>420.95</v>
      </c>
      <c r="O147" s="305">
        <f t="shared" si="44"/>
        <v>1</v>
      </c>
      <c r="P147" s="1046">
        <f t="shared" ref="P147:P160" si="49">D147-M147</f>
        <v>0</v>
      </c>
      <c r="Q147" s="1425">
        <f>F147-N147</f>
        <v>0</v>
      </c>
      <c r="R147" s="305">
        <f t="shared" si="45"/>
        <v>0</v>
      </c>
      <c r="S147" s="1426"/>
      <c r="T147" s="1426"/>
      <c r="U147" s="1426"/>
      <c r="V147" s="1426"/>
      <c r="W147" s="1426"/>
      <c r="X147" s="1426"/>
    </row>
    <row r="148" spans="1:24" s="313" customFormat="1" ht="16.5" customHeight="1">
      <c r="A148" s="1428"/>
      <c r="B148" s="1351" t="s">
        <v>2439</v>
      </c>
      <c r="C148" s="1352" t="s">
        <v>52</v>
      </c>
      <c r="D148" s="1409">
        <v>10</v>
      </c>
      <c r="E148" s="1429">
        <v>68.09</v>
      </c>
      <c r="F148" s="1304">
        <f t="shared" si="46"/>
        <v>680.9</v>
      </c>
      <c r="G148" s="1046">
        <v>10</v>
      </c>
      <c r="H148" s="306">
        <v>680.90000000000009</v>
      </c>
      <c r="I148" s="307">
        <v>1.0000000000000002</v>
      </c>
      <c r="J148" s="1046"/>
      <c r="K148" s="306">
        <f t="shared" ref="K148:K169" si="50">ROUND(+J148*E148,2)</f>
        <v>0</v>
      </c>
      <c r="L148" s="307">
        <f t="shared" si="43"/>
        <v>0</v>
      </c>
      <c r="M148" s="1046">
        <f t="shared" si="39"/>
        <v>10</v>
      </c>
      <c r="N148" s="306">
        <f t="shared" si="48"/>
        <v>680.90000000000009</v>
      </c>
      <c r="O148" s="307">
        <f t="shared" si="44"/>
        <v>1.0000000000000002</v>
      </c>
      <c r="P148" s="1046">
        <f t="shared" si="49"/>
        <v>0</v>
      </c>
      <c r="Q148" s="306">
        <f>F148-N148</f>
        <v>0</v>
      </c>
      <c r="R148" s="307">
        <f t="shared" si="45"/>
        <v>0</v>
      </c>
      <c r="S148" s="314"/>
      <c r="T148" s="314"/>
      <c r="U148" s="314"/>
      <c r="V148" s="314"/>
      <c r="W148" s="314"/>
      <c r="X148" s="314"/>
    </row>
    <row r="149" spans="1:24" s="313" customFormat="1" ht="16.5" customHeight="1">
      <c r="A149" s="1428"/>
      <c r="B149" s="1351" t="s">
        <v>2440</v>
      </c>
      <c r="C149" s="1352" t="s">
        <v>52</v>
      </c>
      <c r="D149" s="1409">
        <v>20</v>
      </c>
      <c r="E149" s="1429">
        <v>44.09</v>
      </c>
      <c r="F149" s="1304">
        <f t="shared" si="46"/>
        <v>881.8</v>
      </c>
      <c r="G149" s="1046">
        <v>20</v>
      </c>
      <c r="H149" s="306">
        <v>881.80000000000007</v>
      </c>
      <c r="I149" s="307">
        <v>1.0000000000000002</v>
      </c>
      <c r="J149" s="1046"/>
      <c r="K149" s="306">
        <f t="shared" si="50"/>
        <v>0</v>
      </c>
      <c r="L149" s="307">
        <f t="shared" si="43"/>
        <v>0</v>
      </c>
      <c r="M149" s="1046">
        <f t="shared" si="39"/>
        <v>20</v>
      </c>
      <c r="N149" s="306">
        <f t="shared" si="48"/>
        <v>881.80000000000007</v>
      </c>
      <c r="O149" s="307">
        <f t="shared" si="44"/>
        <v>1.0000000000000002</v>
      </c>
      <c r="P149" s="1046">
        <f t="shared" si="49"/>
        <v>0</v>
      </c>
      <c r="Q149" s="306">
        <f>F149-N149</f>
        <v>0</v>
      </c>
      <c r="R149" s="307">
        <f t="shared" si="45"/>
        <v>0</v>
      </c>
      <c r="S149" s="314"/>
      <c r="T149" s="314"/>
      <c r="U149" s="314"/>
      <c r="V149" s="314"/>
      <c r="W149" s="314"/>
      <c r="X149" s="314"/>
    </row>
    <row r="150" spans="1:24" s="313" customFormat="1" ht="16.5" customHeight="1">
      <c r="A150" s="1309"/>
      <c r="B150" s="1311" t="s">
        <v>2441</v>
      </c>
      <c r="C150" s="1312" t="s">
        <v>52</v>
      </c>
      <c r="D150" s="1303">
        <v>10</v>
      </c>
      <c r="E150" s="1319">
        <v>37.130000000000003</v>
      </c>
      <c r="F150" s="1314">
        <f t="shared" si="46"/>
        <v>371.3</v>
      </c>
      <c r="G150" s="1046">
        <v>10</v>
      </c>
      <c r="H150" s="306">
        <v>371.3</v>
      </c>
      <c r="I150" s="307">
        <v>1</v>
      </c>
      <c r="J150" s="1046"/>
      <c r="K150" s="306">
        <f t="shared" si="50"/>
        <v>0</v>
      </c>
      <c r="L150" s="307">
        <f t="shared" si="43"/>
        <v>0</v>
      </c>
      <c r="M150" s="1047">
        <f t="shared" si="39"/>
        <v>10</v>
      </c>
      <c r="N150" s="306">
        <f t="shared" si="48"/>
        <v>371.3</v>
      </c>
      <c r="O150" s="307">
        <f t="shared" si="44"/>
        <v>1</v>
      </c>
      <c r="P150" s="1047">
        <f t="shared" si="49"/>
        <v>0</v>
      </c>
      <c r="Q150" s="306">
        <f>F150-N150</f>
        <v>0</v>
      </c>
      <c r="R150" s="307">
        <f t="shared" si="45"/>
        <v>0</v>
      </c>
      <c r="S150" s="314"/>
      <c r="T150" s="314"/>
      <c r="U150" s="314"/>
      <c r="V150" s="314"/>
      <c r="W150" s="314"/>
      <c r="X150" s="314"/>
    </row>
    <row r="151" spans="1:24" s="313" customFormat="1" ht="16.5" customHeight="1">
      <c r="A151" s="1309"/>
      <c r="B151" s="1311" t="s">
        <v>2442</v>
      </c>
      <c r="C151" s="1312" t="s">
        <v>52</v>
      </c>
      <c r="D151" s="1303">
        <v>10</v>
      </c>
      <c r="E151" s="1319">
        <v>29.14</v>
      </c>
      <c r="F151" s="1314">
        <f t="shared" si="46"/>
        <v>291.39999999999998</v>
      </c>
      <c r="G151" s="1046">
        <v>10</v>
      </c>
      <c r="H151" s="306">
        <v>291.39999999999998</v>
      </c>
      <c r="I151" s="307">
        <v>1</v>
      </c>
      <c r="J151" s="1046"/>
      <c r="K151" s="306">
        <f t="shared" si="50"/>
        <v>0</v>
      </c>
      <c r="L151" s="307">
        <f t="shared" si="43"/>
        <v>0</v>
      </c>
      <c r="M151" s="1047">
        <f t="shared" si="39"/>
        <v>10</v>
      </c>
      <c r="N151" s="306">
        <f t="shared" si="48"/>
        <v>291.39999999999998</v>
      </c>
      <c r="O151" s="307">
        <f t="shared" si="44"/>
        <v>1</v>
      </c>
      <c r="P151" s="1047">
        <f t="shared" si="49"/>
        <v>0</v>
      </c>
      <c r="Q151" s="306">
        <f>F151-N151</f>
        <v>0</v>
      </c>
      <c r="R151" s="307">
        <f t="shared" si="45"/>
        <v>0</v>
      </c>
      <c r="S151" s="314"/>
      <c r="T151" s="314"/>
      <c r="U151" s="314"/>
      <c r="V151" s="314"/>
      <c r="W151" s="314"/>
      <c r="X151" s="314"/>
    </row>
    <row r="152" spans="1:24" s="313" customFormat="1" ht="16.5" customHeight="1">
      <c r="A152" s="1324">
        <v>6</v>
      </c>
      <c r="B152" s="1325" t="s">
        <v>1969</v>
      </c>
      <c r="C152" s="1326"/>
      <c r="D152" s="1303"/>
      <c r="E152" s="1331"/>
      <c r="F152" s="1314" t="str">
        <f t="shared" si="46"/>
        <v xml:space="preserve"> </v>
      </c>
      <c r="G152" s="1046">
        <v>0</v>
      </c>
      <c r="H152" s="306">
        <v>0</v>
      </c>
      <c r="I152" s="307"/>
      <c r="J152" s="1046"/>
      <c r="K152" s="306">
        <f t="shared" si="50"/>
        <v>0</v>
      </c>
      <c r="L152" s="307"/>
      <c r="M152" s="1047">
        <f t="shared" si="39"/>
        <v>0</v>
      </c>
      <c r="N152" s="306">
        <f t="shared" si="47"/>
        <v>0</v>
      </c>
      <c r="O152" s="307"/>
      <c r="P152" s="1047">
        <f t="shared" si="49"/>
        <v>0</v>
      </c>
      <c r="Q152" s="306"/>
      <c r="R152" s="307"/>
      <c r="S152" s="314"/>
      <c r="T152" s="314"/>
      <c r="U152" s="314"/>
      <c r="V152" s="314"/>
      <c r="W152" s="314"/>
      <c r="X152" s="314"/>
    </row>
    <row r="153" spans="1:24" s="313" customFormat="1" ht="16.5" customHeight="1">
      <c r="A153" s="1306">
        <v>6.9</v>
      </c>
      <c r="B153" s="1307" t="s">
        <v>2083</v>
      </c>
      <c r="C153" s="1321"/>
      <c r="D153" s="1303"/>
      <c r="E153" s="1322"/>
      <c r="F153" s="1314" t="str">
        <f t="shared" si="46"/>
        <v xml:space="preserve"> </v>
      </c>
      <c r="G153" s="1046">
        <v>0</v>
      </c>
      <c r="H153" s="306">
        <v>0</v>
      </c>
      <c r="I153" s="307"/>
      <c r="J153" s="1046"/>
      <c r="K153" s="306">
        <f t="shared" si="50"/>
        <v>0</v>
      </c>
      <c r="L153" s="307"/>
      <c r="M153" s="1047">
        <f t="shared" si="39"/>
        <v>0</v>
      </c>
      <c r="N153" s="306">
        <f t="shared" si="47"/>
        <v>0</v>
      </c>
      <c r="O153" s="307"/>
      <c r="P153" s="1047">
        <f t="shared" si="49"/>
        <v>0</v>
      </c>
      <c r="Q153" s="306"/>
      <c r="R153" s="307"/>
      <c r="S153" s="314"/>
      <c r="T153" s="314"/>
      <c r="U153" s="314"/>
      <c r="V153" s="314"/>
      <c r="W153" s="314"/>
      <c r="X153" s="314"/>
    </row>
    <row r="154" spans="1:24" s="313" customFormat="1" ht="16.5" customHeight="1">
      <c r="A154" s="1309" t="s">
        <v>1595</v>
      </c>
      <c r="B154" s="1310" t="s">
        <v>1980</v>
      </c>
      <c r="C154" s="1320"/>
      <c r="D154" s="1303"/>
      <c r="E154" s="1313"/>
      <c r="F154" s="1314" t="str">
        <f t="shared" si="46"/>
        <v xml:space="preserve"> </v>
      </c>
      <c r="G154" s="1046">
        <v>0</v>
      </c>
      <c r="H154" s="306">
        <v>0</v>
      </c>
      <c r="I154" s="307"/>
      <c r="J154" s="1046"/>
      <c r="K154" s="306">
        <f t="shared" si="50"/>
        <v>0</v>
      </c>
      <c r="L154" s="307"/>
      <c r="M154" s="1047">
        <f t="shared" si="39"/>
        <v>0</v>
      </c>
      <c r="N154" s="306">
        <f t="shared" si="47"/>
        <v>0</v>
      </c>
      <c r="O154" s="307"/>
      <c r="P154" s="1047">
        <f t="shared" si="49"/>
        <v>0</v>
      </c>
      <c r="Q154" s="306"/>
      <c r="R154" s="307"/>
      <c r="S154" s="314"/>
      <c r="T154" s="314"/>
      <c r="U154" s="314"/>
      <c r="V154" s="314"/>
      <c r="W154" s="314"/>
      <c r="X154" s="314"/>
    </row>
    <row r="155" spans="1:24" s="313" customFormat="1" ht="16.5" customHeight="1">
      <c r="A155" s="1428"/>
      <c r="B155" s="1351" t="s">
        <v>2443</v>
      </c>
      <c r="C155" s="1352" t="s">
        <v>51</v>
      </c>
      <c r="D155" s="1409">
        <v>8409</v>
      </c>
      <c r="E155" s="1429">
        <v>10.73</v>
      </c>
      <c r="F155" s="1304">
        <f t="shared" si="46"/>
        <v>90228.57</v>
      </c>
      <c r="G155" s="1046">
        <v>2149</v>
      </c>
      <c r="H155" s="306">
        <v>23058.77</v>
      </c>
      <c r="I155" s="307">
        <v>0.2555595195623736</v>
      </c>
      <c r="J155" s="1046"/>
      <c r="K155" s="306">
        <f>J155*E155</f>
        <v>0</v>
      </c>
      <c r="L155" s="307">
        <f t="shared" si="43"/>
        <v>0</v>
      </c>
      <c r="M155" s="1046">
        <f t="shared" si="39"/>
        <v>2149</v>
      </c>
      <c r="N155" s="306">
        <f t="shared" ref="N155:N158" si="51">E155*M155</f>
        <v>23058.77</v>
      </c>
      <c r="O155" s="307">
        <f t="shared" si="44"/>
        <v>0.2555595195623736</v>
      </c>
      <c r="P155" s="1046">
        <f t="shared" si="49"/>
        <v>6260</v>
      </c>
      <c r="Q155" s="306">
        <f t="shared" ref="Q155:Q160" si="52">F155-N155</f>
        <v>67169.8</v>
      </c>
      <c r="R155" s="307">
        <f t="shared" si="45"/>
        <v>0.74444048043762634</v>
      </c>
      <c r="S155" s="314"/>
      <c r="T155" s="314"/>
      <c r="U155" s="314"/>
      <c r="V155" s="314"/>
      <c r="W155" s="314"/>
      <c r="X155" s="314"/>
    </row>
    <row r="156" spans="1:24" s="313" customFormat="1" ht="16.5" customHeight="1">
      <c r="A156" s="1309"/>
      <c r="B156" s="1351" t="s">
        <v>2444</v>
      </c>
      <c r="C156" s="1352" t="s">
        <v>51</v>
      </c>
      <c r="D156" s="1303">
        <v>510</v>
      </c>
      <c r="E156" s="1313">
        <v>14.91</v>
      </c>
      <c r="F156" s="1314">
        <f t="shared" si="46"/>
        <v>7604.1</v>
      </c>
      <c r="G156" s="1046">
        <v>300</v>
      </c>
      <c r="H156" s="306">
        <v>4473</v>
      </c>
      <c r="I156" s="307">
        <v>0.58823529411764708</v>
      </c>
      <c r="J156" s="1046"/>
      <c r="K156" s="306">
        <f t="shared" si="50"/>
        <v>0</v>
      </c>
      <c r="L156" s="307">
        <f t="shared" si="43"/>
        <v>0</v>
      </c>
      <c r="M156" s="1047">
        <f t="shared" si="39"/>
        <v>300</v>
      </c>
      <c r="N156" s="306">
        <f t="shared" si="51"/>
        <v>4473</v>
      </c>
      <c r="O156" s="307">
        <f t="shared" si="44"/>
        <v>0.58823529411764708</v>
      </c>
      <c r="P156" s="1047">
        <f t="shared" si="49"/>
        <v>210</v>
      </c>
      <c r="Q156" s="306">
        <f t="shared" si="52"/>
        <v>3131.1000000000004</v>
      </c>
      <c r="R156" s="307">
        <f t="shared" si="45"/>
        <v>0.41176470588235298</v>
      </c>
      <c r="S156" s="314"/>
      <c r="T156" s="314"/>
      <c r="U156" s="314"/>
      <c r="V156" s="314"/>
      <c r="W156" s="314"/>
      <c r="X156" s="314"/>
    </row>
    <row r="157" spans="1:24" s="313" customFormat="1" ht="16.5" customHeight="1">
      <c r="A157" s="1309"/>
      <c r="B157" s="1351" t="s">
        <v>2415</v>
      </c>
      <c r="C157" s="1312" t="s">
        <v>52</v>
      </c>
      <c r="D157" s="1303">
        <v>19</v>
      </c>
      <c r="E157" s="1313">
        <v>5.93</v>
      </c>
      <c r="F157" s="1314">
        <f t="shared" si="46"/>
        <v>112.67</v>
      </c>
      <c r="G157" s="1046">
        <v>19</v>
      </c>
      <c r="H157" s="306">
        <v>112.66999999999999</v>
      </c>
      <c r="I157" s="307">
        <v>0.99999999999999989</v>
      </c>
      <c r="J157" s="1046"/>
      <c r="K157" s="306">
        <f t="shared" si="50"/>
        <v>0</v>
      </c>
      <c r="L157" s="307">
        <f t="shared" si="43"/>
        <v>0</v>
      </c>
      <c r="M157" s="1047">
        <f t="shared" si="39"/>
        <v>19</v>
      </c>
      <c r="N157" s="306">
        <f t="shared" si="51"/>
        <v>112.66999999999999</v>
      </c>
      <c r="O157" s="307">
        <f t="shared" si="44"/>
        <v>0.99999999999999989</v>
      </c>
      <c r="P157" s="1047">
        <f t="shared" si="49"/>
        <v>0</v>
      </c>
      <c r="Q157" s="306">
        <f t="shared" si="52"/>
        <v>0</v>
      </c>
      <c r="R157" s="307">
        <f t="shared" si="45"/>
        <v>0</v>
      </c>
      <c r="S157" s="314"/>
      <c r="T157" s="314"/>
      <c r="U157" s="314"/>
      <c r="V157" s="314"/>
      <c r="W157" s="314"/>
      <c r="X157" s="314"/>
    </row>
    <row r="158" spans="1:24" s="313" customFormat="1" ht="16.5" customHeight="1">
      <c r="A158" s="1309"/>
      <c r="B158" s="1351" t="s">
        <v>2445</v>
      </c>
      <c r="C158" s="1312" t="s">
        <v>52</v>
      </c>
      <c r="D158" s="1303">
        <v>19</v>
      </c>
      <c r="E158" s="1313">
        <v>8.93</v>
      </c>
      <c r="F158" s="1314">
        <f t="shared" si="46"/>
        <v>169.67</v>
      </c>
      <c r="G158" s="1046">
        <v>19</v>
      </c>
      <c r="H158" s="306">
        <v>169.67</v>
      </c>
      <c r="I158" s="307">
        <v>1</v>
      </c>
      <c r="J158" s="1046"/>
      <c r="K158" s="306">
        <f t="shared" si="50"/>
        <v>0</v>
      </c>
      <c r="L158" s="307">
        <f t="shared" si="43"/>
        <v>0</v>
      </c>
      <c r="M158" s="1047">
        <f t="shared" si="39"/>
        <v>19</v>
      </c>
      <c r="N158" s="306">
        <f t="shared" si="51"/>
        <v>169.67</v>
      </c>
      <c r="O158" s="307">
        <f t="shared" si="44"/>
        <v>1</v>
      </c>
      <c r="P158" s="1047">
        <f t="shared" si="49"/>
        <v>0</v>
      </c>
      <c r="Q158" s="306">
        <f t="shared" si="52"/>
        <v>0</v>
      </c>
      <c r="R158" s="307">
        <f t="shared" si="45"/>
        <v>0</v>
      </c>
      <c r="S158" s="314"/>
      <c r="T158" s="314"/>
      <c r="U158" s="1133"/>
      <c r="V158" s="314"/>
      <c r="W158" s="314"/>
      <c r="X158" s="314"/>
    </row>
    <row r="159" spans="1:24" s="313" customFormat="1" ht="16.5" customHeight="1">
      <c r="A159" s="1309"/>
      <c r="B159" s="1351" t="s">
        <v>2446</v>
      </c>
      <c r="C159" s="1312" t="s">
        <v>52</v>
      </c>
      <c r="D159" s="1303">
        <v>180</v>
      </c>
      <c r="E159" s="1313">
        <v>9.1</v>
      </c>
      <c r="F159" s="1314">
        <f t="shared" si="46"/>
        <v>1638</v>
      </c>
      <c r="G159" s="1046">
        <v>0</v>
      </c>
      <c r="H159" s="306">
        <v>0</v>
      </c>
      <c r="I159" s="307">
        <v>0</v>
      </c>
      <c r="J159" s="1046"/>
      <c r="K159" s="306">
        <f t="shared" si="50"/>
        <v>0</v>
      </c>
      <c r="L159" s="307">
        <f t="shared" si="43"/>
        <v>0</v>
      </c>
      <c r="M159" s="1047">
        <f t="shared" si="39"/>
        <v>0</v>
      </c>
      <c r="N159" s="306">
        <f t="shared" si="47"/>
        <v>0</v>
      </c>
      <c r="O159" s="307">
        <f t="shared" si="44"/>
        <v>0</v>
      </c>
      <c r="P159" s="1047">
        <f t="shared" si="49"/>
        <v>180</v>
      </c>
      <c r="Q159" s="306">
        <f t="shared" si="52"/>
        <v>1638</v>
      </c>
      <c r="R159" s="307">
        <f t="shared" si="45"/>
        <v>1</v>
      </c>
      <c r="S159" s="314"/>
      <c r="T159" s="314"/>
      <c r="U159" s="314"/>
      <c r="V159" s="314"/>
      <c r="W159" s="314"/>
      <c r="X159" s="314"/>
    </row>
    <row r="160" spans="1:24" s="313" customFormat="1" ht="16.5" customHeight="1">
      <c r="A160" s="1309"/>
      <c r="B160" s="1311" t="s">
        <v>2447</v>
      </c>
      <c r="C160" s="1312" t="s">
        <v>52</v>
      </c>
      <c r="D160" s="1303">
        <v>111</v>
      </c>
      <c r="E160" s="1313">
        <v>8</v>
      </c>
      <c r="F160" s="1314">
        <f t="shared" si="46"/>
        <v>888</v>
      </c>
      <c r="G160" s="1046">
        <v>0</v>
      </c>
      <c r="H160" s="306">
        <v>0</v>
      </c>
      <c r="I160" s="307">
        <v>0</v>
      </c>
      <c r="J160" s="1046"/>
      <c r="K160" s="306">
        <f t="shared" si="50"/>
        <v>0</v>
      </c>
      <c r="L160" s="307">
        <f t="shared" si="43"/>
        <v>0</v>
      </c>
      <c r="M160" s="1047">
        <f t="shared" si="39"/>
        <v>0</v>
      </c>
      <c r="N160" s="306">
        <f t="shared" si="47"/>
        <v>0</v>
      </c>
      <c r="O160" s="307">
        <f t="shared" si="44"/>
        <v>0</v>
      </c>
      <c r="P160" s="1047">
        <f t="shared" si="49"/>
        <v>111</v>
      </c>
      <c r="Q160" s="306">
        <f t="shared" si="52"/>
        <v>888</v>
      </c>
      <c r="R160" s="307">
        <f t="shared" si="45"/>
        <v>1</v>
      </c>
      <c r="S160" s="314"/>
      <c r="T160" s="314"/>
      <c r="U160" s="314"/>
      <c r="V160" s="314"/>
      <c r="W160" s="314"/>
      <c r="X160" s="314"/>
    </row>
    <row r="161" spans="1:24" s="313" customFormat="1" ht="16.5" customHeight="1">
      <c r="A161" s="1309" t="s">
        <v>1616</v>
      </c>
      <c r="B161" s="1310" t="s">
        <v>1987</v>
      </c>
      <c r="C161" s="1320"/>
      <c r="D161" s="1303"/>
      <c r="E161" s="1313"/>
      <c r="F161" s="1314" t="str">
        <f t="shared" si="46"/>
        <v xml:space="preserve"> </v>
      </c>
      <c r="G161" s="1046">
        <v>0</v>
      </c>
      <c r="H161" s="306">
        <v>0</v>
      </c>
      <c r="I161" s="307"/>
      <c r="J161" s="1046"/>
      <c r="K161" s="306">
        <f t="shared" si="50"/>
        <v>0</v>
      </c>
      <c r="L161" s="307"/>
      <c r="M161" s="1047">
        <f t="shared" si="39"/>
        <v>0</v>
      </c>
      <c r="N161" s="306">
        <f t="shared" si="47"/>
        <v>0</v>
      </c>
      <c r="O161" s="307"/>
      <c r="P161" s="1047"/>
      <c r="Q161" s="306"/>
      <c r="R161" s="307"/>
      <c r="S161" s="314"/>
      <c r="T161" s="314"/>
      <c r="U161" s="314"/>
      <c r="V161" s="314"/>
      <c r="W161" s="314"/>
      <c r="X161" s="314"/>
    </row>
    <row r="162" spans="1:24" s="313" customFormat="1" ht="16.5" customHeight="1">
      <c r="A162" s="1428"/>
      <c r="B162" s="1351" t="s">
        <v>2448</v>
      </c>
      <c r="C162" s="1352" t="s">
        <v>2145</v>
      </c>
      <c r="D162" s="1409">
        <v>263</v>
      </c>
      <c r="E162" s="1429">
        <v>28.24</v>
      </c>
      <c r="F162" s="1304">
        <f t="shared" si="46"/>
        <v>7427.12</v>
      </c>
      <c r="G162" s="1046">
        <v>229</v>
      </c>
      <c r="H162" s="306">
        <v>6466.96</v>
      </c>
      <c r="I162" s="307">
        <v>0.87072243346007605</v>
      </c>
      <c r="J162" s="1046"/>
      <c r="K162" s="306">
        <f>J162*E162</f>
        <v>0</v>
      </c>
      <c r="L162" s="307">
        <f t="shared" ref="L162:L169" si="53">+K162/$F162</f>
        <v>0</v>
      </c>
      <c r="M162" s="1046">
        <f t="shared" si="39"/>
        <v>229</v>
      </c>
      <c r="N162" s="306">
        <f>E162*M162</f>
        <v>6466.96</v>
      </c>
      <c r="O162" s="307">
        <f t="shared" ref="O162:O169" si="54">+N162/$F162</f>
        <v>0.87072243346007605</v>
      </c>
      <c r="P162" s="1046">
        <f>D162-M162</f>
        <v>34</v>
      </c>
      <c r="Q162" s="306">
        <f>F162-N162</f>
        <v>960.15999999999985</v>
      </c>
      <c r="R162" s="307">
        <f t="shared" ref="R162:R169" si="55">+Q162/$F162</f>
        <v>0.12927756653992395</v>
      </c>
      <c r="S162" s="314"/>
      <c r="T162" s="314"/>
      <c r="U162" s="314"/>
      <c r="V162" s="314"/>
      <c r="W162" s="314"/>
      <c r="X162" s="314"/>
    </row>
    <row r="163" spans="1:24" s="313" customFormat="1" ht="16.5" customHeight="1">
      <c r="A163" s="1309"/>
      <c r="B163" s="1311" t="s">
        <v>2449</v>
      </c>
      <c r="C163" s="1312" t="s">
        <v>2145</v>
      </c>
      <c r="D163" s="1303">
        <v>300</v>
      </c>
      <c r="E163" s="1313">
        <v>28.24</v>
      </c>
      <c r="F163" s="1314">
        <f t="shared" si="46"/>
        <v>8472</v>
      </c>
      <c r="G163" s="1046">
        <v>0</v>
      </c>
      <c r="H163" s="306">
        <v>0</v>
      </c>
      <c r="I163" s="307">
        <v>0</v>
      </c>
      <c r="J163" s="1046"/>
      <c r="K163" s="306">
        <f t="shared" si="50"/>
        <v>0</v>
      </c>
      <c r="L163" s="307">
        <f t="shared" si="53"/>
        <v>0</v>
      </c>
      <c r="M163" s="1047">
        <f t="shared" si="39"/>
        <v>0</v>
      </c>
      <c r="N163" s="306">
        <f t="shared" si="47"/>
        <v>0</v>
      </c>
      <c r="O163" s="307">
        <f t="shared" si="54"/>
        <v>0</v>
      </c>
      <c r="P163" s="1047">
        <f>D163-M163</f>
        <v>300</v>
      </c>
      <c r="Q163" s="306">
        <f>F163-N163</f>
        <v>8472</v>
      </c>
      <c r="R163" s="307">
        <f t="shared" si="55"/>
        <v>1</v>
      </c>
      <c r="S163" s="314"/>
      <c r="T163" s="314"/>
      <c r="U163" s="314"/>
      <c r="V163" s="314"/>
      <c r="W163" s="314"/>
      <c r="X163" s="314"/>
    </row>
    <row r="164" spans="1:24" s="313" customFormat="1" ht="16.5" customHeight="1">
      <c r="A164" s="1309"/>
      <c r="B164" s="1311" t="s">
        <v>2450</v>
      </c>
      <c r="C164" s="1312" t="s">
        <v>2145</v>
      </c>
      <c r="D164" s="1303">
        <v>300</v>
      </c>
      <c r="E164" s="1313">
        <v>16.809999999999999</v>
      </c>
      <c r="F164" s="1314">
        <f t="shared" si="46"/>
        <v>5043</v>
      </c>
      <c r="G164" s="1046">
        <v>0</v>
      </c>
      <c r="H164" s="306">
        <v>0</v>
      </c>
      <c r="I164" s="307">
        <v>0</v>
      </c>
      <c r="J164" s="1046"/>
      <c r="K164" s="306">
        <f t="shared" si="50"/>
        <v>0</v>
      </c>
      <c r="L164" s="307">
        <f t="shared" si="53"/>
        <v>0</v>
      </c>
      <c r="M164" s="1047">
        <f t="shared" si="39"/>
        <v>0</v>
      </c>
      <c r="N164" s="306">
        <f t="shared" si="47"/>
        <v>0</v>
      </c>
      <c r="O164" s="307">
        <f t="shared" si="54"/>
        <v>0</v>
      </c>
      <c r="P164" s="1047">
        <f>D164-M164</f>
        <v>300</v>
      </c>
      <c r="Q164" s="306">
        <f>F164-N164</f>
        <v>5043</v>
      </c>
      <c r="R164" s="307">
        <f t="shared" si="55"/>
        <v>1</v>
      </c>
      <c r="S164" s="314"/>
      <c r="T164" s="314"/>
      <c r="U164" s="314"/>
      <c r="V164" s="314"/>
      <c r="W164" s="314"/>
      <c r="X164" s="314"/>
    </row>
    <row r="165" spans="1:24" s="313" customFormat="1" ht="16.5" customHeight="1">
      <c r="A165" s="1324">
        <v>8</v>
      </c>
      <c r="B165" s="1325" t="s">
        <v>2451</v>
      </c>
      <c r="C165" s="1312"/>
      <c r="D165" s="1303"/>
      <c r="E165" s="1313"/>
      <c r="F165" s="1314" t="str">
        <f t="shared" si="46"/>
        <v xml:space="preserve"> </v>
      </c>
      <c r="G165" s="1046"/>
      <c r="H165" s="306"/>
      <c r="I165" s="307"/>
      <c r="J165" s="1046"/>
      <c r="K165" s="306">
        <f t="shared" si="50"/>
        <v>0</v>
      </c>
      <c r="L165" s="307"/>
      <c r="M165" s="1047"/>
      <c r="N165" s="306"/>
      <c r="O165" s="307"/>
      <c r="P165" s="1047"/>
      <c r="Q165" s="306"/>
      <c r="R165" s="307"/>
      <c r="S165" s="314"/>
      <c r="T165" s="314"/>
      <c r="U165" s="314"/>
      <c r="V165" s="314"/>
      <c r="W165" s="314"/>
      <c r="X165" s="314"/>
    </row>
    <row r="166" spans="1:24" s="313" customFormat="1" ht="16.5" customHeight="1">
      <c r="A166" s="1309"/>
      <c r="B166" s="1310" t="s">
        <v>2452</v>
      </c>
      <c r="C166" s="1312"/>
      <c r="D166" s="1303"/>
      <c r="E166" s="1313"/>
      <c r="F166" s="1314" t="str">
        <f t="shared" si="46"/>
        <v xml:space="preserve"> </v>
      </c>
      <c r="G166" s="1046"/>
      <c r="H166" s="306"/>
      <c r="I166" s="307"/>
      <c r="J166" s="1046"/>
      <c r="K166" s="306">
        <f t="shared" si="50"/>
        <v>0</v>
      </c>
      <c r="L166" s="307"/>
      <c r="M166" s="1047"/>
      <c r="N166" s="306"/>
      <c r="O166" s="307"/>
      <c r="P166" s="1047"/>
      <c r="Q166" s="306"/>
      <c r="R166" s="307"/>
      <c r="S166" s="314"/>
      <c r="T166" s="314"/>
      <c r="U166" s="314"/>
      <c r="V166" s="314"/>
      <c r="W166" s="314"/>
      <c r="X166" s="314"/>
    </row>
    <row r="167" spans="1:24" s="313" customFormat="1" ht="16.5" customHeight="1">
      <c r="A167" s="1309"/>
      <c r="B167" s="1311" t="s">
        <v>2453</v>
      </c>
      <c r="C167" s="1312" t="s">
        <v>52</v>
      </c>
      <c r="D167" s="1303">
        <v>9</v>
      </c>
      <c r="E167" s="1313">
        <v>25</v>
      </c>
      <c r="F167" s="1314">
        <f t="shared" si="46"/>
        <v>225</v>
      </c>
      <c r="G167" s="1046">
        <v>9</v>
      </c>
      <c r="H167" s="306">
        <v>225</v>
      </c>
      <c r="I167" s="307">
        <v>1</v>
      </c>
      <c r="J167" s="1046"/>
      <c r="K167" s="306">
        <f t="shared" si="50"/>
        <v>0</v>
      </c>
      <c r="L167" s="307">
        <f t="shared" si="53"/>
        <v>0</v>
      </c>
      <c r="M167" s="1047">
        <f>+G167+J167</f>
        <v>9</v>
      </c>
      <c r="N167" s="306">
        <f t="shared" ref="N167:N169" si="56">E167*M167</f>
        <v>225</v>
      </c>
      <c r="O167" s="307">
        <f t="shared" si="54"/>
        <v>1</v>
      </c>
      <c r="P167" s="1047">
        <f>D167-M167</f>
        <v>0</v>
      </c>
      <c r="Q167" s="306">
        <f>F167-N167</f>
        <v>0</v>
      </c>
      <c r="R167" s="307">
        <f t="shared" si="55"/>
        <v>0</v>
      </c>
      <c r="S167" s="314"/>
      <c r="T167" s="314"/>
      <c r="U167" s="314"/>
      <c r="V167" s="314"/>
      <c r="W167" s="314"/>
      <c r="X167" s="314"/>
    </row>
    <row r="168" spans="1:24" s="313" customFormat="1" ht="16.5" customHeight="1">
      <c r="A168" s="1309"/>
      <c r="B168" s="1311" t="s">
        <v>2454</v>
      </c>
      <c r="C168" s="1312" t="s">
        <v>52</v>
      </c>
      <c r="D168" s="1303">
        <v>3</v>
      </c>
      <c r="E168" s="1313">
        <v>400</v>
      </c>
      <c r="F168" s="1314">
        <f t="shared" si="46"/>
        <v>1200</v>
      </c>
      <c r="G168" s="1046">
        <v>3</v>
      </c>
      <c r="H168" s="306">
        <v>1200</v>
      </c>
      <c r="I168" s="307">
        <v>1</v>
      </c>
      <c r="J168" s="1046"/>
      <c r="K168" s="306">
        <f t="shared" si="50"/>
        <v>0</v>
      </c>
      <c r="L168" s="307">
        <f t="shared" si="53"/>
        <v>0</v>
      </c>
      <c r="M168" s="1047">
        <f>+G168+J168</f>
        <v>3</v>
      </c>
      <c r="N168" s="306">
        <f t="shared" si="56"/>
        <v>1200</v>
      </c>
      <c r="O168" s="307">
        <f t="shared" si="54"/>
        <v>1</v>
      </c>
      <c r="P168" s="1047">
        <f>D168-M168</f>
        <v>0</v>
      </c>
      <c r="Q168" s="306">
        <f>F168-N168</f>
        <v>0</v>
      </c>
      <c r="R168" s="307">
        <f t="shared" si="55"/>
        <v>0</v>
      </c>
      <c r="S168" s="314"/>
      <c r="T168" s="314"/>
      <c r="U168" s="314"/>
      <c r="V168" s="314"/>
      <c r="W168" s="314"/>
      <c r="X168" s="314"/>
    </row>
    <row r="169" spans="1:24" s="313" customFormat="1" ht="16.5" customHeight="1">
      <c r="A169" s="1309"/>
      <c r="B169" s="1311" t="s">
        <v>2455</v>
      </c>
      <c r="C169" s="1312" t="s">
        <v>52</v>
      </c>
      <c r="D169" s="1303">
        <v>90</v>
      </c>
      <c r="E169" s="1313">
        <v>14</v>
      </c>
      <c r="F169" s="1314">
        <f t="shared" si="46"/>
        <v>1260</v>
      </c>
      <c r="G169" s="1046">
        <v>90</v>
      </c>
      <c r="H169" s="306">
        <v>1260</v>
      </c>
      <c r="I169" s="307">
        <v>1</v>
      </c>
      <c r="J169" s="1046"/>
      <c r="K169" s="306">
        <f t="shared" si="50"/>
        <v>0</v>
      </c>
      <c r="L169" s="307">
        <f t="shared" si="53"/>
        <v>0</v>
      </c>
      <c r="M169" s="1047">
        <f>+G169+J169</f>
        <v>90</v>
      </c>
      <c r="N169" s="306">
        <f t="shared" si="56"/>
        <v>1260</v>
      </c>
      <c r="O169" s="307">
        <f t="shared" si="54"/>
        <v>1</v>
      </c>
      <c r="P169" s="1047">
        <f>D169-M169</f>
        <v>0</v>
      </c>
      <c r="Q169" s="306">
        <f>F169-N169</f>
        <v>0</v>
      </c>
      <c r="R169" s="307">
        <f t="shared" si="55"/>
        <v>0</v>
      </c>
      <c r="S169" s="314"/>
      <c r="T169" s="314"/>
      <c r="U169" s="314"/>
      <c r="V169" s="314"/>
      <c r="W169" s="314"/>
      <c r="X169" s="314"/>
    </row>
    <row r="170" spans="1:24" s="304" customFormat="1" ht="15" customHeight="1" thickBot="1">
      <c r="A170" s="933"/>
      <c r="B170" s="2537" t="s">
        <v>18</v>
      </c>
      <c r="C170" s="2538"/>
      <c r="D170" s="2538"/>
      <c r="E170" s="2539"/>
      <c r="F170" s="1294">
        <f>SUM(F16:F169)</f>
        <v>1635915.4400000002</v>
      </c>
      <c r="G170" s="1295"/>
      <c r="H170" s="1294">
        <f>SUM(H20:H169)-0.01</f>
        <v>1421331.4917847496</v>
      </c>
      <c r="I170" s="1296">
        <f>+H170/$F170</f>
        <v>0.86882943765403264</v>
      </c>
      <c r="J170" s="1297"/>
      <c r="K170" s="1294">
        <f>SUM(K20:K169)</f>
        <v>0</v>
      </c>
      <c r="L170" s="1296">
        <f>+K170/$F170</f>
        <v>0</v>
      </c>
      <c r="M170" s="1298"/>
      <c r="N170" s="1294">
        <f>H170+K170</f>
        <v>1421331.4917847496</v>
      </c>
      <c r="O170" s="1296">
        <f>+N170/$F170</f>
        <v>0.86882943765403264</v>
      </c>
      <c r="P170" s="1298"/>
      <c r="Q170" s="1294">
        <f>F170-N170</f>
        <v>214583.94821525062</v>
      </c>
      <c r="R170" s="1299">
        <f>+Q170/$F170</f>
        <v>0.13117056234596736</v>
      </c>
      <c r="S170" s="1885">
        <f>SUM(Q20:Q169)</f>
        <v>214583.93821524997</v>
      </c>
      <c r="T170" s="1133"/>
      <c r="U170" s="314"/>
      <c r="V170" s="314"/>
      <c r="W170" s="314"/>
      <c r="X170" s="314"/>
    </row>
    <row r="171" spans="1:24">
      <c r="G171" s="1191"/>
    </row>
    <row r="172" spans="1:24" ht="32.25">
      <c r="A172" s="2148" t="s">
        <v>2323</v>
      </c>
      <c r="B172" s="2148"/>
      <c r="C172" s="2148"/>
      <c r="D172" s="2148"/>
      <c r="E172" s="2148"/>
      <c r="F172" s="2148"/>
      <c r="G172" s="2148"/>
      <c r="H172" s="2148"/>
      <c r="I172" s="2148"/>
      <c r="J172" s="2148"/>
      <c r="K172" s="2148"/>
      <c r="L172" s="2148"/>
      <c r="M172" s="2148"/>
      <c r="N172" s="2148"/>
      <c r="O172" s="2148"/>
      <c r="P172" s="2148"/>
      <c r="Q172" s="2148"/>
      <c r="R172" s="2148"/>
    </row>
    <row r="173" spans="1:24" ht="32.25">
      <c r="A173" s="1218"/>
      <c r="B173" s="1218"/>
      <c r="C173" s="1218"/>
      <c r="D173" s="2504" t="s">
        <v>2472</v>
      </c>
      <c r="E173" s="2504"/>
      <c r="F173" s="2504"/>
      <c r="G173" s="2504"/>
      <c r="H173" s="2504"/>
      <c r="I173" s="2504"/>
      <c r="J173" s="2504"/>
      <c r="K173" s="2504"/>
      <c r="L173" s="1218"/>
      <c r="M173" s="1456"/>
      <c r="N173" s="1218"/>
      <c r="O173" s="1218"/>
      <c r="P173" s="1218"/>
      <c r="Q173" s="1218"/>
      <c r="R173" s="1218"/>
      <c r="S173" s="1456"/>
    </row>
    <row r="174" spans="1:24" ht="22.5">
      <c r="A174" s="2149" t="s">
        <v>4275</v>
      </c>
      <c r="B174" s="2149"/>
      <c r="C174" s="2149"/>
      <c r="D174" s="2149"/>
      <c r="E174" s="2149"/>
      <c r="F174" s="2149"/>
      <c r="G174" s="2149"/>
      <c r="H174" s="2149"/>
      <c r="I174" s="2149"/>
      <c r="J174" s="2149"/>
      <c r="K174" s="2149"/>
      <c r="L174" s="2149"/>
      <c r="M174" s="2149"/>
      <c r="N174" s="2149"/>
      <c r="O174" s="2149"/>
      <c r="P174" s="2149"/>
      <c r="Q174" s="2149"/>
      <c r="R174" s="2149"/>
    </row>
    <row r="175" spans="1:24">
      <c r="A175" s="997"/>
      <c r="B175" s="998" t="s">
        <v>57</v>
      </c>
      <c r="C175" s="999"/>
      <c r="D175" s="998"/>
      <c r="E175" s="998"/>
      <c r="F175" s="998"/>
      <c r="G175" s="998"/>
      <c r="H175" s="998"/>
      <c r="I175" s="998"/>
      <c r="J175" s="998"/>
      <c r="K175" s="998"/>
      <c r="L175" s="998"/>
      <c r="M175" s="1000"/>
      <c r="N175" s="1001"/>
      <c r="O175" s="998"/>
      <c r="P175" s="998"/>
      <c r="Q175" s="998"/>
      <c r="R175" s="998"/>
    </row>
    <row r="176" spans="1:24">
      <c r="A176" s="997" t="s">
        <v>136</v>
      </c>
      <c r="B176" s="998" t="str">
        <f>B5</f>
        <v>“MEJORAMIENTO DE LA GESTIÓN MUNICIPAL Y SERVICIO ADMINISTRATIVO DE LA MUNICIPALIDAD PROVINCIAL DE ABANCAY, DISTRITO DE ABANCAY - PROVINCIA DE ABANCAY - DEPARTAMENTO DE APURIMAC”.</v>
      </c>
      <c r="C176" s="998"/>
      <c r="D176" s="998"/>
      <c r="E176" s="998"/>
      <c r="F176" s="998"/>
      <c r="G176" s="998"/>
      <c r="H176" s="998"/>
      <c r="I176" s="998"/>
      <c r="J176" s="998"/>
      <c r="K176" s="998"/>
      <c r="L176" s="998"/>
      <c r="M176" s="998"/>
      <c r="N176" s="998"/>
      <c r="O176" s="998"/>
      <c r="P176" s="998"/>
      <c r="Q176" s="998"/>
      <c r="R176" s="998"/>
      <c r="V176" s="1191">
        <f>F15+F186-F295</f>
        <v>458476.78000000026</v>
      </c>
    </row>
    <row r="177" spans="1:22">
      <c r="A177" s="997" t="s">
        <v>137</v>
      </c>
      <c r="B177" s="998" t="s">
        <v>126</v>
      </c>
      <c r="C177" s="1002"/>
      <c r="D177" s="1003"/>
      <c r="E177" s="1003"/>
      <c r="F177" s="1003"/>
      <c r="G177" s="1003"/>
      <c r="H177" s="1003"/>
      <c r="I177" s="1003"/>
      <c r="J177" s="1003"/>
      <c r="K177" s="1003"/>
      <c r="L177" s="1004"/>
      <c r="M177" s="1003"/>
      <c r="N177" s="1003"/>
      <c r="O177" s="1003"/>
      <c r="P177" s="1003"/>
      <c r="Q177" s="1003"/>
      <c r="R177" s="1003"/>
    </row>
    <row r="178" spans="1:22">
      <c r="A178" s="997" t="s">
        <v>139</v>
      </c>
      <c r="B178" s="1003" t="s">
        <v>2480</v>
      </c>
      <c r="C178" s="1002"/>
      <c r="D178" s="1003"/>
      <c r="E178" s="1003"/>
      <c r="F178" s="1003"/>
      <c r="G178" s="1003"/>
      <c r="H178" s="1003"/>
      <c r="I178" s="1003"/>
      <c r="J178" s="2143" t="s">
        <v>1147</v>
      </c>
      <c r="K178" s="2144"/>
      <c r="L178" s="2145" t="s">
        <v>4267</v>
      </c>
      <c r="M178" s="2146"/>
      <c r="N178" s="2146"/>
      <c r="O178" s="2147"/>
      <c r="P178" s="1005"/>
      <c r="Q178" s="1005"/>
      <c r="R178" s="1005"/>
    </row>
    <row r="179" spans="1:22" ht="20.25">
      <c r="A179" s="997" t="s">
        <v>129</v>
      </c>
      <c r="B179" s="998" t="str">
        <f>B8</f>
        <v>ING. RICHARD ERWIN MONTALVO ALVARO</v>
      </c>
      <c r="C179" s="1006"/>
      <c r="D179" s="1007"/>
      <c r="E179" s="1007"/>
      <c r="F179" s="1007"/>
      <c r="G179" s="1007"/>
      <c r="H179" s="1007"/>
      <c r="I179" s="1007"/>
      <c r="J179" s="2143" t="s">
        <v>1148</v>
      </c>
      <c r="K179" s="2144"/>
      <c r="L179" s="2502" t="s">
        <v>125</v>
      </c>
      <c r="M179" s="2502"/>
      <c r="N179" s="2502"/>
      <c r="O179" s="2502"/>
      <c r="P179" s="2503"/>
      <c r="Q179" s="2503"/>
      <c r="R179" s="2503"/>
    </row>
    <row r="180" spans="1:22">
      <c r="A180" s="997" t="s">
        <v>128</v>
      </c>
      <c r="B180" s="1008" t="str">
        <f>B9</f>
        <v>ING. IVES BUSTHER GUTIERREZ ARENAS</v>
      </c>
      <c r="C180" s="1009"/>
      <c r="D180" s="1010"/>
      <c r="E180" s="1010"/>
      <c r="F180" s="1010"/>
      <c r="G180" s="1010"/>
      <c r="H180" s="1010"/>
      <c r="I180" s="1010"/>
      <c r="J180" s="2143" t="s">
        <v>1149</v>
      </c>
      <c r="K180" s="2144"/>
      <c r="L180" s="2502" t="s">
        <v>125</v>
      </c>
      <c r="M180" s="2502"/>
      <c r="N180" s="2502"/>
      <c r="O180" s="2502"/>
      <c r="P180" s="2503"/>
      <c r="Q180" s="2503"/>
      <c r="R180" s="2503"/>
      <c r="V180" s="230">
        <v>458476.78</v>
      </c>
    </row>
    <row r="181" spans="1:22">
      <c r="A181" s="997" t="s">
        <v>1150</v>
      </c>
      <c r="B181" s="1008" t="s">
        <v>1187</v>
      </c>
      <c r="C181" s="1009"/>
      <c r="D181" s="1010"/>
      <c r="E181" s="1010"/>
      <c r="F181" s="1010"/>
      <c r="G181" s="1010"/>
      <c r="H181" s="1010"/>
      <c r="I181" s="1010"/>
      <c r="J181" s="2143" t="s">
        <v>1151</v>
      </c>
      <c r="K181" s="2144"/>
      <c r="L181" s="2502" t="s">
        <v>124</v>
      </c>
      <c r="M181" s="2502"/>
      <c r="N181" s="2502"/>
      <c r="O181" s="2502"/>
      <c r="P181" s="2503"/>
      <c r="Q181" s="2503"/>
      <c r="R181" s="2503"/>
    </row>
    <row r="182" spans="1:22">
      <c r="A182" s="315"/>
      <c r="B182" s="315"/>
      <c r="C182" s="313"/>
      <c r="D182" s="313"/>
      <c r="E182" s="313"/>
      <c r="F182" s="313"/>
      <c r="G182" s="314"/>
      <c r="H182" s="314"/>
      <c r="I182" s="314"/>
      <c r="J182" s="314"/>
      <c r="K182" s="314"/>
      <c r="L182" s="314"/>
      <c r="M182" s="314"/>
      <c r="N182" s="314"/>
      <c r="O182" s="314"/>
      <c r="P182" s="314"/>
      <c r="Q182" s="314"/>
      <c r="R182" s="314"/>
      <c r="T182" s="1191"/>
    </row>
    <row r="183" spans="1:22" ht="15.75">
      <c r="A183" s="2501" t="s">
        <v>31</v>
      </c>
      <c r="B183" s="2501" t="s">
        <v>114</v>
      </c>
      <c r="C183" s="2501" t="s">
        <v>37</v>
      </c>
      <c r="D183" s="2501" t="s">
        <v>23</v>
      </c>
      <c r="E183" s="2501" t="s">
        <v>706</v>
      </c>
      <c r="F183" s="2501" t="s">
        <v>127</v>
      </c>
      <c r="G183" s="1036"/>
      <c r="H183" s="1037"/>
      <c r="I183" s="1037"/>
      <c r="J183" s="1037"/>
      <c r="K183" s="1038" t="s">
        <v>767</v>
      </c>
      <c r="L183" s="1037"/>
      <c r="M183" s="1037"/>
      <c r="N183" s="1037"/>
      <c r="O183" s="1039"/>
      <c r="P183" s="2497" t="s">
        <v>16</v>
      </c>
      <c r="Q183" s="2497"/>
      <c r="R183" s="2497"/>
    </row>
    <row r="184" spans="1:22" ht="15.75">
      <c r="A184" s="2501"/>
      <c r="B184" s="2501"/>
      <c r="C184" s="2501"/>
      <c r="D184" s="2501"/>
      <c r="E184" s="2501"/>
      <c r="F184" s="2501"/>
      <c r="G184" s="2497" t="s">
        <v>140</v>
      </c>
      <c r="H184" s="2497"/>
      <c r="I184" s="2497"/>
      <c r="J184" s="2497" t="s">
        <v>141</v>
      </c>
      <c r="K184" s="2497"/>
      <c r="L184" s="2497"/>
      <c r="M184" s="2497" t="s">
        <v>142</v>
      </c>
      <c r="N184" s="2497"/>
      <c r="O184" s="2497"/>
      <c r="P184" s="2497"/>
      <c r="Q184" s="2497"/>
      <c r="R184" s="2497"/>
    </row>
    <row r="185" spans="1:22" ht="15.75">
      <c r="A185" s="2501"/>
      <c r="B185" s="2501"/>
      <c r="C185" s="2501"/>
      <c r="D185" s="2501"/>
      <c r="E185" s="2501"/>
      <c r="F185" s="2501"/>
      <c r="G185" s="1040" t="s">
        <v>54</v>
      </c>
      <c r="H185" s="1040" t="s">
        <v>506</v>
      </c>
      <c r="I185" s="1040" t="s">
        <v>30</v>
      </c>
      <c r="J185" s="1040" t="s">
        <v>54</v>
      </c>
      <c r="K185" s="1040" t="s">
        <v>506</v>
      </c>
      <c r="L185" s="1040" t="s">
        <v>30</v>
      </c>
      <c r="M185" s="1040" t="s">
        <v>54</v>
      </c>
      <c r="N185" s="1040" t="s">
        <v>506</v>
      </c>
      <c r="O185" s="1040" t="s">
        <v>30</v>
      </c>
      <c r="P185" s="1040" t="s">
        <v>54</v>
      </c>
      <c r="Q185" s="1040" t="s">
        <v>506</v>
      </c>
      <c r="R185" s="1040" t="s">
        <v>30</v>
      </c>
    </row>
    <row r="186" spans="1:22" ht="15.75">
      <c r="A186" s="300"/>
      <c r="B186" s="300"/>
      <c r="C186" s="300"/>
      <c r="D186" s="301"/>
      <c r="E186" s="301"/>
      <c r="F186" s="1041">
        <f>F227</f>
        <v>577014.6399999999</v>
      </c>
      <c r="G186" s="1042"/>
      <c r="H186" s="1043">
        <f>H227</f>
        <v>575823.35999999999</v>
      </c>
      <c r="I186" s="308"/>
      <c r="J186" s="1044"/>
      <c r="K186" s="1043">
        <f>K227</f>
        <v>0</v>
      </c>
      <c r="L186" s="309"/>
      <c r="M186" s="1044"/>
      <c r="N186" s="1043">
        <f>N227</f>
        <v>575823.35999999999</v>
      </c>
      <c r="O186" s="308"/>
      <c r="P186" s="1044"/>
      <c r="Q186" s="1043">
        <f>Q227</f>
        <v>1191.2799999999115</v>
      </c>
      <c r="R186" s="308"/>
    </row>
    <row r="187" spans="1:22" ht="31.5">
      <c r="A187" s="996"/>
      <c r="B187" s="1097" t="s">
        <v>2150</v>
      </c>
      <c r="C187" s="840"/>
      <c r="D187" s="302"/>
      <c r="E187" s="302"/>
      <c r="F187" s="303"/>
      <c r="G187" s="1048"/>
      <c r="H187" s="303"/>
      <c r="I187" s="310"/>
      <c r="J187" s="1045"/>
      <c r="K187" s="311"/>
      <c r="L187" s="311"/>
      <c r="M187" s="1045"/>
      <c r="N187" s="311"/>
      <c r="O187" s="311"/>
      <c r="P187" s="1045"/>
      <c r="Q187" s="311"/>
      <c r="R187" s="311"/>
    </row>
    <row r="188" spans="1:22" ht="15.75">
      <c r="A188" s="1300">
        <v>1</v>
      </c>
      <c r="B188" s="1301" t="s">
        <v>1671</v>
      </c>
      <c r="C188" s="1302"/>
      <c r="D188" s="1303"/>
      <c r="E188" s="1304"/>
      <c r="F188" s="1305"/>
      <c r="G188" s="1049"/>
      <c r="H188" s="306"/>
      <c r="I188" s="307"/>
      <c r="J188" s="1046"/>
      <c r="K188" s="306"/>
      <c r="L188" s="307"/>
      <c r="M188" s="1047"/>
      <c r="N188" s="306"/>
      <c r="O188" s="307"/>
      <c r="P188" s="1047"/>
      <c r="Q188" s="306"/>
      <c r="R188" s="307"/>
    </row>
    <row r="189" spans="1:22" ht="15.75">
      <c r="A189" s="1309" t="s">
        <v>1189</v>
      </c>
      <c r="B189" s="1310" t="s">
        <v>1673</v>
      </c>
      <c r="C189" s="1302"/>
      <c r="D189" s="1303">
        <v>0</v>
      </c>
      <c r="E189" s="1308">
        <v>0</v>
      </c>
      <c r="F189" s="1314" t="str">
        <f t="shared" ref="F189:F190" si="57">IF(ISBLANK(C189)," ",ROUND(E189*D189,2))</f>
        <v xml:space="preserve"> </v>
      </c>
      <c r="G189" s="1049"/>
      <c r="H189" s="306"/>
      <c r="I189" s="307"/>
      <c r="J189" s="1046"/>
      <c r="K189" s="306"/>
      <c r="L189" s="307"/>
      <c r="M189" s="1047"/>
      <c r="N189" s="1410"/>
      <c r="O189" s="1410"/>
      <c r="P189" s="1047"/>
      <c r="Q189" s="306"/>
      <c r="R189" s="307"/>
    </row>
    <row r="190" spans="1:22" ht="15.75">
      <c r="A190" s="1337" t="s">
        <v>1191</v>
      </c>
      <c r="B190" s="1338" t="s">
        <v>1675</v>
      </c>
      <c r="C190" s="1312" t="s">
        <v>2145</v>
      </c>
      <c r="D190" s="1303">
        <v>1</v>
      </c>
      <c r="E190" s="1340">
        <v>930.35</v>
      </c>
      <c r="F190" s="1314">
        <f t="shared" si="57"/>
        <v>930.35</v>
      </c>
      <c r="G190" s="1049"/>
      <c r="H190" s="1340"/>
      <c r="I190" s="307"/>
      <c r="J190" s="1046"/>
      <c r="K190" s="306"/>
      <c r="L190" s="307"/>
      <c r="M190" s="1047"/>
      <c r="N190" s="306"/>
      <c r="O190" s="307"/>
      <c r="P190" s="1047">
        <v>1</v>
      </c>
      <c r="Q190" s="306">
        <f>F190-N190</f>
        <v>930.35</v>
      </c>
      <c r="R190" s="307">
        <f t="shared" ref="R190" si="58">+Q190/$F190</f>
        <v>1</v>
      </c>
    </row>
    <row r="191" spans="1:22" ht="15.75">
      <c r="A191" s="1306">
        <v>1.1000000000000001</v>
      </c>
      <c r="B191" s="1307" t="s">
        <v>1672</v>
      </c>
      <c r="C191" s="1302"/>
      <c r="D191" s="1303"/>
      <c r="E191" s="1308"/>
      <c r="F191" s="1314"/>
      <c r="G191" s="1049"/>
      <c r="H191" s="306"/>
      <c r="I191" s="307"/>
      <c r="J191" s="1046"/>
      <c r="K191" s="306"/>
      <c r="L191" s="307"/>
      <c r="M191" s="1047"/>
      <c r="N191" s="306"/>
      <c r="O191" s="307"/>
      <c r="P191" s="1047"/>
      <c r="Q191" s="306"/>
      <c r="R191" s="307"/>
    </row>
    <row r="192" spans="1:22" ht="15.75">
      <c r="A192" s="1309" t="s">
        <v>1201</v>
      </c>
      <c r="B192" s="1310" t="s">
        <v>1685</v>
      </c>
      <c r="C192" s="1320"/>
      <c r="D192" s="1303"/>
      <c r="E192" s="1313"/>
      <c r="F192" s="1314"/>
      <c r="G192" s="1049"/>
      <c r="H192" s="306"/>
      <c r="I192" s="307"/>
      <c r="J192" s="1046"/>
      <c r="K192" s="306"/>
      <c r="L192" s="307"/>
      <c r="M192" s="1047"/>
      <c r="N192" s="306"/>
      <c r="O192" s="307"/>
      <c r="P192" s="1047"/>
      <c r="Q192" s="306"/>
      <c r="R192" s="307"/>
    </row>
    <row r="193" spans="1:18" ht="15.75">
      <c r="A193" s="1309" t="s">
        <v>1202</v>
      </c>
      <c r="B193" s="1311" t="s">
        <v>1686</v>
      </c>
      <c r="C193" s="1312" t="s">
        <v>2147</v>
      </c>
      <c r="D193" s="1361">
        <v>144.85</v>
      </c>
      <c r="E193" s="1313">
        <v>1.9</v>
      </c>
      <c r="F193" s="1314">
        <f t="shared" ref="F193:F226" si="59">IF(ISBLANK(C193)," ",ROUND(E193*D193,2))</f>
        <v>275.22000000000003</v>
      </c>
      <c r="G193" s="1049">
        <v>75.889999999999986</v>
      </c>
      <c r="H193" s="306">
        <v>144.19</v>
      </c>
      <c r="I193" s="307">
        <v>0.52390814621030446</v>
      </c>
      <c r="J193" s="1046"/>
      <c r="K193" s="306">
        <f t="shared" ref="K193:K202" si="60">J193*E193</f>
        <v>0</v>
      </c>
      <c r="L193" s="307">
        <f t="shared" ref="L193:L202" si="61">+K193/$F193</f>
        <v>0</v>
      </c>
      <c r="M193" s="1047">
        <f>+G193+J193</f>
        <v>75.889999999999986</v>
      </c>
      <c r="N193" s="306">
        <f>ROUND(+M193*E193,2)</f>
        <v>144.19</v>
      </c>
      <c r="O193" s="307">
        <f t="shared" ref="O193:O202" si="62">+N193/$F193</f>
        <v>0.52390814621030446</v>
      </c>
      <c r="P193" s="1047">
        <f>D193-M193</f>
        <v>68.960000000000008</v>
      </c>
      <c r="Q193" s="306">
        <f>F193-N193</f>
        <v>131.03000000000003</v>
      </c>
      <c r="R193" s="307">
        <f t="shared" ref="R193:R202" si="63">+Q193/$F193</f>
        <v>0.4760918537896956</v>
      </c>
    </row>
    <row r="194" spans="1:18" ht="15.75">
      <c r="A194" s="1309" t="s">
        <v>1203</v>
      </c>
      <c r="B194" s="1311" t="s">
        <v>1687</v>
      </c>
      <c r="C194" s="1312" t="s">
        <v>2147</v>
      </c>
      <c r="D194" s="1361">
        <v>144.19</v>
      </c>
      <c r="E194" s="1313">
        <v>1.9</v>
      </c>
      <c r="F194" s="1314">
        <f t="shared" si="59"/>
        <v>273.95999999999998</v>
      </c>
      <c r="G194" s="1049">
        <v>75.89</v>
      </c>
      <c r="H194" s="306">
        <v>144.19</v>
      </c>
      <c r="I194" s="307">
        <v>0.52631771061468835</v>
      </c>
      <c r="J194" s="1046"/>
      <c r="K194" s="306">
        <f t="shared" si="60"/>
        <v>0</v>
      </c>
      <c r="L194" s="307">
        <f t="shared" si="61"/>
        <v>0</v>
      </c>
      <c r="M194" s="1047">
        <f>+G194+J194</f>
        <v>75.89</v>
      </c>
      <c r="N194" s="306">
        <f>ROUND(+M194*E194,2)</f>
        <v>144.19</v>
      </c>
      <c r="O194" s="307">
        <f t="shared" si="62"/>
        <v>0.52631771061468835</v>
      </c>
      <c r="P194" s="1047">
        <f>D194-M194</f>
        <v>68.3</v>
      </c>
      <c r="Q194" s="306">
        <f>F194-N194</f>
        <v>129.76999999999998</v>
      </c>
      <c r="R194" s="307">
        <f t="shared" si="63"/>
        <v>0.47368228938531171</v>
      </c>
    </row>
    <row r="195" spans="1:18" ht="15.75">
      <c r="A195" s="1306">
        <v>1.2</v>
      </c>
      <c r="B195" s="1307" t="s">
        <v>1688</v>
      </c>
      <c r="C195" s="1321"/>
      <c r="D195" s="1303"/>
      <c r="E195" s="1322"/>
      <c r="F195" s="1314"/>
      <c r="G195" s="1049"/>
      <c r="H195" s="306"/>
      <c r="I195" s="307"/>
      <c r="J195" s="1046"/>
      <c r="K195" s="306"/>
      <c r="L195" s="307"/>
      <c r="M195" s="1047"/>
      <c r="N195" s="306"/>
      <c r="O195" s="307"/>
      <c r="P195" s="1047"/>
      <c r="Q195" s="306"/>
      <c r="R195" s="307"/>
    </row>
    <row r="196" spans="1:18" ht="15.75">
      <c r="A196" s="1337" t="s">
        <v>1205</v>
      </c>
      <c r="B196" s="1362" t="s">
        <v>1690</v>
      </c>
      <c r="C196" s="1363" t="s">
        <v>52</v>
      </c>
      <c r="D196" s="1323">
        <v>325</v>
      </c>
      <c r="E196" s="1340">
        <v>226</v>
      </c>
      <c r="F196" s="1314">
        <f t="shared" si="59"/>
        <v>73450</v>
      </c>
      <c r="G196" s="1049">
        <v>325</v>
      </c>
      <c r="H196" s="306">
        <v>73450</v>
      </c>
      <c r="I196" s="307">
        <v>1</v>
      </c>
      <c r="J196" s="1046"/>
      <c r="K196" s="306">
        <f t="shared" si="60"/>
        <v>0</v>
      </c>
      <c r="L196" s="307">
        <f t="shared" si="61"/>
        <v>0</v>
      </c>
      <c r="M196" s="1047">
        <f>+G196+J196</f>
        <v>325</v>
      </c>
      <c r="N196" s="306">
        <f>ROUND(+M196*E196,2)</f>
        <v>73450</v>
      </c>
      <c r="O196" s="307">
        <f t="shared" si="62"/>
        <v>1</v>
      </c>
      <c r="P196" s="1047">
        <f>D196-M196</f>
        <v>0</v>
      </c>
      <c r="Q196" s="306">
        <f>F196-N196</f>
        <v>0</v>
      </c>
      <c r="R196" s="307">
        <f t="shared" si="63"/>
        <v>0</v>
      </c>
    </row>
    <row r="197" spans="1:18" ht="15.75">
      <c r="A197" s="1309" t="s">
        <v>1206</v>
      </c>
      <c r="B197" s="1311" t="s">
        <v>1691</v>
      </c>
      <c r="C197" s="1312" t="s">
        <v>268</v>
      </c>
      <c r="D197" s="1303">
        <v>8</v>
      </c>
      <c r="E197" s="1313">
        <v>4500</v>
      </c>
      <c r="F197" s="1314">
        <f t="shared" si="59"/>
        <v>36000</v>
      </c>
      <c r="G197" s="1049">
        <v>8</v>
      </c>
      <c r="H197" s="306">
        <v>36000</v>
      </c>
      <c r="I197" s="307">
        <v>1</v>
      </c>
      <c r="J197" s="1046"/>
      <c r="K197" s="306">
        <f t="shared" si="60"/>
        <v>0</v>
      </c>
      <c r="L197" s="307">
        <f t="shared" si="61"/>
        <v>0</v>
      </c>
      <c r="M197" s="1047">
        <f>+G197+J197</f>
        <v>8</v>
      </c>
      <c r="N197" s="306">
        <f>ROUND(+M197*E197,2)</f>
        <v>36000</v>
      </c>
      <c r="O197" s="307">
        <f t="shared" si="62"/>
        <v>1</v>
      </c>
      <c r="P197" s="1047">
        <f>D197-M197</f>
        <v>0</v>
      </c>
      <c r="Q197" s="306">
        <f>F197-N197</f>
        <v>0</v>
      </c>
      <c r="R197" s="307">
        <f t="shared" si="63"/>
        <v>0</v>
      </c>
    </row>
    <row r="198" spans="1:18" ht="16.5" customHeight="1">
      <c r="A198" s="1364" t="s">
        <v>1209</v>
      </c>
      <c r="B198" s="1362" t="s">
        <v>1694</v>
      </c>
      <c r="C198" s="1363" t="s">
        <v>268</v>
      </c>
      <c r="D198" s="1323">
        <v>1</v>
      </c>
      <c r="E198" s="1365">
        <v>1282.8</v>
      </c>
      <c r="F198" s="1314">
        <f t="shared" si="59"/>
        <v>1282.8</v>
      </c>
      <c r="G198" s="1049">
        <v>1</v>
      </c>
      <c r="H198" s="306">
        <v>1282.8</v>
      </c>
      <c r="I198" s="307">
        <v>1</v>
      </c>
      <c r="J198" s="1046"/>
      <c r="K198" s="306">
        <f t="shared" si="60"/>
        <v>0</v>
      </c>
      <c r="L198" s="307">
        <f t="shared" si="61"/>
        <v>0</v>
      </c>
      <c r="M198" s="1047">
        <f>+G198+J198</f>
        <v>1</v>
      </c>
      <c r="N198" s="306">
        <f>ROUND(+M198*E198,2)</f>
        <v>1282.8</v>
      </c>
      <c r="O198" s="307">
        <f t="shared" si="62"/>
        <v>1</v>
      </c>
      <c r="P198" s="1047">
        <f>D198-M198</f>
        <v>0</v>
      </c>
      <c r="Q198" s="306">
        <f>F198-N198</f>
        <v>0</v>
      </c>
      <c r="R198" s="307">
        <f t="shared" si="63"/>
        <v>0</v>
      </c>
    </row>
    <row r="199" spans="1:18" ht="15.75">
      <c r="A199" s="1324">
        <v>2</v>
      </c>
      <c r="B199" s="1325" t="s">
        <v>1695</v>
      </c>
      <c r="C199" s="1326"/>
      <c r="D199" s="1303"/>
      <c r="E199" s="1321"/>
      <c r="F199" s="1314" t="str">
        <f t="shared" si="59"/>
        <v xml:space="preserve"> </v>
      </c>
      <c r="G199" s="1049"/>
      <c r="H199" s="306"/>
      <c r="I199" s="307"/>
      <c r="J199" s="1046"/>
      <c r="K199" s="306">
        <f t="shared" si="60"/>
        <v>0</v>
      </c>
      <c r="L199" s="307"/>
      <c r="M199" s="1047"/>
      <c r="N199" s="306"/>
      <c r="O199" s="307"/>
      <c r="P199" s="1047"/>
      <c r="Q199" s="306"/>
      <c r="R199" s="307"/>
    </row>
    <row r="200" spans="1:18" ht="15.75">
      <c r="A200" s="1306">
        <v>2.2000000000000002</v>
      </c>
      <c r="B200" s="1307" t="s">
        <v>1701</v>
      </c>
      <c r="C200" s="1321"/>
      <c r="D200" s="1303"/>
      <c r="E200" s="1322"/>
      <c r="F200" s="1314"/>
      <c r="G200" s="1049"/>
      <c r="H200" s="306"/>
      <c r="I200" s="307"/>
      <c r="J200" s="1046"/>
      <c r="K200" s="306"/>
      <c r="L200" s="307"/>
      <c r="M200" s="1047"/>
      <c r="N200" s="306"/>
      <c r="O200" s="307"/>
      <c r="P200" s="1047"/>
      <c r="Q200" s="306"/>
      <c r="R200" s="307"/>
    </row>
    <row r="201" spans="1:18" ht="15.75">
      <c r="A201" s="1309" t="s">
        <v>1218</v>
      </c>
      <c r="B201" s="1310" t="s">
        <v>1706</v>
      </c>
      <c r="C201" s="1320"/>
      <c r="D201" s="1303"/>
      <c r="E201" s="1313"/>
      <c r="F201" s="1314"/>
      <c r="G201" s="1049"/>
      <c r="H201" s="306"/>
      <c r="I201" s="307"/>
      <c r="J201" s="1046"/>
      <c r="K201" s="306"/>
      <c r="L201" s="307"/>
      <c r="M201" s="1047"/>
      <c r="N201" s="306"/>
      <c r="O201" s="307"/>
      <c r="P201" s="1047"/>
      <c r="Q201" s="306"/>
      <c r="R201" s="307"/>
    </row>
    <row r="202" spans="1:18" ht="15.75">
      <c r="A202" s="1333" t="s">
        <v>1220</v>
      </c>
      <c r="B202" s="1334" t="s">
        <v>1708</v>
      </c>
      <c r="C202" s="1335" t="s">
        <v>2147</v>
      </c>
      <c r="D202" s="1318">
        <v>146.18999999999997</v>
      </c>
      <c r="E202" s="1336">
        <v>68.680000000000007</v>
      </c>
      <c r="F202" s="1314">
        <f t="shared" si="59"/>
        <v>10040.33</v>
      </c>
      <c r="G202" s="1049">
        <v>146.19</v>
      </c>
      <c r="H202" s="306">
        <v>10040.33</v>
      </c>
      <c r="I202" s="307">
        <v>1</v>
      </c>
      <c r="J202" s="1046"/>
      <c r="K202" s="306">
        <f t="shared" si="60"/>
        <v>0</v>
      </c>
      <c r="L202" s="307">
        <f t="shared" si="61"/>
        <v>0</v>
      </c>
      <c r="M202" s="1047">
        <f>+G202+J202</f>
        <v>146.19</v>
      </c>
      <c r="N202" s="306">
        <f>ROUND(+M202*E202,2)</f>
        <v>10040.33</v>
      </c>
      <c r="O202" s="307">
        <f t="shared" si="62"/>
        <v>1</v>
      </c>
      <c r="P202" s="1047">
        <f>D202-M202</f>
        <v>0</v>
      </c>
      <c r="Q202" s="306">
        <f>F202-N202</f>
        <v>0</v>
      </c>
      <c r="R202" s="307">
        <f t="shared" si="63"/>
        <v>0</v>
      </c>
    </row>
    <row r="203" spans="1:18" ht="15.75">
      <c r="A203" s="1309" t="s">
        <v>1222</v>
      </c>
      <c r="B203" s="1310" t="s">
        <v>1710</v>
      </c>
      <c r="C203" s="1320"/>
      <c r="D203" s="1366"/>
      <c r="E203" s="1313"/>
      <c r="F203" s="1314" t="str">
        <f t="shared" si="59"/>
        <v xml:space="preserve"> </v>
      </c>
      <c r="G203" s="1049"/>
      <c r="H203" s="306"/>
      <c r="I203" s="307"/>
      <c r="J203" s="1046"/>
      <c r="K203" s="306"/>
      <c r="L203" s="307"/>
      <c r="M203" s="1047"/>
      <c r="N203" s="306"/>
      <c r="O203" s="307"/>
      <c r="P203" s="1047"/>
      <c r="Q203" s="306"/>
      <c r="R203" s="307"/>
    </row>
    <row r="204" spans="1:18" ht="15.75">
      <c r="A204" s="1309"/>
      <c r="B204" s="1101" t="s">
        <v>1711</v>
      </c>
      <c r="C204" s="1320"/>
      <c r="D204" s="1366"/>
      <c r="E204" s="1313"/>
      <c r="F204" s="1314"/>
      <c r="G204" s="1049"/>
      <c r="H204" s="306"/>
      <c r="I204" s="307"/>
      <c r="J204" s="1046"/>
      <c r="K204" s="306"/>
      <c r="L204" s="307"/>
      <c r="M204" s="1047"/>
      <c r="N204" s="306"/>
      <c r="O204" s="307"/>
      <c r="P204" s="1047"/>
      <c r="Q204" s="306"/>
      <c r="R204" s="307"/>
    </row>
    <row r="205" spans="1:18" ht="15.75">
      <c r="A205" s="1309" t="s">
        <v>1224</v>
      </c>
      <c r="B205" s="1311" t="s">
        <v>1712</v>
      </c>
      <c r="C205" s="1312" t="s">
        <v>2147</v>
      </c>
      <c r="D205" s="1303">
        <v>317.20999999999998</v>
      </c>
      <c r="E205" s="1313">
        <v>66.5</v>
      </c>
      <c r="F205" s="1314">
        <f t="shared" si="59"/>
        <v>21094.47</v>
      </c>
      <c r="G205" s="1049">
        <v>317.20999999999998</v>
      </c>
      <c r="H205" s="306">
        <v>21094.47</v>
      </c>
      <c r="I205" s="307">
        <v>1</v>
      </c>
      <c r="J205" s="1046"/>
      <c r="K205" s="306">
        <f t="shared" ref="K205:K225" si="64">J205*E205</f>
        <v>0</v>
      </c>
      <c r="L205" s="307">
        <f t="shared" ref="L205:L225" si="65">+K205/$F205</f>
        <v>0</v>
      </c>
      <c r="M205" s="1047">
        <f>+G205+J205</f>
        <v>317.20999999999998</v>
      </c>
      <c r="N205" s="306">
        <f>ROUND(+M205*E205,2)</f>
        <v>21094.47</v>
      </c>
      <c r="O205" s="307">
        <f t="shared" ref="O205:O225" si="66">+N205/$F205</f>
        <v>1</v>
      </c>
      <c r="P205" s="1047">
        <f>D205-M205</f>
        <v>0</v>
      </c>
      <c r="Q205" s="306">
        <f>F205-N205</f>
        <v>0</v>
      </c>
      <c r="R205" s="307">
        <f t="shared" ref="R205:R225" si="67">+Q205/$F205</f>
        <v>0</v>
      </c>
    </row>
    <row r="206" spans="1:18" ht="15.75">
      <c r="A206" s="1309" t="s">
        <v>1226</v>
      </c>
      <c r="B206" s="1310" t="s">
        <v>1714</v>
      </c>
      <c r="C206" s="1320"/>
      <c r="D206" s="1303"/>
      <c r="E206" s="1313"/>
      <c r="F206" s="1314" t="str">
        <f t="shared" si="59"/>
        <v xml:space="preserve"> </v>
      </c>
      <c r="G206" s="1049"/>
      <c r="H206" s="306"/>
      <c r="I206" s="307"/>
      <c r="J206" s="1046"/>
      <c r="K206" s="306"/>
      <c r="L206" s="307"/>
      <c r="M206" s="1047"/>
      <c r="N206" s="306"/>
      <c r="O206" s="307"/>
      <c r="P206" s="1047"/>
      <c r="Q206" s="306"/>
      <c r="R206" s="307"/>
    </row>
    <row r="207" spans="1:18" ht="15.75">
      <c r="A207" s="1309" t="s">
        <v>1229</v>
      </c>
      <c r="B207" s="1311" t="s">
        <v>1717</v>
      </c>
      <c r="C207" s="1312" t="s">
        <v>420</v>
      </c>
      <c r="D207" s="1303">
        <v>9164.39</v>
      </c>
      <c r="E207" s="1313">
        <v>4.97</v>
      </c>
      <c r="F207" s="1314">
        <f t="shared" si="59"/>
        <v>45547.02</v>
      </c>
      <c r="G207" s="1049">
        <v>9164.39</v>
      </c>
      <c r="H207" s="306">
        <v>45547.02</v>
      </c>
      <c r="I207" s="307">
        <v>1</v>
      </c>
      <c r="J207" s="1046"/>
      <c r="K207" s="306">
        <f t="shared" si="64"/>
        <v>0</v>
      </c>
      <c r="L207" s="307">
        <f t="shared" si="65"/>
        <v>0</v>
      </c>
      <c r="M207" s="1047">
        <f>+G207+J207</f>
        <v>9164.39</v>
      </c>
      <c r="N207" s="306">
        <f>ROUND(+M207*E207,2)</f>
        <v>45547.02</v>
      </c>
      <c r="O207" s="307">
        <f t="shared" si="66"/>
        <v>1</v>
      </c>
      <c r="P207" s="1047">
        <f>D207-M207</f>
        <v>0</v>
      </c>
      <c r="Q207" s="306">
        <f>F207-N207</f>
        <v>0</v>
      </c>
      <c r="R207" s="307">
        <f t="shared" si="67"/>
        <v>0</v>
      </c>
    </row>
    <row r="208" spans="1:18" ht="15.75">
      <c r="A208" s="1309" t="s">
        <v>1234</v>
      </c>
      <c r="B208" s="1310" t="s">
        <v>1722</v>
      </c>
      <c r="C208" s="1320"/>
      <c r="D208" s="1303"/>
      <c r="E208" s="1313"/>
      <c r="F208" s="1314" t="str">
        <f t="shared" si="59"/>
        <v xml:space="preserve"> </v>
      </c>
      <c r="G208" s="1049"/>
      <c r="H208" s="306"/>
      <c r="I208" s="307"/>
      <c r="J208" s="1046"/>
      <c r="K208" s="306"/>
      <c r="L208" s="307"/>
      <c r="M208" s="1047"/>
      <c r="N208" s="306"/>
      <c r="O208" s="307"/>
      <c r="P208" s="1047"/>
      <c r="Q208" s="306"/>
      <c r="R208" s="307"/>
    </row>
    <row r="209" spans="1:18" ht="15.75">
      <c r="A209" s="1309" t="s">
        <v>1235</v>
      </c>
      <c r="B209" s="1311" t="s">
        <v>1723</v>
      </c>
      <c r="C209" s="1312" t="s">
        <v>2148</v>
      </c>
      <c r="D209" s="1303">
        <v>16.63</v>
      </c>
      <c r="E209" s="1313">
        <v>481.34</v>
      </c>
      <c r="F209" s="1314">
        <f t="shared" si="59"/>
        <v>8004.68</v>
      </c>
      <c r="G209" s="1049">
        <v>16.63</v>
      </c>
      <c r="H209" s="306">
        <v>8004.68</v>
      </c>
      <c r="I209" s="307">
        <v>1</v>
      </c>
      <c r="J209" s="1046"/>
      <c r="K209" s="306">
        <f t="shared" si="64"/>
        <v>0</v>
      </c>
      <c r="L209" s="307">
        <f t="shared" si="65"/>
        <v>0</v>
      </c>
      <c r="M209" s="1047">
        <f>+G209+J209</f>
        <v>16.63</v>
      </c>
      <c r="N209" s="306">
        <f>ROUND(+M209*E209,2)</f>
        <v>8004.68</v>
      </c>
      <c r="O209" s="307">
        <f t="shared" si="66"/>
        <v>1</v>
      </c>
      <c r="P209" s="1047">
        <f>D209-M209</f>
        <v>0</v>
      </c>
      <c r="Q209" s="306">
        <f>F209-N209</f>
        <v>0</v>
      </c>
      <c r="R209" s="307">
        <f t="shared" si="67"/>
        <v>0</v>
      </c>
    </row>
    <row r="210" spans="1:18" ht="15.75">
      <c r="A210" s="1309" t="s">
        <v>1236</v>
      </c>
      <c r="B210" s="1311" t="s">
        <v>1724</v>
      </c>
      <c r="C210" s="1312" t="s">
        <v>2147</v>
      </c>
      <c r="D210" s="1303">
        <v>40.020000000000003</v>
      </c>
      <c r="E210" s="1313">
        <v>64.680000000000007</v>
      </c>
      <c r="F210" s="1314">
        <f t="shared" si="59"/>
        <v>2588.4899999999998</v>
      </c>
      <c r="G210" s="1049">
        <v>40.020000000000003</v>
      </c>
      <c r="H210" s="306">
        <v>2588.4899999999998</v>
      </c>
      <c r="I210" s="307">
        <v>1</v>
      </c>
      <c r="J210" s="1046"/>
      <c r="K210" s="306">
        <f t="shared" si="64"/>
        <v>0</v>
      </c>
      <c r="L210" s="307">
        <f t="shared" si="65"/>
        <v>0</v>
      </c>
      <c r="M210" s="1047">
        <f>+G210+J210</f>
        <v>40.020000000000003</v>
      </c>
      <c r="N210" s="306">
        <f>ROUND(+M210*E210,2)</f>
        <v>2588.4899999999998</v>
      </c>
      <c r="O210" s="307">
        <f t="shared" si="66"/>
        <v>1</v>
      </c>
      <c r="P210" s="1047">
        <f>D210-M210</f>
        <v>0</v>
      </c>
      <c r="Q210" s="306">
        <f>F210-N210</f>
        <v>0</v>
      </c>
      <c r="R210" s="307">
        <f t="shared" si="67"/>
        <v>0</v>
      </c>
    </row>
    <row r="211" spans="1:18" ht="15.75">
      <c r="A211" s="1309" t="s">
        <v>1237</v>
      </c>
      <c r="B211" s="1311" t="s">
        <v>1725</v>
      </c>
      <c r="C211" s="1312" t="s">
        <v>420</v>
      </c>
      <c r="D211" s="1303">
        <v>1235.0999999999999</v>
      </c>
      <c r="E211" s="1313">
        <v>4.97</v>
      </c>
      <c r="F211" s="1314">
        <f t="shared" si="59"/>
        <v>6138.45</v>
      </c>
      <c r="G211" s="1049">
        <v>1235.0999999999999</v>
      </c>
      <c r="H211" s="306">
        <v>6138.45</v>
      </c>
      <c r="I211" s="307">
        <v>1</v>
      </c>
      <c r="J211" s="1046"/>
      <c r="K211" s="306">
        <f t="shared" si="64"/>
        <v>0</v>
      </c>
      <c r="L211" s="307">
        <f t="shared" si="65"/>
        <v>0</v>
      </c>
      <c r="M211" s="1047">
        <f>+G211+J211</f>
        <v>1235.0999999999999</v>
      </c>
      <c r="N211" s="306">
        <f>ROUND(+M211*E211,2)</f>
        <v>6138.45</v>
      </c>
      <c r="O211" s="307">
        <f t="shared" si="66"/>
        <v>1</v>
      </c>
      <c r="P211" s="1047">
        <f>D211-M211</f>
        <v>0</v>
      </c>
      <c r="Q211" s="306">
        <f>F211-N211</f>
        <v>0</v>
      </c>
      <c r="R211" s="307">
        <f t="shared" si="67"/>
        <v>0</v>
      </c>
    </row>
    <row r="212" spans="1:18" ht="15.75">
      <c r="A212" s="1309" t="s">
        <v>1238</v>
      </c>
      <c r="B212" s="1310" t="s">
        <v>1726</v>
      </c>
      <c r="C212" s="1320"/>
      <c r="D212" s="1303"/>
      <c r="E212" s="1313"/>
      <c r="F212" s="1314" t="str">
        <f t="shared" si="59"/>
        <v xml:space="preserve"> </v>
      </c>
      <c r="G212" s="1049"/>
      <c r="H212" s="306"/>
      <c r="I212" s="307"/>
      <c r="J212" s="1046"/>
      <c r="K212" s="306"/>
      <c r="L212" s="307"/>
      <c r="M212" s="1047"/>
      <c r="N212" s="306"/>
      <c r="O212" s="307"/>
      <c r="P212" s="1047"/>
      <c r="Q212" s="306"/>
      <c r="R212" s="307"/>
    </row>
    <row r="213" spans="1:18" ht="15.75">
      <c r="A213" s="1309" t="s">
        <v>1239</v>
      </c>
      <c r="B213" s="1311" t="s">
        <v>1727</v>
      </c>
      <c r="C213" s="1312" t="s">
        <v>2148</v>
      </c>
      <c r="D213" s="1303">
        <v>176.79999999999995</v>
      </c>
      <c r="E213" s="1313">
        <v>468.03</v>
      </c>
      <c r="F213" s="1314">
        <f t="shared" si="59"/>
        <v>82747.7</v>
      </c>
      <c r="G213" s="1049">
        <v>176.8</v>
      </c>
      <c r="H213" s="306">
        <v>82747.7</v>
      </c>
      <c r="I213" s="307">
        <v>1</v>
      </c>
      <c r="J213" s="1046"/>
      <c r="K213" s="306">
        <f t="shared" si="64"/>
        <v>0</v>
      </c>
      <c r="L213" s="307">
        <f t="shared" si="65"/>
        <v>0</v>
      </c>
      <c r="M213" s="1047">
        <f>+G213+J213</f>
        <v>176.8</v>
      </c>
      <c r="N213" s="306">
        <f t="shared" ref="N213:N225" si="68">ROUND(+M213*E213,2)</f>
        <v>82747.7</v>
      </c>
      <c r="O213" s="307">
        <f t="shared" si="66"/>
        <v>1</v>
      </c>
      <c r="P213" s="1047">
        <f>D213-M213</f>
        <v>0</v>
      </c>
      <c r="Q213" s="306">
        <f>F213-N213</f>
        <v>0</v>
      </c>
      <c r="R213" s="307">
        <f t="shared" si="67"/>
        <v>0</v>
      </c>
    </row>
    <row r="214" spans="1:18" ht="15.75">
      <c r="A214" s="1309" t="s">
        <v>1240</v>
      </c>
      <c r="B214" s="1101" t="s">
        <v>2229</v>
      </c>
      <c r="C214" s="1312" t="s">
        <v>52</v>
      </c>
      <c r="D214" s="1303">
        <v>32285</v>
      </c>
      <c r="E214" s="1313">
        <v>2.7</v>
      </c>
      <c r="F214" s="1314">
        <f>IF(ISBLANK(C214)," ",ROUND(E214*D214,2))</f>
        <v>87169.5</v>
      </c>
      <c r="G214" s="1049">
        <v>32285</v>
      </c>
      <c r="H214" s="306">
        <v>87169.5</v>
      </c>
      <c r="I214" s="307">
        <v>1</v>
      </c>
      <c r="J214" s="1046"/>
      <c r="K214" s="306">
        <f t="shared" si="64"/>
        <v>0</v>
      </c>
      <c r="L214" s="307">
        <f t="shared" si="65"/>
        <v>0</v>
      </c>
      <c r="M214" s="1047">
        <f>+G214+J214</f>
        <v>32285</v>
      </c>
      <c r="N214" s="306">
        <f t="shared" si="68"/>
        <v>87169.5</v>
      </c>
      <c r="O214" s="307">
        <f t="shared" si="66"/>
        <v>1</v>
      </c>
      <c r="P214" s="1047">
        <f>D214-M214</f>
        <v>0</v>
      </c>
      <c r="Q214" s="306">
        <f>F214-N214</f>
        <v>0</v>
      </c>
      <c r="R214" s="307">
        <f t="shared" si="67"/>
        <v>0</v>
      </c>
    </row>
    <row r="215" spans="1:18" ht="15.75">
      <c r="A215" s="1309" t="s">
        <v>1243</v>
      </c>
      <c r="B215" s="1310" t="s">
        <v>1730</v>
      </c>
      <c r="C215" s="1320"/>
      <c r="D215" s="1303"/>
      <c r="E215" s="1313"/>
      <c r="F215" s="1314" t="str">
        <f t="shared" si="59"/>
        <v xml:space="preserve"> </v>
      </c>
      <c r="G215" s="1049"/>
      <c r="H215" s="306"/>
      <c r="I215" s="307"/>
      <c r="J215" s="1046"/>
      <c r="K215" s="306"/>
      <c r="L215" s="307"/>
      <c r="M215" s="1047"/>
      <c r="N215" s="306"/>
      <c r="O215" s="307"/>
      <c r="P215" s="1047"/>
      <c r="Q215" s="306"/>
      <c r="R215" s="307"/>
    </row>
    <row r="216" spans="1:18" ht="15.75">
      <c r="A216" s="1337" t="s">
        <v>1245</v>
      </c>
      <c r="B216" s="1338" t="s">
        <v>1731</v>
      </c>
      <c r="C216" s="1339" t="s">
        <v>2147</v>
      </c>
      <c r="D216" s="1303">
        <v>258.42</v>
      </c>
      <c r="E216" s="1340">
        <v>156.72</v>
      </c>
      <c r="F216" s="1314">
        <f t="shared" si="59"/>
        <v>40499.58</v>
      </c>
      <c r="G216" s="1049">
        <v>258.42</v>
      </c>
      <c r="H216" s="306">
        <v>40499.58</v>
      </c>
      <c r="I216" s="307">
        <v>1</v>
      </c>
      <c r="J216" s="1046"/>
      <c r="K216" s="306">
        <f t="shared" si="64"/>
        <v>0</v>
      </c>
      <c r="L216" s="307">
        <f t="shared" si="65"/>
        <v>0</v>
      </c>
      <c r="M216" s="1047">
        <f>+G216+J216</f>
        <v>258.42</v>
      </c>
      <c r="N216" s="306">
        <f t="shared" si="68"/>
        <v>40499.58</v>
      </c>
      <c r="O216" s="307">
        <f t="shared" si="66"/>
        <v>1</v>
      </c>
      <c r="P216" s="1047">
        <f>D216-M216</f>
        <v>0</v>
      </c>
      <c r="Q216" s="306">
        <f>F216-N216</f>
        <v>0</v>
      </c>
      <c r="R216" s="307">
        <f t="shared" si="67"/>
        <v>0</v>
      </c>
    </row>
    <row r="217" spans="1:18" ht="15.75">
      <c r="A217" s="1309" t="s">
        <v>1246</v>
      </c>
      <c r="B217" s="1311" t="s">
        <v>1732</v>
      </c>
      <c r="C217" s="1312" t="s">
        <v>420</v>
      </c>
      <c r="D217" s="1303">
        <v>4771.6499999999996</v>
      </c>
      <c r="E217" s="1313">
        <v>4.97</v>
      </c>
      <c r="F217" s="1314">
        <f t="shared" si="59"/>
        <v>23715.1</v>
      </c>
      <c r="G217" s="1049">
        <v>4771.6499999999996</v>
      </c>
      <c r="H217" s="306">
        <v>23715.1</v>
      </c>
      <c r="I217" s="307">
        <v>1</v>
      </c>
      <c r="J217" s="1046"/>
      <c r="K217" s="306">
        <f t="shared" si="64"/>
        <v>0</v>
      </c>
      <c r="L217" s="307">
        <f t="shared" si="65"/>
        <v>0</v>
      </c>
      <c r="M217" s="1047">
        <f>+G217+J217</f>
        <v>4771.6499999999996</v>
      </c>
      <c r="N217" s="306">
        <f t="shared" si="68"/>
        <v>23715.1</v>
      </c>
      <c r="O217" s="307">
        <f t="shared" si="66"/>
        <v>1</v>
      </c>
      <c r="P217" s="1047">
        <f>D217-M217</f>
        <v>0</v>
      </c>
      <c r="Q217" s="306">
        <f>F217-N217</f>
        <v>0</v>
      </c>
      <c r="R217" s="307">
        <f t="shared" si="67"/>
        <v>0</v>
      </c>
    </row>
    <row r="218" spans="1:18" ht="15.75">
      <c r="A218" s="1324">
        <v>3</v>
      </c>
      <c r="B218" s="1325" t="s">
        <v>1736</v>
      </c>
      <c r="C218" s="1326"/>
      <c r="D218" s="1303"/>
      <c r="E218" s="1321"/>
      <c r="F218" s="1314" t="str">
        <f t="shared" si="59"/>
        <v xml:space="preserve"> </v>
      </c>
      <c r="G218" s="1049"/>
      <c r="H218" s="306"/>
      <c r="I218" s="307"/>
      <c r="J218" s="1046"/>
      <c r="K218" s="306"/>
      <c r="L218" s="307"/>
      <c r="M218" s="1047"/>
      <c r="N218" s="306"/>
      <c r="O218" s="307"/>
      <c r="P218" s="1047"/>
      <c r="Q218" s="306"/>
      <c r="R218" s="307"/>
    </row>
    <row r="219" spans="1:18" ht="15.75">
      <c r="A219" s="1306">
        <v>3.2</v>
      </c>
      <c r="B219" s="1307" t="s">
        <v>1744</v>
      </c>
      <c r="C219" s="1321"/>
      <c r="D219" s="1303"/>
      <c r="E219" s="1322"/>
      <c r="F219" s="1314" t="str">
        <f t="shared" si="59"/>
        <v xml:space="preserve"> </v>
      </c>
      <c r="G219" s="1049"/>
      <c r="H219" s="306"/>
      <c r="I219" s="307"/>
      <c r="J219" s="1046"/>
      <c r="K219" s="306"/>
      <c r="L219" s="307"/>
      <c r="M219" s="1047"/>
      <c r="N219" s="306"/>
      <c r="O219" s="307"/>
      <c r="P219" s="1047"/>
      <c r="Q219" s="306"/>
      <c r="R219" s="307"/>
    </row>
    <row r="220" spans="1:18" ht="15.75">
      <c r="A220" s="1428" t="s">
        <v>1257</v>
      </c>
      <c r="B220" s="1351" t="s">
        <v>1748</v>
      </c>
      <c r="C220" s="1352" t="s">
        <v>2147</v>
      </c>
      <c r="D220" s="1409">
        <v>2904.498</v>
      </c>
      <c r="E220" s="1450">
        <v>41.54</v>
      </c>
      <c r="F220" s="1314">
        <f t="shared" si="59"/>
        <v>120652.85</v>
      </c>
      <c r="G220" s="1049">
        <v>2904.4949999999999</v>
      </c>
      <c r="H220" s="306">
        <v>120652.85</v>
      </c>
      <c r="I220" s="307">
        <v>1</v>
      </c>
      <c r="J220" s="1046"/>
      <c r="K220" s="306">
        <f>J220*E220</f>
        <v>0</v>
      </c>
      <c r="L220" s="307">
        <f t="shared" si="65"/>
        <v>0</v>
      </c>
      <c r="M220" s="1047">
        <f>+G220+J220</f>
        <v>2904.4949999999999</v>
      </c>
      <c r="N220" s="306">
        <f>F220</f>
        <v>120652.85</v>
      </c>
      <c r="O220" s="307">
        <f t="shared" si="66"/>
        <v>1</v>
      </c>
      <c r="P220" s="1047">
        <f>D220-M220</f>
        <v>3.0000000001564331E-3</v>
      </c>
      <c r="Q220" s="306">
        <f>F220-N220</f>
        <v>0</v>
      </c>
      <c r="R220" s="307">
        <f t="shared" si="67"/>
        <v>0</v>
      </c>
    </row>
    <row r="221" spans="1:18" ht="15.75">
      <c r="A221" s="1309" t="s">
        <v>1259</v>
      </c>
      <c r="B221" s="1311" t="s">
        <v>1750</v>
      </c>
      <c r="C221" s="1312" t="s">
        <v>51</v>
      </c>
      <c r="D221" s="1303">
        <v>904.7079999999994</v>
      </c>
      <c r="E221" s="1313">
        <v>16.21</v>
      </c>
      <c r="F221" s="1314">
        <f t="shared" si="59"/>
        <v>14665.32</v>
      </c>
      <c r="G221" s="1049">
        <v>904.7079999999994</v>
      </c>
      <c r="H221" s="306">
        <v>14665.32</v>
      </c>
      <c r="I221" s="307">
        <v>1</v>
      </c>
      <c r="J221" s="1046"/>
      <c r="K221" s="306">
        <f t="shared" si="64"/>
        <v>0</v>
      </c>
      <c r="L221" s="307">
        <f t="shared" si="65"/>
        <v>0</v>
      </c>
      <c r="M221" s="1047">
        <f>+G221+J221</f>
        <v>904.7079999999994</v>
      </c>
      <c r="N221" s="306">
        <f>ROUND(+M221*E221,2)</f>
        <v>14665.32</v>
      </c>
      <c r="O221" s="307">
        <f t="shared" si="66"/>
        <v>1</v>
      </c>
      <c r="P221" s="1047">
        <f>D221-M221</f>
        <v>0</v>
      </c>
      <c r="Q221" s="306">
        <f>F221-N221</f>
        <v>0</v>
      </c>
      <c r="R221" s="307">
        <f t="shared" si="67"/>
        <v>0</v>
      </c>
    </row>
    <row r="222" spans="1:18" ht="15.75">
      <c r="A222" s="1324">
        <v>4</v>
      </c>
      <c r="B222" s="1325" t="s">
        <v>1784</v>
      </c>
      <c r="C222" s="1326"/>
      <c r="D222" s="1303"/>
      <c r="E222" s="1321"/>
      <c r="F222" s="1314" t="str">
        <f t="shared" si="59"/>
        <v xml:space="preserve"> </v>
      </c>
      <c r="G222" s="1049"/>
      <c r="H222" s="306"/>
      <c r="I222" s="307"/>
      <c r="J222" s="1046"/>
      <c r="K222" s="306"/>
      <c r="L222" s="307"/>
      <c r="M222" s="1047"/>
      <c r="N222" s="306"/>
      <c r="O222" s="307"/>
      <c r="P222" s="1047"/>
      <c r="Q222" s="306"/>
      <c r="R222" s="307"/>
    </row>
    <row r="223" spans="1:18" ht="15.75">
      <c r="A223" s="1306">
        <v>4.2</v>
      </c>
      <c r="B223" s="1307" t="s">
        <v>1791</v>
      </c>
      <c r="C223" s="1321"/>
      <c r="D223" s="1303"/>
      <c r="E223" s="1322"/>
      <c r="F223" s="1314" t="str">
        <f t="shared" si="59"/>
        <v xml:space="preserve"> </v>
      </c>
      <c r="G223" s="1049"/>
      <c r="H223" s="306"/>
      <c r="I223" s="307"/>
      <c r="J223" s="1046"/>
      <c r="K223" s="306"/>
      <c r="L223" s="307"/>
      <c r="M223" s="1047"/>
      <c r="N223" s="306"/>
      <c r="O223" s="307"/>
      <c r="P223" s="1047"/>
      <c r="Q223" s="306"/>
      <c r="R223" s="307"/>
    </row>
    <row r="224" spans="1:18" ht="15.75">
      <c r="A224" s="1343" t="s">
        <v>2400</v>
      </c>
      <c r="B224" s="1344" t="s">
        <v>2401</v>
      </c>
      <c r="C224" s="1348"/>
      <c r="D224" s="1303"/>
      <c r="E224" s="1313"/>
      <c r="F224" s="1314" t="str">
        <f t="shared" si="59"/>
        <v xml:space="preserve"> </v>
      </c>
      <c r="G224" s="1049"/>
      <c r="H224" s="306"/>
      <c r="I224" s="307"/>
      <c r="J224" s="1046"/>
      <c r="K224" s="306"/>
      <c r="L224" s="307"/>
      <c r="M224" s="1047"/>
      <c r="N224" s="306"/>
      <c r="O224" s="307"/>
      <c r="P224" s="1047"/>
      <c r="Q224" s="306"/>
      <c r="R224" s="307"/>
    </row>
    <row r="225" spans="1:18" ht="15.75">
      <c r="A225" s="1367" t="s">
        <v>2456</v>
      </c>
      <c r="B225" s="1368" t="s">
        <v>2457</v>
      </c>
      <c r="C225" s="1369" t="s">
        <v>52</v>
      </c>
      <c r="D225" s="1303">
        <v>78</v>
      </c>
      <c r="E225" s="1340">
        <v>20.190000000000001</v>
      </c>
      <c r="F225" s="1314">
        <f t="shared" si="59"/>
        <v>1574.82</v>
      </c>
      <c r="G225" s="1049">
        <v>78</v>
      </c>
      <c r="H225" s="306">
        <v>1574.82</v>
      </c>
      <c r="I225" s="307">
        <v>1</v>
      </c>
      <c r="J225" s="1046"/>
      <c r="K225" s="306">
        <f t="shared" si="64"/>
        <v>0</v>
      </c>
      <c r="L225" s="307">
        <f t="shared" si="65"/>
        <v>0</v>
      </c>
      <c r="M225" s="1047">
        <f>+G225+J225</f>
        <v>78</v>
      </c>
      <c r="N225" s="306">
        <f t="shared" si="68"/>
        <v>1574.82</v>
      </c>
      <c r="O225" s="307">
        <f t="shared" si="66"/>
        <v>1</v>
      </c>
      <c r="P225" s="1047">
        <f>D225-M225</f>
        <v>0</v>
      </c>
      <c r="Q225" s="306">
        <f>F225-N225</f>
        <v>0</v>
      </c>
      <c r="R225" s="307">
        <f t="shared" si="67"/>
        <v>0</v>
      </c>
    </row>
    <row r="226" spans="1:18" ht="15.75">
      <c r="A226" s="1367" t="s">
        <v>2458</v>
      </c>
      <c r="B226" s="1368" t="s">
        <v>2459</v>
      </c>
      <c r="C226" s="1369" t="s">
        <v>52</v>
      </c>
      <c r="D226" s="1303">
        <v>16</v>
      </c>
      <c r="E226" s="1340">
        <v>22.75</v>
      </c>
      <c r="F226" s="1314">
        <f t="shared" si="59"/>
        <v>364</v>
      </c>
      <c r="G226" s="1049">
        <v>16</v>
      </c>
      <c r="H226" s="306">
        <v>364</v>
      </c>
      <c r="I226" s="307">
        <v>1</v>
      </c>
      <c r="J226" s="1046"/>
      <c r="K226" s="306">
        <f>J226*E226</f>
        <v>0</v>
      </c>
      <c r="L226" s="307">
        <f t="shared" ref="L226" si="69">+K226/$F226</f>
        <v>0</v>
      </c>
      <c r="M226" s="1047">
        <f>+G226+J226</f>
        <v>16</v>
      </c>
      <c r="N226" s="306">
        <f>ROUND(+M226*E226,2)</f>
        <v>364</v>
      </c>
      <c r="O226" s="307">
        <f t="shared" ref="O226" si="70">+N226/$F226</f>
        <v>1</v>
      </c>
      <c r="P226" s="1047">
        <f>D226-M226</f>
        <v>0</v>
      </c>
      <c r="Q226" s="306">
        <f>F226-N226</f>
        <v>0</v>
      </c>
      <c r="R226" s="307">
        <f t="shared" ref="R226" si="71">+Q226/$F226</f>
        <v>0</v>
      </c>
    </row>
    <row r="227" spans="1:18" ht="16.5" thickBot="1">
      <c r="A227" s="933"/>
      <c r="B227" s="2537" t="s">
        <v>18</v>
      </c>
      <c r="C227" s="2538"/>
      <c r="D227" s="2538"/>
      <c r="E227" s="2539"/>
      <c r="F227" s="1294">
        <f>SUM(F188:F226)</f>
        <v>577014.6399999999</v>
      </c>
      <c r="G227" s="1295"/>
      <c r="H227" s="1295">
        <v>575823.35999999999</v>
      </c>
      <c r="I227" s="1296">
        <v>0.99793544233123788</v>
      </c>
      <c r="J227" s="1297"/>
      <c r="K227" s="1297">
        <f>SUM(K188:K226)</f>
        <v>0</v>
      </c>
      <c r="L227" s="1296">
        <f>+K227/$F227</f>
        <v>0</v>
      </c>
      <c r="M227" s="1298"/>
      <c r="N227" s="1294">
        <f>H227+K227</f>
        <v>575823.35999999999</v>
      </c>
      <c r="O227" s="1296">
        <f>+N227/$F227</f>
        <v>0.9979354423312381</v>
      </c>
      <c r="P227" s="1298"/>
      <c r="Q227" s="1294">
        <f>F227-N227</f>
        <v>1191.2799999999115</v>
      </c>
      <c r="R227" s="1299">
        <f>+Q227/$F227</f>
        <v>2.0645576687619428E-3</v>
      </c>
    </row>
    <row r="228" spans="1:18">
      <c r="H228" s="1449"/>
      <c r="N228" s="1449"/>
    </row>
    <row r="229" spans="1:18" ht="32.25">
      <c r="A229" s="2148" t="s">
        <v>2324</v>
      </c>
      <c r="B229" s="2148"/>
      <c r="C229" s="2148"/>
      <c r="D229" s="2148"/>
      <c r="E229" s="2148"/>
      <c r="F229" s="2148"/>
      <c r="G229" s="2148"/>
      <c r="H229" s="2148"/>
      <c r="I229" s="2148"/>
      <c r="J229" s="2148"/>
      <c r="K229" s="2148"/>
      <c r="L229" s="2148"/>
      <c r="M229" s="2148"/>
      <c r="N229" s="2148"/>
      <c r="O229" s="2148"/>
      <c r="P229" s="2148"/>
      <c r="Q229" s="2148"/>
      <c r="R229" s="2148"/>
    </row>
    <row r="230" spans="1:18" ht="32.25">
      <c r="A230" s="1218"/>
      <c r="B230" s="1218"/>
      <c r="C230" s="1218"/>
      <c r="D230" s="2504" t="s">
        <v>2472</v>
      </c>
      <c r="E230" s="2504"/>
      <c r="F230" s="2504"/>
      <c r="G230" s="2504"/>
      <c r="H230" s="2504"/>
      <c r="I230" s="2504"/>
      <c r="J230" s="2504"/>
      <c r="K230" s="2504"/>
      <c r="L230" s="1218"/>
      <c r="M230" s="1218"/>
      <c r="N230" s="1218"/>
      <c r="O230" s="1218"/>
      <c r="P230" s="1218"/>
      <c r="Q230" s="1218"/>
      <c r="R230" s="1218"/>
    </row>
    <row r="231" spans="1:18" ht="22.5">
      <c r="A231" s="2149" t="s">
        <v>4275</v>
      </c>
      <c r="B231" s="2149"/>
      <c r="C231" s="2149"/>
      <c r="D231" s="2149"/>
      <c r="E231" s="2149"/>
      <c r="F231" s="2149"/>
      <c r="G231" s="2149"/>
      <c r="H231" s="2149"/>
      <c r="I231" s="2149"/>
      <c r="J231" s="2149"/>
      <c r="K231" s="2149"/>
      <c r="L231" s="2149"/>
      <c r="M231" s="2149"/>
      <c r="N231" s="2149"/>
      <c r="O231" s="2149"/>
      <c r="P231" s="2149"/>
      <c r="Q231" s="2149"/>
      <c r="R231" s="2149"/>
    </row>
    <row r="232" spans="1:18">
      <c r="A232" s="997"/>
      <c r="B232" s="998" t="s">
        <v>57</v>
      </c>
      <c r="C232" s="999"/>
      <c r="D232" s="998"/>
      <c r="E232" s="998"/>
      <c r="F232" s="998"/>
      <c r="G232" s="998"/>
      <c r="H232" s="998"/>
      <c r="I232" s="998"/>
      <c r="J232" s="998"/>
      <c r="K232" s="998"/>
      <c r="L232" s="998"/>
      <c r="M232" s="1000"/>
      <c r="N232" s="1001"/>
      <c r="O232" s="998"/>
      <c r="P232" s="998"/>
      <c r="Q232" s="998"/>
      <c r="R232" s="998"/>
    </row>
    <row r="233" spans="1:18">
      <c r="A233" s="997" t="s">
        <v>136</v>
      </c>
      <c r="B233" s="998" t="str">
        <f>B176</f>
        <v>“MEJORAMIENTO DE LA GESTIÓN MUNICIPAL Y SERVICIO ADMINISTRATIVO DE LA MUNICIPALIDAD PROVINCIAL DE ABANCAY, DISTRITO DE ABANCAY - PROVINCIA DE ABANCAY - DEPARTAMENTO DE APURIMAC”.</v>
      </c>
      <c r="C233" s="998"/>
      <c r="D233" s="998"/>
      <c r="E233" s="998"/>
      <c r="F233" s="998"/>
      <c r="G233" s="998"/>
      <c r="H233" s="998"/>
      <c r="I233" s="998"/>
      <c r="J233" s="998"/>
      <c r="K233" s="998"/>
      <c r="L233" s="998"/>
      <c r="M233" s="998"/>
      <c r="N233" s="998"/>
      <c r="O233" s="998"/>
      <c r="P233" s="998"/>
      <c r="Q233" s="998"/>
      <c r="R233" s="998"/>
    </row>
    <row r="234" spans="1:18">
      <c r="A234" s="997" t="s">
        <v>137</v>
      </c>
      <c r="B234" s="998" t="s">
        <v>126</v>
      </c>
      <c r="C234" s="1002"/>
      <c r="D234" s="1003"/>
      <c r="E234" s="1003"/>
      <c r="F234" s="1003"/>
      <c r="G234" s="1003"/>
      <c r="H234" s="1003"/>
      <c r="I234" s="1003"/>
      <c r="J234" s="1003"/>
      <c r="K234" s="1003"/>
      <c r="L234" s="1004"/>
      <c r="M234" s="1003"/>
      <c r="N234" s="1003"/>
      <c r="O234" s="1003"/>
      <c r="P234" s="1003"/>
      <c r="Q234" s="1003"/>
      <c r="R234" s="1003"/>
    </row>
    <row r="235" spans="1:18">
      <c r="A235" s="997" t="s">
        <v>139</v>
      </c>
      <c r="B235" s="1003" t="s">
        <v>2480</v>
      </c>
      <c r="C235" s="1002"/>
      <c r="D235" s="1003"/>
      <c r="E235" s="1003"/>
      <c r="F235" s="1003"/>
      <c r="G235" s="1003"/>
      <c r="H235" s="1003"/>
      <c r="I235" s="1003"/>
      <c r="J235" s="2143" t="s">
        <v>1147</v>
      </c>
      <c r="K235" s="2144"/>
      <c r="L235" s="2145" t="s">
        <v>4267</v>
      </c>
      <c r="M235" s="2146"/>
      <c r="N235" s="2146"/>
      <c r="O235" s="2147"/>
      <c r="P235" s="1005"/>
      <c r="Q235" s="1005"/>
      <c r="R235" s="1005"/>
    </row>
    <row r="236" spans="1:18" ht="20.25">
      <c r="A236" s="997" t="s">
        <v>129</v>
      </c>
      <c r="B236" s="998" t="str">
        <f>B179</f>
        <v>ING. RICHARD ERWIN MONTALVO ALVARO</v>
      </c>
      <c r="C236" s="1006"/>
      <c r="D236" s="1007"/>
      <c r="E236" s="1007"/>
      <c r="F236" s="1007"/>
      <c r="G236" s="1007"/>
      <c r="H236" s="1007"/>
      <c r="I236" s="1007"/>
      <c r="J236" s="2143" t="s">
        <v>1148</v>
      </c>
      <c r="K236" s="2144"/>
      <c r="L236" s="2502" t="s">
        <v>125</v>
      </c>
      <c r="M236" s="2502"/>
      <c r="N236" s="2502"/>
      <c r="O236" s="2502"/>
      <c r="P236" s="2503"/>
      <c r="Q236" s="2503"/>
      <c r="R236" s="2503"/>
    </row>
    <row r="237" spans="1:18">
      <c r="A237" s="997" t="s">
        <v>128</v>
      </c>
      <c r="B237" s="1008" t="str">
        <f>B180</f>
        <v>ING. IVES BUSTHER GUTIERREZ ARENAS</v>
      </c>
      <c r="C237" s="1009"/>
      <c r="D237" s="1010"/>
      <c r="E237" s="1010"/>
      <c r="F237" s="1010"/>
      <c r="G237" s="1010"/>
      <c r="H237" s="1010"/>
      <c r="I237" s="1010"/>
      <c r="J237" s="2143" t="s">
        <v>1149</v>
      </c>
      <c r="K237" s="2144"/>
      <c r="L237" s="2502" t="s">
        <v>125</v>
      </c>
      <c r="M237" s="2502"/>
      <c r="N237" s="2502"/>
      <c r="O237" s="2502"/>
      <c r="P237" s="2503"/>
      <c r="Q237" s="2503"/>
      <c r="R237" s="2503"/>
    </row>
    <row r="238" spans="1:18">
      <c r="A238" s="997"/>
      <c r="B238" s="1008"/>
      <c r="C238" s="1009"/>
      <c r="D238" s="1010"/>
      <c r="E238" s="1010"/>
      <c r="F238" s="1010"/>
      <c r="G238" s="1010"/>
      <c r="H238" s="1010"/>
      <c r="I238" s="1010"/>
      <c r="J238" s="2143" t="s">
        <v>1151</v>
      </c>
      <c r="K238" s="2144"/>
      <c r="L238" s="2502" t="s">
        <v>124</v>
      </c>
      <c r="M238" s="2502"/>
      <c r="N238" s="2502"/>
      <c r="O238" s="2502"/>
      <c r="P238" s="2503"/>
      <c r="Q238" s="2503"/>
      <c r="R238" s="2503"/>
    </row>
    <row r="239" spans="1:18">
      <c r="A239" s="315"/>
      <c r="B239" s="315"/>
      <c r="C239" s="313"/>
      <c r="D239" s="313"/>
      <c r="E239" s="313"/>
      <c r="F239" s="313"/>
      <c r="G239" s="314"/>
      <c r="H239" s="314"/>
      <c r="I239" s="314"/>
      <c r="J239" s="314"/>
      <c r="K239" s="314"/>
      <c r="L239" s="314"/>
      <c r="M239" s="314"/>
      <c r="N239" s="314"/>
      <c r="O239" s="314"/>
      <c r="P239" s="314"/>
      <c r="Q239" s="314"/>
      <c r="R239" s="314"/>
    </row>
    <row r="240" spans="1:18" ht="15.75">
      <c r="A240" s="2501" t="s">
        <v>31</v>
      </c>
      <c r="B240" s="2501" t="s">
        <v>114</v>
      </c>
      <c r="C240" s="2501" t="s">
        <v>37</v>
      </c>
      <c r="D240" s="2501" t="s">
        <v>23</v>
      </c>
      <c r="E240" s="2501" t="s">
        <v>706</v>
      </c>
      <c r="F240" s="2501" t="s">
        <v>127</v>
      </c>
      <c r="G240" s="1036"/>
      <c r="H240" s="1037"/>
      <c r="I240" s="1037"/>
      <c r="J240" s="1037"/>
      <c r="K240" s="1038" t="s">
        <v>767</v>
      </c>
      <c r="L240" s="1037"/>
      <c r="M240" s="1037"/>
      <c r="N240" s="1037"/>
      <c r="O240" s="1039"/>
      <c r="P240" s="2497" t="s">
        <v>16</v>
      </c>
      <c r="Q240" s="2497"/>
      <c r="R240" s="2497"/>
    </row>
    <row r="241" spans="1:18" ht="15.75">
      <c r="A241" s="2501"/>
      <c r="B241" s="2501"/>
      <c r="C241" s="2501"/>
      <c r="D241" s="2501"/>
      <c r="E241" s="2501"/>
      <c r="F241" s="2501"/>
      <c r="G241" s="2497" t="s">
        <v>140</v>
      </c>
      <c r="H241" s="2497"/>
      <c r="I241" s="2497"/>
      <c r="J241" s="2497" t="s">
        <v>141</v>
      </c>
      <c r="K241" s="2497"/>
      <c r="L241" s="2497"/>
      <c r="M241" s="2497" t="s">
        <v>142</v>
      </c>
      <c r="N241" s="2497"/>
      <c r="O241" s="2497"/>
      <c r="P241" s="2497"/>
      <c r="Q241" s="2497"/>
      <c r="R241" s="2497"/>
    </row>
    <row r="242" spans="1:18" ht="15.75">
      <c r="A242" s="2501"/>
      <c r="B242" s="2501"/>
      <c r="C242" s="2501"/>
      <c r="D242" s="2501"/>
      <c r="E242" s="2501"/>
      <c r="F242" s="2501"/>
      <c r="G242" s="1040" t="s">
        <v>54</v>
      </c>
      <c r="H242" s="1040" t="s">
        <v>506</v>
      </c>
      <c r="I242" s="1040" t="s">
        <v>30</v>
      </c>
      <c r="J242" s="1040" t="s">
        <v>54</v>
      </c>
      <c r="K242" s="1040" t="s">
        <v>506</v>
      </c>
      <c r="L242" s="1040" t="s">
        <v>30</v>
      </c>
      <c r="M242" s="1040" t="s">
        <v>54</v>
      </c>
      <c r="N242" s="1040" t="s">
        <v>506</v>
      </c>
      <c r="O242" s="1040" t="s">
        <v>30</v>
      </c>
      <c r="P242" s="1040" t="s">
        <v>54</v>
      </c>
      <c r="Q242" s="1040" t="s">
        <v>506</v>
      </c>
      <c r="R242" s="1040" t="s">
        <v>30</v>
      </c>
    </row>
    <row r="243" spans="1:18" ht="15.75">
      <c r="A243" s="300"/>
      <c r="B243" s="300"/>
      <c r="C243" s="300"/>
      <c r="D243" s="301"/>
      <c r="E243" s="301"/>
      <c r="F243" s="1041">
        <f>F295</f>
        <v>1754453.2999999998</v>
      </c>
      <c r="G243" s="1042"/>
      <c r="H243" s="1043">
        <f>H295</f>
        <v>0</v>
      </c>
      <c r="I243" s="308"/>
      <c r="J243" s="1044"/>
      <c r="K243" s="1043">
        <f>K295</f>
        <v>0</v>
      </c>
      <c r="L243" s="309"/>
      <c r="M243" s="1044"/>
      <c r="N243" s="1043">
        <f>N295</f>
        <v>0</v>
      </c>
      <c r="O243" s="308"/>
      <c r="P243" s="1044"/>
      <c r="Q243" s="1043">
        <f>Q295</f>
        <v>1754453.2999999998</v>
      </c>
      <c r="R243" s="308"/>
    </row>
    <row r="244" spans="1:18" ht="31.5">
      <c r="A244" s="996"/>
      <c r="B244" s="1097" t="s">
        <v>2150</v>
      </c>
      <c r="C244" s="840"/>
      <c r="D244" s="302"/>
      <c r="E244" s="302"/>
      <c r="F244" s="303"/>
      <c r="G244" s="1048"/>
      <c r="H244" s="303"/>
      <c r="I244" s="310"/>
      <c r="J244" s="1045"/>
      <c r="K244" s="311"/>
      <c r="L244" s="311"/>
      <c r="M244" s="1045"/>
      <c r="N244" s="311"/>
      <c r="O244" s="311"/>
      <c r="P244" s="1045"/>
      <c r="Q244" s="311"/>
      <c r="R244" s="311"/>
    </row>
    <row r="245" spans="1:18" ht="15.75">
      <c r="A245" s="1269">
        <v>1</v>
      </c>
      <c r="B245" s="1270" t="s">
        <v>1671</v>
      </c>
      <c r="C245" s="1271"/>
      <c r="D245" s="1370"/>
      <c r="E245" s="1353"/>
      <c r="F245" s="1375"/>
      <c r="G245" s="1048"/>
      <c r="H245" s="303"/>
      <c r="I245" s="310"/>
      <c r="J245" s="1045"/>
      <c r="K245" s="311"/>
      <c r="L245" s="311"/>
      <c r="M245" s="1045"/>
      <c r="N245" s="311"/>
      <c r="O245" s="311"/>
      <c r="P245" s="1045"/>
      <c r="Q245" s="311"/>
      <c r="R245" s="311"/>
    </row>
    <row r="246" spans="1:18" ht="15.75">
      <c r="A246" s="1272">
        <v>1.1000000000000001</v>
      </c>
      <c r="B246" s="1273" t="s">
        <v>1672</v>
      </c>
      <c r="C246" s="1271"/>
      <c r="D246" s="1370">
        <v>0</v>
      </c>
      <c r="E246" s="1354">
        <v>0</v>
      </c>
      <c r="F246" s="1375"/>
      <c r="G246" s="1049"/>
      <c r="H246" s="306">
        <f t="shared" ref="H246:H294" si="72">ROUND($E246*G246,2)</f>
        <v>0</v>
      </c>
      <c r="I246" s="307"/>
      <c r="J246" s="1046"/>
      <c r="K246" s="306"/>
      <c r="L246" s="307"/>
      <c r="M246" s="1047"/>
      <c r="N246" s="306">
        <f t="shared" ref="N246:N254" si="73">ROUND(+M246*E246,2)</f>
        <v>0</v>
      </c>
      <c r="O246" s="307"/>
      <c r="P246" s="1047"/>
      <c r="Q246" s="306">
        <f>F246-N246</f>
        <v>0</v>
      </c>
      <c r="R246" s="307"/>
    </row>
    <row r="247" spans="1:18" ht="15.75">
      <c r="A247" s="1274" t="s">
        <v>1189</v>
      </c>
      <c r="B247" s="1275" t="s">
        <v>1673</v>
      </c>
      <c r="C247" s="1271"/>
      <c r="D247" s="1370">
        <v>0</v>
      </c>
      <c r="E247" s="1354">
        <v>0</v>
      </c>
      <c r="F247" s="1375"/>
      <c r="G247" s="1049"/>
      <c r="H247" s="306">
        <f t="shared" si="72"/>
        <v>0</v>
      </c>
      <c r="I247" s="307"/>
      <c r="J247" s="1046"/>
      <c r="K247" s="306"/>
      <c r="L247" s="307"/>
      <c r="M247" s="1047"/>
      <c r="N247" s="306">
        <f t="shared" si="73"/>
        <v>0</v>
      </c>
      <c r="O247" s="307"/>
      <c r="P247" s="1047"/>
      <c r="Q247" s="306">
        <f>F247-N247</f>
        <v>0</v>
      </c>
      <c r="R247" s="307"/>
    </row>
    <row r="248" spans="1:18" ht="15.75">
      <c r="A248" s="1274" t="s">
        <v>1193</v>
      </c>
      <c r="B248" s="1276" t="s">
        <v>1677</v>
      </c>
      <c r="C248" s="1277" t="s">
        <v>51</v>
      </c>
      <c r="D248" s="1370">
        <v>108.19999999999999</v>
      </c>
      <c r="E248" s="1355">
        <v>36.43</v>
      </c>
      <c r="F248" s="1376">
        <f t="shared" ref="F248:F294" si="74">IF(ISBLANK(C248)," ",ROUND(E248*D248,2))</f>
        <v>3941.73</v>
      </c>
      <c r="G248" s="1049">
        <v>0</v>
      </c>
      <c r="H248" s="306">
        <f t="shared" si="72"/>
        <v>0</v>
      </c>
      <c r="I248" s="307">
        <f t="shared" ref="I248:I294" si="75">+H248/$F248</f>
        <v>0</v>
      </c>
      <c r="J248" s="1046"/>
      <c r="K248" s="306"/>
      <c r="L248" s="307">
        <f t="shared" ref="L248:L294" si="76">+K248/$F248</f>
        <v>0</v>
      </c>
      <c r="M248" s="1047">
        <f>+G248+J248</f>
        <v>0</v>
      </c>
      <c r="N248" s="306">
        <f t="shared" si="73"/>
        <v>0</v>
      </c>
      <c r="O248" s="307">
        <f t="shared" ref="O248:O294" si="77">+N248/$F248</f>
        <v>0</v>
      </c>
      <c r="P248" s="1047">
        <f>D248-M248</f>
        <v>108.19999999999999</v>
      </c>
      <c r="Q248" s="306">
        <f>F248-N248</f>
        <v>3941.73</v>
      </c>
      <c r="R248" s="307">
        <f t="shared" ref="R248:R294" si="78">+Q248/$F248</f>
        <v>1</v>
      </c>
    </row>
    <row r="249" spans="1:18" ht="15.75">
      <c r="A249" s="1283">
        <v>2</v>
      </c>
      <c r="B249" s="1284" t="s">
        <v>1695</v>
      </c>
      <c r="C249" s="1285"/>
      <c r="D249" s="1370"/>
      <c r="E249" s="1358"/>
      <c r="F249" s="1376" t="str">
        <f t="shared" si="74"/>
        <v xml:space="preserve"> </v>
      </c>
      <c r="G249" s="1049"/>
      <c r="H249" s="306"/>
      <c r="I249" s="307"/>
      <c r="J249" s="1046"/>
      <c r="K249" s="306"/>
      <c r="L249" s="307"/>
      <c r="M249" s="1047"/>
      <c r="N249" s="306">
        <f t="shared" si="73"/>
        <v>0</v>
      </c>
      <c r="O249" s="307"/>
      <c r="P249" s="1047"/>
      <c r="Q249" s="306"/>
      <c r="R249" s="307"/>
    </row>
    <row r="250" spans="1:18" ht="15.75">
      <c r="A250" s="1272">
        <v>2.2000000000000002</v>
      </c>
      <c r="B250" s="1273" t="s">
        <v>1701</v>
      </c>
      <c r="C250" s="1282"/>
      <c r="D250" s="1370"/>
      <c r="E250" s="1357"/>
      <c r="F250" s="1376" t="str">
        <f t="shared" si="74"/>
        <v xml:space="preserve"> </v>
      </c>
      <c r="G250" s="1049"/>
      <c r="H250" s="306">
        <f t="shared" si="72"/>
        <v>0</v>
      </c>
      <c r="I250" s="307"/>
      <c r="J250" s="1046"/>
      <c r="K250" s="306"/>
      <c r="L250" s="307"/>
      <c r="M250" s="1047"/>
      <c r="N250" s="306">
        <f t="shared" si="73"/>
        <v>0</v>
      </c>
      <c r="O250" s="307"/>
      <c r="P250" s="1047"/>
      <c r="Q250" s="306"/>
      <c r="R250" s="307"/>
    </row>
    <row r="251" spans="1:18" ht="15.75">
      <c r="A251" s="1274" t="s">
        <v>1214</v>
      </c>
      <c r="B251" s="1275" t="s">
        <v>1702</v>
      </c>
      <c r="C251" s="1281"/>
      <c r="D251" s="1370"/>
      <c r="E251" s="1355"/>
      <c r="F251" s="1376" t="str">
        <f t="shared" si="74"/>
        <v xml:space="preserve"> </v>
      </c>
      <c r="G251" s="1049"/>
      <c r="H251" s="306">
        <f t="shared" si="72"/>
        <v>0</v>
      </c>
      <c r="I251" s="307"/>
      <c r="J251" s="1046"/>
      <c r="K251" s="306"/>
      <c r="L251" s="307"/>
      <c r="M251" s="1047"/>
      <c r="N251" s="306">
        <f t="shared" si="73"/>
        <v>0</v>
      </c>
      <c r="O251" s="307"/>
      <c r="P251" s="1047"/>
      <c r="Q251" s="306"/>
      <c r="R251" s="307"/>
    </row>
    <row r="252" spans="1:18" ht="15.75">
      <c r="A252" s="1274" t="s">
        <v>1215</v>
      </c>
      <c r="B252" s="1276" t="s">
        <v>1703</v>
      </c>
      <c r="C252" s="1277" t="s">
        <v>2148</v>
      </c>
      <c r="D252" s="1371">
        <v>33.899999999999977</v>
      </c>
      <c r="E252" s="1355">
        <v>381.27</v>
      </c>
      <c r="F252" s="1376">
        <f t="shared" si="74"/>
        <v>12925.05</v>
      </c>
      <c r="G252" s="1049">
        <v>0</v>
      </c>
      <c r="H252" s="306">
        <f t="shared" si="72"/>
        <v>0</v>
      </c>
      <c r="I252" s="307">
        <f t="shared" si="75"/>
        <v>0</v>
      </c>
      <c r="J252" s="1046"/>
      <c r="K252" s="306"/>
      <c r="L252" s="307">
        <f t="shared" si="76"/>
        <v>0</v>
      </c>
      <c r="M252" s="1047">
        <f>+G252+J252</f>
        <v>0</v>
      </c>
      <c r="N252" s="306">
        <f t="shared" si="73"/>
        <v>0</v>
      </c>
      <c r="O252" s="307">
        <f t="shared" si="77"/>
        <v>0</v>
      </c>
      <c r="P252" s="1047">
        <f>D252-M252</f>
        <v>33.899999999999977</v>
      </c>
      <c r="Q252" s="306">
        <f>F252-N252</f>
        <v>12925.05</v>
      </c>
      <c r="R252" s="307">
        <f t="shared" si="78"/>
        <v>1</v>
      </c>
    </row>
    <row r="253" spans="1:18" ht="15.75">
      <c r="A253" s="1274" t="s">
        <v>1216</v>
      </c>
      <c r="B253" s="1276" t="s">
        <v>1704</v>
      </c>
      <c r="C253" s="1277" t="s">
        <v>2147</v>
      </c>
      <c r="D253" s="1370">
        <v>191.36</v>
      </c>
      <c r="E253" s="1355">
        <v>68.680000000000007</v>
      </c>
      <c r="F253" s="1376">
        <f t="shared" si="74"/>
        <v>13142.6</v>
      </c>
      <c r="G253" s="1049">
        <v>0</v>
      </c>
      <c r="H253" s="306">
        <f t="shared" si="72"/>
        <v>0</v>
      </c>
      <c r="I253" s="307">
        <f t="shared" si="75"/>
        <v>0</v>
      </c>
      <c r="J253" s="1046"/>
      <c r="K253" s="306"/>
      <c r="L253" s="307">
        <f t="shared" si="76"/>
        <v>0</v>
      </c>
      <c r="M253" s="1047">
        <f>+G253+J253</f>
        <v>0</v>
      </c>
      <c r="N253" s="306">
        <f t="shared" si="73"/>
        <v>0</v>
      </c>
      <c r="O253" s="307">
        <f t="shared" si="77"/>
        <v>0</v>
      </c>
      <c r="P253" s="1047">
        <f>D253-M253</f>
        <v>191.36</v>
      </c>
      <c r="Q253" s="306">
        <f>F253-N253</f>
        <v>13142.6</v>
      </c>
      <c r="R253" s="307">
        <f t="shared" si="78"/>
        <v>1</v>
      </c>
    </row>
    <row r="254" spans="1:18" ht="15.75">
      <c r="A254" s="1274" t="s">
        <v>1217</v>
      </c>
      <c r="B254" s="1276" t="s">
        <v>1705</v>
      </c>
      <c r="C254" s="1277" t="s">
        <v>420</v>
      </c>
      <c r="D254" s="1372">
        <v>10600.07</v>
      </c>
      <c r="E254" s="1355">
        <v>4.97</v>
      </c>
      <c r="F254" s="1376">
        <f t="shared" si="74"/>
        <v>52682.35</v>
      </c>
      <c r="G254" s="1049">
        <v>0</v>
      </c>
      <c r="H254" s="306">
        <f t="shared" si="72"/>
        <v>0</v>
      </c>
      <c r="I254" s="307">
        <f t="shared" si="75"/>
        <v>0</v>
      </c>
      <c r="J254" s="1046"/>
      <c r="K254" s="306"/>
      <c r="L254" s="307">
        <f t="shared" si="76"/>
        <v>0</v>
      </c>
      <c r="M254" s="1047">
        <f>+G254+J254</f>
        <v>0</v>
      </c>
      <c r="N254" s="306">
        <f t="shared" si="73"/>
        <v>0</v>
      </c>
      <c r="O254" s="307">
        <f t="shared" si="77"/>
        <v>0</v>
      </c>
      <c r="P254" s="1047">
        <f>D254-M254</f>
        <v>10600.07</v>
      </c>
      <c r="Q254" s="306">
        <f>F254-N254</f>
        <v>52682.35</v>
      </c>
      <c r="R254" s="307">
        <f t="shared" si="78"/>
        <v>1</v>
      </c>
    </row>
    <row r="255" spans="1:18" ht="15.75">
      <c r="A255" s="1274" t="s">
        <v>1218</v>
      </c>
      <c r="B255" s="1275" t="s">
        <v>1706</v>
      </c>
      <c r="C255" s="1281"/>
      <c r="D255" s="1370"/>
      <c r="E255" s="1355"/>
      <c r="F255" s="1376" t="str">
        <f t="shared" si="74"/>
        <v xml:space="preserve"> </v>
      </c>
      <c r="G255" s="1049"/>
      <c r="H255" s="306"/>
      <c r="I255" s="307"/>
      <c r="J255" s="1046"/>
      <c r="K255" s="306"/>
      <c r="L255" s="307"/>
      <c r="M255" s="1047"/>
      <c r="N255" s="306"/>
      <c r="O255" s="307"/>
      <c r="P255" s="1047"/>
      <c r="Q255" s="306"/>
      <c r="R255" s="307"/>
    </row>
    <row r="256" spans="1:18" ht="15.75">
      <c r="A256" s="1274" t="s">
        <v>1219</v>
      </c>
      <c r="B256" s="1276" t="s">
        <v>1707</v>
      </c>
      <c r="C256" s="1277" t="s">
        <v>2148</v>
      </c>
      <c r="D256" s="1371">
        <v>45.09</v>
      </c>
      <c r="E256" s="1355">
        <v>461.08</v>
      </c>
      <c r="F256" s="1376">
        <f t="shared" si="74"/>
        <v>20790.099999999999</v>
      </c>
      <c r="G256" s="1049">
        <v>0</v>
      </c>
      <c r="H256" s="306">
        <f t="shared" si="72"/>
        <v>0</v>
      </c>
      <c r="I256" s="307">
        <f t="shared" si="75"/>
        <v>0</v>
      </c>
      <c r="J256" s="1046"/>
      <c r="K256" s="306"/>
      <c r="L256" s="307">
        <f t="shared" si="76"/>
        <v>0</v>
      </c>
      <c r="M256" s="1047">
        <f>+G256+J256</f>
        <v>0</v>
      </c>
      <c r="N256" s="306">
        <f>ROUND(+M256*E256,2)</f>
        <v>0</v>
      </c>
      <c r="O256" s="307">
        <f t="shared" si="77"/>
        <v>0</v>
      </c>
      <c r="P256" s="1047">
        <f>D256-M256</f>
        <v>45.09</v>
      </c>
      <c r="Q256" s="306">
        <f>F256-N256</f>
        <v>20790.099999999999</v>
      </c>
      <c r="R256" s="307">
        <f t="shared" si="78"/>
        <v>1</v>
      </c>
    </row>
    <row r="257" spans="1:18" ht="15.75">
      <c r="A257" s="1274" t="s">
        <v>1221</v>
      </c>
      <c r="B257" s="1276" t="s">
        <v>1709</v>
      </c>
      <c r="C257" s="1277" t="s">
        <v>420</v>
      </c>
      <c r="D257" s="1370">
        <v>13541.510000000002</v>
      </c>
      <c r="E257" s="1355">
        <v>4.97</v>
      </c>
      <c r="F257" s="1376">
        <f t="shared" si="74"/>
        <v>67301.3</v>
      </c>
      <c r="G257" s="1049">
        <v>0</v>
      </c>
      <c r="H257" s="306">
        <f t="shared" si="72"/>
        <v>0</v>
      </c>
      <c r="I257" s="307">
        <f t="shared" si="75"/>
        <v>0</v>
      </c>
      <c r="J257" s="1046"/>
      <c r="K257" s="306"/>
      <c r="L257" s="307">
        <f t="shared" si="76"/>
        <v>0</v>
      </c>
      <c r="M257" s="1047">
        <f>+G257+J257</f>
        <v>0</v>
      </c>
      <c r="N257" s="306">
        <f>ROUND(+M257*E257,2)</f>
        <v>0</v>
      </c>
      <c r="O257" s="307">
        <f t="shared" si="77"/>
        <v>0</v>
      </c>
      <c r="P257" s="1047">
        <f>D257-M257</f>
        <v>13541.510000000002</v>
      </c>
      <c r="Q257" s="306">
        <f>F257-N257</f>
        <v>67301.3</v>
      </c>
      <c r="R257" s="307">
        <f t="shared" si="78"/>
        <v>1</v>
      </c>
    </row>
    <row r="258" spans="1:18" ht="15.75">
      <c r="A258" s="1274" t="s">
        <v>1226</v>
      </c>
      <c r="B258" s="1275" t="s">
        <v>1714</v>
      </c>
      <c r="C258" s="1281"/>
      <c r="D258" s="1370"/>
      <c r="E258" s="1355"/>
      <c r="F258" s="1376" t="str">
        <f t="shared" si="74"/>
        <v xml:space="preserve"> </v>
      </c>
      <c r="G258" s="1049"/>
      <c r="H258" s="306"/>
      <c r="I258" s="307"/>
      <c r="J258" s="1046"/>
      <c r="K258" s="306"/>
      <c r="L258" s="307"/>
      <c r="M258" s="1047"/>
      <c r="N258" s="306"/>
      <c r="O258" s="307"/>
      <c r="P258" s="1047"/>
      <c r="Q258" s="306"/>
      <c r="R258" s="307"/>
    </row>
    <row r="259" spans="1:18" ht="15.75">
      <c r="A259" s="1274" t="s">
        <v>1227</v>
      </c>
      <c r="B259" s="1276" t="s">
        <v>1715</v>
      </c>
      <c r="C259" s="1277" t="s">
        <v>2148</v>
      </c>
      <c r="D259" s="1371">
        <v>1524.5423326159996</v>
      </c>
      <c r="E259" s="1355">
        <v>609.01</v>
      </c>
      <c r="F259" s="1376">
        <f t="shared" si="74"/>
        <v>928461.53</v>
      </c>
      <c r="G259" s="1049">
        <v>0</v>
      </c>
      <c r="H259" s="306">
        <f t="shared" si="72"/>
        <v>0</v>
      </c>
      <c r="I259" s="307">
        <f t="shared" si="75"/>
        <v>0</v>
      </c>
      <c r="J259" s="1046"/>
      <c r="K259" s="306"/>
      <c r="L259" s="307">
        <f t="shared" si="76"/>
        <v>0</v>
      </c>
      <c r="M259" s="1047">
        <f>+G259+J259</f>
        <v>0</v>
      </c>
      <c r="N259" s="306">
        <f>ROUND(+M259*E259,2)</f>
        <v>0</v>
      </c>
      <c r="O259" s="307">
        <f t="shared" si="77"/>
        <v>0</v>
      </c>
      <c r="P259" s="1047">
        <f>D259-M259</f>
        <v>1524.5423326159996</v>
      </c>
      <c r="Q259" s="306">
        <f>F259-N259</f>
        <v>928461.53</v>
      </c>
      <c r="R259" s="307">
        <f t="shared" si="78"/>
        <v>1</v>
      </c>
    </row>
    <row r="260" spans="1:18" ht="15.75">
      <c r="A260" s="1274" t="s">
        <v>1230</v>
      </c>
      <c r="B260" s="1275" t="s">
        <v>1718</v>
      </c>
      <c r="C260" s="1281"/>
      <c r="D260" s="1370"/>
      <c r="E260" s="1355"/>
      <c r="F260" s="1376" t="str">
        <f t="shared" si="74"/>
        <v xml:space="preserve"> </v>
      </c>
      <c r="G260" s="1049"/>
      <c r="H260" s="306"/>
      <c r="I260" s="307"/>
      <c r="J260" s="1046"/>
      <c r="K260" s="306"/>
      <c r="L260" s="307"/>
      <c r="M260" s="1047"/>
      <c r="N260" s="306"/>
      <c r="O260" s="307"/>
      <c r="P260" s="1047"/>
      <c r="Q260" s="306"/>
      <c r="R260" s="307"/>
    </row>
    <row r="261" spans="1:18" ht="15.75">
      <c r="A261" s="1274" t="s">
        <v>1231</v>
      </c>
      <c r="B261" s="1276" t="s">
        <v>1719</v>
      </c>
      <c r="C261" s="1277" t="s">
        <v>2148</v>
      </c>
      <c r="D261" s="1371">
        <v>409.76</v>
      </c>
      <c r="E261" s="1355">
        <v>474.59</v>
      </c>
      <c r="F261" s="1376">
        <f t="shared" si="74"/>
        <v>194468</v>
      </c>
      <c r="G261" s="1049">
        <v>0</v>
      </c>
      <c r="H261" s="306">
        <f t="shared" si="72"/>
        <v>0</v>
      </c>
      <c r="I261" s="307">
        <f t="shared" si="75"/>
        <v>0</v>
      </c>
      <c r="J261" s="1046"/>
      <c r="K261" s="306"/>
      <c r="L261" s="307">
        <f t="shared" si="76"/>
        <v>0</v>
      </c>
      <c r="M261" s="1047">
        <f>+G261+J261</f>
        <v>0</v>
      </c>
      <c r="N261" s="306">
        <f>ROUND(+M261*E261,2)</f>
        <v>0</v>
      </c>
      <c r="O261" s="307">
        <f t="shared" si="77"/>
        <v>0</v>
      </c>
      <c r="P261" s="1047">
        <f>D261-M261</f>
        <v>409.76</v>
      </c>
      <c r="Q261" s="306">
        <f>F261-N261</f>
        <v>194468</v>
      </c>
      <c r="R261" s="307">
        <f t="shared" si="78"/>
        <v>1</v>
      </c>
    </row>
    <row r="262" spans="1:18" ht="15.75">
      <c r="A262" s="1274" t="s">
        <v>1232</v>
      </c>
      <c r="B262" s="1276" t="s">
        <v>1720</v>
      </c>
      <c r="C262" s="1277" t="s">
        <v>2147</v>
      </c>
      <c r="D262" s="1370">
        <v>1313.2200000000003</v>
      </c>
      <c r="E262" s="1355">
        <v>79.45</v>
      </c>
      <c r="F262" s="1376">
        <f t="shared" si="74"/>
        <v>104335.33</v>
      </c>
      <c r="G262" s="1049">
        <v>0</v>
      </c>
      <c r="H262" s="306">
        <f t="shared" si="72"/>
        <v>0</v>
      </c>
      <c r="I262" s="307">
        <f t="shared" si="75"/>
        <v>0</v>
      </c>
      <c r="J262" s="1046"/>
      <c r="K262" s="306"/>
      <c r="L262" s="307">
        <f t="shared" si="76"/>
        <v>0</v>
      </c>
      <c r="M262" s="1047">
        <f>+G262+J262</f>
        <v>0</v>
      </c>
      <c r="N262" s="306">
        <f>ROUND(+M262*E262,2)</f>
        <v>0</v>
      </c>
      <c r="O262" s="307">
        <f t="shared" si="77"/>
        <v>0</v>
      </c>
      <c r="P262" s="1047">
        <f>D262-M262</f>
        <v>1313.2200000000003</v>
      </c>
      <c r="Q262" s="306">
        <f>F262-N262</f>
        <v>104335.33</v>
      </c>
      <c r="R262" s="307">
        <f t="shared" si="78"/>
        <v>1</v>
      </c>
    </row>
    <row r="263" spans="1:18" ht="15.75">
      <c r="A263" s="1274" t="s">
        <v>1233</v>
      </c>
      <c r="B263" s="1276" t="s">
        <v>1721</v>
      </c>
      <c r="C263" s="1277" t="s">
        <v>420</v>
      </c>
      <c r="D263" s="1370">
        <v>6812.3000000000029</v>
      </c>
      <c r="E263" s="1355">
        <v>4.97</v>
      </c>
      <c r="F263" s="1376">
        <f t="shared" si="74"/>
        <v>33857.129999999997</v>
      </c>
      <c r="G263" s="1049">
        <v>0</v>
      </c>
      <c r="H263" s="306">
        <f t="shared" si="72"/>
        <v>0</v>
      </c>
      <c r="I263" s="307">
        <f t="shared" si="75"/>
        <v>0</v>
      </c>
      <c r="J263" s="1046"/>
      <c r="K263" s="306"/>
      <c r="L263" s="307">
        <f t="shared" si="76"/>
        <v>0</v>
      </c>
      <c r="M263" s="1047">
        <f>+G263+J263</f>
        <v>0</v>
      </c>
      <c r="N263" s="306">
        <f>ROUND(+M263*E263,2)</f>
        <v>0</v>
      </c>
      <c r="O263" s="307">
        <f t="shared" si="77"/>
        <v>0</v>
      </c>
      <c r="P263" s="1047">
        <f>D263-M263</f>
        <v>6812.3000000000029</v>
      </c>
      <c r="Q263" s="306">
        <f>F263-N263</f>
        <v>33857.129999999997</v>
      </c>
      <c r="R263" s="307">
        <f t="shared" si="78"/>
        <v>1</v>
      </c>
    </row>
    <row r="264" spans="1:18" ht="15.75">
      <c r="A264" s="1274" t="s">
        <v>1238</v>
      </c>
      <c r="B264" s="1275" t="s">
        <v>1726</v>
      </c>
      <c r="C264" s="1281"/>
      <c r="D264" s="1370"/>
      <c r="E264" s="1355"/>
      <c r="F264" s="1376" t="str">
        <f t="shared" si="74"/>
        <v xml:space="preserve"> </v>
      </c>
      <c r="G264" s="1049"/>
      <c r="H264" s="306"/>
      <c r="I264" s="307"/>
      <c r="J264" s="1046"/>
      <c r="K264" s="306"/>
      <c r="L264" s="307"/>
      <c r="M264" s="1047"/>
      <c r="N264" s="306"/>
      <c r="O264" s="307"/>
      <c r="P264" s="1047"/>
      <c r="Q264" s="306"/>
      <c r="R264" s="307"/>
    </row>
    <row r="265" spans="1:18" ht="15.75">
      <c r="A265" s="1274" t="s">
        <v>1240</v>
      </c>
      <c r="B265" s="1276" t="s">
        <v>1728</v>
      </c>
      <c r="C265" s="1277" t="s">
        <v>2147</v>
      </c>
      <c r="D265" s="1370">
        <v>201.50999999999976</v>
      </c>
      <c r="E265" s="1355">
        <v>46.22</v>
      </c>
      <c r="F265" s="1376">
        <f t="shared" si="74"/>
        <v>9313.7900000000009</v>
      </c>
      <c r="G265" s="1049">
        <v>0</v>
      </c>
      <c r="H265" s="306">
        <f t="shared" si="72"/>
        <v>0</v>
      </c>
      <c r="I265" s="307">
        <f t="shared" si="75"/>
        <v>0</v>
      </c>
      <c r="J265" s="1046"/>
      <c r="K265" s="306"/>
      <c r="L265" s="307">
        <f t="shared" si="76"/>
        <v>0</v>
      </c>
      <c r="M265" s="1047">
        <f>+G265+J265</f>
        <v>0</v>
      </c>
      <c r="N265" s="306">
        <f>ROUND(+M265*E265,2)</f>
        <v>0</v>
      </c>
      <c r="O265" s="307">
        <f t="shared" si="77"/>
        <v>0</v>
      </c>
      <c r="P265" s="1047">
        <f>D265-M265</f>
        <v>201.50999999999976</v>
      </c>
      <c r="Q265" s="306">
        <f>F265-N265</f>
        <v>9313.7900000000009</v>
      </c>
      <c r="R265" s="307">
        <f t="shared" si="78"/>
        <v>1</v>
      </c>
    </row>
    <row r="266" spans="1:18" ht="15.75">
      <c r="A266" s="1274" t="s">
        <v>1241</v>
      </c>
      <c r="B266" s="1276" t="s">
        <v>1729</v>
      </c>
      <c r="C266" s="1277" t="s">
        <v>420</v>
      </c>
      <c r="D266" s="1370">
        <v>8902.0400000000009</v>
      </c>
      <c r="E266" s="1355">
        <v>4.97</v>
      </c>
      <c r="F266" s="1376">
        <f t="shared" si="74"/>
        <v>44243.14</v>
      </c>
      <c r="G266" s="1049">
        <v>0</v>
      </c>
      <c r="H266" s="306">
        <f t="shared" si="72"/>
        <v>0</v>
      </c>
      <c r="I266" s="307">
        <f t="shared" si="75"/>
        <v>0</v>
      </c>
      <c r="J266" s="1046"/>
      <c r="K266" s="306"/>
      <c r="L266" s="307">
        <f t="shared" si="76"/>
        <v>0</v>
      </c>
      <c r="M266" s="1047">
        <f>+G266+J266</f>
        <v>0</v>
      </c>
      <c r="N266" s="306">
        <f>ROUND(+M266*E266,2)</f>
        <v>0</v>
      </c>
      <c r="O266" s="307">
        <f t="shared" si="77"/>
        <v>0</v>
      </c>
      <c r="P266" s="1047">
        <f>D266-M266</f>
        <v>8902.0400000000009</v>
      </c>
      <c r="Q266" s="306">
        <f>F266-N266</f>
        <v>44243.14</v>
      </c>
      <c r="R266" s="307">
        <f t="shared" si="78"/>
        <v>1</v>
      </c>
    </row>
    <row r="267" spans="1:18" ht="15.75">
      <c r="A267" s="1283">
        <v>3</v>
      </c>
      <c r="B267" s="1284" t="s">
        <v>1736</v>
      </c>
      <c r="C267" s="1285"/>
      <c r="D267" s="1370"/>
      <c r="E267" s="1358"/>
      <c r="F267" s="1376" t="str">
        <f t="shared" si="74"/>
        <v xml:space="preserve"> </v>
      </c>
      <c r="G267" s="1049"/>
      <c r="H267" s="306">
        <f t="shared" si="72"/>
        <v>0</v>
      </c>
      <c r="I267" s="307"/>
      <c r="J267" s="1046"/>
      <c r="K267" s="306"/>
      <c r="L267" s="307"/>
      <c r="M267" s="1047"/>
      <c r="N267" s="306">
        <f>ROUND(+M267*E267,2)</f>
        <v>0</v>
      </c>
      <c r="O267" s="307"/>
      <c r="P267" s="1047"/>
      <c r="Q267" s="306"/>
      <c r="R267" s="307"/>
    </row>
    <row r="268" spans="1:18" ht="15.75">
      <c r="A268" s="1272">
        <v>3.3</v>
      </c>
      <c r="B268" s="1273" t="s">
        <v>1756</v>
      </c>
      <c r="C268" s="1282"/>
      <c r="D268" s="1370"/>
      <c r="E268" s="1357"/>
      <c r="F268" s="1376" t="str">
        <f t="shared" si="74"/>
        <v xml:space="preserve"> </v>
      </c>
      <c r="G268" s="1049"/>
      <c r="H268" s="306">
        <f t="shared" si="72"/>
        <v>0</v>
      </c>
      <c r="I268" s="307"/>
      <c r="J268" s="1046"/>
      <c r="K268" s="306"/>
      <c r="L268" s="307"/>
      <c r="M268" s="1047"/>
      <c r="N268" s="306">
        <f>ROUND(+M268*E268,2)</f>
        <v>0</v>
      </c>
      <c r="O268" s="307"/>
      <c r="P268" s="1047"/>
      <c r="Q268" s="306"/>
      <c r="R268" s="307"/>
    </row>
    <row r="269" spans="1:18" ht="15.75">
      <c r="A269" s="1274" t="s">
        <v>1265</v>
      </c>
      <c r="B269" s="1276" t="s">
        <v>1757</v>
      </c>
      <c r="C269" s="1277" t="s">
        <v>2147</v>
      </c>
      <c r="D269" s="1370">
        <v>4779.21</v>
      </c>
      <c r="E269" s="1355">
        <v>29.06</v>
      </c>
      <c r="F269" s="1376">
        <f t="shared" si="74"/>
        <v>138883.84</v>
      </c>
      <c r="G269" s="1049">
        <v>0</v>
      </c>
      <c r="H269" s="306">
        <f t="shared" si="72"/>
        <v>0</v>
      </c>
      <c r="I269" s="307">
        <f t="shared" si="75"/>
        <v>0</v>
      </c>
      <c r="J269" s="1046"/>
      <c r="K269" s="306"/>
      <c r="L269" s="307">
        <f t="shared" si="76"/>
        <v>0</v>
      </c>
      <c r="M269" s="1047">
        <f>+G269+J269</f>
        <v>0</v>
      </c>
      <c r="N269" s="306">
        <f>ROUND(+M269*E269,2)</f>
        <v>0</v>
      </c>
      <c r="O269" s="307">
        <f t="shared" si="77"/>
        <v>0</v>
      </c>
      <c r="P269" s="1047">
        <f>D269-M269</f>
        <v>4779.21</v>
      </c>
      <c r="Q269" s="306">
        <f>F269-N269</f>
        <v>138883.84</v>
      </c>
      <c r="R269" s="307">
        <f t="shared" si="78"/>
        <v>1</v>
      </c>
    </row>
    <row r="270" spans="1:18" ht="15.75">
      <c r="A270" s="1272">
        <v>3.5</v>
      </c>
      <c r="B270" s="1273" t="s">
        <v>1762</v>
      </c>
      <c r="C270" s="1282"/>
      <c r="D270" s="1370"/>
      <c r="E270" s="1357"/>
      <c r="F270" s="1376" t="str">
        <f t="shared" si="74"/>
        <v xml:space="preserve"> </v>
      </c>
      <c r="G270" s="1049"/>
      <c r="H270" s="306"/>
      <c r="I270" s="307"/>
      <c r="J270" s="1046"/>
      <c r="K270" s="306"/>
      <c r="L270" s="307"/>
      <c r="M270" s="1047"/>
      <c r="N270" s="306"/>
      <c r="O270" s="307"/>
      <c r="P270" s="1047"/>
      <c r="Q270" s="306"/>
      <c r="R270" s="307"/>
    </row>
    <row r="271" spans="1:18" ht="15.75">
      <c r="A271" s="1274" t="s">
        <v>1272</v>
      </c>
      <c r="B271" s="1276" t="s">
        <v>1766</v>
      </c>
      <c r="C271" s="1277" t="s">
        <v>2147</v>
      </c>
      <c r="D271" s="1370">
        <v>395.41</v>
      </c>
      <c r="E271" s="1355">
        <v>59.09</v>
      </c>
      <c r="F271" s="1376">
        <f t="shared" si="74"/>
        <v>23364.78</v>
      </c>
      <c r="G271" s="1049">
        <v>0</v>
      </c>
      <c r="H271" s="306">
        <f t="shared" si="72"/>
        <v>0</v>
      </c>
      <c r="I271" s="307">
        <f t="shared" si="75"/>
        <v>0</v>
      </c>
      <c r="J271" s="1046"/>
      <c r="K271" s="306"/>
      <c r="L271" s="307">
        <f t="shared" si="76"/>
        <v>0</v>
      </c>
      <c r="M271" s="1047">
        <f>+G271+J271</f>
        <v>0</v>
      </c>
      <c r="N271" s="306">
        <f>ROUND(+M271*E271,2)</f>
        <v>0</v>
      </c>
      <c r="O271" s="307">
        <f t="shared" si="77"/>
        <v>0</v>
      </c>
      <c r="P271" s="1047">
        <f>D271-M271</f>
        <v>395.41</v>
      </c>
      <c r="Q271" s="306">
        <f>F271-N271</f>
        <v>23364.78</v>
      </c>
      <c r="R271" s="307">
        <f t="shared" si="78"/>
        <v>1</v>
      </c>
    </row>
    <row r="272" spans="1:18" ht="15.75">
      <c r="A272" s="1289">
        <v>5</v>
      </c>
      <c r="B272" s="1290" t="s">
        <v>1885</v>
      </c>
      <c r="C272" s="1291"/>
      <c r="D272" s="1370"/>
      <c r="E272" s="1358"/>
      <c r="F272" s="1376" t="str">
        <f t="shared" si="74"/>
        <v xml:space="preserve"> </v>
      </c>
      <c r="G272" s="1049"/>
      <c r="H272" s="306">
        <f t="shared" si="72"/>
        <v>0</v>
      </c>
      <c r="I272" s="307"/>
      <c r="J272" s="1046"/>
      <c r="K272" s="306"/>
      <c r="L272" s="307"/>
      <c r="M272" s="1047"/>
      <c r="N272" s="306">
        <f>ROUND(+M272*E272,2)</f>
        <v>0</v>
      </c>
      <c r="O272" s="307"/>
      <c r="P272" s="1047"/>
      <c r="Q272" s="306"/>
      <c r="R272" s="307"/>
    </row>
    <row r="273" spans="1:18" ht="15.75">
      <c r="A273" s="1272">
        <v>5.5</v>
      </c>
      <c r="B273" s="1273" t="s">
        <v>1945</v>
      </c>
      <c r="C273" s="1282"/>
      <c r="D273" s="1370"/>
      <c r="E273" s="1360"/>
      <c r="F273" s="1376" t="str">
        <f t="shared" si="74"/>
        <v xml:space="preserve"> </v>
      </c>
      <c r="G273" s="1049"/>
      <c r="H273" s="306">
        <f t="shared" si="72"/>
        <v>0</v>
      </c>
      <c r="I273" s="307"/>
      <c r="J273" s="1046"/>
      <c r="K273" s="306"/>
      <c r="L273" s="307"/>
      <c r="M273" s="1047"/>
      <c r="N273" s="306"/>
      <c r="O273" s="307"/>
      <c r="P273" s="1047"/>
      <c r="Q273" s="306"/>
      <c r="R273" s="307"/>
    </row>
    <row r="274" spans="1:18" ht="15.75">
      <c r="A274" s="1274" t="s">
        <v>1442</v>
      </c>
      <c r="B274" s="1275" t="s">
        <v>1947</v>
      </c>
      <c r="C274" s="1281"/>
      <c r="D274" s="1370"/>
      <c r="E274" s="1356"/>
      <c r="F274" s="1376" t="str">
        <f t="shared" si="74"/>
        <v xml:space="preserve"> </v>
      </c>
      <c r="G274" s="1049"/>
      <c r="H274" s="306">
        <f t="shared" si="72"/>
        <v>0</v>
      </c>
      <c r="I274" s="307"/>
      <c r="J274" s="1046"/>
      <c r="K274" s="306"/>
      <c r="L274" s="307"/>
      <c r="M274" s="1047"/>
      <c r="N274" s="306">
        <f>ROUND(+M274*E274,2)</f>
        <v>0</v>
      </c>
      <c r="O274" s="307"/>
      <c r="P274" s="1047"/>
      <c r="Q274" s="306"/>
      <c r="R274" s="307"/>
    </row>
    <row r="275" spans="1:18" ht="15.75">
      <c r="A275" s="1274" t="s">
        <v>1443</v>
      </c>
      <c r="B275" s="1276" t="s">
        <v>1948</v>
      </c>
      <c r="C275" s="1277" t="s">
        <v>51</v>
      </c>
      <c r="D275" s="1370">
        <v>7944</v>
      </c>
      <c r="E275" s="1356">
        <v>2.33</v>
      </c>
      <c r="F275" s="1376">
        <f t="shared" si="74"/>
        <v>18509.52</v>
      </c>
      <c r="G275" s="1049">
        <v>0</v>
      </c>
      <c r="H275" s="306">
        <f t="shared" si="72"/>
        <v>0</v>
      </c>
      <c r="I275" s="307">
        <f t="shared" si="75"/>
        <v>0</v>
      </c>
      <c r="J275" s="1046"/>
      <c r="K275" s="306"/>
      <c r="L275" s="307">
        <f t="shared" si="76"/>
        <v>0</v>
      </c>
      <c r="M275" s="1047">
        <f>+G275+J275</f>
        <v>0</v>
      </c>
      <c r="N275" s="306">
        <f>ROUND(+M275*E275,2)</f>
        <v>0</v>
      </c>
      <c r="O275" s="307">
        <f t="shared" si="77"/>
        <v>0</v>
      </c>
      <c r="P275" s="1047">
        <f>D275-M275</f>
        <v>7944</v>
      </c>
      <c r="Q275" s="306">
        <f>F275-N275</f>
        <v>18509.52</v>
      </c>
      <c r="R275" s="307">
        <f t="shared" si="78"/>
        <v>1</v>
      </c>
    </row>
    <row r="276" spans="1:18" ht="15.75">
      <c r="A276" s="1274" t="s">
        <v>1444</v>
      </c>
      <c r="B276" s="1276" t="s">
        <v>1949</v>
      </c>
      <c r="C276" s="1277" t="s">
        <v>51</v>
      </c>
      <c r="D276" s="1370">
        <v>4014</v>
      </c>
      <c r="E276" s="1356">
        <v>2.96</v>
      </c>
      <c r="F276" s="1376">
        <f t="shared" si="74"/>
        <v>11881.44</v>
      </c>
      <c r="G276" s="1049">
        <v>0</v>
      </c>
      <c r="H276" s="306">
        <f t="shared" si="72"/>
        <v>0</v>
      </c>
      <c r="I276" s="307">
        <f t="shared" si="75"/>
        <v>0</v>
      </c>
      <c r="J276" s="1046"/>
      <c r="K276" s="306"/>
      <c r="L276" s="307">
        <f t="shared" si="76"/>
        <v>0</v>
      </c>
      <c r="M276" s="1047">
        <f>+G276+J276</f>
        <v>0</v>
      </c>
      <c r="N276" s="306">
        <f>ROUND(+M276*E276,2)</f>
        <v>0</v>
      </c>
      <c r="O276" s="307">
        <f t="shared" si="77"/>
        <v>0</v>
      </c>
      <c r="P276" s="1047">
        <f>D276-M276</f>
        <v>4014</v>
      </c>
      <c r="Q276" s="306">
        <f>F276-N276</f>
        <v>11881.44</v>
      </c>
      <c r="R276" s="307">
        <f t="shared" si="78"/>
        <v>1</v>
      </c>
    </row>
    <row r="277" spans="1:18" ht="15.75">
      <c r="A277" s="1274" t="s">
        <v>1445</v>
      </c>
      <c r="B277" s="1275" t="s">
        <v>1950</v>
      </c>
      <c r="C277" s="1281"/>
      <c r="D277" s="1370"/>
      <c r="E277" s="1356"/>
      <c r="F277" s="1376" t="str">
        <f t="shared" si="74"/>
        <v xml:space="preserve"> </v>
      </c>
      <c r="G277" s="1049"/>
      <c r="H277" s="306"/>
      <c r="I277" s="307"/>
      <c r="J277" s="1046"/>
      <c r="K277" s="306"/>
      <c r="L277" s="307"/>
      <c r="M277" s="1047"/>
      <c r="N277" s="306"/>
      <c r="O277" s="307"/>
      <c r="P277" s="1047"/>
      <c r="Q277" s="306"/>
      <c r="R277" s="307"/>
    </row>
    <row r="278" spans="1:18" ht="15.75">
      <c r="A278" s="1286" t="s">
        <v>1449</v>
      </c>
      <c r="B278" s="1287" t="s">
        <v>1954</v>
      </c>
      <c r="C278" s="1288" t="s">
        <v>1145</v>
      </c>
      <c r="D278" s="1370">
        <v>12</v>
      </c>
      <c r="E278" s="1359">
        <v>99.45</v>
      </c>
      <c r="F278" s="1376">
        <f t="shared" si="74"/>
        <v>1193.4000000000001</v>
      </c>
      <c r="G278" s="1049">
        <v>0</v>
      </c>
      <c r="H278" s="306">
        <f t="shared" si="72"/>
        <v>0</v>
      </c>
      <c r="I278" s="307">
        <f t="shared" si="75"/>
        <v>0</v>
      </c>
      <c r="J278" s="1046"/>
      <c r="K278" s="306"/>
      <c r="L278" s="307">
        <f t="shared" si="76"/>
        <v>0</v>
      </c>
      <c r="M278" s="1047">
        <f>+G278+J278</f>
        <v>0</v>
      </c>
      <c r="N278" s="306">
        <f t="shared" ref="N278:N285" si="79">ROUND(+M278*E278,2)</f>
        <v>0</v>
      </c>
      <c r="O278" s="307">
        <f t="shared" si="77"/>
        <v>0</v>
      </c>
      <c r="P278" s="1047">
        <f>D278-M278</f>
        <v>12</v>
      </c>
      <c r="Q278" s="306">
        <f>F278-N278</f>
        <v>1193.4000000000001</v>
      </c>
      <c r="R278" s="307">
        <f t="shared" si="78"/>
        <v>1</v>
      </c>
    </row>
    <row r="279" spans="1:18" ht="15.75">
      <c r="A279" s="1274" t="s">
        <v>1451</v>
      </c>
      <c r="B279" s="1276" t="s">
        <v>1956</v>
      </c>
      <c r="C279" s="1277" t="s">
        <v>1145</v>
      </c>
      <c r="D279" s="1370">
        <v>79</v>
      </c>
      <c r="E279" s="1356">
        <v>99.45</v>
      </c>
      <c r="F279" s="1376">
        <f t="shared" si="74"/>
        <v>7856.55</v>
      </c>
      <c r="G279" s="1049">
        <v>0</v>
      </c>
      <c r="H279" s="306">
        <f t="shared" si="72"/>
        <v>0</v>
      </c>
      <c r="I279" s="307">
        <f t="shared" si="75"/>
        <v>0</v>
      </c>
      <c r="J279" s="1046"/>
      <c r="K279" s="306"/>
      <c r="L279" s="307">
        <f t="shared" si="76"/>
        <v>0</v>
      </c>
      <c r="M279" s="1047">
        <f>+G279+J279</f>
        <v>0</v>
      </c>
      <c r="N279" s="306">
        <f t="shared" si="79"/>
        <v>0</v>
      </c>
      <c r="O279" s="307">
        <f t="shared" si="77"/>
        <v>0</v>
      </c>
      <c r="P279" s="1047">
        <f>D279-M279</f>
        <v>79</v>
      </c>
      <c r="Q279" s="306">
        <f>F279-N279</f>
        <v>7856.55</v>
      </c>
      <c r="R279" s="307">
        <f t="shared" si="78"/>
        <v>1</v>
      </c>
    </row>
    <row r="280" spans="1:18" ht="15.75">
      <c r="A280" s="1274" t="s">
        <v>1453</v>
      </c>
      <c r="B280" s="1276" t="s">
        <v>1958</v>
      </c>
      <c r="C280" s="1277" t="s">
        <v>1145</v>
      </c>
      <c r="D280" s="1370">
        <v>9</v>
      </c>
      <c r="E280" s="1356">
        <v>99.45</v>
      </c>
      <c r="F280" s="1376">
        <f t="shared" si="74"/>
        <v>895.05</v>
      </c>
      <c r="G280" s="1049">
        <v>0</v>
      </c>
      <c r="H280" s="306">
        <f t="shared" si="72"/>
        <v>0</v>
      </c>
      <c r="I280" s="307">
        <f t="shared" si="75"/>
        <v>0</v>
      </c>
      <c r="J280" s="1046"/>
      <c r="K280" s="306"/>
      <c r="L280" s="307">
        <f t="shared" si="76"/>
        <v>0</v>
      </c>
      <c r="M280" s="1047">
        <f>+G280+J280</f>
        <v>0</v>
      </c>
      <c r="N280" s="306">
        <f t="shared" si="79"/>
        <v>0</v>
      </c>
      <c r="O280" s="307">
        <f t="shared" si="77"/>
        <v>0</v>
      </c>
      <c r="P280" s="1047">
        <f>D280-M280</f>
        <v>9</v>
      </c>
      <c r="Q280" s="306">
        <f>F280-N280</f>
        <v>895.05</v>
      </c>
      <c r="R280" s="307">
        <f t="shared" si="78"/>
        <v>1</v>
      </c>
    </row>
    <row r="281" spans="1:18" ht="15.75">
      <c r="A281" s="1282">
        <v>5.6</v>
      </c>
      <c r="B281" s="1292" t="s">
        <v>1960</v>
      </c>
      <c r="C281" s="1282"/>
      <c r="D281" s="1370"/>
      <c r="E281" s="1360"/>
      <c r="F281" s="1376" t="str">
        <f t="shared" si="74"/>
        <v xml:space="preserve"> </v>
      </c>
      <c r="G281" s="1049"/>
      <c r="H281" s="306">
        <f t="shared" si="72"/>
        <v>0</v>
      </c>
      <c r="I281" s="307"/>
      <c r="J281" s="1046"/>
      <c r="K281" s="306"/>
      <c r="L281" s="307"/>
      <c r="M281" s="1047"/>
      <c r="N281" s="306">
        <f t="shared" si="79"/>
        <v>0</v>
      </c>
      <c r="O281" s="307"/>
      <c r="P281" s="1047"/>
      <c r="Q281" s="306"/>
      <c r="R281" s="307"/>
    </row>
    <row r="282" spans="1:18" ht="15.75">
      <c r="A282" s="1274" t="s">
        <v>1455</v>
      </c>
      <c r="B282" s="1279" t="s">
        <v>1961</v>
      </c>
      <c r="C282" s="1277" t="s">
        <v>52</v>
      </c>
      <c r="D282" s="1370">
        <v>7</v>
      </c>
      <c r="E282" s="1356">
        <v>261.41000000000003</v>
      </c>
      <c r="F282" s="1376">
        <f t="shared" si="74"/>
        <v>1829.87</v>
      </c>
      <c r="G282" s="1049">
        <v>0</v>
      </c>
      <c r="H282" s="306">
        <f t="shared" si="72"/>
        <v>0</v>
      </c>
      <c r="I282" s="307">
        <f t="shared" si="75"/>
        <v>0</v>
      </c>
      <c r="J282" s="1046"/>
      <c r="K282" s="306"/>
      <c r="L282" s="307">
        <f t="shared" si="76"/>
        <v>0</v>
      </c>
      <c r="M282" s="1047">
        <f>+G282+J282</f>
        <v>0</v>
      </c>
      <c r="N282" s="306">
        <f t="shared" si="79"/>
        <v>0</v>
      </c>
      <c r="O282" s="307">
        <f t="shared" si="77"/>
        <v>0</v>
      </c>
      <c r="P282" s="1047">
        <f>D282-M282</f>
        <v>7</v>
      </c>
      <c r="Q282" s="306">
        <f>F282-N282</f>
        <v>1829.87</v>
      </c>
      <c r="R282" s="307">
        <f t="shared" si="78"/>
        <v>1</v>
      </c>
    </row>
    <row r="283" spans="1:18" ht="15.75">
      <c r="A283" s="1274" t="s">
        <v>1456</v>
      </c>
      <c r="B283" s="1279" t="s">
        <v>1962</v>
      </c>
      <c r="C283" s="1277" t="s">
        <v>52</v>
      </c>
      <c r="D283" s="1370">
        <v>65</v>
      </c>
      <c r="E283" s="1356">
        <v>196.41</v>
      </c>
      <c r="F283" s="1376">
        <f t="shared" si="74"/>
        <v>12766.65</v>
      </c>
      <c r="G283" s="1049">
        <v>0</v>
      </c>
      <c r="H283" s="306">
        <f t="shared" si="72"/>
        <v>0</v>
      </c>
      <c r="I283" s="307">
        <f t="shared" si="75"/>
        <v>0</v>
      </c>
      <c r="J283" s="1046"/>
      <c r="K283" s="306"/>
      <c r="L283" s="307">
        <f t="shared" si="76"/>
        <v>0</v>
      </c>
      <c r="M283" s="1047">
        <f>+G283+J283</f>
        <v>0</v>
      </c>
      <c r="N283" s="306">
        <f t="shared" si="79"/>
        <v>0</v>
      </c>
      <c r="O283" s="307">
        <f t="shared" si="77"/>
        <v>0</v>
      </c>
      <c r="P283" s="1047">
        <f>D283-M283</f>
        <v>65</v>
      </c>
      <c r="Q283" s="306">
        <f>F283-N283</f>
        <v>12766.65</v>
      </c>
      <c r="R283" s="307">
        <f t="shared" si="78"/>
        <v>1</v>
      </c>
    </row>
    <row r="284" spans="1:18" ht="15.75">
      <c r="A284" s="1274" t="s">
        <v>1457</v>
      </c>
      <c r="B284" s="1279" t="s">
        <v>1963</v>
      </c>
      <c r="C284" s="1277" t="s">
        <v>52</v>
      </c>
      <c r="D284" s="1370">
        <v>252</v>
      </c>
      <c r="E284" s="1356">
        <v>126.41</v>
      </c>
      <c r="F284" s="1376">
        <f t="shared" si="74"/>
        <v>31855.32</v>
      </c>
      <c r="G284" s="1049">
        <v>0</v>
      </c>
      <c r="H284" s="306">
        <f t="shared" si="72"/>
        <v>0</v>
      </c>
      <c r="I284" s="307">
        <f t="shared" si="75"/>
        <v>0</v>
      </c>
      <c r="J284" s="1046"/>
      <c r="K284" s="306"/>
      <c r="L284" s="307">
        <f t="shared" si="76"/>
        <v>0</v>
      </c>
      <c r="M284" s="1047">
        <f>+G284+J284</f>
        <v>0</v>
      </c>
      <c r="N284" s="306">
        <f t="shared" si="79"/>
        <v>0</v>
      </c>
      <c r="O284" s="307">
        <f t="shared" si="77"/>
        <v>0</v>
      </c>
      <c r="P284" s="1047">
        <f>D284-M284</f>
        <v>252</v>
      </c>
      <c r="Q284" s="306">
        <f>F284-N284</f>
        <v>31855.32</v>
      </c>
      <c r="R284" s="307">
        <f t="shared" si="78"/>
        <v>1</v>
      </c>
    </row>
    <row r="285" spans="1:18" ht="15.75">
      <c r="A285" s="1274" t="s">
        <v>1458</v>
      </c>
      <c r="B285" s="1279" t="s">
        <v>1964</v>
      </c>
      <c r="C285" s="1277" t="s">
        <v>52</v>
      </c>
      <c r="D285" s="1370">
        <v>15</v>
      </c>
      <c r="E285" s="1356">
        <v>106.41</v>
      </c>
      <c r="F285" s="1376">
        <f t="shared" si="74"/>
        <v>1596.15</v>
      </c>
      <c r="G285" s="1049">
        <v>0</v>
      </c>
      <c r="H285" s="306">
        <f t="shared" si="72"/>
        <v>0</v>
      </c>
      <c r="I285" s="307">
        <f t="shared" si="75"/>
        <v>0</v>
      </c>
      <c r="J285" s="1046"/>
      <c r="K285" s="306"/>
      <c r="L285" s="307">
        <f t="shared" si="76"/>
        <v>0</v>
      </c>
      <c r="M285" s="1047">
        <f>+G285+J285</f>
        <v>0</v>
      </c>
      <c r="N285" s="306">
        <f t="shared" si="79"/>
        <v>0</v>
      </c>
      <c r="O285" s="307">
        <f t="shared" si="77"/>
        <v>0</v>
      </c>
      <c r="P285" s="1047">
        <f>D285-M285</f>
        <v>15</v>
      </c>
      <c r="Q285" s="306">
        <f>F285-N285</f>
        <v>1596.15</v>
      </c>
      <c r="R285" s="307">
        <f t="shared" si="78"/>
        <v>1</v>
      </c>
    </row>
    <row r="286" spans="1:18" ht="15.75">
      <c r="A286" s="1283">
        <v>6</v>
      </c>
      <c r="B286" s="1284" t="s">
        <v>1969</v>
      </c>
      <c r="C286" s="1285"/>
      <c r="D286" s="1370"/>
      <c r="E286" s="1373"/>
      <c r="F286" s="1376" t="str">
        <f t="shared" si="74"/>
        <v xml:space="preserve"> </v>
      </c>
      <c r="G286" s="1049"/>
      <c r="H286" s="306">
        <f t="shared" si="72"/>
        <v>0</v>
      </c>
      <c r="I286" s="307"/>
      <c r="J286" s="1046"/>
      <c r="K286" s="306"/>
      <c r="L286" s="307"/>
      <c r="M286" s="1047"/>
      <c r="N286" s="306"/>
      <c r="O286" s="307"/>
      <c r="P286" s="1047"/>
      <c r="Q286" s="306"/>
      <c r="R286" s="307"/>
    </row>
    <row r="287" spans="1:18" ht="15.75">
      <c r="A287" s="1272">
        <v>6.9</v>
      </c>
      <c r="B287" s="1273" t="s">
        <v>2083</v>
      </c>
      <c r="C287" s="1282"/>
      <c r="D287" s="1370"/>
      <c r="E287" s="1357"/>
      <c r="F287" s="1376" t="str">
        <f t="shared" si="74"/>
        <v xml:space="preserve"> </v>
      </c>
      <c r="G287" s="1049"/>
      <c r="H287" s="306">
        <f t="shared" si="72"/>
        <v>0</v>
      </c>
      <c r="I287" s="307"/>
      <c r="J287" s="1046"/>
      <c r="K287" s="306"/>
      <c r="L287" s="307"/>
      <c r="M287" s="1047"/>
      <c r="N287" s="306">
        <f>ROUND(+M287*E287,2)</f>
        <v>0</v>
      </c>
      <c r="O287" s="307"/>
      <c r="P287" s="1047"/>
      <c r="Q287" s="306"/>
      <c r="R287" s="307"/>
    </row>
    <row r="288" spans="1:18" ht="15.75">
      <c r="A288" s="1274" t="s">
        <v>1595</v>
      </c>
      <c r="B288" s="1275" t="s">
        <v>1980</v>
      </c>
      <c r="C288" s="1281"/>
      <c r="D288" s="1370"/>
      <c r="E288" s="1355"/>
      <c r="F288" s="1376" t="str">
        <f t="shared" si="74"/>
        <v xml:space="preserve"> </v>
      </c>
      <c r="G288" s="1049"/>
      <c r="H288" s="306">
        <f t="shared" si="72"/>
        <v>0</v>
      </c>
      <c r="I288" s="307"/>
      <c r="J288" s="1046"/>
      <c r="K288" s="306"/>
      <c r="L288" s="307"/>
      <c r="M288" s="1047"/>
      <c r="N288" s="306"/>
      <c r="O288" s="307"/>
      <c r="P288" s="1047"/>
      <c r="Q288" s="306"/>
      <c r="R288" s="307"/>
    </row>
    <row r="289" spans="1:18" ht="15.75">
      <c r="A289" s="1274" t="s">
        <v>1596</v>
      </c>
      <c r="B289" s="1279" t="s">
        <v>1981</v>
      </c>
      <c r="C289" s="1277" t="s">
        <v>51</v>
      </c>
      <c r="D289" s="1370">
        <v>897</v>
      </c>
      <c r="E289" s="1355">
        <v>9.43</v>
      </c>
      <c r="F289" s="1376">
        <f t="shared" si="74"/>
        <v>8458.7099999999991</v>
      </c>
      <c r="G289" s="1049">
        <v>0</v>
      </c>
      <c r="H289" s="306">
        <f t="shared" si="72"/>
        <v>0</v>
      </c>
      <c r="I289" s="307">
        <f t="shared" si="75"/>
        <v>0</v>
      </c>
      <c r="J289" s="1046"/>
      <c r="K289" s="306"/>
      <c r="L289" s="307">
        <f t="shared" si="76"/>
        <v>0</v>
      </c>
      <c r="M289" s="1047">
        <f>+G289+J289</f>
        <v>0</v>
      </c>
      <c r="N289" s="306">
        <f t="shared" ref="N289:N294" si="80">ROUND(+M289*E289,2)</f>
        <v>0</v>
      </c>
      <c r="O289" s="307">
        <f t="shared" si="77"/>
        <v>0</v>
      </c>
      <c r="P289" s="1047">
        <f>D289-M289</f>
        <v>897</v>
      </c>
      <c r="Q289" s="306">
        <f>F289-N289</f>
        <v>8458.7099999999991</v>
      </c>
      <c r="R289" s="307">
        <f t="shared" si="78"/>
        <v>1</v>
      </c>
    </row>
    <row r="290" spans="1:18" ht="15.75">
      <c r="A290" s="1278" t="s">
        <v>1597</v>
      </c>
      <c r="B290" s="1279" t="s">
        <v>2034</v>
      </c>
      <c r="C290" s="1280" t="s">
        <v>51</v>
      </c>
      <c r="D290" s="1370">
        <v>135</v>
      </c>
      <c r="E290" s="1356">
        <v>39.090000000000003</v>
      </c>
      <c r="F290" s="1376">
        <f t="shared" si="74"/>
        <v>5277.15</v>
      </c>
      <c r="G290" s="1049">
        <v>0</v>
      </c>
      <c r="H290" s="306">
        <f t="shared" si="72"/>
        <v>0</v>
      </c>
      <c r="I290" s="307">
        <f t="shared" si="75"/>
        <v>0</v>
      </c>
      <c r="J290" s="1046"/>
      <c r="K290" s="306"/>
      <c r="L290" s="307">
        <f t="shared" si="76"/>
        <v>0</v>
      </c>
      <c r="M290" s="1047">
        <f>+G290+J290</f>
        <v>0</v>
      </c>
      <c r="N290" s="306">
        <f t="shared" si="80"/>
        <v>0</v>
      </c>
      <c r="O290" s="307">
        <f t="shared" si="77"/>
        <v>0</v>
      </c>
      <c r="P290" s="1047">
        <f>D290-M290</f>
        <v>135</v>
      </c>
      <c r="Q290" s="306">
        <f>F290-N290</f>
        <v>5277.15</v>
      </c>
      <c r="R290" s="307">
        <f t="shared" si="78"/>
        <v>1</v>
      </c>
    </row>
    <row r="291" spans="1:18" ht="15.75">
      <c r="A291" s="1274" t="s">
        <v>1598</v>
      </c>
      <c r="B291" s="1293" t="s">
        <v>1982</v>
      </c>
      <c r="C291" s="1277" t="s">
        <v>52</v>
      </c>
      <c r="D291" s="1374">
        <v>222</v>
      </c>
      <c r="E291" s="1355">
        <v>8.2899999999999991</v>
      </c>
      <c r="F291" s="1376">
        <f t="shared" si="74"/>
        <v>1840.38</v>
      </c>
      <c r="G291" s="1049">
        <v>0</v>
      </c>
      <c r="H291" s="306">
        <f t="shared" si="72"/>
        <v>0</v>
      </c>
      <c r="I291" s="307">
        <f t="shared" si="75"/>
        <v>0</v>
      </c>
      <c r="J291" s="1046"/>
      <c r="K291" s="306"/>
      <c r="L291" s="307">
        <f t="shared" si="76"/>
        <v>0</v>
      </c>
      <c r="M291" s="1047">
        <f>+G291+J291</f>
        <v>0</v>
      </c>
      <c r="N291" s="306">
        <f t="shared" si="80"/>
        <v>0</v>
      </c>
      <c r="O291" s="307">
        <f t="shared" si="77"/>
        <v>0</v>
      </c>
      <c r="P291" s="1047">
        <f>D291-M291</f>
        <v>222</v>
      </c>
      <c r="Q291" s="306">
        <f>F291-N291</f>
        <v>1840.38</v>
      </c>
      <c r="R291" s="307">
        <f t="shared" si="78"/>
        <v>1</v>
      </c>
    </row>
    <row r="292" spans="1:18" ht="15.75">
      <c r="A292" s="1274" t="s">
        <v>1616</v>
      </c>
      <c r="B292" s="1275" t="s">
        <v>1987</v>
      </c>
      <c r="C292" s="1281"/>
      <c r="D292" s="1370"/>
      <c r="E292" s="1355"/>
      <c r="F292" s="1376" t="str">
        <f t="shared" si="74"/>
        <v xml:space="preserve"> </v>
      </c>
      <c r="G292" s="1049"/>
      <c r="H292" s="306"/>
      <c r="I292" s="307"/>
      <c r="J292" s="1046"/>
      <c r="K292" s="306"/>
      <c r="L292" s="307"/>
      <c r="M292" s="1047"/>
      <c r="N292" s="306">
        <f t="shared" si="80"/>
        <v>0</v>
      </c>
      <c r="O292" s="307"/>
      <c r="P292" s="1047"/>
      <c r="Q292" s="306"/>
      <c r="R292" s="307"/>
    </row>
    <row r="293" spans="1:18" ht="15.75">
      <c r="A293" s="1274" t="s">
        <v>1617</v>
      </c>
      <c r="B293" s="1279" t="s">
        <v>1988</v>
      </c>
      <c r="C293" s="1277" t="s">
        <v>2145</v>
      </c>
      <c r="D293" s="1370">
        <v>72</v>
      </c>
      <c r="E293" s="1355">
        <v>29.32</v>
      </c>
      <c r="F293" s="1376">
        <f t="shared" si="74"/>
        <v>2111.04</v>
      </c>
      <c r="G293" s="1049">
        <v>0</v>
      </c>
      <c r="H293" s="306">
        <f t="shared" si="72"/>
        <v>0</v>
      </c>
      <c r="I293" s="307">
        <f t="shared" si="75"/>
        <v>0</v>
      </c>
      <c r="J293" s="1046"/>
      <c r="K293" s="306"/>
      <c r="L293" s="307">
        <f t="shared" si="76"/>
        <v>0</v>
      </c>
      <c r="M293" s="1047">
        <f>+G293+J293</f>
        <v>0</v>
      </c>
      <c r="N293" s="306">
        <f t="shared" si="80"/>
        <v>0</v>
      </c>
      <c r="O293" s="307">
        <f t="shared" si="77"/>
        <v>0</v>
      </c>
      <c r="P293" s="1047">
        <f>D293-M293</f>
        <v>72</v>
      </c>
      <c r="Q293" s="306">
        <f>F293-N293</f>
        <v>2111.04</v>
      </c>
      <c r="R293" s="307">
        <f t="shared" si="78"/>
        <v>1</v>
      </c>
    </row>
    <row r="294" spans="1:18" ht="16.5" thickBot="1">
      <c r="A294" s="1274" t="s">
        <v>1618</v>
      </c>
      <c r="B294" s="1279" t="s">
        <v>2036</v>
      </c>
      <c r="C294" s="1277" t="s">
        <v>2145</v>
      </c>
      <c r="D294" s="1370">
        <v>20</v>
      </c>
      <c r="E294" s="1355">
        <v>33.57</v>
      </c>
      <c r="F294" s="1376">
        <f t="shared" si="74"/>
        <v>671.4</v>
      </c>
      <c r="G294" s="1049">
        <v>0</v>
      </c>
      <c r="H294" s="306">
        <f t="shared" si="72"/>
        <v>0</v>
      </c>
      <c r="I294" s="307">
        <f t="shared" si="75"/>
        <v>0</v>
      </c>
      <c r="J294" s="1046"/>
      <c r="K294" s="306"/>
      <c r="L294" s="307">
        <f t="shared" si="76"/>
        <v>0</v>
      </c>
      <c r="M294" s="1047">
        <f>+G294+J294</f>
        <v>0</v>
      </c>
      <c r="N294" s="306">
        <f t="shared" si="80"/>
        <v>0</v>
      </c>
      <c r="O294" s="307">
        <f t="shared" si="77"/>
        <v>0</v>
      </c>
      <c r="P294" s="1047">
        <f>D294-M294</f>
        <v>20</v>
      </c>
      <c r="Q294" s="306">
        <f>F294-N294</f>
        <v>671.4</v>
      </c>
      <c r="R294" s="307">
        <f t="shared" si="78"/>
        <v>1</v>
      </c>
    </row>
    <row r="295" spans="1:18" ht="16.5" thickBot="1">
      <c r="A295" s="933"/>
      <c r="B295" s="2498" t="s">
        <v>18</v>
      </c>
      <c r="C295" s="2499"/>
      <c r="D295" s="2499"/>
      <c r="E295" s="2500"/>
      <c r="F295" s="1050">
        <f>SUM(F245:F294)</f>
        <v>1754453.2999999998</v>
      </c>
      <c r="G295" s="1051"/>
      <c r="H295" s="1050">
        <f>SUM(H244:H294)</f>
        <v>0</v>
      </c>
      <c r="I295" s="1052">
        <f>+H295/$F295</f>
        <v>0</v>
      </c>
      <c r="J295" s="1053"/>
      <c r="K295" s="1050"/>
      <c r="L295" s="1052">
        <f>+K295/$F295</f>
        <v>0</v>
      </c>
      <c r="M295" s="1054"/>
      <c r="N295" s="1050">
        <f>SUM(N244:N294)</f>
        <v>0</v>
      </c>
      <c r="O295" s="1052">
        <f>+N295/$F295</f>
        <v>0</v>
      </c>
      <c r="P295" s="1054"/>
      <c r="Q295" s="1050">
        <f>SUM(Q245:Q294)</f>
        <v>1754453.2999999998</v>
      </c>
      <c r="R295" s="1055">
        <f>+Q295/$F295</f>
        <v>1</v>
      </c>
    </row>
  </sheetData>
  <mergeCells count="75">
    <mergeCell ref="P240:R241"/>
    <mergeCell ref="G241:I241"/>
    <mergeCell ref="J241:L241"/>
    <mergeCell ref="M241:O241"/>
    <mergeCell ref="B295:E295"/>
    <mergeCell ref="F240:F242"/>
    <mergeCell ref="A240:A242"/>
    <mergeCell ref="B240:B242"/>
    <mergeCell ref="C240:C242"/>
    <mergeCell ref="D240:D242"/>
    <mergeCell ref="E240:E242"/>
    <mergeCell ref="J237:K237"/>
    <mergeCell ref="L237:O237"/>
    <mergeCell ref="P237:R237"/>
    <mergeCell ref="J238:K238"/>
    <mergeCell ref="L238:O238"/>
    <mergeCell ref="P238:R238"/>
    <mergeCell ref="J236:K236"/>
    <mergeCell ref="L236:O236"/>
    <mergeCell ref="P236:R236"/>
    <mergeCell ref="P183:R184"/>
    <mergeCell ref="G184:I184"/>
    <mergeCell ref="J184:L184"/>
    <mergeCell ref="M184:O184"/>
    <mergeCell ref="A229:R229"/>
    <mergeCell ref="D230:K230"/>
    <mergeCell ref="A231:R231"/>
    <mergeCell ref="J235:K235"/>
    <mergeCell ref="L235:O235"/>
    <mergeCell ref="B227:E227"/>
    <mergeCell ref="A183:A185"/>
    <mergeCell ref="B183:B185"/>
    <mergeCell ref="C183:C185"/>
    <mergeCell ref="D183:D185"/>
    <mergeCell ref="E183:E185"/>
    <mergeCell ref="F183:F185"/>
    <mergeCell ref="J180:K180"/>
    <mergeCell ref="L180:O180"/>
    <mergeCell ref="P180:R180"/>
    <mergeCell ref="J181:K181"/>
    <mergeCell ref="L181:O181"/>
    <mergeCell ref="P181:R181"/>
    <mergeCell ref="J179:K179"/>
    <mergeCell ref="L179:O179"/>
    <mergeCell ref="P179:R179"/>
    <mergeCell ref="P12:R13"/>
    <mergeCell ref="G13:I13"/>
    <mergeCell ref="J13:L13"/>
    <mergeCell ref="M13:O13"/>
    <mergeCell ref="A172:R172"/>
    <mergeCell ref="A12:A14"/>
    <mergeCell ref="B12:B14"/>
    <mergeCell ref="C12:C14"/>
    <mergeCell ref="D12:D14"/>
    <mergeCell ref="E12:E14"/>
    <mergeCell ref="F12:F14"/>
    <mergeCell ref="D173:K173"/>
    <mergeCell ref="A174:R174"/>
    <mergeCell ref="J178:K178"/>
    <mergeCell ref="L178:O178"/>
    <mergeCell ref="B170:E170"/>
    <mergeCell ref="J9:K9"/>
    <mergeCell ref="L9:O9"/>
    <mergeCell ref="P9:R9"/>
    <mergeCell ref="J10:K10"/>
    <mergeCell ref="L10:O10"/>
    <mergeCell ref="P10:R10"/>
    <mergeCell ref="J8:K8"/>
    <mergeCell ref="L8:O8"/>
    <mergeCell ref="P8:R8"/>
    <mergeCell ref="A1:R1"/>
    <mergeCell ref="D2:K2"/>
    <mergeCell ref="A3:R3"/>
    <mergeCell ref="J7:K7"/>
    <mergeCell ref="L7:O7"/>
  </mergeCells>
  <phoneticPr fontId="88" type="noConversion"/>
  <conditionalFormatting sqref="C188:E188 F188:F226 E191:E205 C191:D225 E207:E211 E213:E214 E216:E225">
    <cfRule type="expression" dxfId="53" priority="11">
      <formula>#REF!="T"</formula>
    </cfRule>
  </conditionalFormatting>
  <conditionalFormatting sqref="C189:E190">
    <cfRule type="expression" dxfId="52" priority="2">
      <formula>#REF!="T"</formula>
    </cfRule>
  </conditionalFormatting>
  <conditionalFormatting sqref="C226:E226">
    <cfRule type="expression" dxfId="51" priority="4">
      <formula>#REF!="T"</formula>
    </cfRule>
  </conditionalFormatting>
  <conditionalFormatting sqref="C17:F169">
    <cfRule type="expression" dxfId="50" priority="12">
      <formula>#REF!="T"</formula>
    </cfRule>
  </conditionalFormatting>
  <conditionalFormatting sqref="C245:F294">
    <cfRule type="expression" dxfId="49" priority="6">
      <formula>#REF!="T"</formula>
    </cfRule>
  </conditionalFormatting>
  <conditionalFormatting sqref="E206">
    <cfRule type="expression" dxfId="48" priority="9">
      <formula>#REF!="T"</formula>
    </cfRule>
  </conditionalFormatting>
  <conditionalFormatting sqref="E212 E215">
    <cfRule type="expression" dxfId="47" priority="10">
      <formula>#REF!="T"</formula>
    </cfRule>
  </conditionalFormatting>
  <conditionalFormatting sqref="H190">
    <cfRule type="expression" dxfId="46" priority="1">
      <formula>#REF!="T"</formula>
    </cfRule>
  </conditionalFormatting>
  <printOptions horizontalCentered="1"/>
  <pageMargins left="0.23622047244094491" right="0.23622047244094491" top="0.74803149606299213" bottom="0.74803149606299213" header="0.31496062992125984" footer="0.31496062992125984"/>
  <pageSetup paperSize="9" scale="41" fitToHeight="0" orientation="landscape" r:id="rId1"/>
  <headerFooter>
    <oddFooter>&amp;CPágina &amp;P de &amp;N</oddFooter>
  </headerFooter>
  <rowBreaks count="5" manualBreakCount="5">
    <brk id="50" max="17" man="1"/>
    <brk id="97" max="17" man="1"/>
    <brk id="145" max="17" man="1"/>
    <brk id="170" max="17" man="1"/>
    <brk id="227" max="17"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803DE-0D38-4F91-86CA-67DDC6565C0B}">
  <sheetPr>
    <tabColor rgb="FF00B0F0"/>
    <pageSetUpPr fitToPage="1"/>
  </sheetPr>
  <dimension ref="A1:AN927"/>
  <sheetViews>
    <sheetView view="pageBreakPreview" topLeftCell="A561" zoomScaleNormal="70" zoomScaleSheetLayoutView="100" zoomScalePageLayoutView="70" workbookViewId="0">
      <selection activeCell="A508" sqref="A508:XFD582"/>
    </sheetView>
  </sheetViews>
  <sheetFormatPr baseColWidth="10" defaultColWidth="11.42578125" defaultRowHeight="15.75"/>
  <cols>
    <col min="1" max="1" width="16.28515625" style="230" customWidth="1"/>
    <col min="2" max="2" width="117.7109375" style="1720" customWidth="1"/>
    <col min="3" max="3" width="10.28515625" style="1721" customWidth="1"/>
    <col min="4" max="4" width="16.7109375" style="1263" customWidth="1"/>
    <col min="5" max="5" width="12.28515625" style="1263" customWidth="1"/>
    <col min="6" max="6" width="18.42578125" style="230" customWidth="1"/>
    <col min="7" max="7" width="0.140625" style="230" customWidth="1"/>
    <col min="8" max="8" width="18" style="230" hidden="1" customWidth="1"/>
    <col min="9" max="9" width="12.42578125" style="230" hidden="1" customWidth="1"/>
    <col min="10" max="10" width="12.85546875" style="230" hidden="1" customWidth="1"/>
    <col min="11" max="11" width="16.85546875" style="230" hidden="1" customWidth="1"/>
    <col min="12" max="12" width="15" style="230" hidden="1" customWidth="1"/>
    <col min="13" max="13" width="11.28515625" style="230" customWidth="1"/>
    <col min="14" max="14" width="15.85546875" style="230" customWidth="1"/>
    <col min="15" max="15" width="9.85546875" style="230" customWidth="1"/>
    <col min="16" max="16" width="17.5703125" style="230" customWidth="1"/>
    <col min="17" max="17" width="19.5703125" style="230" customWidth="1"/>
    <col min="18" max="18" width="20.85546875" style="230" customWidth="1"/>
    <col min="19" max="19" width="15.140625" style="230" customWidth="1"/>
    <col min="20" max="20" width="19.42578125" style="230" customWidth="1"/>
    <col min="21" max="16384" width="11.42578125" style="230"/>
  </cols>
  <sheetData>
    <row r="1" spans="1:40" ht="52.5" customHeight="1">
      <c r="A1" s="1698"/>
      <c r="B1" s="2148" t="s">
        <v>3800</v>
      </c>
      <c r="C1" s="2148"/>
      <c r="D1" s="2148"/>
      <c r="E1" s="2148"/>
      <c r="F1" s="2148"/>
      <c r="G1" s="2148"/>
      <c r="H1" s="2148"/>
      <c r="I1" s="2148"/>
      <c r="J1" s="2148"/>
      <c r="K1" s="2148"/>
      <c r="L1" s="2148"/>
      <c r="M1" s="2148"/>
      <c r="N1" s="2148"/>
      <c r="O1" s="2148"/>
      <c r="P1" s="1698"/>
      <c r="Q1" s="1698"/>
      <c r="R1" s="1698"/>
      <c r="S1" s="276"/>
      <c r="T1" s="276"/>
      <c r="U1" s="276"/>
      <c r="V1" s="276"/>
      <c r="W1" s="276"/>
      <c r="X1" s="276"/>
      <c r="Y1" s="276"/>
      <c r="Z1" s="276"/>
      <c r="AA1" s="276"/>
      <c r="AB1" s="276"/>
      <c r="AC1" s="276"/>
      <c r="AD1" s="276"/>
      <c r="AE1" s="276"/>
      <c r="AF1" s="276"/>
      <c r="AG1" s="276"/>
      <c r="AH1" s="276"/>
      <c r="AI1" s="276"/>
      <c r="AJ1" s="276"/>
      <c r="AK1" s="276"/>
      <c r="AL1" s="276"/>
      <c r="AM1" s="276"/>
      <c r="AN1" s="276"/>
    </row>
    <row r="2" spans="1:40" ht="17.25" customHeight="1">
      <c r="A2" s="2504" t="s">
        <v>4252</v>
      </c>
      <c r="B2" s="2504"/>
      <c r="C2" s="2504"/>
      <c r="D2" s="2504"/>
      <c r="E2" s="2504"/>
      <c r="F2" s="2504"/>
      <c r="G2" s="2504"/>
      <c r="H2" s="2504"/>
      <c r="I2" s="2504"/>
      <c r="J2" s="2504"/>
      <c r="K2" s="2504"/>
      <c r="L2" s="2504"/>
      <c r="M2" s="2504"/>
      <c r="N2" s="2504"/>
      <c r="O2" s="2504"/>
      <c r="P2" s="2504"/>
      <c r="Q2" s="2504"/>
      <c r="R2" s="2504"/>
      <c r="S2" s="276"/>
      <c r="T2" s="276"/>
      <c r="U2" s="276"/>
      <c r="V2" s="276"/>
      <c r="W2" s="276"/>
      <c r="X2" s="276"/>
      <c r="Y2" s="276"/>
      <c r="Z2" s="276"/>
      <c r="AA2" s="276"/>
      <c r="AB2" s="276"/>
      <c r="AC2" s="276"/>
      <c r="AD2" s="276"/>
      <c r="AE2" s="276"/>
      <c r="AF2" s="276"/>
      <c r="AG2" s="276"/>
      <c r="AH2" s="276"/>
      <c r="AI2" s="276"/>
      <c r="AJ2" s="276"/>
      <c r="AK2" s="276"/>
      <c r="AL2" s="276"/>
      <c r="AM2" s="276"/>
      <c r="AN2" s="276"/>
    </row>
    <row r="3" spans="1:40" s="8" customFormat="1" ht="44.25" customHeight="1">
      <c r="A3" s="2149" t="s">
        <v>4275</v>
      </c>
      <c r="B3" s="2149"/>
      <c r="C3" s="2149"/>
      <c r="D3" s="2149"/>
      <c r="E3" s="2149"/>
      <c r="F3" s="2149"/>
      <c r="G3" s="2149"/>
      <c r="H3" s="2149"/>
      <c r="I3" s="2149"/>
      <c r="J3" s="2149"/>
      <c r="K3" s="2149"/>
      <c r="L3" s="2149"/>
      <c r="M3" s="2149"/>
      <c r="N3" s="2149"/>
      <c r="O3" s="2149"/>
      <c r="P3" s="2149"/>
      <c r="Q3" s="2149"/>
      <c r="R3" s="2149"/>
    </row>
    <row r="4" spans="1:40" ht="17.25" customHeight="1">
      <c r="A4" s="2504"/>
      <c r="B4" s="2504"/>
      <c r="C4" s="2504"/>
      <c r="D4" s="2504"/>
      <c r="E4" s="2504"/>
      <c r="F4" s="2504"/>
      <c r="G4" s="1699"/>
      <c r="H4" s="1699"/>
      <c r="I4" s="1699"/>
      <c r="J4" s="1699"/>
      <c r="K4" s="1699"/>
      <c r="L4" s="1218"/>
      <c r="M4" s="1218"/>
      <c r="N4" s="1218"/>
      <c r="O4" s="1218"/>
      <c r="P4" s="1218"/>
      <c r="Q4" s="1218"/>
      <c r="R4" s="1218"/>
      <c r="S4" s="276"/>
      <c r="T4" s="276"/>
      <c r="U4" s="276"/>
      <c r="V4" s="276"/>
      <c r="W4" s="276"/>
      <c r="X4" s="276"/>
      <c r="Y4" s="276"/>
      <c r="Z4" s="276"/>
      <c r="AA4" s="276"/>
      <c r="AB4" s="276"/>
      <c r="AC4" s="276"/>
      <c r="AD4" s="276"/>
      <c r="AE4" s="276"/>
      <c r="AF4" s="276"/>
      <c r="AG4" s="276"/>
      <c r="AH4" s="276"/>
      <c r="AI4" s="276"/>
      <c r="AJ4" s="276"/>
      <c r="AK4" s="276"/>
      <c r="AL4" s="276"/>
      <c r="AM4" s="276"/>
      <c r="AN4" s="276"/>
    </row>
    <row r="5" spans="1:40" s="8" customFormat="1" ht="20.100000000000001" customHeight="1">
      <c r="A5" s="997"/>
      <c r="B5" s="998" t="s">
        <v>57</v>
      </c>
      <c r="C5" s="999"/>
      <c r="D5" s="999"/>
      <c r="E5" s="1464"/>
      <c r="F5" s="1391"/>
      <c r="G5" s="998"/>
      <c r="H5" s="998"/>
      <c r="I5" s="998"/>
      <c r="J5" s="998"/>
      <c r="K5" s="998"/>
      <c r="L5" s="998"/>
      <c r="M5" s="1000"/>
      <c r="N5" s="1001"/>
      <c r="O5" s="998"/>
      <c r="P5" s="998"/>
      <c r="Q5" s="998"/>
      <c r="R5" s="998"/>
    </row>
    <row r="6" spans="1:40" s="8" customFormat="1" ht="20.100000000000001" customHeight="1">
      <c r="A6" s="997" t="s">
        <v>136</v>
      </c>
      <c r="B6" s="998" t="str">
        <f>[12]Datos!C26</f>
        <v>“MEJORAMIENTO DE LA GESTIÓN MUNICIPAL Y SERVICIO ADMINISTRATIVO DE LA MUNICIPALIDAD PROVINCIAL DE ABANCAY"</v>
      </c>
      <c r="C6" s="1701"/>
      <c r="D6" s="999"/>
      <c r="E6" s="999"/>
      <c r="F6" s="1701"/>
      <c r="G6" s="998"/>
      <c r="H6" s="998"/>
      <c r="I6" s="998"/>
      <c r="J6" s="998"/>
      <c r="K6" s="998"/>
      <c r="L6" s="998"/>
      <c r="M6" s="998"/>
      <c r="N6" s="998"/>
      <c r="O6" s="998"/>
      <c r="P6" s="998"/>
      <c r="Q6" s="998"/>
      <c r="R6" s="998"/>
    </row>
    <row r="7" spans="1:40" s="8" customFormat="1" ht="20.100000000000001" customHeight="1">
      <c r="A7" s="997"/>
      <c r="B7" s="998"/>
      <c r="C7" s="1701"/>
      <c r="D7" s="999"/>
      <c r="E7" s="999"/>
      <c r="F7" s="1701"/>
      <c r="G7" s="998"/>
      <c r="H7" s="998"/>
      <c r="I7" s="998"/>
      <c r="J7" s="998"/>
      <c r="K7" s="998"/>
      <c r="L7" s="998"/>
      <c r="M7" s="998"/>
      <c r="N7" s="998"/>
      <c r="O7" s="998"/>
      <c r="P7" s="998"/>
      <c r="Q7" s="998"/>
      <c r="R7" s="998"/>
    </row>
    <row r="8" spans="1:40" s="8" customFormat="1" ht="20.100000000000001" customHeight="1">
      <c r="A8" s="997" t="s">
        <v>137</v>
      </c>
      <c r="B8" s="998" t="s">
        <v>126</v>
      </c>
      <c r="C8" s="1002"/>
      <c r="D8" s="1002"/>
      <c r="E8" s="1465"/>
      <c r="F8" s="1392"/>
      <c r="G8" s="1003"/>
      <c r="H8" s="1003"/>
      <c r="I8" s="1003"/>
      <c r="J8" s="1003"/>
      <c r="K8" s="1003"/>
      <c r="L8" s="1004"/>
      <c r="M8" s="1003"/>
      <c r="N8" s="1003"/>
      <c r="O8" s="1003"/>
      <c r="P8" s="1003"/>
      <c r="Q8" s="1003"/>
      <c r="R8" s="1003"/>
    </row>
    <row r="9" spans="1:40" s="8" customFormat="1" ht="20.100000000000001" customHeight="1">
      <c r="A9" s="997" t="s">
        <v>139</v>
      </c>
      <c r="B9" s="1003" t="s">
        <v>2480</v>
      </c>
      <c r="C9" s="1002"/>
      <c r="D9" s="1002"/>
      <c r="E9" s="1465"/>
      <c r="F9" s="1392"/>
      <c r="G9" s="1003"/>
      <c r="H9" s="1003"/>
      <c r="I9" s="1003"/>
      <c r="J9" s="2143" t="s">
        <v>1147</v>
      </c>
      <c r="K9" s="2144"/>
      <c r="L9" s="2145" t="s">
        <v>4267</v>
      </c>
      <c r="M9" s="2146"/>
      <c r="N9" s="2146"/>
      <c r="O9" s="2147"/>
      <c r="P9" s="1005"/>
      <c r="Q9" s="1005"/>
      <c r="R9" s="1005"/>
    </row>
    <row r="10" spans="1:40" s="8" customFormat="1" ht="20.100000000000001" customHeight="1">
      <c r="A10" s="997" t="s">
        <v>129</v>
      </c>
      <c r="B10" s="998" t="str">
        <f>Datos!C73</f>
        <v>ING. RICHARD ERWIN MONTALVO ALVARO</v>
      </c>
      <c r="C10" s="1006"/>
      <c r="D10" s="1006"/>
      <c r="E10" s="1466"/>
      <c r="F10" s="1467"/>
      <c r="G10" s="1007"/>
      <c r="H10" s="1007"/>
      <c r="I10" s="1007"/>
      <c r="J10" s="2143" t="s">
        <v>1148</v>
      </c>
      <c r="K10" s="2144"/>
      <c r="L10" s="2502" t="s">
        <v>125</v>
      </c>
      <c r="M10" s="2502"/>
      <c r="N10" s="2502"/>
      <c r="O10" s="2502"/>
      <c r="P10" s="2503"/>
      <c r="Q10" s="2503"/>
      <c r="R10" s="2503"/>
    </row>
    <row r="11" spans="1:40" s="8" customFormat="1" ht="20.100000000000001" customHeight="1">
      <c r="A11" s="997" t="s">
        <v>128</v>
      </c>
      <c r="B11" s="1702" t="str">
        <f>[12]Datos!C79</f>
        <v>ING. IVES BUSTHER GUTIERREZ ARENAS</v>
      </c>
      <c r="C11" s="1009"/>
      <c r="D11" s="1009"/>
      <c r="E11" s="1468"/>
      <c r="F11" s="1393"/>
      <c r="G11" s="1010"/>
      <c r="H11" s="1010"/>
      <c r="I11" s="1010"/>
      <c r="J11" s="2143" t="s">
        <v>1149</v>
      </c>
      <c r="K11" s="2144"/>
      <c r="L11" s="2502" t="s">
        <v>125</v>
      </c>
      <c r="M11" s="2502"/>
      <c r="N11" s="2502"/>
      <c r="O11" s="2502"/>
      <c r="P11" s="2503"/>
      <c r="Q11" s="2503"/>
      <c r="R11" s="2503"/>
    </row>
    <row r="12" spans="1:40" s="314" customFormat="1" ht="20.100000000000001" customHeight="1">
      <c r="A12" s="997"/>
      <c r="B12" s="1702"/>
      <c r="C12" s="1009"/>
      <c r="D12" s="1009"/>
      <c r="E12" s="1468"/>
      <c r="F12" s="1393"/>
      <c r="G12" s="1010"/>
      <c r="H12" s="1010"/>
      <c r="I12" s="1010"/>
      <c r="J12" s="2143" t="s">
        <v>1151</v>
      </c>
      <c r="K12" s="2144"/>
      <c r="L12" s="2502" t="s">
        <v>124</v>
      </c>
      <c r="M12" s="2502"/>
      <c r="N12" s="2502"/>
      <c r="O12" s="2502"/>
      <c r="P12" s="2503"/>
      <c r="Q12" s="2503"/>
      <c r="R12" s="2503"/>
    </row>
    <row r="13" spans="1:40" s="314" customFormat="1" ht="14.25" customHeight="1">
      <c r="A13" s="998"/>
      <c r="B13" s="1703"/>
      <c r="C13" s="1009"/>
      <c r="D13" s="1009"/>
      <c r="E13" s="1468"/>
      <c r="F13" s="1393"/>
      <c r="G13" s="1010"/>
      <c r="H13" s="1010"/>
      <c r="I13" s="1010"/>
      <c r="J13" s="1010"/>
      <c r="K13" s="1012"/>
      <c r="L13" s="1012"/>
      <c r="M13" s="1012"/>
      <c r="N13" s="1012"/>
      <c r="O13" s="1012"/>
      <c r="P13" s="1012"/>
      <c r="Q13" s="1010"/>
      <c r="R13" s="1010"/>
    </row>
    <row r="14" spans="1:40" s="314" customFormat="1" ht="20.25" customHeight="1">
      <c r="A14" s="2501" t="s">
        <v>31</v>
      </c>
      <c r="B14" s="2546" t="s">
        <v>114</v>
      </c>
      <c r="C14" s="2501" t="s">
        <v>37</v>
      </c>
      <c r="D14" s="2501" t="s">
        <v>23</v>
      </c>
      <c r="E14" s="2536" t="s">
        <v>706</v>
      </c>
      <c r="F14" s="2536" t="s">
        <v>127</v>
      </c>
      <c r="G14" s="1036"/>
      <c r="H14" s="1037"/>
      <c r="I14" s="1037"/>
      <c r="J14" s="1037"/>
      <c r="K14" s="1038" t="s">
        <v>767</v>
      </c>
      <c r="L14" s="1037"/>
      <c r="M14" s="1037"/>
      <c r="N14" s="1037"/>
      <c r="O14" s="1039"/>
      <c r="P14" s="2497" t="s">
        <v>16</v>
      </c>
      <c r="Q14" s="2497"/>
      <c r="R14" s="2497"/>
    </row>
    <row r="15" spans="1:40" s="314" customFormat="1" ht="20.25" customHeight="1">
      <c r="A15" s="2501"/>
      <c r="B15" s="2546"/>
      <c r="C15" s="2501"/>
      <c r="D15" s="2501"/>
      <c r="E15" s="2536"/>
      <c r="F15" s="2536"/>
      <c r="G15" s="2497" t="s">
        <v>140</v>
      </c>
      <c r="H15" s="2497"/>
      <c r="I15" s="2497"/>
      <c r="J15" s="2497" t="s">
        <v>141</v>
      </c>
      <c r="K15" s="2497"/>
      <c r="L15" s="2497"/>
      <c r="M15" s="2497" t="s">
        <v>142</v>
      </c>
      <c r="N15" s="2497"/>
      <c r="O15" s="2497"/>
      <c r="P15" s="2497"/>
      <c r="Q15" s="2497"/>
      <c r="R15" s="2497"/>
    </row>
    <row r="16" spans="1:40" s="314" customFormat="1" ht="20.25" customHeight="1">
      <c r="A16" s="2501"/>
      <c r="B16" s="2546"/>
      <c r="C16" s="2501"/>
      <c r="D16" s="2501"/>
      <c r="E16" s="2536"/>
      <c r="F16" s="2536"/>
      <c r="G16" s="1040" t="s">
        <v>54</v>
      </c>
      <c r="H16" s="1040" t="s">
        <v>506</v>
      </c>
      <c r="I16" s="1040" t="s">
        <v>30</v>
      </c>
      <c r="J16" s="1040" t="s">
        <v>54</v>
      </c>
      <c r="K16" s="1040" t="s">
        <v>506</v>
      </c>
      <c r="L16" s="1040" t="s">
        <v>30</v>
      </c>
      <c r="M16" s="1040" t="s">
        <v>54</v>
      </c>
      <c r="N16" s="1040" t="s">
        <v>506</v>
      </c>
      <c r="O16" s="1040" t="s">
        <v>30</v>
      </c>
      <c r="P16" s="1040" t="s">
        <v>54</v>
      </c>
      <c r="Q16" s="1040" t="s">
        <v>506</v>
      </c>
      <c r="R16" s="1040" t="s">
        <v>30</v>
      </c>
    </row>
    <row r="17" spans="1:24" s="314" customFormat="1" ht="16.5" customHeight="1">
      <c r="A17" s="300"/>
      <c r="B17" s="1704"/>
      <c r="C17" s="300"/>
      <c r="D17" s="300"/>
      <c r="E17" s="1469"/>
      <c r="F17" s="1470">
        <f>F588</f>
        <v>4142136.5430000024</v>
      </c>
      <c r="G17" s="1042"/>
      <c r="H17" s="1043">
        <f>H588</f>
        <v>967150.91</v>
      </c>
      <c r="I17" s="308"/>
      <c r="J17" s="1044"/>
      <c r="K17" s="1043">
        <f>K588</f>
        <v>91446.268500000006</v>
      </c>
      <c r="L17" s="309"/>
      <c r="M17" s="1044"/>
      <c r="N17" s="1043">
        <f>N588</f>
        <v>1058597.1800000002</v>
      </c>
      <c r="O17" s="308"/>
      <c r="P17" s="1044"/>
      <c r="Q17" s="1043">
        <f>Q588</f>
        <v>3083539.362999999</v>
      </c>
      <c r="R17" s="308"/>
      <c r="S17" s="1471">
        <f>SUM(F22:F50)</f>
        <v>73529.1152</v>
      </c>
    </row>
    <row r="18" spans="1:24" s="313" customFormat="1" ht="52.5" customHeight="1">
      <c r="A18" s="1472"/>
      <c r="B18" s="1705" t="s">
        <v>2150</v>
      </c>
      <c r="C18" s="1473"/>
      <c r="D18" s="1474"/>
      <c r="E18" s="1474"/>
      <c r="F18" s="1475"/>
      <c r="G18" s="1048"/>
      <c r="H18" s="303"/>
      <c r="I18" s="310"/>
      <c r="J18" s="1044"/>
      <c r="K18" s="311"/>
      <c r="L18" s="311"/>
      <c r="M18" s="1045"/>
      <c r="N18" s="311"/>
      <c r="O18" s="311"/>
      <c r="P18" s="1045"/>
      <c r="Q18" s="311"/>
      <c r="R18" s="311"/>
      <c r="S18" s="314"/>
      <c r="T18" s="314"/>
      <c r="U18" s="314"/>
      <c r="V18" s="314"/>
      <c r="W18" s="314"/>
      <c r="X18" s="314"/>
    </row>
    <row r="19" spans="1:24" s="313" customFormat="1" ht="16.5" customHeight="1">
      <c r="A19" s="1706" t="s">
        <v>34</v>
      </c>
      <c r="B19" s="1707" t="s">
        <v>1695</v>
      </c>
      <c r="C19" s="1708"/>
      <c r="D19" s="1318"/>
      <c r="E19" s="1317"/>
      <c r="F19" s="1304"/>
      <c r="G19" s="1049"/>
      <c r="H19" s="306"/>
      <c r="I19" s="307"/>
      <c r="J19" s="1044"/>
      <c r="K19" s="306"/>
      <c r="L19" s="307"/>
      <c r="M19" s="1047"/>
      <c r="N19" s="306"/>
      <c r="O19" s="307"/>
      <c r="P19" s="1047"/>
      <c r="Q19" s="306"/>
      <c r="R19" s="307"/>
      <c r="S19" s="314"/>
      <c r="T19" s="314"/>
      <c r="U19" s="314"/>
      <c r="V19" s="314"/>
      <c r="W19" s="314"/>
      <c r="X19" s="314"/>
    </row>
    <row r="20" spans="1:24" s="313" customFormat="1" ht="16.5" customHeight="1">
      <c r="A20" s="1648" t="s">
        <v>43</v>
      </c>
      <c r="B20" s="1648" t="s">
        <v>243</v>
      </c>
      <c r="C20" s="1507"/>
      <c r="D20" s="1303"/>
      <c r="E20" s="1312"/>
      <c r="F20" s="1304"/>
      <c r="G20" s="1049"/>
      <c r="H20" s="306"/>
      <c r="I20" s="307"/>
      <c r="J20" s="1044"/>
      <c r="K20" s="306"/>
      <c r="L20" s="307"/>
      <c r="M20" s="1047"/>
      <c r="N20" s="306"/>
      <c r="O20" s="307"/>
      <c r="P20" s="1047"/>
      <c r="Q20" s="306"/>
      <c r="R20" s="307"/>
      <c r="S20" s="1471">
        <f>SUM(F22:F50)</f>
        <v>73529.1152</v>
      </c>
      <c r="T20" s="314"/>
      <c r="U20" s="314"/>
      <c r="V20" s="314"/>
      <c r="W20" s="314"/>
      <c r="X20" s="314"/>
    </row>
    <row r="21" spans="1:24" s="313" customFormat="1" ht="16.5" customHeight="1">
      <c r="A21" s="1709" t="s">
        <v>537</v>
      </c>
      <c r="B21" s="1709" t="s">
        <v>2512</v>
      </c>
      <c r="C21" s="1483"/>
      <c r="D21" s="1303"/>
      <c r="E21" s="1312"/>
      <c r="F21" s="1304"/>
      <c r="G21" s="1049"/>
      <c r="H21" s="306"/>
      <c r="I21" s="307"/>
      <c r="J21" s="1044"/>
      <c r="K21" s="306"/>
      <c r="L21" s="307"/>
      <c r="M21" s="1047"/>
      <c r="N21" s="306"/>
      <c r="O21" s="307"/>
      <c r="P21" s="1047"/>
      <c r="Q21" s="306"/>
      <c r="R21" s="307"/>
      <c r="S21" s="314"/>
      <c r="T21" s="314"/>
      <c r="U21" s="314"/>
      <c r="V21" s="314"/>
      <c r="W21" s="314"/>
      <c r="X21" s="314"/>
    </row>
    <row r="22" spans="1:24" s="313" customFormat="1" ht="16.5" customHeight="1">
      <c r="A22" s="1480" t="s">
        <v>2513</v>
      </c>
      <c r="B22" s="1489" t="s">
        <v>2793</v>
      </c>
      <c r="C22" s="1483" t="s">
        <v>49</v>
      </c>
      <c r="D22" s="1710">
        <v>48</v>
      </c>
      <c r="E22" s="1497">
        <v>12.97</v>
      </c>
      <c r="F22" s="1486">
        <f>E22*D22</f>
        <v>622.56000000000006</v>
      </c>
      <c r="G22" s="1049">
        <v>48</v>
      </c>
      <c r="H22" s="306">
        <v>622.55999999999995</v>
      </c>
      <c r="I22" s="307">
        <v>0.99999999999999978</v>
      </c>
      <c r="J22" s="1046"/>
      <c r="K22" s="306">
        <f t="shared" ref="K22" si="0">J22*E22</f>
        <v>0</v>
      </c>
      <c r="L22" s="307">
        <f t="shared" ref="L22" si="1">+K22/$F22</f>
        <v>0</v>
      </c>
      <c r="M22" s="1047">
        <f>+G22+J22</f>
        <v>48</v>
      </c>
      <c r="N22" s="306">
        <f t="shared" ref="N22" si="2">ROUND(+M22*E22,2)</f>
        <v>622.55999999999995</v>
      </c>
      <c r="O22" s="307">
        <f t="shared" ref="O22" si="3">+N22/$F22</f>
        <v>0.99999999999999978</v>
      </c>
      <c r="P22" s="1047">
        <f>D22-M22</f>
        <v>0</v>
      </c>
      <c r="Q22" s="306">
        <f t="shared" ref="Q22" si="4">F22-N22</f>
        <v>0</v>
      </c>
      <c r="R22" s="307">
        <f t="shared" ref="R22" si="5">+Q22/$F22</f>
        <v>0</v>
      </c>
      <c r="S22" s="314" t="str">
        <f>IF(M22&gt;D22,"mayormetrado","ok")</f>
        <v>ok</v>
      </c>
      <c r="T22" s="1471"/>
      <c r="U22" s="314"/>
      <c r="V22" s="314"/>
      <c r="W22" s="314"/>
      <c r="X22" s="314"/>
    </row>
    <row r="23" spans="1:24" s="313" customFormat="1" ht="16.5" customHeight="1">
      <c r="A23" s="1648" t="s">
        <v>44</v>
      </c>
      <c r="B23" s="1648" t="s">
        <v>2794</v>
      </c>
      <c r="C23" s="1487"/>
      <c r="D23" s="1487"/>
      <c r="E23" s="1487"/>
      <c r="F23" s="1486"/>
      <c r="G23" s="1049"/>
      <c r="H23" s="306"/>
      <c r="I23" s="307"/>
      <c r="J23" s="1046"/>
      <c r="K23" s="306"/>
      <c r="L23" s="307"/>
      <c r="M23" s="1047"/>
      <c r="N23" s="306"/>
      <c r="O23" s="307"/>
      <c r="P23" s="1047"/>
      <c r="Q23" s="306"/>
      <c r="R23" s="307"/>
      <c r="S23" s="314" t="str">
        <f t="shared" ref="S23:S86" si="6">IF(M23&gt;D23,"mayormetrado","ok")</f>
        <v>ok</v>
      </c>
      <c r="T23" s="314"/>
      <c r="U23" s="314"/>
      <c r="V23" s="314"/>
      <c r="W23" s="314"/>
      <c r="X23" s="314"/>
    </row>
    <row r="24" spans="1:24" s="313" customFormat="1" ht="16.5" customHeight="1">
      <c r="A24" s="1709" t="s">
        <v>544</v>
      </c>
      <c r="B24" s="1709" t="s">
        <v>2795</v>
      </c>
      <c r="C24" s="1487"/>
      <c r="D24" s="1487"/>
      <c r="E24" s="1487"/>
      <c r="F24" s="1486"/>
      <c r="G24" s="1049"/>
      <c r="H24" s="306"/>
      <c r="I24" s="307"/>
      <c r="J24" s="1046"/>
      <c r="K24" s="306"/>
      <c r="L24" s="307"/>
      <c r="M24" s="1047"/>
      <c r="N24" s="306"/>
      <c r="O24" s="307"/>
      <c r="P24" s="1047"/>
      <c r="Q24" s="306"/>
      <c r="R24" s="307"/>
      <c r="S24" s="314" t="str">
        <f t="shared" si="6"/>
        <v>ok</v>
      </c>
      <c r="T24" s="314"/>
      <c r="U24" s="314"/>
      <c r="V24" s="314"/>
      <c r="W24" s="314"/>
      <c r="X24" s="314"/>
    </row>
    <row r="25" spans="1:24" s="313" customFormat="1" ht="16.5" customHeight="1">
      <c r="A25" s="1341" t="s">
        <v>2517</v>
      </c>
      <c r="B25" s="1489" t="s">
        <v>2796</v>
      </c>
      <c r="C25" s="1483" t="s">
        <v>49</v>
      </c>
      <c r="D25" s="1710">
        <v>152.62</v>
      </c>
      <c r="E25" s="1497">
        <v>57.02</v>
      </c>
      <c r="F25" s="1486">
        <f t="shared" ref="F25:F88" si="7">E25*D25</f>
        <v>8702.3924000000006</v>
      </c>
      <c r="G25" s="1049">
        <v>152.62</v>
      </c>
      <c r="H25" s="306">
        <v>8702.39</v>
      </c>
      <c r="I25" s="307">
        <v>0.99999972421376893</v>
      </c>
      <c r="J25" s="1046"/>
      <c r="K25" s="306">
        <f t="shared" ref="K25:K86" si="8">J25*E25</f>
        <v>0</v>
      </c>
      <c r="L25" s="307">
        <f t="shared" ref="L25:L86" si="9">+K25/$F25</f>
        <v>0</v>
      </c>
      <c r="M25" s="1047">
        <f t="shared" ref="M25:M86" si="10">+G25+J25</f>
        <v>152.62</v>
      </c>
      <c r="N25" s="306">
        <f t="shared" ref="N25:N86" si="11">ROUND(+M25*E25,2)</f>
        <v>8702.39</v>
      </c>
      <c r="O25" s="307">
        <f t="shared" ref="O25:O86" si="12">+N25/$F25</f>
        <v>0.99999972421376893</v>
      </c>
      <c r="P25" s="1047">
        <f t="shared" ref="P25:P86" si="13">D25-M25</f>
        <v>0</v>
      </c>
      <c r="Q25" s="306">
        <f t="shared" ref="Q25:Q86" si="14">F25-N25</f>
        <v>2.4000000012165401E-3</v>
      </c>
      <c r="R25" s="307">
        <f t="shared" ref="R25:R86" si="15">+Q25/$F25</f>
        <v>2.757862310617641E-7</v>
      </c>
      <c r="S25" s="314" t="str">
        <f t="shared" si="6"/>
        <v>ok</v>
      </c>
      <c r="T25" s="314"/>
      <c r="U25" s="314"/>
      <c r="V25" s="314"/>
      <c r="W25" s="314"/>
      <c r="X25" s="314"/>
    </row>
    <row r="26" spans="1:24" s="313" customFormat="1" ht="16.5" customHeight="1">
      <c r="A26" s="1341" t="s">
        <v>2797</v>
      </c>
      <c r="B26" s="1489" t="s">
        <v>2798</v>
      </c>
      <c r="C26" s="1483" t="s">
        <v>50</v>
      </c>
      <c r="D26" s="1710">
        <v>13.91</v>
      </c>
      <c r="E26" s="1497">
        <v>661.75</v>
      </c>
      <c r="F26" s="1486">
        <f t="shared" si="7"/>
        <v>9204.9424999999992</v>
      </c>
      <c r="G26" s="1049">
        <v>13.91</v>
      </c>
      <c r="H26" s="306">
        <v>9204.94</v>
      </c>
      <c r="I26" s="307">
        <v>0.99999972840677731</v>
      </c>
      <c r="J26" s="1046"/>
      <c r="K26" s="306">
        <f t="shared" si="8"/>
        <v>0</v>
      </c>
      <c r="L26" s="307">
        <f t="shared" si="9"/>
        <v>0</v>
      </c>
      <c r="M26" s="1047">
        <f t="shared" si="10"/>
        <v>13.91</v>
      </c>
      <c r="N26" s="306">
        <f t="shared" si="11"/>
        <v>9204.94</v>
      </c>
      <c r="O26" s="307">
        <f t="shared" si="12"/>
        <v>0.99999972840677731</v>
      </c>
      <c r="P26" s="1047">
        <f t="shared" si="13"/>
        <v>0</v>
      </c>
      <c r="Q26" s="306">
        <f t="shared" si="14"/>
        <v>2.4999999986903276E-3</v>
      </c>
      <c r="R26" s="307">
        <f t="shared" si="15"/>
        <v>2.7159322273771159E-7</v>
      </c>
      <c r="S26" s="314" t="str">
        <f t="shared" si="6"/>
        <v>ok</v>
      </c>
      <c r="T26" s="314"/>
      <c r="U26" s="314"/>
      <c r="V26" s="314"/>
      <c r="W26" s="314"/>
      <c r="X26" s="314"/>
    </row>
    <row r="27" spans="1:24" s="313" customFormat="1" ht="16.5" customHeight="1">
      <c r="A27" s="1341" t="s">
        <v>2799</v>
      </c>
      <c r="B27" s="1489" t="s">
        <v>2800</v>
      </c>
      <c r="C27" s="1483" t="s">
        <v>420</v>
      </c>
      <c r="D27" s="1710">
        <v>499.34000000000003</v>
      </c>
      <c r="E27" s="1497">
        <v>6.49</v>
      </c>
      <c r="F27" s="1486">
        <f t="shared" si="7"/>
        <v>3240.7166000000002</v>
      </c>
      <c r="G27" s="1049">
        <v>499.3399</v>
      </c>
      <c r="H27" s="306">
        <v>3240.72</v>
      </c>
      <c r="I27" s="307">
        <v>1.0000010491506723</v>
      </c>
      <c r="J27" s="1046"/>
      <c r="K27" s="306">
        <f t="shared" si="8"/>
        <v>0</v>
      </c>
      <c r="L27" s="307">
        <f t="shared" si="9"/>
        <v>0</v>
      </c>
      <c r="M27" s="1047">
        <f t="shared" si="10"/>
        <v>499.3399</v>
      </c>
      <c r="N27" s="306">
        <f t="shared" si="11"/>
        <v>3240.72</v>
      </c>
      <c r="O27" s="307">
        <f t="shared" si="12"/>
        <v>1.0000010491506723</v>
      </c>
      <c r="P27" s="1047">
        <f t="shared" si="13"/>
        <v>1.0000000003174137E-4</v>
      </c>
      <c r="Q27" s="306">
        <f t="shared" si="14"/>
        <v>-3.3999999996012775E-3</v>
      </c>
      <c r="R27" s="307">
        <f t="shared" si="15"/>
        <v>-1.0491506722930593E-6</v>
      </c>
      <c r="S27" s="314" t="str">
        <f t="shared" si="6"/>
        <v>ok</v>
      </c>
      <c r="T27" s="314"/>
      <c r="U27" s="314"/>
      <c r="V27" s="314"/>
      <c r="W27" s="314"/>
      <c r="X27" s="314"/>
    </row>
    <row r="28" spans="1:24" s="313" customFormat="1" ht="16.5" customHeight="1">
      <c r="A28" s="1648" t="s">
        <v>547</v>
      </c>
      <c r="B28" s="1648" t="s">
        <v>2801</v>
      </c>
      <c r="C28" s="1483"/>
      <c r="D28" s="1710"/>
      <c r="E28" s="1497"/>
      <c r="F28" s="1486"/>
      <c r="G28" s="1049"/>
      <c r="H28" s="306"/>
      <c r="I28" s="307"/>
      <c r="J28" s="1046"/>
      <c r="K28" s="306"/>
      <c r="L28" s="307"/>
      <c r="M28" s="1047"/>
      <c r="N28" s="306"/>
      <c r="O28" s="307"/>
      <c r="P28" s="1047"/>
      <c r="Q28" s="306"/>
      <c r="R28" s="307"/>
      <c r="S28" s="314" t="str">
        <f t="shared" si="6"/>
        <v>ok</v>
      </c>
      <c r="T28" s="314"/>
      <c r="U28" s="314"/>
      <c r="V28" s="314"/>
      <c r="W28" s="314"/>
      <c r="X28" s="314"/>
    </row>
    <row r="29" spans="1:24" s="313" customFormat="1" ht="16.5" customHeight="1">
      <c r="A29" s="1709" t="s">
        <v>549</v>
      </c>
      <c r="B29" s="1709" t="s">
        <v>2802</v>
      </c>
      <c r="C29" s="1483"/>
      <c r="D29" s="1710"/>
      <c r="E29" s="1497"/>
      <c r="F29" s="1486"/>
      <c r="G29" s="1049"/>
      <c r="H29" s="306"/>
      <c r="I29" s="307"/>
      <c r="J29" s="1046"/>
      <c r="K29" s="306"/>
      <c r="L29" s="307"/>
      <c r="M29" s="1047"/>
      <c r="N29" s="306"/>
      <c r="O29" s="307"/>
      <c r="P29" s="1047"/>
      <c r="Q29" s="306"/>
      <c r="R29" s="307"/>
      <c r="S29" s="314" t="str">
        <f t="shared" si="6"/>
        <v>ok</v>
      </c>
      <c r="T29" s="314"/>
      <c r="U29" s="314"/>
      <c r="V29" s="314"/>
      <c r="W29" s="314"/>
      <c r="X29" s="314"/>
    </row>
    <row r="30" spans="1:24" s="313" customFormat="1" ht="16.5" customHeight="1">
      <c r="A30" s="1341" t="s">
        <v>2803</v>
      </c>
      <c r="B30" s="1711" t="s">
        <v>2804</v>
      </c>
      <c r="C30" s="1483" t="s">
        <v>49</v>
      </c>
      <c r="D30" s="1710">
        <v>1.92</v>
      </c>
      <c r="E30" s="1497">
        <v>95.45</v>
      </c>
      <c r="F30" s="1486">
        <f t="shared" si="7"/>
        <v>183.26400000000001</v>
      </c>
      <c r="G30" s="1049">
        <v>1.92</v>
      </c>
      <c r="H30" s="306">
        <v>183.26</v>
      </c>
      <c r="I30" s="307">
        <v>0.99997817356382035</v>
      </c>
      <c r="J30" s="1046"/>
      <c r="K30" s="306">
        <f t="shared" si="8"/>
        <v>0</v>
      </c>
      <c r="L30" s="307">
        <f t="shared" si="9"/>
        <v>0</v>
      </c>
      <c r="M30" s="1047">
        <f t="shared" si="10"/>
        <v>1.92</v>
      </c>
      <c r="N30" s="306">
        <f t="shared" si="11"/>
        <v>183.26</v>
      </c>
      <c r="O30" s="307">
        <f t="shared" si="12"/>
        <v>0.99997817356382035</v>
      </c>
      <c r="P30" s="1047">
        <f t="shared" si="13"/>
        <v>0</v>
      </c>
      <c r="Q30" s="306">
        <f t="shared" si="14"/>
        <v>4.0000000000190994E-3</v>
      </c>
      <c r="R30" s="307">
        <f t="shared" si="15"/>
        <v>2.1826436179604829E-5</v>
      </c>
      <c r="S30" s="314" t="str">
        <f t="shared" si="6"/>
        <v>ok</v>
      </c>
      <c r="T30" s="314"/>
      <c r="U30" s="314"/>
      <c r="V30" s="314"/>
      <c r="W30" s="314"/>
      <c r="X30" s="314"/>
    </row>
    <row r="31" spans="1:24" s="313" customFormat="1" ht="16.5" customHeight="1">
      <c r="A31" s="1341" t="s">
        <v>2805</v>
      </c>
      <c r="B31" s="1711" t="s">
        <v>2806</v>
      </c>
      <c r="C31" s="1483" t="s">
        <v>420</v>
      </c>
      <c r="D31" s="1710">
        <v>51.13</v>
      </c>
      <c r="E31" s="1497">
        <v>6.49</v>
      </c>
      <c r="F31" s="1486">
        <f t="shared" si="7"/>
        <v>331.83370000000002</v>
      </c>
      <c r="G31" s="1049">
        <v>51.13</v>
      </c>
      <c r="H31" s="306">
        <v>331.83</v>
      </c>
      <c r="I31" s="307">
        <v>0.99998884983652947</v>
      </c>
      <c r="J31" s="1046"/>
      <c r="K31" s="306">
        <f t="shared" si="8"/>
        <v>0</v>
      </c>
      <c r="L31" s="307">
        <f t="shared" si="9"/>
        <v>0</v>
      </c>
      <c r="M31" s="1047">
        <f t="shared" si="10"/>
        <v>51.13</v>
      </c>
      <c r="N31" s="306">
        <f t="shared" si="11"/>
        <v>331.83</v>
      </c>
      <c r="O31" s="307">
        <f t="shared" si="12"/>
        <v>0.99998884983652947</v>
      </c>
      <c r="P31" s="1047">
        <f t="shared" si="13"/>
        <v>0</v>
      </c>
      <c r="Q31" s="306">
        <f t="shared" si="14"/>
        <v>3.7000000000375621E-3</v>
      </c>
      <c r="R31" s="307">
        <f t="shared" si="15"/>
        <v>1.1150163470550344E-5</v>
      </c>
      <c r="S31" s="314" t="str">
        <f t="shared" si="6"/>
        <v>ok</v>
      </c>
      <c r="T31" s="314"/>
      <c r="U31" s="314"/>
      <c r="V31" s="314"/>
      <c r="W31" s="314"/>
      <c r="X31" s="314"/>
    </row>
    <row r="32" spans="1:24" s="313" customFormat="1" ht="16.5" customHeight="1">
      <c r="A32" s="1712" t="s">
        <v>2807</v>
      </c>
      <c r="B32" s="1711" t="s">
        <v>2808</v>
      </c>
      <c r="C32" s="1483" t="s">
        <v>50</v>
      </c>
      <c r="D32" s="1710">
        <v>2.8000000000000003</v>
      </c>
      <c r="E32" s="1497">
        <v>661.75</v>
      </c>
      <c r="F32" s="1486">
        <f t="shared" si="7"/>
        <v>1852.9</v>
      </c>
      <c r="G32" s="1049">
        <v>2.8</v>
      </c>
      <c r="H32" s="306">
        <v>1852.9</v>
      </c>
      <c r="I32" s="307">
        <v>1</v>
      </c>
      <c r="J32" s="1046"/>
      <c r="K32" s="306">
        <f t="shared" si="8"/>
        <v>0</v>
      </c>
      <c r="L32" s="307">
        <f t="shared" si="9"/>
        <v>0</v>
      </c>
      <c r="M32" s="1047">
        <f t="shared" si="10"/>
        <v>2.8</v>
      </c>
      <c r="N32" s="306">
        <f t="shared" si="11"/>
        <v>1852.9</v>
      </c>
      <c r="O32" s="307">
        <f t="shared" si="12"/>
        <v>1</v>
      </c>
      <c r="P32" s="1047">
        <f t="shared" si="13"/>
        <v>0</v>
      </c>
      <c r="Q32" s="306">
        <f t="shared" si="14"/>
        <v>0</v>
      </c>
      <c r="R32" s="307">
        <f t="shared" si="15"/>
        <v>0</v>
      </c>
      <c r="S32" s="314" t="str">
        <f t="shared" si="6"/>
        <v>ok</v>
      </c>
      <c r="T32" s="314"/>
      <c r="U32" s="314"/>
      <c r="V32" s="314"/>
      <c r="W32" s="314"/>
      <c r="X32" s="314"/>
    </row>
    <row r="33" spans="1:24" s="313" customFormat="1" ht="16.5" customHeight="1">
      <c r="A33" s="1709" t="s">
        <v>2809</v>
      </c>
      <c r="B33" s="1709" t="s">
        <v>2810</v>
      </c>
      <c r="C33" s="1483"/>
      <c r="D33" s="1710"/>
      <c r="E33" s="1497"/>
      <c r="F33" s="1486"/>
      <c r="G33" s="1049"/>
      <c r="H33" s="306"/>
      <c r="I33" s="307"/>
      <c r="J33" s="1046"/>
      <c r="K33" s="306"/>
      <c r="L33" s="307"/>
      <c r="M33" s="1047"/>
      <c r="N33" s="306"/>
      <c r="O33" s="307"/>
      <c r="P33" s="1047"/>
      <c r="Q33" s="306"/>
      <c r="R33" s="307"/>
      <c r="S33" s="314" t="str">
        <f t="shared" si="6"/>
        <v>ok</v>
      </c>
      <c r="T33" s="314"/>
      <c r="U33" s="314"/>
      <c r="V33" s="314"/>
      <c r="W33" s="314"/>
      <c r="X33" s="314"/>
    </row>
    <row r="34" spans="1:24" s="313" customFormat="1" ht="16.5" customHeight="1">
      <c r="A34" s="1337" t="s">
        <v>2811</v>
      </c>
      <c r="B34" s="1711" t="s">
        <v>2812</v>
      </c>
      <c r="C34" s="1483" t="s">
        <v>49</v>
      </c>
      <c r="D34" s="1710">
        <v>2.16</v>
      </c>
      <c r="E34" s="1497">
        <v>104.62</v>
      </c>
      <c r="F34" s="1486">
        <f t="shared" si="7"/>
        <v>225.97920000000002</v>
      </c>
      <c r="G34" s="1049">
        <v>2.1599900000000001</v>
      </c>
      <c r="H34" s="306">
        <v>225.98</v>
      </c>
      <c r="I34" s="307">
        <v>1.0000035401488276</v>
      </c>
      <c r="J34" s="1046"/>
      <c r="K34" s="306">
        <f t="shared" si="8"/>
        <v>0</v>
      </c>
      <c r="L34" s="307">
        <f t="shared" si="9"/>
        <v>0</v>
      </c>
      <c r="M34" s="1047">
        <f t="shared" si="10"/>
        <v>2.1599900000000001</v>
      </c>
      <c r="N34" s="306">
        <f t="shared" si="11"/>
        <v>225.98</v>
      </c>
      <c r="O34" s="307">
        <f t="shared" si="12"/>
        <v>1.0000035401488276</v>
      </c>
      <c r="P34" s="1047">
        <f t="shared" si="13"/>
        <v>1.0000000000065512E-5</v>
      </c>
      <c r="Q34" s="306">
        <f t="shared" si="14"/>
        <v>-7.9999999996971383E-4</v>
      </c>
      <c r="R34" s="307">
        <f t="shared" si="15"/>
        <v>-3.5401488277227008E-6</v>
      </c>
      <c r="S34" s="314" t="str">
        <f t="shared" si="6"/>
        <v>ok</v>
      </c>
      <c r="T34" s="314"/>
      <c r="U34" s="314"/>
      <c r="V34" s="314"/>
      <c r="W34" s="314"/>
      <c r="X34" s="314"/>
    </row>
    <row r="35" spans="1:24" s="313" customFormat="1" ht="16.5" customHeight="1">
      <c r="A35" s="1337" t="s">
        <v>2813</v>
      </c>
      <c r="B35" s="1711" t="s">
        <v>2814</v>
      </c>
      <c r="C35" s="1483" t="s">
        <v>420</v>
      </c>
      <c r="D35" s="1710">
        <v>56.45</v>
      </c>
      <c r="E35" s="1497">
        <v>6.49</v>
      </c>
      <c r="F35" s="1486">
        <f t="shared" si="7"/>
        <v>366.36050000000006</v>
      </c>
      <c r="G35" s="1049">
        <v>56.45</v>
      </c>
      <c r="H35" s="306">
        <v>366.36</v>
      </c>
      <c r="I35" s="307">
        <v>0.9999986352240483</v>
      </c>
      <c r="J35" s="1046"/>
      <c r="K35" s="306">
        <f t="shared" si="8"/>
        <v>0</v>
      </c>
      <c r="L35" s="307">
        <f t="shared" si="9"/>
        <v>0</v>
      </c>
      <c r="M35" s="1047">
        <f t="shared" si="10"/>
        <v>56.45</v>
      </c>
      <c r="N35" s="306">
        <f t="shared" si="11"/>
        <v>366.36</v>
      </c>
      <c r="O35" s="307">
        <f t="shared" si="12"/>
        <v>0.9999986352240483</v>
      </c>
      <c r="P35" s="1047">
        <f t="shared" si="13"/>
        <v>0</v>
      </c>
      <c r="Q35" s="306">
        <f t="shared" si="14"/>
        <v>5.0000000004501999E-4</v>
      </c>
      <c r="R35" s="307">
        <f t="shared" si="15"/>
        <v>1.3647759516787969E-6</v>
      </c>
      <c r="S35" s="314" t="str">
        <f t="shared" si="6"/>
        <v>ok</v>
      </c>
      <c r="T35" s="314"/>
      <c r="U35" s="314"/>
      <c r="V35" s="314"/>
      <c r="W35" s="314"/>
      <c r="X35" s="314"/>
    </row>
    <row r="36" spans="1:24" s="313" customFormat="1" ht="16.5" customHeight="1">
      <c r="A36" s="1337" t="s">
        <v>2815</v>
      </c>
      <c r="B36" s="1711" t="s">
        <v>2816</v>
      </c>
      <c r="C36" s="1483" t="s">
        <v>50</v>
      </c>
      <c r="D36" s="1710">
        <v>2.95</v>
      </c>
      <c r="E36" s="1497">
        <v>661.75</v>
      </c>
      <c r="F36" s="1486">
        <f t="shared" si="7"/>
        <v>1952.1625000000001</v>
      </c>
      <c r="G36" s="1049">
        <v>2.95</v>
      </c>
      <c r="H36" s="306">
        <v>1952.16</v>
      </c>
      <c r="I36" s="307">
        <v>0.99999871936890494</v>
      </c>
      <c r="J36" s="1046"/>
      <c r="K36" s="306">
        <f t="shared" si="8"/>
        <v>0</v>
      </c>
      <c r="L36" s="307">
        <f t="shared" si="9"/>
        <v>0</v>
      </c>
      <c r="M36" s="1047">
        <f t="shared" si="10"/>
        <v>2.95</v>
      </c>
      <c r="N36" s="306">
        <f t="shared" si="11"/>
        <v>1952.16</v>
      </c>
      <c r="O36" s="307">
        <f t="shared" si="12"/>
        <v>0.99999871936890494</v>
      </c>
      <c r="P36" s="1047">
        <f t="shared" si="13"/>
        <v>0</v>
      </c>
      <c r="Q36" s="306">
        <f t="shared" si="14"/>
        <v>2.5000000000545697E-3</v>
      </c>
      <c r="R36" s="307">
        <f t="shared" si="15"/>
        <v>1.2806310950315711E-6</v>
      </c>
      <c r="S36" s="314" t="str">
        <f t="shared" si="6"/>
        <v>ok</v>
      </c>
      <c r="T36" s="314"/>
      <c r="U36" s="314"/>
      <c r="V36" s="314"/>
      <c r="W36" s="314"/>
      <c r="X36" s="314"/>
    </row>
    <row r="37" spans="1:24" s="313" customFormat="1" ht="16.5" customHeight="1">
      <c r="A37" s="1648" t="s">
        <v>551</v>
      </c>
      <c r="B37" s="1648" t="s">
        <v>2817</v>
      </c>
      <c r="C37" s="1483"/>
      <c r="D37" s="1710"/>
      <c r="E37" s="1497"/>
      <c r="F37" s="1486"/>
      <c r="G37" s="1049"/>
      <c r="H37" s="306"/>
      <c r="I37" s="307"/>
      <c r="J37" s="1046"/>
      <c r="K37" s="306"/>
      <c r="L37" s="307"/>
      <c r="M37" s="1047"/>
      <c r="N37" s="306"/>
      <c r="O37" s="307"/>
      <c r="P37" s="1047"/>
      <c r="Q37" s="306"/>
      <c r="R37" s="307"/>
      <c r="S37" s="314" t="str">
        <f t="shared" si="6"/>
        <v>ok</v>
      </c>
      <c r="T37" s="314"/>
      <c r="U37" s="314"/>
      <c r="V37" s="314"/>
      <c r="W37" s="314"/>
      <c r="X37" s="314"/>
    </row>
    <row r="38" spans="1:24" s="313" customFormat="1" ht="16.5" customHeight="1">
      <c r="A38" s="1709" t="s">
        <v>553</v>
      </c>
      <c r="B38" s="1709" t="s">
        <v>2818</v>
      </c>
      <c r="C38" s="1483"/>
      <c r="D38" s="1710"/>
      <c r="E38" s="1497"/>
      <c r="F38" s="1486"/>
      <c r="G38" s="1049"/>
      <c r="H38" s="306"/>
      <c r="I38" s="307"/>
      <c r="J38" s="1046"/>
      <c r="K38" s="306"/>
      <c r="L38" s="307"/>
      <c r="M38" s="1047"/>
      <c r="N38" s="306"/>
      <c r="O38" s="307"/>
      <c r="P38" s="1047"/>
      <c r="Q38" s="306"/>
      <c r="R38" s="307"/>
      <c r="S38" s="314" t="str">
        <f t="shared" si="6"/>
        <v>ok</v>
      </c>
      <c r="T38" s="314"/>
      <c r="U38" s="314"/>
      <c r="V38" s="314"/>
      <c r="W38" s="314"/>
      <c r="X38" s="314"/>
    </row>
    <row r="39" spans="1:24" s="313" customFormat="1" ht="16.5" customHeight="1">
      <c r="A39" s="1309" t="s">
        <v>2819</v>
      </c>
      <c r="B39" s="1711" t="s">
        <v>2820</v>
      </c>
      <c r="C39" s="1483" t="s">
        <v>51</v>
      </c>
      <c r="D39" s="1710">
        <v>301.5</v>
      </c>
      <c r="E39" s="1497">
        <v>4.59</v>
      </c>
      <c r="F39" s="1486">
        <f t="shared" si="7"/>
        <v>1383.885</v>
      </c>
      <c r="G39" s="1049">
        <v>301.49990000000003</v>
      </c>
      <c r="H39" s="306">
        <v>1383.88</v>
      </c>
      <c r="I39" s="307">
        <v>0.99999638698302251</v>
      </c>
      <c r="J39" s="1046"/>
      <c r="K39" s="306">
        <f t="shared" si="8"/>
        <v>0</v>
      </c>
      <c r="L39" s="307">
        <f t="shared" si="9"/>
        <v>0</v>
      </c>
      <c r="M39" s="1047">
        <f t="shared" si="10"/>
        <v>301.49990000000003</v>
      </c>
      <c r="N39" s="306">
        <f t="shared" si="11"/>
        <v>1383.88</v>
      </c>
      <c r="O39" s="307">
        <f t="shared" si="12"/>
        <v>0.99999638698302251</v>
      </c>
      <c r="P39" s="1047">
        <f t="shared" si="13"/>
        <v>9.9999999974897946E-5</v>
      </c>
      <c r="Q39" s="306">
        <f t="shared" si="14"/>
        <v>4.9999999998817657E-3</v>
      </c>
      <c r="R39" s="307">
        <f t="shared" si="15"/>
        <v>3.6130169774813409E-6</v>
      </c>
      <c r="S39" s="314" t="str">
        <f t="shared" si="6"/>
        <v>ok</v>
      </c>
      <c r="T39" s="314"/>
      <c r="U39" s="314"/>
      <c r="V39" s="314"/>
      <c r="W39" s="314"/>
      <c r="X39" s="314"/>
    </row>
    <row r="40" spans="1:24" s="313" customFormat="1" ht="16.5" customHeight="1">
      <c r="A40" s="1709" t="s">
        <v>555</v>
      </c>
      <c r="B40" s="1709" t="s">
        <v>2821</v>
      </c>
      <c r="C40" s="1483"/>
      <c r="D40" s="1710"/>
      <c r="E40" s="1497"/>
      <c r="F40" s="1486"/>
      <c r="G40" s="1049"/>
      <c r="H40" s="306"/>
      <c r="I40" s="307"/>
      <c r="J40" s="1046"/>
      <c r="K40" s="306"/>
      <c r="L40" s="307"/>
      <c r="M40" s="1047"/>
      <c r="N40" s="306"/>
      <c r="O40" s="307"/>
      <c r="P40" s="1047"/>
      <c r="Q40" s="306"/>
      <c r="R40" s="307"/>
      <c r="S40" s="314" t="str">
        <f t="shared" si="6"/>
        <v>ok</v>
      </c>
      <c r="T40" s="314"/>
      <c r="U40" s="314"/>
      <c r="V40" s="314"/>
      <c r="W40" s="314"/>
      <c r="X40" s="314"/>
    </row>
    <row r="41" spans="1:24" s="313" customFormat="1" ht="16.5" customHeight="1">
      <c r="A41" s="1309" t="s">
        <v>2822</v>
      </c>
      <c r="B41" s="1711" t="s">
        <v>2823</v>
      </c>
      <c r="C41" s="1483" t="s">
        <v>52</v>
      </c>
      <c r="D41" s="1710">
        <v>80</v>
      </c>
      <c r="E41" s="1497">
        <v>94.5</v>
      </c>
      <c r="F41" s="1486">
        <f t="shared" si="7"/>
        <v>7560</v>
      </c>
      <c r="G41" s="1049">
        <v>80</v>
      </c>
      <c r="H41" s="306">
        <v>7560</v>
      </c>
      <c r="I41" s="307">
        <v>1</v>
      </c>
      <c r="J41" s="1046"/>
      <c r="K41" s="306">
        <f t="shared" si="8"/>
        <v>0</v>
      </c>
      <c r="L41" s="307">
        <f t="shared" si="9"/>
        <v>0</v>
      </c>
      <c r="M41" s="1047">
        <f t="shared" si="10"/>
        <v>80</v>
      </c>
      <c r="N41" s="306">
        <f t="shared" si="11"/>
        <v>7560</v>
      </c>
      <c r="O41" s="307">
        <f t="shared" si="12"/>
        <v>1</v>
      </c>
      <c r="P41" s="1047">
        <f t="shared" si="13"/>
        <v>0</v>
      </c>
      <c r="Q41" s="306">
        <f t="shared" si="14"/>
        <v>0</v>
      </c>
      <c r="R41" s="307">
        <f t="shared" si="15"/>
        <v>0</v>
      </c>
      <c r="S41" s="314" t="str">
        <f t="shared" si="6"/>
        <v>ok</v>
      </c>
      <c r="T41" s="314"/>
      <c r="U41" s="314"/>
      <c r="V41" s="314"/>
      <c r="W41" s="314"/>
      <c r="X41" s="314"/>
    </row>
    <row r="42" spans="1:24" s="313" customFormat="1" ht="16.5" customHeight="1">
      <c r="A42" s="1309" t="s">
        <v>2824</v>
      </c>
      <c r="B42" s="1711" t="s">
        <v>2825</v>
      </c>
      <c r="C42" s="1483" t="s">
        <v>52</v>
      </c>
      <c r="D42" s="1710">
        <v>27</v>
      </c>
      <c r="E42" s="1497">
        <v>94.5</v>
      </c>
      <c r="F42" s="1486">
        <f t="shared" si="7"/>
        <v>2551.5</v>
      </c>
      <c r="G42" s="1049">
        <v>27</v>
      </c>
      <c r="H42" s="306">
        <v>2551.5</v>
      </c>
      <c r="I42" s="307">
        <v>1</v>
      </c>
      <c r="J42" s="1046"/>
      <c r="K42" s="306">
        <f t="shared" si="8"/>
        <v>0</v>
      </c>
      <c r="L42" s="307">
        <f t="shared" si="9"/>
        <v>0</v>
      </c>
      <c r="M42" s="1047">
        <f t="shared" si="10"/>
        <v>27</v>
      </c>
      <c r="N42" s="306">
        <f t="shared" si="11"/>
        <v>2551.5</v>
      </c>
      <c r="O42" s="307">
        <f t="shared" si="12"/>
        <v>1</v>
      </c>
      <c r="P42" s="1047">
        <f t="shared" si="13"/>
        <v>0</v>
      </c>
      <c r="Q42" s="306">
        <f t="shared" si="14"/>
        <v>0</v>
      </c>
      <c r="R42" s="307">
        <f t="shared" si="15"/>
        <v>0</v>
      </c>
      <c r="S42" s="314" t="str">
        <f t="shared" si="6"/>
        <v>ok</v>
      </c>
      <c r="T42" s="314"/>
      <c r="U42" s="314"/>
      <c r="V42" s="314"/>
      <c r="W42" s="314"/>
      <c r="X42" s="314"/>
    </row>
    <row r="43" spans="1:24" s="313" customFormat="1" ht="16.5" customHeight="1">
      <c r="A43" s="1309" t="s">
        <v>2826</v>
      </c>
      <c r="B43" s="1711" t="s">
        <v>2827</v>
      </c>
      <c r="C43" s="1483" t="s">
        <v>52</v>
      </c>
      <c r="D43" s="1710">
        <v>1</v>
      </c>
      <c r="E43" s="1497">
        <v>4549.78</v>
      </c>
      <c r="F43" s="1486">
        <f t="shared" si="7"/>
        <v>4549.78</v>
      </c>
      <c r="G43" s="1049">
        <v>1</v>
      </c>
      <c r="H43" s="306">
        <v>4549.78</v>
      </c>
      <c r="I43" s="307">
        <v>1</v>
      </c>
      <c r="J43" s="1046"/>
      <c r="K43" s="306">
        <f t="shared" si="8"/>
        <v>0</v>
      </c>
      <c r="L43" s="307">
        <f t="shared" si="9"/>
        <v>0</v>
      </c>
      <c r="M43" s="1047">
        <f t="shared" si="10"/>
        <v>1</v>
      </c>
      <c r="N43" s="306">
        <f t="shared" si="11"/>
        <v>4549.78</v>
      </c>
      <c r="O43" s="307">
        <f t="shared" si="12"/>
        <v>1</v>
      </c>
      <c r="P43" s="1047">
        <f t="shared" si="13"/>
        <v>0</v>
      </c>
      <c r="Q43" s="306">
        <f t="shared" si="14"/>
        <v>0</v>
      </c>
      <c r="R43" s="307">
        <f t="shared" si="15"/>
        <v>0</v>
      </c>
      <c r="S43" s="314" t="str">
        <f t="shared" si="6"/>
        <v>ok</v>
      </c>
      <c r="T43" s="314"/>
      <c r="U43" s="314"/>
      <c r="V43" s="314"/>
      <c r="W43" s="314"/>
      <c r="X43" s="314"/>
    </row>
    <row r="44" spans="1:24" s="313" customFormat="1" ht="30.75" customHeight="1">
      <c r="A44" s="1489" t="s">
        <v>2828</v>
      </c>
      <c r="B44" s="1711" t="s">
        <v>2829</v>
      </c>
      <c r="C44" s="1483" t="s">
        <v>52</v>
      </c>
      <c r="D44" s="1710">
        <v>1</v>
      </c>
      <c r="E44" s="1497">
        <v>7092.28</v>
      </c>
      <c r="F44" s="1486">
        <f t="shared" si="7"/>
        <v>7092.28</v>
      </c>
      <c r="G44" s="1049">
        <v>1</v>
      </c>
      <c r="H44" s="306">
        <v>7092.28</v>
      </c>
      <c r="I44" s="307">
        <v>1</v>
      </c>
      <c r="J44" s="1046"/>
      <c r="K44" s="306">
        <f t="shared" si="8"/>
        <v>0</v>
      </c>
      <c r="L44" s="307">
        <f t="shared" si="9"/>
        <v>0</v>
      </c>
      <c r="M44" s="1047">
        <f t="shared" si="10"/>
        <v>1</v>
      </c>
      <c r="N44" s="306">
        <f t="shared" si="11"/>
        <v>7092.28</v>
      </c>
      <c r="O44" s="307">
        <f t="shared" si="12"/>
        <v>1</v>
      </c>
      <c r="P44" s="1047">
        <f t="shared" si="13"/>
        <v>0</v>
      </c>
      <c r="Q44" s="306">
        <f t="shared" si="14"/>
        <v>0</v>
      </c>
      <c r="R44" s="307">
        <f t="shared" si="15"/>
        <v>0</v>
      </c>
      <c r="S44" s="314" t="str">
        <f t="shared" si="6"/>
        <v>ok</v>
      </c>
      <c r="T44" s="314"/>
      <c r="U44" s="314"/>
      <c r="V44" s="314"/>
      <c r="W44" s="314"/>
      <c r="X44" s="314"/>
    </row>
    <row r="45" spans="1:24" s="1427" customFormat="1" ht="31.5" customHeight="1">
      <c r="A45" s="2019" t="s">
        <v>2830</v>
      </c>
      <c r="B45" s="1881" t="s">
        <v>2831</v>
      </c>
      <c r="C45" s="2020" t="s">
        <v>49</v>
      </c>
      <c r="D45" s="1859">
        <v>15.860000000000001</v>
      </c>
      <c r="E45" s="2021">
        <v>142.88</v>
      </c>
      <c r="F45" s="1855">
        <f t="shared" si="7"/>
        <v>2266.0768000000003</v>
      </c>
      <c r="G45" s="2008">
        <v>0</v>
      </c>
      <c r="H45" s="1425">
        <v>0</v>
      </c>
      <c r="I45" s="305">
        <v>0</v>
      </c>
      <c r="J45" s="312">
        <v>10</v>
      </c>
      <c r="K45" s="1425">
        <f>J45*E45</f>
        <v>1428.8</v>
      </c>
      <c r="L45" s="305">
        <f>+K45/$F45</f>
        <v>0.63051702395964682</v>
      </c>
      <c r="M45" s="1047">
        <f t="shared" si="10"/>
        <v>10</v>
      </c>
      <c r="N45" s="1425">
        <f t="shared" si="11"/>
        <v>1428.8</v>
      </c>
      <c r="O45" s="305">
        <f t="shared" si="12"/>
        <v>0.63051702395964682</v>
      </c>
      <c r="P45" s="2022">
        <f t="shared" si="13"/>
        <v>5.8600000000000012</v>
      </c>
      <c r="Q45" s="1425">
        <f t="shared" si="14"/>
        <v>837.27680000000032</v>
      </c>
      <c r="R45" s="305">
        <f t="shared" si="15"/>
        <v>0.36948297604035318</v>
      </c>
      <c r="S45" s="1426" t="str">
        <f t="shared" si="6"/>
        <v>ok</v>
      </c>
      <c r="T45" s="1426"/>
      <c r="U45" s="1426"/>
      <c r="V45" s="1426"/>
      <c r="W45" s="1426"/>
      <c r="X45" s="1426"/>
    </row>
    <row r="46" spans="1:24" s="1427" customFormat="1" ht="30.75" customHeight="1">
      <c r="A46" s="2019" t="s">
        <v>2832</v>
      </c>
      <c r="B46" s="1881" t="s">
        <v>2833</v>
      </c>
      <c r="C46" s="2020" t="s">
        <v>49</v>
      </c>
      <c r="D46" s="1859">
        <v>134.9</v>
      </c>
      <c r="E46" s="2021">
        <v>142.88</v>
      </c>
      <c r="F46" s="1855">
        <f t="shared" si="7"/>
        <v>19274.511999999999</v>
      </c>
      <c r="G46" s="2008">
        <v>0</v>
      </c>
      <c r="H46" s="1425">
        <v>0</v>
      </c>
      <c r="I46" s="305">
        <v>0</v>
      </c>
      <c r="J46" s="312">
        <v>100</v>
      </c>
      <c r="K46" s="1425">
        <f>J46*E46</f>
        <v>14288</v>
      </c>
      <c r="L46" s="305">
        <f>+K46/$F46</f>
        <v>0.7412898443291327</v>
      </c>
      <c r="M46" s="1047">
        <f t="shared" si="10"/>
        <v>100</v>
      </c>
      <c r="N46" s="1425">
        <f t="shared" si="11"/>
        <v>14288</v>
      </c>
      <c r="O46" s="305">
        <f t="shared" si="12"/>
        <v>0.7412898443291327</v>
      </c>
      <c r="P46" s="2022">
        <f t="shared" si="13"/>
        <v>34.900000000000006</v>
      </c>
      <c r="Q46" s="1425">
        <f t="shared" si="14"/>
        <v>4986.5119999999988</v>
      </c>
      <c r="R46" s="305">
        <f t="shared" si="15"/>
        <v>0.25871015567086725</v>
      </c>
      <c r="S46" s="1426" t="str">
        <f t="shared" si="6"/>
        <v>ok</v>
      </c>
      <c r="T46" s="1426"/>
      <c r="U46" s="1426"/>
      <c r="V46" s="1426"/>
      <c r="W46" s="1426"/>
      <c r="X46" s="1426"/>
    </row>
    <row r="47" spans="1:24" s="313" customFormat="1" ht="30.75" customHeight="1">
      <c r="A47" s="1709" t="s">
        <v>999</v>
      </c>
      <c r="B47" s="1709" t="s">
        <v>2834</v>
      </c>
      <c r="C47" s="1483"/>
      <c r="D47" s="1710"/>
      <c r="E47" s="1497"/>
      <c r="F47" s="1486"/>
      <c r="G47" s="1049"/>
      <c r="H47" s="306"/>
      <c r="I47" s="307"/>
      <c r="J47" s="1046"/>
      <c r="K47" s="306"/>
      <c r="L47" s="307"/>
      <c r="M47" s="1047"/>
      <c r="N47" s="306"/>
      <c r="O47" s="307"/>
      <c r="P47" s="1047"/>
      <c r="Q47" s="306"/>
      <c r="R47" s="307"/>
      <c r="S47" s="314" t="str">
        <f t="shared" si="6"/>
        <v>ok</v>
      </c>
      <c r="T47" s="314"/>
      <c r="U47" s="314"/>
      <c r="V47" s="314"/>
      <c r="W47" s="314"/>
      <c r="X47" s="314"/>
    </row>
    <row r="48" spans="1:24" s="313" customFormat="1" ht="30.75" customHeight="1">
      <c r="A48" s="1489" t="s">
        <v>2835</v>
      </c>
      <c r="B48" s="1711" t="s">
        <v>2836</v>
      </c>
      <c r="C48" s="1483" t="s">
        <v>52</v>
      </c>
      <c r="D48" s="1710">
        <v>1</v>
      </c>
      <c r="E48" s="1497">
        <v>777.66</v>
      </c>
      <c r="F48" s="1486">
        <f t="shared" si="7"/>
        <v>777.66</v>
      </c>
      <c r="G48" s="1049">
        <v>1</v>
      </c>
      <c r="H48" s="306">
        <v>777.66</v>
      </c>
      <c r="I48" s="307">
        <v>1</v>
      </c>
      <c r="J48" s="1046"/>
      <c r="K48" s="306">
        <f t="shared" si="8"/>
        <v>0</v>
      </c>
      <c r="L48" s="307">
        <f t="shared" si="9"/>
        <v>0</v>
      </c>
      <c r="M48" s="1047">
        <f t="shared" si="10"/>
        <v>1</v>
      </c>
      <c r="N48" s="306">
        <f t="shared" si="11"/>
        <v>777.66</v>
      </c>
      <c r="O48" s="307">
        <f t="shared" si="12"/>
        <v>1</v>
      </c>
      <c r="P48" s="1047">
        <f t="shared" si="13"/>
        <v>0</v>
      </c>
      <c r="Q48" s="306">
        <f t="shared" si="14"/>
        <v>0</v>
      </c>
      <c r="R48" s="307">
        <f t="shared" si="15"/>
        <v>0</v>
      </c>
      <c r="S48" s="314" t="str">
        <f t="shared" si="6"/>
        <v>ok</v>
      </c>
      <c r="T48" s="314"/>
      <c r="U48" s="314"/>
      <c r="V48" s="314"/>
      <c r="W48" s="314"/>
      <c r="X48" s="314"/>
    </row>
    <row r="49" spans="1:24" s="313" customFormat="1" ht="30.75" customHeight="1">
      <c r="A49" s="1489" t="s">
        <v>2837</v>
      </c>
      <c r="B49" s="1711" t="s">
        <v>2838</v>
      </c>
      <c r="C49" s="1483" t="s">
        <v>52</v>
      </c>
      <c r="D49" s="1710">
        <v>1</v>
      </c>
      <c r="E49" s="1497">
        <v>1390.31</v>
      </c>
      <c r="F49" s="1486">
        <f t="shared" si="7"/>
        <v>1390.31</v>
      </c>
      <c r="G49" s="1049">
        <v>1</v>
      </c>
      <c r="H49" s="306">
        <v>1390.31</v>
      </c>
      <c r="I49" s="307">
        <v>1</v>
      </c>
      <c r="J49" s="1046"/>
      <c r="K49" s="306">
        <f t="shared" si="8"/>
        <v>0</v>
      </c>
      <c r="L49" s="307">
        <f t="shared" si="9"/>
        <v>0</v>
      </c>
      <c r="M49" s="1047">
        <f t="shared" si="10"/>
        <v>1</v>
      </c>
      <c r="N49" s="306">
        <f t="shared" si="11"/>
        <v>1390.31</v>
      </c>
      <c r="O49" s="307">
        <f t="shared" si="12"/>
        <v>1</v>
      </c>
      <c r="P49" s="1047">
        <f t="shared" si="13"/>
        <v>0</v>
      </c>
      <c r="Q49" s="306">
        <f t="shared" si="14"/>
        <v>0</v>
      </c>
      <c r="R49" s="307">
        <f t="shared" si="15"/>
        <v>0</v>
      </c>
      <c r="S49" s="314" t="str">
        <f t="shared" si="6"/>
        <v>ok</v>
      </c>
      <c r="T49" s="314"/>
      <c r="U49" s="314"/>
      <c r="V49" s="314"/>
      <c r="W49" s="314"/>
      <c r="X49" s="314"/>
    </row>
    <row r="50" spans="1:24" s="313" customFormat="1" ht="30.75" customHeight="1">
      <c r="A50" s="1709" t="s">
        <v>2839</v>
      </c>
      <c r="B50" s="1709" t="s">
        <v>2840</v>
      </c>
      <c r="C50" s="1483"/>
      <c r="D50" s="1710"/>
      <c r="E50" s="1497"/>
      <c r="F50" s="1486"/>
      <c r="G50" s="1049"/>
      <c r="H50" s="306"/>
      <c r="I50" s="307"/>
      <c r="J50" s="1046"/>
      <c r="K50" s="306"/>
      <c r="L50" s="307"/>
      <c r="M50" s="1047"/>
      <c r="N50" s="306"/>
      <c r="O50" s="307"/>
      <c r="P50" s="1047"/>
      <c r="Q50" s="306"/>
      <c r="R50" s="307"/>
      <c r="S50" s="314" t="str">
        <f t="shared" si="6"/>
        <v>ok</v>
      </c>
      <c r="T50" s="314"/>
      <c r="U50" s="314"/>
      <c r="V50" s="314"/>
      <c r="W50" s="314"/>
      <c r="X50" s="314"/>
    </row>
    <row r="51" spans="1:24" s="313" customFormat="1" ht="16.5" customHeight="1">
      <c r="A51" s="1309" t="s">
        <v>2841</v>
      </c>
      <c r="B51" s="1711" t="s">
        <v>2842</v>
      </c>
      <c r="C51" s="1491" t="s">
        <v>51</v>
      </c>
      <c r="D51" s="1710">
        <v>301.5</v>
      </c>
      <c r="E51" s="1492">
        <v>15.780000000000001</v>
      </c>
      <c r="F51" s="1486">
        <f t="shared" si="7"/>
        <v>4757.67</v>
      </c>
      <c r="G51" s="1049">
        <v>301.5</v>
      </c>
      <c r="H51" s="306">
        <v>4757.67</v>
      </c>
      <c r="I51" s="307">
        <v>1</v>
      </c>
      <c r="J51" s="1046"/>
      <c r="K51" s="306">
        <f t="shared" si="8"/>
        <v>0</v>
      </c>
      <c r="L51" s="307">
        <f t="shared" si="9"/>
        <v>0</v>
      </c>
      <c r="M51" s="1047">
        <f t="shared" si="10"/>
        <v>301.5</v>
      </c>
      <c r="N51" s="306">
        <f t="shared" si="11"/>
        <v>4757.67</v>
      </c>
      <c r="O51" s="307">
        <f t="shared" si="12"/>
        <v>1</v>
      </c>
      <c r="P51" s="1047">
        <f t="shared" si="13"/>
        <v>0</v>
      </c>
      <c r="Q51" s="306">
        <f t="shared" si="14"/>
        <v>0</v>
      </c>
      <c r="R51" s="307">
        <f t="shared" si="15"/>
        <v>0</v>
      </c>
      <c r="S51" s="314" t="str">
        <f t="shared" si="6"/>
        <v>ok</v>
      </c>
      <c r="T51" s="314"/>
      <c r="U51" s="314"/>
      <c r="V51" s="314"/>
      <c r="W51" s="314"/>
      <c r="X51" s="314"/>
    </row>
    <row r="52" spans="1:24" s="313" customFormat="1" ht="16.5" customHeight="1">
      <c r="A52" s="1648" t="s">
        <v>556</v>
      </c>
      <c r="B52" s="1648" t="s">
        <v>2843</v>
      </c>
      <c r="C52" s="1491"/>
      <c r="D52" s="1710"/>
      <c r="E52" s="1494"/>
      <c r="F52" s="1486"/>
      <c r="G52" s="1049"/>
      <c r="H52" s="306"/>
      <c r="I52" s="307"/>
      <c r="J52" s="1046"/>
      <c r="K52" s="306"/>
      <c r="L52" s="307"/>
      <c r="M52" s="1047"/>
      <c r="N52" s="306"/>
      <c r="O52" s="307"/>
      <c r="P52" s="1047"/>
      <c r="Q52" s="306"/>
      <c r="R52" s="307"/>
      <c r="S52" s="314" t="str">
        <f t="shared" si="6"/>
        <v>ok</v>
      </c>
      <c r="T52" s="314"/>
      <c r="U52" s="314"/>
      <c r="V52" s="314"/>
      <c r="W52" s="314"/>
      <c r="X52" s="314"/>
    </row>
    <row r="53" spans="1:24" s="313" customFormat="1" ht="16.5" customHeight="1">
      <c r="A53" s="1709" t="s">
        <v>557</v>
      </c>
      <c r="B53" s="1709" t="s">
        <v>2844</v>
      </c>
      <c r="C53" s="1491"/>
      <c r="D53" s="1710"/>
      <c r="E53" s="1312"/>
      <c r="F53" s="1486"/>
      <c r="G53" s="1049"/>
      <c r="H53" s="306"/>
      <c r="I53" s="307"/>
      <c r="J53" s="1046"/>
      <c r="K53" s="306"/>
      <c r="L53" s="307"/>
      <c r="M53" s="1047"/>
      <c r="N53" s="306"/>
      <c r="O53" s="307"/>
      <c r="P53" s="1047"/>
      <c r="Q53" s="306"/>
      <c r="R53" s="307"/>
      <c r="S53" s="314" t="str">
        <f t="shared" si="6"/>
        <v>ok</v>
      </c>
      <c r="T53" s="314"/>
      <c r="U53" s="314"/>
      <c r="V53" s="314"/>
      <c r="W53" s="314"/>
      <c r="X53" s="314"/>
    </row>
    <row r="54" spans="1:24" s="313" customFormat="1" ht="16.5" customHeight="1">
      <c r="A54" s="1309" t="s">
        <v>558</v>
      </c>
      <c r="B54" s="1711" t="s">
        <v>2845</v>
      </c>
      <c r="C54" s="1502" t="s">
        <v>49</v>
      </c>
      <c r="D54" s="1710">
        <v>23.45</v>
      </c>
      <c r="E54" s="1312">
        <v>40.44</v>
      </c>
      <c r="F54" s="1486">
        <f t="shared" si="7"/>
        <v>948.31799999999987</v>
      </c>
      <c r="G54" s="1049">
        <v>23.45</v>
      </c>
      <c r="H54" s="306">
        <v>948.32</v>
      </c>
      <c r="I54" s="307">
        <v>1.0000021089971931</v>
      </c>
      <c r="J54" s="1046"/>
      <c r="K54" s="306">
        <f t="shared" si="8"/>
        <v>0</v>
      </c>
      <c r="L54" s="307">
        <f t="shared" si="9"/>
        <v>0</v>
      </c>
      <c r="M54" s="1047">
        <f t="shared" si="10"/>
        <v>23.45</v>
      </c>
      <c r="N54" s="306">
        <f t="shared" si="11"/>
        <v>948.32</v>
      </c>
      <c r="O54" s="307">
        <f t="shared" si="12"/>
        <v>1.0000021089971931</v>
      </c>
      <c r="P54" s="1047">
        <f t="shared" si="13"/>
        <v>0</v>
      </c>
      <c r="Q54" s="306">
        <f t="shared" si="14"/>
        <v>-2.00000000018008E-3</v>
      </c>
      <c r="R54" s="307">
        <f t="shared" si="15"/>
        <v>-2.1089971931146306E-6</v>
      </c>
      <c r="S54" s="314" t="str">
        <f t="shared" si="6"/>
        <v>ok</v>
      </c>
      <c r="T54" s="314"/>
      <c r="U54" s="314"/>
      <c r="V54" s="314"/>
      <c r="W54" s="314"/>
      <c r="X54" s="314"/>
    </row>
    <row r="55" spans="1:24" s="313" customFormat="1" ht="16.5" customHeight="1">
      <c r="A55" s="1309" t="s">
        <v>2846</v>
      </c>
      <c r="B55" s="1711" t="s">
        <v>2847</v>
      </c>
      <c r="C55" s="1502" t="s">
        <v>49</v>
      </c>
      <c r="D55" s="1710">
        <v>201.21</v>
      </c>
      <c r="E55" s="1312">
        <v>67.930000000000007</v>
      </c>
      <c r="F55" s="1486">
        <f t="shared" si="7"/>
        <v>13668.195300000001</v>
      </c>
      <c r="G55" s="1049">
        <v>201.21</v>
      </c>
      <c r="H55" s="306">
        <v>13668.2</v>
      </c>
      <c r="I55" s="307">
        <v>1.0000003438639773</v>
      </c>
      <c r="J55" s="1046"/>
      <c r="K55" s="306">
        <f t="shared" si="8"/>
        <v>0</v>
      </c>
      <c r="L55" s="307">
        <f t="shared" si="9"/>
        <v>0</v>
      </c>
      <c r="M55" s="1047">
        <f t="shared" si="10"/>
        <v>201.21</v>
      </c>
      <c r="N55" s="306">
        <f t="shared" si="11"/>
        <v>13668.2</v>
      </c>
      <c r="O55" s="307">
        <f t="shared" si="12"/>
        <v>1.0000003438639773</v>
      </c>
      <c r="P55" s="1047">
        <f t="shared" si="13"/>
        <v>0</v>
      </c>
      <c r="Q55" s="306">
        <f t="shared" si="14"/>
        <v>-4.6999999995023245E-3</v>
      </c>
      <c r="R55" s="307">
        <f t="shared" si="15"/>
        <v>-3.4386397738275834E-7</v>
      </c>
      <c r="S55" s="314" t="str">
        <f t="shared" si="6"/>
        <v>ok</v>
      </c>
      <c r="T55" s="314"/>
      <c r="U55" s="314"/>
      <c r="V55" s="314"/>
      <c r="W55" s="314"/>
      <c r="X55" s="314"/>
    </row>
    <row r="56" spans="1:24" s="313" customFormat="1" ht="16.5" customHeight="1">
      <c r="A56" s="1309" t="s">
        <v>2848</v>
      </c>
      <c r="B56" s="1711" t="s">
        <v>2849</v>
      </c>
      <c r="C56" s="1502" t="s">
        <v>50</v>
      </c>
      <c r="D56" s="1710">
        <v>11.35</v>
      </c>
      <c r="E56" s="1312">
        <v>477.67</v>
      </c>
      <c r="F56" s="1486">
        <f t="shared" si="7"/>
        <v>5421.5545000000002</v>
      </c>
      <c r="G56" s="1049">
        <v>11.35</v>
      </c>
      <c r="H56" s="306">
        <v>5421.55</v>
      </c>
      <c r="I56" s="307">
        <v>0.99999916997975391</v>
      </c>
      <c r="J56" s="1046"/>
      <c r="K56" s="306">
        <f t="shared" si="8"/>
        <v>0</v>
      </c>
      <c r="L56" s="307">
        <f t="shared" si="9"/>
        <v>0</v>
      </c>
      <c r="M56" s="1047">
        <f t="shared" si="10"/>
        <v>11.35</v>
      </c>
      <c r="N56" s="306">
        <f t="shared" si="11"/>
        <v>5421.55</v>
      </c>
      <c r="O56" s="307">
        <f t="shared" si="12"/>
        <v>0.99999916997975391</v>
      </c>
      <c r="P56" s="1047">
        <f t="shared" si="13"/>
        <v>0</v>
      </c>
      <c r="Q56" s="306">
        <f t="shared" si="14"/>
        <v>4.500000000007276E-3</v>
      </c>
      <c r="R56" s="307">
        <f t="shared" si="15"/>
        <v>8.3002024603963231E-7</v>
      </c>
      <c r="S56" s="314" t="str">
        <f t="shared" si="6"/>
        <v>ok</v>
      </c>
      <c r="T56" s="314"/>
      <c r="U56" s="314"/>
      <c r="V56" s="314"/>
      <c r="W56" s="314"/>
      <c r="X56" s="314"/>
    </row>
    <row r="57" spans="1:24" s="313" customFormat="1" ht="16.5" customHeight="1">
      <c r="A57" s="1309" t="s">
        <v>2850</v>
      </c>
      <c r="B57" s="1711" t="s">
        <v>2851</v>
      </c>
      <c r="C57" s="1708" t="s">
        <v>420</v>
      </c>
      <c r="D57" s="1710">
        <v>872.2</v>
      </c>
      <c r="E57" s="1317">
        <v>6.05</v>
      </c>
      <c r="F57" s="1486">
        <f t="shared" si="7"/>
        <v>5276.81</v>
      </c>
      <c r="G57" s="1049">
        <v>872.2</v>
      </c>
      <c r="H57" s="306">
        <v>5276.81</v>
      </c>
      <c r="I57" s="307">
        <v>1</v>
      </c>
      <c r="J57" s="1046"/>
      <c r="K57" s="306">
        <f t="shared" si="8"/>
        <v>0</v>
      </c>
      <c r="L57" s="307">
        <f t="shared" si="9"/>
        <v>0</v>
      </c>
      <c r="M57" s="1047">
        <f t="shared" si="10"/>
        <v>872.2</v>
      </c>
      <c r="N57" s="306">
        <f t="shared" si="11"/>
        <v>5276.81</v>
      </c>
      <c r="O57" s="307">
        <f t="shared" si="12"/>
        <v>1</v>
      </c>
      <c r="P57" s="1047">
        <f t="shared" si="13"/>
        <v>0</v>
      </c>
      <c r="Q57" s="306">
        <f t="shared" si="14"/>
        <v>0</v>
      </c>
      <c r="R57" s="307">
        <f t="shared" si="15"/>
        <v>0</v>
      </c>
      <c r="S57" s="314" t="str">
        <f t="shared" si="6"/>
        <v>ok</v>
      </c>
      <c r="T57" s="314"/>
      <c r="U57" s="314"/>
      <c r="V57" s="314"/>
      <c r="W57" s="314"/>
      <c r="X57" s="314"/>
    </row>
    <row r="58" spans="1:24" s="313" customFormat="1" ht="16.5" customHeight="1">
      <c r="A58" s="1309" t="s">
        <v>2852</v>
      </c>
      <c r="B58" s="1711" t="s">
        <v>2853</v>
      </c>
      <c r="C58" s="1502" t="s">
        <v>50</v>
      </c>
      <c r="D58" s="1710">
        <v>14</v>
      </c>
      <c r="E58" s="1312">
        <v>101.54</v>
      </c>
      <c r="F58" s="1486">
        <f t="shared" si="7"/>
        <v>1421.5600000000002</v>
      </c>
      <c r="G58" s="1049">
        <v>0</v>
      </c>
      <c r="H58" s="306">
        <v>0</v>
      </c>
      <c r="I58" s="307">
        <v>0</v>
      </c>
      <c r="J58" s="1046"/>
      <c r="K58" s="306">
        <f t="shared" si="8"/>
        <v>0</v>
      </c>
      <c r="L58" s="307">
        <f t="shared" si="9"/>
        <v>0</v>
      </c>
      <c r="M58" s="1047">
        <f t="shared" si="10"/>
        <v>0</v>
      </c>
      <c r="N58" s="306">
        <f t="shared" si="11"/>
        <v>0</v>
      </c>
      <c r="O58" s="307">
        <f t="shared" si="12"/>
        <v>0</v>
      </c>
      <c r="P58" s="1047">
        <f t="shared" si="13"/>
        <v>14</v>
      </c>
      <c r="Q58" s="306">
        <f t="shared" si="14"/>
        <v>1421.5600000000002</v>
      </c>
      <c r="R58" s="307">
        <f t="shared" si="15"/>
        <v>1</v>
      </c>
      <c r="S58" s="314" t="str">
        <f t="shared" si="6"/>
        <v>ok</v>
      </c>
      <c r="T58" s="314"/>
      <c r="U58" s="314"/>
      <c r="V58" s="314"/>
      <c r="W58" s="314"/>
      <c r="X58" s="314"/>
    </row>
    <row r="59" spans="1:24" s="313" customFormat="1" ht="16.5" customHeight="1">
      <c r="A59" s="1709" t="s">
        <v>560</v>
      </c>
      <c r="B59" s="1709" t="s">
        <v>2854</v>
      </c>
      <c r="C59" s="1502"/>
      <c r="D59" s="1710"/>
      <c r="E59" s="1312"/>
      <c r="F59" s="1486"/>
      <c r="G59" s="1049"/>
      <c r="H59" s="306"/>
      <c r="I59" s="307"/>
      <c r="J59" s="1046"/>
      <c r="K59" s="306"/>
      <c r="L59" s="307"/>
      <c r="M59" s="1047"/>
      <c r="N59" s="306"/>
      <c r="O59" s="307"/>
      <c r="P59" s="1047"/>
      <c r="Q59" s="306"/>
      <c r="R59" s="307"/>
      <c r="S59" s="314" t="str">
        <f t="shared" si="6"/>
        <v>ok</v>
      </c>
      <c r="T59" s="314"/>
      <c r="U59" s="314"/>
      <c r="V59" s="314"/>
      <c r="W59" s="314"/>
      <c r="X59" s="314"/>
    </row>
    <row r="60" spans="1:24" s="313" customFormat="1" ht="16.5" customHeight="1">
      <c r="A60" s="1309" t="s">
        <v>562</v>
      </c>
      <c r="B60" s="1711" t="s">
        <v>2855</v>
      </c>
      <c r="C60" s="1708" t="s">
        <v>49</v>
      </c>
      <c r="D60" s="1710">
        <v>21.86</v>
      </c>
      <c r="E60" s="1312">
        <v>40.44</v>
      </c>
      <c r="F60" s="1486">
        <f t="shared" si="7"/>
        <v>884.01839999999993</v>
      </c>
      <c r="G60" s="1049">
        <v>21.86</v>
      </c>
      <c r="H60" s="306">
        <v>884.02</v>
      </c>
      <c r="I60" s="307">
        <v>1.0000018099170787</v>
      </c>
      <c r="J60" s="1046"/>
      <c r="K60" s="306">
        <f t="shared" si="8"/>
        <v>0</v>
      </c>
      <c r="L60" s="307">
        <f t="shared" si="9"/>
        <v>0</v>
      </c>
      <c r="M60" s="1047">
        <f t="shared" si="10"/>
        <v>21.86</v>
      </c>
      <c r="N60" s="306">
        <f t="shared" si="11"/>
        <v>884.02</v>
      </c>
      <c r="O60" s="307">
        <f t="shared" si="12"/>
        <v>1.0000018099170787</v>
      </c>
      <c r="P60" s="1047">
        <f t="shared" si="13"/>
        <v>0</v>
      </c>
      <c r="Q60" s="306">
        <f t="shared" si="14"/>
        <v>-1.6000000000531145E-3</v>
      </c>
      <c r="R60" s="307">
        <f t="shared" si="15"/>
        <v>-1.8099170787091249E-6</v>
      </c>
      <c r="S60" s="314" t="str">
        <f t="shared" si="6"/>
        <v>ok</v>
      </c>
      <c r="T60" s="314"/>
      <c r="U60" s="314"/>
      <c r="V60" s="314"/>
      <c r="W60" s="314"/>
      <c r="X60" s="314"/>
    </row>
    <row r="61" spans="1:24" s="313" customFormat="1" ht="16.5" customHeight="1">
      <c r="A61" s="1309" t="s">
        <v>564</v>
      </c>
      <c r="B61" s="1711" t="s">
        <v>2847</v>
      </c>
      <c r="C61" s="1708" t="s">
        <v>49</v>
      </c>
      <c r="D61" s="1710">
        <v>58.25</v>
      </c>
      <c r="E61" s="1312">
        <v>67.930000000000007</v>
      </c>
      <c r="F61" s="1486">
        <f t="shared" si="7"/>
        <v>3956.9225000000006</v>
      </c>
      <c r="G61" s="1049">
        <v>58.25</v>
      </c>
      <c r="H61" s="306">
        <v>3956.92</v>
      </c>
      <c r="I61" s="307">
        <v>0.99999936819586421</v>
      </c>
      <c r="J61" s="1046"/>
      <c r="K61" s="306">
        <f t="shared" si="8"/>
        <v>0</v>
      </c>
      <c r="L61" s="307">
        <f t="shared" si="9"/>
        <v>0</v>
      </c>
      <c r="M61" s="1047">
        <f t="shared" si="10"/>
        <v>58.25</v>
      </c>
      <c r="N61" s="306">
        <f t="shared" si="11"/>
        <v>3956.92</v>
      </c>
      <c r="O61" s="307">
        <f t="shared" si="12"/>
        <v>0.99999936819586421</v>
      </c>
      <c r="P61" s="1047">
        <f t="shared" si="13"/>
        <v>0</v>
      </c>
      <c r="Q61" s="306">
        <f t="shared" si="14"/>
        <v>2.500000000509317E-3</v>
      </c>
      <c r="R61" s="307">
        <f t="shared" si="15"/>
        <v>6.3180413579222652E-7</v>
      </c>
      <c r="S61" s="314" t="str">
        <f t="shared" si="6"/>
        <v>ok</v>
      </c>
      <c r="T61" s="314"/>
      <c r="U61" s="314"/>
      <c r="V61" s="314"/>
      <c r="W61" s="314"/>
      <c r="X61" s="314"/>
    </row>
    <row r="62" spans="1:24" s="313" customFormat="1" ht="16.5" customHeight="1">
      <c r="A62" s="1309" t="s">
        <v>1000</v>
      </c>
      <c r="B62" s="1711" t="s">
        <v>2849</v>
      </c>
      <c r="C62" s="1708" t="s">
        <v>50</v>
      </c>
      <c r="D62" s="1710">
        <v>3.9</v>
      </c>
      <c r="E62" s="1312">
        <v>477.67</v>
      </c>
      <c r="F62" s="1486">
        <f t="shared" si="7"/>
        <v>1862.913</v>
      </c>
      <c r="G62" s="1049">
        <v>3.9</v>
      </c>
      <c r="H62" s="306">
        <v>1862.91</v>
      </c>
      <c r="I62" s="307">
        <v>0.99999838961883891</v>
      </c>
      <c r="J62" s="1046"/>
      <c r="K62" s="306">
        <f t="shared" si="8"/>
        <v>0</v>
      </c>
      <c r="L62" s="307">
        <f t="shared" si="9"/>
        <v>0</v>
      </c>
      <c r="M62" s="1047">
        <f t="shared" si="10"/>
        <v>3.9</v>
      </c>
      <c r="N62" s="306">
        <f t="shared" si="11"/>
        <v>1862.91</v>
      </c>
      <c r="O62" s="307">
        <f t="shared" si="12"/>
        <v>0.99999838961883891</v>
      </c>
      <c r="P62" s="1047">
        <f t="shared" si="13"/>
        <v>0</v>
      </c>
      <c r="Q62" s="306">
        <f t="shared" si="14"/>
        <v>2.9999999999290594E-3</v>
      </c>
      <c r="R62" s="307">
        <f t="shared" si="15"/>
        <v>1.6103811610789443E-6</v>
      </c>
      <c r="S62" s="314" t="str">
        <f t="shared" si="6"/>
        <v>ok</v>
      </c>
      <c r="T62" s="314"/>
      <c r="U62" s="314"/>
      <c r="V62" s="314"/>
      <c r="W62" s="314"/>
      <c r="X62" s="314"/>
    </row>
    <row r="63" spans="1:24" s="313" customFormat="1" ht="16.5" customHeight="1">
      <c r="A63" s="1309" t="s">
        <v>2856</v>
      </c>
      <c r="B63" s="1711" t="s">
        <v>2851</v>
      </c>
      <c r="C63" s="1708" t="s">
        <v>420</v>
      </c>
      <c r="D63" s="1710">
        <v>414.6</v>
      </c>
      <c r="E63" s="1312">
        <v>6.05</v>
      </c>
      <c r="F63" s="1486">
        <f t="shared" si="7"/>
        <v>2508.33</v>
      </c>
      <c r="G63" s="1049">
        <v>414.6</v>
      </c>
      <c r="H63" s="306">
        <v>2508.33</v>
      </c>
      <c r="I63" s="307">
        <v>1</v>
      </c>
      <c r="J63" s="1046"/>
      <c r="K63" s="306">
        <f t="shared" si="8"/>
        <v>0</v>
      </c>
      <c r="L63" s="307">
        <f t="shared" si="9"/>
        <v>0</v>
      </c>
      <c r="M63" s="1047">
        <f t="shared" si="10"/>
        <v>414.6</v>
      </c>
      <c r="N63" s="306">
        <f t="shared" si="11"/>
        <v>2508.33</v>
      </c>
      <c r="O63" s="307">
        <f t="shared" si="12"/>
        <v>1</v>
      </c>
      <c r="P63" s="1047">
        <f t="shared" si="13"/>
        <v>0</v>
      </c>
      <c r="Q63" s="306">
        <f t="shared" si="14"/>
        <v>0</v>
      </c>
      <c r="R63" s="307">
        <f t="shared" si="15"/>
        <v>0</v>
      </c>
      <c r="S63" s="314" t="str">
        <f t="shared" si="6"/>
        <v>ok</v>
      </c>
      <c r="T63" s="314"/>
      <c r="U63" s="314"/>
      <c r="V63" s="314"/>
      <c r="W63" s="314"/>
      <c r="X63" s="314"/>
    </row>
    <row r="64" spans="1:24" s="313" customFormat="1" ht="30.75" customHeight="1">
      <c r="A64" s="1309" t="s">
        <v>2857</v>
      </c>
      <c r="B64" s="1711" t="s">
        <v>2853</v>
      </c>
      <c r="C64" s="1502" t="s">
        <v>50</v>
      </c>
      <c r="D64" s="1710">
        <v>20</v>
      </c>
      <c r="E64" s="1496">
        <v>101.54</v>
      </c>
      <c r="F64" s="1486">
        <f t="shared" si="7"/>
        <v>2030.8000000000002</v>
      </c>
      <c r="G64" s="1049">
        <v>0</v>
      </c>
      <c r="H64" s="306">
        <v>0</v>
      </c>
      <c r="I64" s="307">
        <v>0</v>
      </c>
      <c r="J64" s="1046"/>
      <c r="K64" s="306">
        <f t="shared" si="8"/>
        <v>0</v>
      </c>
      <c r="L64" s="307">
        <f t="shared" si="9"/>
        <v>0</v>
      </c>
      <c r="M64" s="1047">
        <f t="shared" si="10"/>
        <v>0</v>
      </c>
      <c r="N64" s="306">
        <f t="shared" si="11"/>
        <v>0</v>
      </c>
      <c r="O64" s="307">
        <f t="shared" si="12"/>
        <v>0</v>
      </c>
      <c r="P64" s="1047">
        <f t="shared" si="13"/>
        <v>20</v>
      </c>
      <c r="Q64" s="306">
        <f t="shared" si="14"/>
        <v>2030.8000000000002</v>
      </c>
      <c r="R64" s="307">
        <f t="shared" si="15"/>
        <v>1</v>
      </c>
      <c r="S64" s="314" t="str">
        <f t="shared" si="6"/>
        <v>ok</v>
      </c>
      <c r="T64" s="314"/>
      <c r="U64" s="314"/>
      <c r="V64" s="314"/>
      <c r="W64" s="314"/>
      <c r="X64" s="314"/>
    </row>
    <row r="65" spans="1:24" s="313" customFormat="1" ht="30" customHeight="1">
      <c r="A65" s="1648" t="s">
        <v>574</v>
      </c>
      <c r="B65" s="1648" t="s">
        <v>2858</v>
      </c>
      <c r="C65" s="1502"/>
      <c r="D65" s="1710"/>
      <c r="E65" s="1497"/>
      <c r="F65" s="1486"/>
      <c r="G65" s="1049"/>
      <c r="H65" s="306"/>
      <c r="I65" s="307"/>
      <c r="J65" s="1046"/>
      <c r="K65" s="306"/>
      <c r="L65" s="307"/>
      <c r="M65" s="1047"/>
      <c r="N65" s="306"/>
      <c r="O65" s="307"/>
      <c r="P65" s="1047"/>
      <c r="Q65" s="306"/>
      <c r="R65" s="307"/>
      <c r="S65" s="314" t="str">
        <f t="shared" si="6"/>
        <v>ok</v>
      </c>
      <c r="T65" s="314"/>
      <c r="U65" s="314"/>
      <c r="V65" s="314"/>
      <c r="W65" s="314"/>
      <c r="X65" s="314"/>
    </row>
    <row r="66" spans="1:24" s="313" customFormat="1" ht="29.25" customHeight="1">
      <c r="A66" s="1709" t="s">
        <v>575</v>
      </c>
      <c r="B66" s="1709" t="s">
        <v>2859</v>
      </c>
      <c r="C66" s="1502"/>
      <c r="D66" s="1710"/>
      <c r="E66" s="1496"/>
      <c r="F66" s="1486"/>
      <c r="G66" s="1049"/>
      <c r="H66" s="306"/>
      <c r="I66" s="307"/>
      <c r="J66" s="1046"/>
      <c r="K66" s="306"/>
      <c r="L66" s="307"/>
      <c r="M66" s="1047"/>
      <c r="N66" s="306"/>
      <c r="O66" s="307"/>
      <c r="P66" s="1047"/>
      <c r="Q66" s="306"/>
      <c r="R66" s="307"/>
      <c r="S66" s="314" t="str">
        <f t="shared" si="6"/>
        <v>ok</v>
      </c>
      <c r="T66" s="314"/>
      <c r="U66" s="314"/>
      <c r="V66" s="314"/>
      <c r="W66" s="314"/>
      <c r="X66" s="314"/>
    </row>
    <row r="67" spans="1:24" s="313" customFormat="1" ht="30.75" customHeight="1">
      <c r="A67" s="1309" t="s">
        <v>576</v>
      </c>
      <c r="B67" s="1711" t="s">
        <v>2860</v>
      </c>
      <c r="C67" s="1502" t="s">
        <v>49</v>
      </c>
      <c r="D67" s="1710">
        <v>2.56</v>
      </c>
      <c r="E67" s="1496">
        <v>67.930000000000007</v>
      </c>
      <c r="F67" s="1486">
        <f t="shared" si="7"/>
        <v>173.90080000000003</v>
      </c>
      <c r="G67" s="1049">
        <v>2.56</v>
      </c>
      <c r="H67" s="306">
        <v>173.9</v>
      </c>
      <c r="I67" s="307">
        <v>0.99999539967613704</v>
      </c>
      <c r="J67" s="1046"/>
      <c r="K67" s="306">
        <f t="shared" si="8"/>
        <v>0</v>
      </c>
      <c r="L67" s="307">
        <f t="shared" si="9"/>
        <v>0</v>
      </c>
      <c r="M67" s="1047">
        <f t="shared" si="10"/>
        <v>2.56</v>
      </c>
      <c r="N67" s="306">
        <f t="shared" si="11"/>
        <v>173.9</v>
      </c>
      <c r="O67" s="307">
        <f t="shared" si="12"/>
        <v>0.99999539967613704</v>
      </c>
      <c r="P67" s="1047">
        <f t="shared" si="13"/>
        <v>0</v>
      </c>
      <c r="Q67" s="306">
        <f t="shared" si="14"/>
        <v>8.0000000002655725E-4</v>
      </c>
      <c r="R67" s="307">
        <f t="shared" si="15"/>
        <v>4.6003238629526548E-6</v>
      </c>
      <c r="S67" s="314" t="str">
        <f t="shared" si="6"/>
        <v>ok</v>
      </c>
      <c r="T67" s="314"/>
      <c r="U67" s="314"/>
      <c r="V67" s="314"/>
      <c r="W67" s="314"/>
      <c r="X67" s="314"/>
    </row>
    <row r="68" spans="1:24" s="313" customFormat="1" ht="16.5" customHeight="1">
      <c r="A68" s="1309" t="s">
        <v>2861</v>
      </c>
      <c r="B68" s="1711" t="s">
        <v>2862</v>
      </c>
      <c r="C68" s="1502" t="s">
        <v>420</v>
      </c>
      <c r="D68" s="1710">
        <v>64.5</v>
      </c>
      <c r="E68" s="1312">
        <v>6.05</v>
      </c>
      <c r="F68" s="1486">
        <f t="shared" si="7"/>
        <v>390.22499999999997</v>
      </c>
      <c r="G68" s="1049">
        <v>64.498999999999995</v>
      </c>
      <c r="H68" s="306">
        <v>390.22</v>
      </c>
      <c r="I68" s="307">
        <v>0.99998718687936461</v>
      </c>
      <c r="J68" s="1046"/>
      <c r="K68" s="306">
        <f t="shared" si="8"/>
        <v>0</v>
      </c>
      <c r="L68" s="307">
        <f t="shared" si="9"/>
        <v>0</v>
      </c>
      <c r="M68" s="1047">
        <f t="shared" si="10"/>
        <v>64.498999999999995</v>
      </c>
      <c r="N68" s="306">
        <f t="shared" si="11"/>
        <v>390.22</v>
      </c>
      <c r="O68" s="307">
        <f t="shared" si="12"/>
        <v>0.99998718687936461</v>
      </c>
      <c r="P68" s="1047">
        <f t="shared" si="13"/>
        <v>1.0000000000047748E-3</v>
      </c>
      <c r="Q68" s="306">
        <f t="shared" si="14"/>
        <v>4.9999999999386091E-3</v>
      </c>
      <c r="R68" s="307">
        <f t="shared" si="15"/>
        <v>1.2813120635373463E-5</v>
      </c>
      <c r="S68" s="314" t="str">
        <f t="shared" si="6"/>
        <v>ok</v>
      </c>
      <c r="T68" s="314"/>
      <c r="U68" s="314"/>
      <c r="V68" s="314"/>
      <c r="W68" s="314"/>
      <c r="X68" s="314"/>
    </row>
    <row r="69" spans="1:24" s="313" customFormat="1" ht="30" customHeight="1">
      <c r="A69" s="1315" t="s">
        <v>2863</v>
      </c>
      <c r="B69" s="1711" t="s">
        <v>2864</v>
      </c>
      <c r="C69" s="1502" t="s">
        <v>50</v>
      </c>
      <c r="D69" s="1710">
        <v>0.25</v>
      </c>
      <c r="E69" s="1496">
        <v>502.38</v>
      </c>
      <c r="F69" s="1486">
        <f t="shared" si="7"/>
        <v>125.595</v>
      </c>
      <c r="G69" s="1049">
        <v>0.25</v>
      </c>
      <c r="H69" s="306">
        <v>125.6</v>
      </c>
      <c r="I69" s="307">
        <v>1.0000398105020103</v>
      </c>
      <c r="J69" s="1046"/>
      <c r="K69" s="306">
        <f t="shared" si="8"/>
        <v>0</v>
      </c>
      <c r="L69" s="307">
        <f t="shared" si="9"/>
        <v>0</v>
      </c>
      <c r="M69" s="1047">
        <f t="shared" si="10"/>
        <v>0.25</v>
      </c>
      <c r="N69" s="306">
        <f t="shared" si="11"/>
        <v>125.6</v>
      </c>
      <c r="O69" s="307">
        <f t="shared" si="12"/>
        <v>1.0000398105020103</v>
      </c>
      <c r="P69" s="1047">
        <f t="shared" si="13"/>
        <v>0</v>
      </c>
      <c r="Q69" s="306">
        <f t="shared" si="14"/>
        <v>-4.9999999999954525E-3</v>
      </c>
      <c r="R69" s="307">
        <f t="shared" si="15"/>
        <v>-3.9810502010394144E-5</v>
      </c>
      <c r="S69" s="314" t="str">
        <f t="shared" si="6"/>
        <v>ok</v>
      </c>
      <c r="T69" s="314"/>
      <c r="U69" s="314"/>
      <c r="V69" s="314"/>
      <c r="W69" s="314"/>
      <c r="X69" s="314"/>
    </row>
    <row r="70" spans="1:24" s="313" customFormat="1" ht="16.5" customHeight="1">
      <c r="A70" s="1709" t="s">
        <v>578</v>
      </c>
      <c r="B70" s="1709" t="s">
        <v>2865</v>
      </c>
      <c r="C70" s="1708"/>
      <c r="D70" s="1710"/>
      <c r="E70" s="1312"/>
      <c r="F70" s="1486"/>
      <c r="G70" s="1049"/>
      <c r="H70" s="306"/>
      <c r="I70" s="307"/>
      <c r="J70" s="1046"/>
      <c r="K70" s="306"/>
      <c r="L70" s="307"/>
      <c r="M70" s="1047"/>
      <c r="N70" s="306"/>
      <c r="O70" s="307"/>
      <c r="P70" s="1047"/>
      <c r="Q70" s="306"/>
      <c r="R70" s="307"/>
      <c r="S70" s="314" t="str">
        <f t="shared" si="6"/>
        <v>ok</v>
      </c>
      <c r="T70" s="314"/>
      <c r="U70" s="314"/>
      <c r="V70" s="314"/>
      <c r="W70" s="314"/>
      <c r="X70" s="314"/>
    </row>
    <row r="71" spans="1:24" s="313" customFormat="1" ht="16.5" customHeight="1">
      <c r="A71" s="1315" t="s">
        <v>579</v>
      </c>
      <c r="B71" s="1711" t="s">
        <v>2860</v>
      </c>
      <c r="C71" s="1708" t="s">
        <v>49</v>
      </c>
      <c r="D71" s="1710">
        <v>2.95</v>
      </c>
      <c r="E71" s="1312">
        <v>67.930000000000007</v>
      </c>
      <c r="F71" s="1486">
        <f t="shared" si="7"/>
        <v>200.39350000000005</v>
      </c>
      <c r="G71" s="1049">
        <v>2.95</v>
      </c>
      <c r="H71" s="306">
        <v>200.39</v>
      </c>
      <c r="I71" s="307">
        <v>0.99998253436363926</v>
      </c>
      <c r="J71" s="1046"/>
      <c r="K71" s="306">
        <f t="shared" si="8"/>
        <v>0</v>
      </c>
      <c r="L71" s="307">
        <f t="shared" si="9"/>
        <v>0</v>
      </c>
      <c r="M71" s="1047">
        <f t="shared" si="10"/>
        <v>2.95</v>
      </c>
      <c r="N71" s="306">
        <f t="shared" si="11"/>
        <v>200.39</v>
      </c>
      <c r="O71" s="307">
        <f t="shared" si="12"/>
        <v>0.99998253436363926</v>
      </c>
      <c r="P71" s="1047">
        <f t="shared" si="13"/>
        <v>0</v>
      </c>
      <c r="Q71" s="306">
        <f t="shared" si="14"/>
        <v>3.5000000000593445E-3</v>
      </c>
      <c r="R71" s="307">
        <f t="shared" si="15"/>
        <v>1.7465636360756929E-5</v>
      </c>
      <c r="S71" s="314" t="str">
        <f t="shared" si="6"/>
        <v>ok</v>
      </c>
      <c r="T71" s="314"/>
      <c r="U71" s="314"/>
      <c r="V71" s="314"/>
      <c r="W71" s="314"/>
      <c r="X71" s="314"/>
    </row>
    <row r="72" spans="1:24" s="313" customFormat="1" ht="16.5" customHeight="1">
      <c r="A72" s="1315" t="s">
        <v>580</v>
      </c>
      <c r="B72" s="1711" t="s">
        <v>2862</v>
      </c>
      <c r="C72" s="1502" t="s">
        <v>420</v>
      </c>
      <c r="D72" s="1710">
        <v>68.400000000000006</v>
      </c>
      <c r="E72" s="1312">
        <v>6.05</v>
      </c>
      <c r="F72" s="1486">
        <f t="shared" si="7"/>
        <v>413.82000000000005</v>
      </c>
      <c r="G72" s="1049">
        <v>68.400000000000006</v>
      </c>
      <c r="H72" s="306">
        <v>413.82</v>
      </c>
      <c r="I72" s="307">
        <v>0.99999999999999989</v>
      </c>
      <c r="J72" s="1046"/>
      <c r="K72" s="306">
        <f t="shared" si="8"/>
        <v>0</v>
      </c>
      <c r="L72" s="307">
        <f t="shared" si="9"/>
        <v>0</v>
      </c>
      <c r="M72" s="1047">
        <f t="shared" si="10"/>
        <v>68.400000000000006</v>
      </c>
      <c r="N72" s="306">
        <f t="shared" si="11"/>
        <v>413.82</v>
      </c>
      <c r="O72" s="307">
        <f t="shared" si="12"/>
        <v>0.99999999999999989</v>
      </c>
      <c r="P72" s="1047">
        <f t="shared" si="13"/>
        <v>0</v>
      </c>
      <c r="Q72" s="306">
        <f t="shared" si="14"/>
        <v>0</v>
      </c>
      <c r="R72" s="307">
        <f t="shared" si="15"/>
        <v>0</v>
      </c>
      <c r="S72" s="314" t="str">
        <f t="shared" si="6"/>
        <v>ok</v>
      </c>
      <c r="T72" s="314"/>
      <c r="U72" s="314"/>
      <c r="V72" s="314"/>
      <c r="W72" s="314"/>
      <c r="X72" s="314"/>
    </row>
    <row r="73" spans="1:24" s="313" customFormat="1" ht="16.5" customHeight="1">
      <c r="A73" s="1315" t="s">
        <v>581</v>
      </c>
      <c r="B73" s="1711" t="s">
        <v>2864</v>
      </c>
      <c r="C73" s="1708" t="s">
        <v>50</v>
      </c>
      <c r="D73" s="1710">
        <v>0.25</v>
      </c>
      <c r="E73" s="1312">
        <v>502.38</v>
      </c>
      <c r="F73" s="1486">
        <f t="shared" si="7"/>
        <v>125.595</v>
      </c>
      <c r="G73" s="1049">
        <v>0.25</v>
      </c>
      <c r="H73" s="306">
        <v>125.6</v>
      </c>
      <c r="I73" s="307">
        <v>1.0000398105020103</v>
      </c>
      <c r="J73" s="1046"/>
      <c r="K73" s="306">
        <f t="shared" si="8"/>
        <v>0</v>
      </c>
      <c r="L73" s="307">
        <f t="shared" si="9"/>
        <v>0</v>
      </c>
      <c r="M73" s="1047">
        <f t="shared" si="10"/>
        <v>0.25</v>
      </c>
      <c r="N73" s="306">
        <f t="shared" si="11"/>
        <v>125.6</v>
      </c>
      <c r="O73" s="307">
        <f t="shared" si="12"/>
        <v>1.0000398105020103</v>
      </c>
      <c r="P73" s="1047">
        <f t="shared" si="13"/>
        <v>0</v>
      </c>
      <c r="Q73" s="306">
        <f t="shared" si="14"/>
        <v>-4.9999999999954525E-3</v>
      </c>
      <c r="R73" s="307">
        <f t="shared" si="15"/>
        <v>-3.9810502010394144E-5</v>
      </c>
      <c r="S73" s="314" t="str">
        <f t="shared" si="6"/>
        <v>ok</v>
      </c>
      <c r="T73" s="314"/>
      <c r="U73" s="314"/>
      <c r="V73" s="314"/>
      <c r="W73" s="314"/>
      <c r="X73" s="314"/>
    </row>
    <row r="74" spans="1:24" s="313" customFormat="1" ht="16.5" customHeight="1">
      <c r="A74" s="1709" t="s">
        <v>1010</v>
      </c>
      <c r="B74" s="1709" t="s">
        <v>2866</v>
      </c>
      <c r="C74" s="1708"/>
      <c r="D74" s="1710"/>
      <c r="E74" s="1317"/>
      <c r="F74" s="1486"/>
      <c r="G74" s="1049"/>
      <c r="H74" s="306"/>
      <c r="I74" s="307"/>
      <c r="J74" s="1046"/>
      <c r="K74" s="306"/>
      <c r="L74" s="307"/>
      <c r="M74" s="1047"/>
      <c r="N74" s="306"/>
      <c r="O74" s="307"/>
      <c r="P74" s="1047"/>
      <c r="Q74" s="306"/>
      <c r="R74" s="307"/>
      <c r="S74" s="314" t="str">
        <f t="shared" si="6"/>
        <v>ok</v>
      </c>
      <c r="T74" s="314"/>
      <c r="U74" s="314"/>
      <c r="V74" s="314"/>
      <c r="W74" s="314"/>
      <c r="X74" s="314"/>
    </row>
    <row r="75" spans="1:24" s="313" customFormat="1" ht="16.5" customHeight="1">
      <c r="A75" s="1315" t="s">
        <v>1011</v>
      </c>
      <c r="B75" s="1711" t="s">
        <v>2860</v>
      </c>
      <c r="C75" s="1502" t="s">
        <v>49</v>
      </c>
      <c r="D75" s="1710">
        <v>3.8000000000000003</v>
      </c>
      <c r="E75" s="1317">
        <v>67.930000000000007</v>
      </c>
      <c r="F75" s="1486">
        <f t="shared" si="7"/>
        <v>258.13400000000007</v>
      </c>
      <c r="G75" s="1049">
        <v>3.8000000000000003</v>
      </c>
      <c r="H75" s="306">
        <v>258.13</v>
      </c>
      <c r="I75" s="307">
        <v>0.99998450417225138</v>
      </c>
      <c r="J75" s="1046"/>
      <c r="K75" s="306">
        <f t="shared" si="8"/>
        <v>0</v>
      </c>
      <c r="L75" s="307">
        <f t="shared" si="9"/>
        <v>0</v>
      </c>
      <c r="M75" s="1047">
        <f t="shared" si="10"/>
        <v>3.8000000000000003</v>
      </c>
      <c r="N75" s="306">
        <f t="shared" si="11"/>
        <v>258.13</v>
      </c>
      <c r="O75" s="307">
        <f t="shared" si="12"/>
        <v>0.99998450417225138</v>
      </c>
      <c r="P75" s="1047">
        <f t="shared" si="13"/>
        <v>0</v>
      </c>
      <c r="Q75" s="306">
        <f t="shared" si="14"/>
        <v>4.0000000000759428E-3</v>
      </c>
      <c r="R75" s="307">
        <f t="shared" si="15"/>
        <v>1.5495827748672942E-5</v>
      </c>
      <c r="S75" s="314" t="str">
        <f t="shared" si="6"/>
        <v>ok</v>
      </c>
      <c r="T75" s="314"/>
      <c r="U75" s="314"/>
      <c r="V75" s="314"/>
      <c r="W75" s="314"/>
      <c r="X75" s="314"/>
    </row>
    <row r="76" spans="1:24" s="313" customFormat="1" ht="16.5" customHeight="1">
      <c r="A76" s="1315" t="s">
        <v>2867</v>
      </c>
      <c r="B76" s="1711" t="s">
        <v>2862</v>
      </c>
      <c r="C76" s="1708" t="s">
        <v>420</v>
      </c>
      <c r="D76" s="1710">
        <v>57.6</v>
      </c>
      <c r="E76" s="1317">
        <v>6.05</v>
      </c>
      <c r="F76" s="1486">
        <f t="shared" si="7"/>
        <v>348.48</v>
      </c>
      <c r="G76" s="1049">
        <v>57.6</v>
      </c>
      <c r="H76" s="306">
        <v>348.48</v>
      </c>
      <c r="I76" s="307">
        <v>1</v>
      </c>
      <c r="J76" s="1046"/>
      <c r="K76" s="306">
        <f t="shared" si="8"/>
        <v>0</v>
      </c>
      <c r="L76" s="307">
        <f t="shared" si="9"/>
        <v>0</v>
      </c>
      <c r="M76" s="1047">
        <f t="shared" si="10"/>
        <v>57.6</v>
      </c>
      <c r="N76" s="306">
        <f t="shared" si="11"/>
        <v>348.48</v>
      </c>
      <c r="O76" s="307">
        <f t="shared" si="12"/>
        <v>1</v>
      </c>
      <c r="P76" s="1047">
        <f t="shared" si="13"/>
        <v>0</v>
      </c>
      <c r="Q76" s="306">
        <f t="shared" si="14"/>
        <v>0</v>
      </c>
      <c r="R76" s="307">
        <f t="shared" si="15"/>
        <v>0</v>
      </c>
      <c r="S76" s="314" t="str">
        <f t="shared" si="6"/>
        <v>ok</v>
      </c>
      <c r="T76" s="314"/>
      <c r="U76" s="314"/>
      <c r="V76" s="314"/>
      <c r="W76" s="314"/>
      <c r="X76" s="314"/>
    </row>
    <row r="77" spans="1:24" s="313" customFormat="1" ht="16.5" customHeight="1">
      <c r="A77" s="1315" t="s">
        <v>2868</v>
      </c>
      <c r="B77" s="1711" t="s">
        <v>2864</v>
      </c>
      <c r="C77" s="1708" t="s">
        <v>50</v>
      </c>
      <c r="D77" s="1710">
        <v>0.34</v>
      </c>
      <c r="E77" s="1317">
        <v>502.38</v>
      </c>
      <c r="F77" s="1486">
        <f t="shared" si="7"/>
        <v>170.8092</v>
      </c>
      <c r="G77" s="1049">
        <v>0.34</v>
      </c>
      <c r="H77" s="306">
        <v>170.81</v>
      </c>
      <c r="I77" s="307">
        <v>1.0000046835884717</v>
      </c>
      <c r="J77" s="1046"/>
      <c r="K77" s="306">
        <f t="shared" si="8"/>
        <v>0</v>
      </c>
      <c r="L77" s="307">
        <f t="shared" si="9"/>
        <v>0</v>
      </c>
      <c r="M77" s="1047">
        <f t="shared" si="10"/>
        <v>0.34</v>
      </c>
      <c r="N77" s="306">
        <f t="shared" si="11"/>
        <v>170.81</v>
      </c>
      <c r="O77" s="307">
        <f t="shared" si="12"/>
        <v>1.0000046835884717</v>
      </c>
      <c r="P77" s="1047">
        <f t="shared" si="13"/>
        <v>0</v>
      </c>
      <c r="Q77" s="306">
        <f t="shared" si="14"/>
        <v>-7.9999999999813554E-4</v>
      </c>
      <c r="R77" s="307">
        <f t="shared" si="15"/>
        <v>-4.6835884718044201E-6</v>
      </c>
      <c r="S77" s="314" t="str">
        <f t="shared" si="6"/>
        <v>ok</v>
      </c>
      <c r="T77" s="314"/>
      <c r="U77" s="314"/>
      <c r="V77" s="314"/>
      <c r="W77" s="314"/>
      <c r="X77" s="314"/>
    </row>
    <row r="78" spans="1:24" s="313" customFormat="1" ht="16.5" customHeight="1">
      <c r="A78" s="1709" t="s">
        <v>1012</v>
      </c>
      <c r="B78" s="1709" t="s">
        <v>2869</v>
      </c>
      <c r="C78" s="1708"/>
      <c r="D78" s="1710"/>
      <c r="E78" s="1317"/>
      <c r="F78" s="1486"/>
      <c r="G78" s="1049"/>
      <c r="H78" s="306"/>
      <c r="I78" s="307"/>
      <c r="J78" s="1046"/>
      <c r="K78" s="306"/>
      <c r="L78" s="307"/>
      <c r="M78" s="1047"/>
      <c r="N78" s="306"/>
      <c r="O78" s="307"/>
      <c r="P78" s="1047"/>
      <c r="Q78" s="306"/>
      <c r="R78" s="307"/>
      <c r="S78" s="314" t="str">
        <f t="shared" si="6"/>
        <v>ok</v>
      </c>
      <c r="T78" s="314"/>
      <c r="U78" s="314"/>
      <c r="V78" s="314"/>
      <c r="W78" s="314"/>
      <c r="X78" s="314"/>
    </row>
    <row r="79" spans="1:24" s="313" customFormat="1" ht="16.5" customHeight="1">
      <c r="A79" s="1315" t="s">
        <v>1013</v>
      </c>
      <c r="B79" s="1711" t="s">
        <v>2860</v>
      </c>
      <c r="C79" s="1708" t="s">
        <v>49</v>
      </c>
      <c r="D79" s="1710">
        <v>2.54</v>
      </c>
      <c r="E79" s="1317">
        <v>67.930000000000007</v>
      </c>
      <c r="F79" s="1486">
        <f t="shared" si="7"/>
        <v>172.54220000000001</v>
      </c>
      <c r="G79" s="1049">
        <v>2.54</v>
      </c>
      <c r="H79" s="306">
        <v>172.54</v>
      </c>
      <c r="I79" s="307">
        <v>0.99998724949606521</v>
      </c>
      <c r="J79" s="1046"/>
      <c r="K79" s="306">
        <f t="shared" si="8"/>
        <v>0</v>
      </c>
      <c r="L79" s="307">
        <f t="shared" si="9"/>
        <v>0</v>
      </c>
      <c r="M79" s="1047">
        <f t="shared" si="10"/>
        <v>2.54</v>
      </c>
      <c r="N79" s="306">
        <f t="shared" si="11"/>
        <v>172.54</v>
      </c>
      <c r="O79" s="307">
        <f t="shared" si="12"/>
        <v>0.99998724949606521</v>
      </c>
      <c r="P79" s="1047">
        <f t="shared" si="13"/>
        <v>0</v>
      </c>
      <c r="Q79" s="306">
        <f t="shared" si="14"/>
        <v>2.200000000016189E-3</v>
      </c>
      <c r="R79" s="307">
        <f t="shared" si="15"/>
        <v>1.2750503934783427E-5</v>
      </c>
      <c r="S79" s="314" t="str">
        <f t="shared" si="6"/>
        <v>ok</v>
      </c>
      <c r="T79" s="314"/>
      <c r="U79" s="314"/>
      <c r="V79" s="314"/>
      <c r="W79" s="314"/>
      <c r="X79" s="314"/>
    </row>
    <row r="80" spans="1:24" s="313" customFormat="1" ht="16.5" customHeight="1">
      <c r="A80" s="1315" t="s">
        <v>2870</v>
      </c>
      <c r="B80" s="1711" t="s">
        <v>2862</v>
      </c>
      <c r="C80" s="1708" t="s">
        <v>420</v>
      </c>
      <c r="D80" s="1710">
        <v>69.2</v>
      </c>
      <c r="E80" s="1317">
        <v>6.05</v>
      </c>
      <c r="F80" s="1486">
        <f t="shared" si="7"/>
        <v>418.66</v>
      </c>
      <c r="G80" s="1049">
        <v>69.2</v>
      </c>
      <c r="H80" s="306">
        <v>418.66</v>
      </c>
      <c r="I80" s="307">
        <v>1</v>
      </c>
      <c r="J80" s="1046"/>
      <c r="K80" s="306">
        <f t="shared" si="8"/>
        <v>0</v>
      </c>
      <c r="L80" s="307">
        <f t="shared" si="9"/>
        <v>0</v>
      </c>
      <c r="M80" s="1047">
        <f t="shared" si="10"/>
        <v>69.2</v>
      </c>
      <c r="N80" s="306">
        <f t="shared" si="11"/>
        <v>418.66</v>
      </c>
      <c r="O80" s="307">
        <f t="shared" si="12"/>
        <v>1</v>
      </c>
      <c r="P80" s="1047">
        <f t="shared" si="13"/>
        <v>0</v>
      </c>
      <c r="Q80" s="306">
        <f t="shared" si="14"/>
        <v>0</v>
      </c>
      <c r="R80" s="307">
        <f t="shared" si="15"/>
        <v>0</v>
      </c>
      <c r="S80" s="314" t="str">
        <f t="shared" si="6"/>
        <v>ok</v>
      </c>
      <c r="T80" s="314"/>
      <c r="U80" s="314"/>
      <c r="V80" s="314"/>
      <c r="W80" s="314"/>
      <c r="X80" s="314"/>
    </row>
    <row r="81" spans="1:24" s="313" customFormat="1" ht="16.5" customHeight="1">
      <c r="A81" s="1315" t="s">
        <v>2871</v>
      </c>
      <c r="B81" s="1711" t="s">
        <v>2864</v>
      </c>
      <c r="C81" s="1708" t="s">
        <v>50</v>
      </c>
      <c r="D81" s="1710">
        <v>0.21</v>
      </c>
      <c r="E81" s="1317">
        <v>502.38</v>
      </c>
      <c r="F81" s="1486">
        <f t="shared" si="7"/>
        <v>105.49979999999999</v>
      </c>
      <c r="G81" s="1049">
        <v>0.21</v>
      </c>
      <c r="H81" s="306">
        <v>105.5</v>
      </c>
      <c r="I81" s="307">
        <v>1.0000018957381911</v>
      </c>
      <c r="J81" s="1046"/>
      <c r="K81" s="306">
        <f t="shared" si="8"/>
        <v>0</v>
      </c>
      <c r="L81" s="307">
        <f t="shared" si="9"/>
        <v>0</v>
      </c>
      <c r="M81" s="1047">
        <f t="shared" si="10"/>
        <v>0.21</v>
      </c>
      <c r="N81" s="306">
        <f t="shared" si="11"/>
        <v>105.5</v>
      </c>
      <c r="O81" s="307">
        <f t="shared" si="12"/>
        <v>1.0000018957381911</v>
      </c>
      <c r="P81" s="1047">
        <f t="shared" si="13"/>
        <v>0</v>
      </c>
      <c r="Q81" s="306">
        <f t="shared" si="14"/>
        <v>-2.0000000000663931E-4</v>
      </c>
      <c r="R81" s="307">
        <f t="shared" si="15"/>
        <v>-1.8957381910358061E-6</v>
      </c>
      <c r="S81" s="314" t="str">
        <f t="shared" si="6"/>
        <v>ok</v>
      </c>
      <c r="T81" s="314"/>
      <c r="U81" s="314"/>
      <c r="V81" s="314"/>
      <c r="W81" s="314"/>
      <c r="X81" s="314"/>
    </row>
    <row r="82" spans="1:24" s="313" customFormat="1" ht="17.25" customHeight="1">
      <c r="A82" s="1709" t="s">
        <v>1014</v>
      </c>
      <c r="B82" s="1709" t="s">
        <v>2872</v>
      </c>
      <c r="C82" s="1708"/>
      <c r="D82" s="1710"/>
      <c r="E82" s="1317"/>
      <c r="F82" s="1486"/>
      <c r="G82" s="1049"/>
      <c r="H82" s="306"/>
      <c r="I82" s="307"/>
      <c r="J82" s="1046"/>
      <c r="K82" s="306"/>
      <c r="L82" s="307"/>
      <c r="M82" s="1047"/>
      <c r="N82" s="306"/>
      <c r="O82" s="307"/>
      <c r="P82" s="1047"/>
      <c r="Q82" s="306"/>
      <c r="R82" s="307"/>
      <c r="S82" s="314" t="str">
        <f t="shared" si="6"/>
        <v>ok</v>
      </c>
      <c r="T82" s="314"/>
      <c r="U82" s="314"/>
      <c r="V82" s="314"/>
      <c r="W82" s="314"/>
      <c r="X82" s="314"/>
    </row>
    <row r="83" spans="1:24" s="313" customFormat="1" ht="16.5" customHeight="1">
      <c r="A83" s="1713" t="s">
        <v>1015</v>
      </c>
      <c r="B83" s="1713" t="s">
        <v>2873</v>
      </c>
      <c r="C83" s="1708"/>
      <c r="D83" s="1710"/>
      <c r="E83" s="1317"/>
      <c r="F83" s="1486"/>
      <c r="G83" s="1049"/>
      <c r="H83" s="306"/>
      <c r="I83" s="307"/>
      <c r="J83" s="1046"/>
      <c r="K83" s="306"/>
      <c r="L83" s="307"/>
      <c r="M83" s="1047"/>
      <c r="N83" s="306"/>
      <c r="O83" s="307"/>
      <c r="P83" s="1047"/>
      <c r="Q83" s="306"/>
      <c r="R83" s="307"/>
      <c r="S83" s="314" t="str">
        <f t="shared" si="6"/>
        <v>ok</v>
      </c>
      <c r="T83" s="314"/>
      <c r="U83" s="314"/>
      <c r="V83" s="314"/>
      <c r="W83" s="314"/>
      <c r="X83" s="314"/>
    </row>
    <row r="84" spans="1:24" s="313" customFormat="1" ht="16.5" customHeight="1">
      <c r="A84" s="1315" t="s">
        <v>2874</v>
      </c>
      <c r="B84" s="1711" t="s">
        <v>2875</v>
      </c>
      <c r="C84" s="1708" t="s">
        <v>49</v>
      </c>
      <c r="D84" s="1710">
        <v>2.68</v>
      </c>
      <c r="E84" s="1317">
        <v>67.930000000000007</v>
      </c>
      <c r="F84" s="1486">
        <f t="shared" si="7"/>
        <v>182.05240000000003</v>
      </c>
      <c r="G84" s="1049">
        <v>2.68</v>
      </c>
      <c r="H84" s="306">
        <v>182.05</v>
      </c>
      <c r="I84" s="307">
        <v>0.99998681698236325</v>
      </c>
      <c r="J84" s="1046"/>
      <c r="K84" s="306">
        <f t="shared" si="8"/>
        <v>0</v>
      </c>
      <c r="L84" s="307">
        <f t="shared" si="9"/>
        <v>0</v>
      </c>
      <c r="M84" s="1047">
        <f t="shared" si="10"/>
        <v>2.68</v>
      </c>
      <c r="N84" s="306">
        <f t="shared" si="11"/>
        <v>182.05</v>
      </c>
      <c r="O84" s="307">
        <f t="shared" si="12"/>
        <v>0.99998681698236325</v>
      </c>
      <c r="P84" s="1047">
        <f t="shared" si="13"/>
        <v>0</v>
      </c>
      <c r="Q84" s="306">
        <f t="shared" si="14"/>
        <v>2.4000000000228283E-3</v>
      </c>
      <c r="R84" s="307">
        <f t="shared" si="15"/>
        <v>1.318301763680582E-5</v>
      </c>
      <c r="S84" s="314" t="str">
        <f t="shared" si="6"/>
        <v>ok</v>
      </c>
      <c r="T84" s="314"/>
      <c r="U84" s="314"/>
      <c r="V84" s="314"/>
      <c r="W84" s="314"/>
      <c r="X84" s="314"/>
    </row>
    <row r="85" spans="1:24" s="313" customFormat="1" ht="16.5" customHeight="1">
      <c r="A85" s="1315" t="s">
        <v>2876</v>
      </c>
      <c r="B85" s="1711" t="s">
        <v>2877</v>
      </c>
      <c r="C85" s="1708" t="s">
        <v>420</v>
      </c>
      <c r="D85" s="1710">
        <v>27.900000000000002</v>
      </c>
      <c r="E85" s="1317">
        <v>6.05</v>
      </c>
      <c r="F85" s="1486">
        <f t="shared" si="7"/>
        <v>168.79500000000002</v>
      </c>
      <c r="G85" s="1049">
        <v>27.900000000000002</v>
      </c>
      <c r="H85" s="306">
        <v>168.8</v>
      </c>
      <c r="I85" s="307">
        <v>1.0000296217305014</v>
      </c>
      <c r="J85" s="1046"/>
      <c r="K85" s="306">
        <f t="shared" si="8"/>
        <v>0</v>
      </c>
      <c r="L85" s="307">
        <f t="shared" si="9"/>
        <v>0</v>
      </c>
      <c r="M85" s="1047">
        <f t="shared" si="10"/>
        <v>27.900000000000002</v>
      </c>
      <c r="N85" s="306">
        <f t="shared" si="11"/>
        <v>168.8</v>
      </c>
      <c r="O85" s="307">
        <f t="shared" si="12"/>
        <v>1.0000296217305014</v>
      </c>
      <c r="P85" s="1047">
        <f t="shared" si="13"/>
        <v>0</v>
      </c>
      <c r="Q85" s="306">
        <f t="shared" si="14"/>
        <v>-4.9999999999954525E-3</v>
      </c>
      <c r="R85" s="307">
        <f t="shared" si="15"/>
        <v>-2.9621730501468953E-5</v>
      </c>
      <c r="S85" s="314" t="str">
        <f t="shared" si="6"/>
        <v>ok</v>
      </c>
      <c r="T85" s="314"/>
      <c r="U85" s="314"/>
      <c r="V85" s="314"/>
      <c r="W85" s="314"/>
      <c r="X85" s="314"/>
    </row>
    <row r="86" spans="1:24" s="313" customFormat="1" ht="16.5" customHeight="1">
      <c r="A86" s="1333" t="s">
        <v>2878</v>
      </c>
      <c r="B86" s="1711" t="s">
        <v>2879</v>
      </c>
      <c r="C86" s="1714" t="s">
        <v>50</v>
      </c>
      <c r="D86" s="1710">
        <v>0.2</v>
      </c>
      <c r="E86" s="1335">
        <v>502.38</v>
      </c>
      <c r="F86" s="1486">
        <f t="shared" si="7"/>
        <v>100.476</v>
      </c>
      <c r="G86" s="1049">
        <v>0.2</v>
      </c>
      <c r="H86" s="306">
        <v>100.48</v>
      </c>
      <c r="I86" s="307">
        <v>1.0000398105020105</v>
      </c>
      <c r="J86" s="1046"/>
      <c r="K86" s="306">
        <f t="shared" si="8"/>
        <v>0</v>
      </c>
      <c r="L86" s="307">
        <f t="shared" si="9"/>
        <v>0</v>
      </c>
      <c r="M86" s="1047">
        <f t="shared" si="10"/>
        <v>0.2</v>
      </c>
      <c r="N86" s="306">
        <f t="shared" si="11"/>
        <v>100.48</v>
      </c>
      <c r="O86" s="307">
        <f t="shared" si="12"/>
        <v>1.0000398105020105</v>
      </c>
      <c r="P86" s="1047">
        <f t="shared" si="13"/>
        <v>0</v>
      </c>
      <c r="Q86" s="306">
        <f t="shared" si="14"/>
        <v>-4.0000000000048885E-3</v>
      </c>
      <c r="R86" s="307">
        <f t="shared" si="15"/>
        <v>-3.9810502010479004E-5</v>
      </c>
      <c r="S86" s="314" t="str">
        <f t="shared" si="6"/>
        <v>ok</v>
      </c>
      <c r="T86" s="314"/>
      <c r="U86" s="314"/>
      <c r="V86" s="314"/>
      <c r="W86" s="314"/>
      <c r="X86" s="314"/>
    </row>
    <row r="87" spans="1:24" s="313" customFormat="1" ht="16.5" customHeight="1">
      <c r="A87" s="1713" t="s">
        <v>1016</v>
      </c>
      <c r="B87" s="1713" t="s">
        <v>2880</v>
      </c>
      <c r="C87" s="1714"/>
      <c r="D87" s="1710"/>
      <c r="E87" s="1335"/>
      <c r="F87" s="1486"/>
      <c r="G87" s="1049"/>
      <c r="H87" s="306"/>
      <c r="I87" s="307"/>
      <c r="J87" s="1046"/>
      <c r="K87" s="306"/>
      <c r="L87" s="307"/>
      <c r="M87" s="1047"/>
      <c r="N87" s="306"/>
      <c r="O87" s="307"/>
      <c r="P87" s="1047"/>
      <c r="Q87" s="306"/>
      <c r="R87" s="307"/>
      <c r="S87" s="314" t="str">
        <f t="shared" ref="S87:S150" si="16">IF(M87&gt;D87,"mayormetrado","ok")</f>
        <v>ok</v>
      </c>
      <c r="T87" s="314"/>
      <c r="U87" s="314"/>
      <c r="V87" s="314"/>
      <c r="W87" s="314"/>
      <c r="X87" s="314"/>
    </row>
    <row r="88" spans="1:24" s="313" customFormat="1" ht="16.5" customHeight="1">
      <c r="A88" s="1333" t="s">
        <v>2881</v>
      </c>
      <c r="B88" s="1711" t="s">
        <v>2875</v>
      </c>
      <c r="C88" s="1714" t="s">
        <v>49</v>
      </c>
      <c r="D88" s="1710">
        <v>1.2</v>
      </c>
      <c r="E88" s="1335">
        <v>67.930000000000007</v>
      </c>
      <c r="F88" s="1486">
        <f t="shared" si="7"/>
        <v>81.516000000000005</v>
      </c>
      <c r="G88" s="1049">
        <v>1.2</v>
      </c>
      <c r="H88" s="306">
        <v>81.52</v>
      </c>
      <c r="I88" s="307">
        <v>1.000049070121203</v>
      </c>
      <c r="J88" s="1046"/>
      <c r="K88" s="306">
        <f t="shared" ref="K88:K126" si="17">J88*E88</f>
        <v>0</v>
      </c>
      <c r="L88" s="307">
        <f t="shared" ref="L88:L126" si="18">+K88/$F88</f>
        <v>0</v>
      </c>
      <c r="M88" s="1047">
        <f t="shared" ref="M88:M126" si="19">+G88+J88</f>
        <v>1.2</v>
      </c>
      <c r="N88" s="306">
        <f t="shared" ref="N88:N126" si="20">ROUND(+M88*E88,2)</f>
        <v>81.52</v>
      </c>
      <c r="O88" s="307">
        <f t="shared" ref="O88:O126" si="21">+N88/$F88</f>
        <v>1.000049070121203</v>
      </c>
      <c r="P88" s="1047">
        <f t="shared" ref="P88:P126" si="22">D88-M88</f>
        <v>0</v>
      </c>
      <c r="Q88" s="306">
        <f t="shared" ref="Q88:Q126" si="23">F88-N88</f>
        <v>-3.9999999999906777E-3</v>
      </c>
      <c r="R88" s="307">
        <f t="shared" ref="R88:R126" si="24">+Q88/$F88</f>
        <v>-4.9070121203085006E-5</v>
      </c>
      <c r="S88" s="314" t="str">
        <f t="shared" si="16"/>
        <v>ok</v>
      </c>
      <c r="T88" s="314"/>
      <c r="U88" s="314"/>
      <c r="V88" s="314"/>
      <c r="W88" s="314"/>
      <c r="X88" s="314"/>
    </row>
    <row r="89" spans="1:24" s="313" customFormat="1" ht="16.5" customHeight="1">
      <c r="A89" s="1333" t="s">
        <v>2882</v>
      </c>
      <c r="B89" s="1711" t="s">
        <v>2877</v>
      </c>
      <c r="C89" s="1715" t="s">
        <v>420</v>
      </c>
      <c r="D89" s="1710">
        <v>32.1</v>
      </c>
      <c r="E89" s="1339">
        <v>6.05</v>
      </c>
      <c r="F89" s="1486">
        <f t="shared" ref="F89:F152" si="25">E89*D89</f>
        <v>194.20500000000001</v>
      </c>
      <c r="G89" s="1049">
        <v>32.1</v>
      </c>
      <c r="H89" s="306">
        <v>194.21</v>
      </c>
      <c r="I89" s="307">
        <v>1.0000257459900621</v>
      </c>
      <c r="J89" s="1046"/>
      <c r="K89" s="306">
        <f t="shared" si="17"/>
        <v>0</v>
      </c>
      <c r="L89" s="307">
        <f t="shared" si="18"/>
        <v>0</v>
      </c>
      <c r="M89" s="1047">
        <f t="shared" si="19"/>
        <v>32.1</v>
      </c>
      <c r="N89" s="306">
        <f t="shared" si="20"/>
        <v>194.21</v>
      </c>
      <c r="O89" s="307">
        <f t="shared" si="21"/>
        <v>1.0000257459900621</v>
      </c>
      <c r="P89" s="1047">
        <f t="shared" si="22"/>
        <v>0</v>
      </c>
      <c r="Q89" s="306">
        <f t="shared" si="23"/>
        <v>-4.9999999999954525E-3</v>
      </c>
      <c r="R89" s="307">
        <f t="shared" si="24"/>
        <v>-2.5745990062024418E-5</v>
      </c>
      <c r="S89" s="314" t="str">
        <f t="shared" si="16"/>
        <v>ok</v>
      </c>
      <c r="T89" s="314"/>
      <c r="U89" s="314"/>
      <c r="V89" s="314"/>
      <c r="W89" s="314"/>
      <c r="X89" s="314"/>
    </row>
    <row r="90" spans="1:24" s="313" customFormat="1" ht="16.5" customHeight="1">
      <c r="A90" s="1333" t="s">
        <v>2883</v>
      </c>
      <c r="B90" s="1711" t="s">
        <v>2879</v>
      </c>
      <c r="C90" s="1715" t="s">
        <v>50</v>
      </c>
      <c r="D90" s="1710">
        <v>0.11</v>
      </c>
      <c r="E90" s="1339">
        <v>502.38</v>
      </c>
      <c r="F90" s="1486">
        <f t="shared" si="25"/>
        <v>55.261800000000001</v>
      </c>
      <c r="G90" s="1049">
        <v>0.11</v>
      </c>
      <c r="H90" s="306">
        <v>55.26</v>
      </c>
      <c r="I90" s="307">
        <v>0.99996742777108227</v>
      </c>
      <c r="J90" s="1046"/>
      <c r="K90" s="306">
        <f t="shared" si="17"/>
        <v>0</v>
      </c>
      <c r="L90" s="307">
        <f t="shared" si="18"/>
        <v>0</v>
      </c>
      <c r="M90" s="1047">
        <f t="shared" si="19"/>
        <v>0.11</v>
      </c>
      <c r="N90" s="306">
        <f t="shared" si="20"/>
        <v>55.26</v>
      </c>
      <c r="O90" s="307">
        <f t="shared" si="21"/>
        <v>0.99996742777108227</v>
      </c>
      <c r="P90" s="1047">
        <f t="shared" si="22"/>
        <v>0</v>
      </c>
      <c r="Q90" s="306">
        <f t="shared" si="23"/>
        <v>1.8000000000029104E-3</v>
      </c>
      <c r="R90" s="307">
        <f t="shared" si="24"/>
        <v>3.2572228917677497E-5</v>
      </c>
      <c r="S90" s="314" t="str">
        <f t="shared" si="16"/>
        <v>ok</v>
      </c>
      <c r="T90" s="314"/>
      <c r="U90" s="314"/>
      <c r="V90" s="314"/>
      <c r="W90" s="314"/>
      <c r="X90" s="314"/>
    </row>
    <row r="91" spans="1:24" s="313" customFormat="1" ht="16.5" customHeight="1">
      <c r="A91" s="1713" t="s">
        <v>1017</v>
      </c>
      <c r="B91" s="1713" t="s">
        <v>2884</v>
      </c>
      <c r="C91" s="1715"/>
      <c r="D91" s="1710"/>
      <c r="E91" s="1339"/>
      <c r="F91" s="1486"/>
      <c r="G91" s="1049"/>
      <c r="H91" s="306"/>
      <c r="I91" s="307"/>
      <c r="J91" s="1046"/>
      <c r="K91" s="306"/>
      <c r="L91" s="307"/>
      <c r="M91" s="1047"/>
      <c r="N91" s="306"/>
      <c r="O91" s="307"/>
      <c r="P91" s="1047"/>
      <c r="Q91" s="306"/>
      <c r="R91" s="307"/>
      <c r="S91" s="314" t="str">
        <f t="shared" si="16"/>
        <v>ok</v>
      </c>
      <c r="T91" s="314"/>
      <c r="U91" s="314"/>
      <c r="V91" s="314"/>
      <c r="W91" s="314"/>
      <c r="X91" s="314"/>
    </row>
    <row r="92" spans="1:24" s="313" customFormat="1" ht="16.5" customHeight="1">
      <c r="A92" s="1337" t="s">
        <v>2885</v>
      </c>
      <c r="B92" s="1711" t="s">
        <v>2875</v>
      </c>
      <c r="C92" s="1715" t="s">
        <v>49</v>
      </c>
      <c r="D92" s="1710">
        <v>1.1599999999999999</v>
      </c>
      <c r="E92" s="1339">
        <v>67.930000000000007</v>
      </c>
      <c r="F92" s="1486">
        <f t="shared" si="25"/>
        <v>78.7988</v>
      </c>
      <c r="G92" s="1049">
        <v>1.1599999999999999</v>
      </c>
      <c r="H92" s="306">
        <v>78.8</v>
      </c>
      <c r="I92" s="307">
        <v>1.0000152286583044</v>
      </c>
      <c r="J92" s="1046"/>
      <c r="K92" s="306">
        <f t="shared" si="17"/>
        <v>0</v>
      </c>
      <c r="L92" s="307">
        <f t="shared" si="18"/>
        <v>0</v>
      </c>
      <c r="M92" s="1047">
        <f t="shared" si="19"/>
        <v>1.1599999999999999</v>
      </c>
      <c r="N92" s="306">
        <f t="shared" si="20"/>
        <v>78.8</v>
      </c>
      <c r="O92" s="307">
        <f t="shared" si="21"/>
        <v>1.0000152286583044</v>
      </c>
      <c r="P92" s="1047">
        <f t="shared" si="22"/>
        <v>0</v>
      </c>
      <c r="Q92" s="306">
        <f t="shared" si="23"/>
        <v>-1.1999999999972033E-3</v>
      </c>
      <c r="R92" s="307">
        <f t="shared" si="24"/>
        <v>-1.5228658304405693E-5</v>
      </c>
      <c r="S92" s="314" t="str">
        <f t="shared" si="16"/>
        <v>ok</v>
      </c>
      <c r="T92" s="314"/>
      <c r="U92" s="314"/>
      <c r="V92" s="314"/>
      <c r="W92" s="314"/>
      <c r="X92" s="314"/>
    </row>
    <row r="93" spans="1:24" s="313" customFormat="1" ht="16.5" customHeight="1">
      <c r="A93" s="1337" t="s">
        <v>2886</v>
      </c>
      <c r="B93" s="1711" t="s">
        <v>2877</v>
      </c>
      <c r="C93" s="1715" t="s">
        <v>420</v>
      </c>
      <c r="D93" s="1710">
        <v>28.900000000000002</v>
      </c>
      <c r="E93" s="1339">
        <v>6.05</v>
      </c>
      <c r="F93" s="1486">
        <f t="shared" si="25"/>
        <v>174.845</v>
      </c>
      <c r="G93" s="1049">
        <v>28.900000000000002</v>
      </c>
      <c r="H93" s="306">
        <v>174.85</v>
      </c>
      <c r="I93" s="307">
        <v>1.0000285967571276</v>
      </c>
      <c r="J93" s="1046"/>
      <c r="K93" s="306">
        <f t="shared" si="17"/>
        <v>0</v>
      </c>
      <c r="L93" s="307">
        <f t="shared" si="18"/>
        <v>0</v>
      </c>
      <c r="M93" s="1047">
        <f t="shared" si="19"/>
        <v>28.900000000000002</v>
      </c>
      <c r="N93" s="306">
        <f t="shared" si="20"/>
        <v>174.85</v>
      </c>
      <c r="O93" s="307">
        <f t="shared" si="21"/>
        <v>1.0000285967571276</v>
      </c>
      <c r="P93" s="1047">
        <f t="shared" si="22"/>
        <v>0</v>
      </c>
      <c r="Q93" s="306">
        <f t="shared" si="23"/>
        <v>-4.9999999999954525E-3</v>
      </c>
      <c r="R93" s="307">
        <f t="shared" si="24"/>
        <v>-2.8596757127715705E-5</v>
      </c>
      <c r="S93" s="314" t="str">
        <f t="shared" si="16"/>
        <v>ok</v>
      </c>
      <c r="T93" s="314"/>
      <c r="U93" s="314"/>
      <c r="V93" s="314"/>
      <c r="W93" s="314"/>
      <c r="X93" s="314"/>
    </row>
    <row r="94" spans="1:24" s="313" customFormat="1" ht="16.5" customHeight="1">
      <c r="A94" s="1337" t="s">
        <v>2887</v>
      </c>
      <c r="B94" s="1711" t="s">
        <v>2879</v>
      </c>
      <c r="C94" s="1715" t="s">
        <v>50</v>
      </c>
      <c r="D94" s="1710">
        <v>0.15</v>
      </c>
      <c r="E94" s="1339">
        <v>502.38</v>
      </c>
      <c r="F94" s="1486">
        <f t="shared" si="25"/>
        <v>75.356999999999999</v>
      </c>
      <c r="G94" s="1049">
        <v>0.15</v>
      </c>
      <c r="H94" s="306">
        <v>75.36</v>
      </c>
      <c r="I94" s="307">
        <v>1.0000398105020105</v>
      </c>
      <c r="J94" s="1046"/>
      <c r="K94" s="306">
        <f t="shared" si="17"/>
        <v>0</v>
      </c>
      <c r="L94" s="307">
        <f t="shared" si="18"/>
        <v>0</v>
      </c>
      <c r="M94" s="1047">
        <f t="shared" si="19"/>
        <v>0.15</v>
      </c>
      <c r="N94" s="306">
        <f t="shared" si="20"/>
        <v>75.36</v>
      </c>
      <c r="O94" s="307">
        <f t="shared" si="21"/>
        <v>1.0000398105020105</v>
      </c>
      <c r="P94" s="1047">
        <f t="shared" si="22"/>
        <v>0</v>
      </c>
      <c r="Q94" s="306">
        <f t="shared" si="23"/>
        <v>-3.0000000000001137E-3</v>
      </c>
      <c r="R94" s="307">
        <f t="shared" si="24"/>
        <v>-3.9810502010431861E-5</v>
      </c>
      <c r="S94" s="314" t="str">
        <f t="shared" si="16"/>
        <v>ok</v>
      </c>
      <c r="T94" s="314"/>
      <c r="U94" s="314"/>
      <c r="V94" s="314"/>
      <c r="W94" s="314"/>
      <c r="X94" s="314"/>
    </row>
    <row r="95" spans="1:24" s="313" customFormat="1" ht="16.5" customHeight="1">
      <c r="A95" s="1648">
        <v>1.07</v>
      </c>
      <c r="B95" s="1648" t="s">
        <v>2888</v>
      </c>
      <c r="C95" s="1715"/>
      <c r="D95" s="1710"/>
      <c r="E95" s="1339"/>
      <c r="F95" s="1486"/>
      <c r="G95" s="1049"/>
      <c r="H95" s="306"/>
      <c r="I95" s="307"/>
      <c r="J95" s="1046"/>
      <c r="K95" s="306"/>
      <c r="L95" s="307"/>
      <c r="M95" s="1047"/>
      <c r="N95" s="306"/>
      <c r="O95" s="307"/>
      <c r="P95" s="1047"/>
      <c r="Q95" s="306"/>
      <c r="R95" s="307"/>
      <c r="S95" s="314" t="str">
        <f t="shared" si="16"/>
        <v>ok</v>
      </c>
      <c r="T95" s="314"/>
      <c r="U95" s="314"/>
      <c r="V95" s="314"/>
      <c r="W95" s="314"/>
      <c r="X95" s="314"/>
    </row>
    <row r="96" spans="1:24" s="313" customFormat="1" ht="16.5" customHeight="1">
      <c r="A96" s="1337" t="s">
        <v>583</v>
      </c>
      <c r="B96" s="1711" t="s">
        <v>2889</v>
      </c>
      <c r="C96" s="1715" t="s">
        <v>51</v>
      </c>
      <c r="D96" s="1710">
        <v>27</v>
      </c>
      <c r="E96" s="1339">
        <v>102.8</v>
      </c>
      <c r="F96" s="1486">
        <f t="shared" si="25"/>
        <v>2775.6</v>
      </c>
      <c r="G96" s="1049">
        <v>27</v>
      </c>
      <c r="H96" s="306">
        <v>2775.6</v>
      </c>
      <c r="I96" s="307">
        <v>1</v>
      </c>
      <c r="J96" s="1046"/>
      <c r="K96" s="306">
        <f t="shared" si="17"/>
        <v>0</v>
      </c>
      <c r="L96" s="307">
        <f t="shared" si="18"/>
        <v>0</v>
      </c>
      <c r="M96" s="1047">
        <f t="shared" si="19"/>
        <v>27</v>
      </c>
      <c r="N96" s="306">
        <f t="shared" si="20"/>
        <v>2775.6</v>
      </c>
      <c r="O96" s="307">
        <f t="shared" si="21"/>
        <v>1</v>
      </c>
      <c r="P96" s="1047">
        <f t="shared" si="22"/>
        <v>0</v>
      </c>
      <c r="Q96" s="306">
        <f t="shared" si="23"/>
        <v>0</v>
      </c>
      <c r="R96" s="307">
        <f t="shared" si="24"/>
        <v>0</v>
      </c>
      <c r="S96" s="314" t="str">
        <f t="shared" si="16"/>
        <v>ok</v>
      </c>
      <c r="T96" s="314"/>
      <c r="U96" s="314"/>
      <c r="V96" s="314"/>
      <c r="W96" s="314"/>
      <c r="X96" s="314"/>
    </row>
    <row r="97" spans="1:24" s="313" customFormat="1" ht="16.5" customHeight="1">
      <c r="A97" s="1648">
        <v>1.08</v>
      </c>
      <c r="B97" s="1648" t="s">
        <v>2890</v>
      </c>
      <c r="C97" s="1715"/>
      <c r="D97" s="1710"/>
      <c r="E97" s="1339"/>
      <c r="F97" s="1486"/>
      <c r="G97" s="1049"/>
      <c r="H97" s="306"/>
      <c r="I97" s="307"/>
      <c r="J97" s="1046"/>
      <c r="K97" s="306"/>
      <c r="L97" s="307"/>
      <c r="M97" s="1047"/>
      <c r="N97" s="306"/>
      <c r="O97" s="307"/>
      <c r="P97" s="1047"/>
      <c r="Q97" s="306"/>
      <c r="R97" s="307"/>
      <c r="S97" s="314" t="str">
        <f t="shared" si="16"/>
        <v>ok</v>
      </c>
      <c r="T97" s="314"/>
      <c r="U97" s="314"/>
      <c r="V97" s="314"/>
      <c r="W97" s="314"/>
      <c r="X97" s="314"/>
    </row>
    <row r="98" spans="1:24" s="1427" customFormat="1" ht="16.5" customHeight="1">
      <c r="A98" s="1880" t="s">
        <v>596</v>
      </c>
      <c r="B98" s="1881" t="s">
        <v>2891</v>
      </c>
      <c r="C98" s="1858" t="s">
        <v>49</v>
      </c>
      <c r="D98" s="1859">
        <v>250</v>
      </c>
      <c r="E98" s="1854">
        <v>29.330000000000002</v>
      </c>
      <c r="F98" s="1855">
        <f t="shared" si="25"/>
        <v>7332.5000000000009</v>
      </c>
      <c r="G98" s="2008">
        <v>130</v>
      </c>
      <c r="H98" s="1425">
        <v>3812.9</v>
      </c>
      <c r="I98" s="305">
        <v>0.51999999999999991</v>
      </c>
      <c r="J98" s="312">
        <v>120</v>
      </c>
      <c r="K98" s="1425">
        <f>J98*E98</f>
        <v>3519.6000000000004</v>
      </c>
      <c r="L98" s="305">
        <f t="shared" si="18"/>
        <v>0.48</v>
      </c>
      <c r="M98" s="1047">
        <f t="shared" si="19"/>
        <v>250</v>
      </c>
      <c r="N98" s="1425">
        <f t="shared" si="20"/>
        <v>7332.5</v>
      </c>
      <c r="O98" s="305">
        <f t="shared" si="21"/>
        <v>0.99999999999999989</v>
      </c>
      <c r="P98" s="2022">
        <f t="shared" si="22"/>
        <v>0</v>
      </c>
      <c r="Q98" s="1425">
        <f t="shared" si="23"/>
        <v>0</v>
      </c>
      <c r="R98" s="305">
        <f t="shared" si="24"/>
        <v>0</v>
      </c>
      <c r="S98" s="1426" t="str">
        <f t="shared" si="16"/>
        <v>ok</v>
      </c>
      <c r="T98" s="1426"/>
      <c r="U98" s="1426"/>
      <c r="V98" s="1426"/>
      <c r="W98" s="1426"/>
      <c r="X98" s="1426"/>
    </row>
    <row r="99" spans="1:24" s="313" customFormat="1" ht="16.5" customHeight="1">
      <c r="A99" s="1648">
        <v>1.0900000000000001</v>
      </c>
      <c r="B99" s="1648" t="s">
        <v>2892</v>
      </c>
      <c r="C99" s="1502"/>
      <c r="D99" s="1710"/>
      <c r="E99" s="1312"/>
      <c r="F99" s="1486"/>
      <c r="G99" s="1049"/>
      <c r="H99" s="306"/>
      <c r="I99" s="307"/>
      <c r="J99" s="1046"/>
      <c r="K99" s="306"/>
      <c r="L99" s="307"/>
      <c r="M99" s="1047"/>
      <c r="N99" s="306"/>
      <c r="O99" s="307"/>
      <c r="P99" s="1047"/>
      <c r="Q99" s="306"/>
      <c r="R99" s="307"/>
      <c r="S99" s="314" t="str">
        <f t="shared" si="16"/>
        <v>ok</v>
      </c>
      <c r="T99" s="314"/>
      <c r="U99" s="314"/>
      <c r="V99" s="314"/>
      <c r="W99" s="314"/>
      <c r="X99" s="314"/>
    </row>
    <row r="100" spans="1:24" s="313" customFormat="1" ht="16.5" customHeight="1">
      <c r="A100" s="1337" t="s">
        <v>607</v>
      </c>
      <c r="B100" s="1711" t="s">
        <v>2893</v>
      </c>
      <c r="C100" s="1502" t="s">
        <v>51</v>
      </c>
      <c r="D100" s="1710">
        <v>70</v>
      </c>
      <c r="E100" s="1312">
        <v>11.74</v>
      </c>
      <c r="F100" s="1486">
        <f t="shared" si="25"/>
        <v>821.80000000000007</v>
      </c>
      <c r="G100" s="1049">
        <v>70</v>
      </c>
      <c r="H100" s="306">
        <v>821.8</v>
      </c>
      <c r="I100" s="307">
        <v>0.99999999999999989</v>
      </c>
      <c r="J100" s="1046"/>
      <c r="K100" s="306">
        <f t="shared" si="17"/>
        <v>0</v>
      </c>
      <c r="L100" s="307">
        <f t="shared" si="18"/>
        <v>0</v>
      </c>
      <c r="M100" s="1047">
        <f t="shared" si="19"/>
        <v>70</v>
      </c>
      <c r="N100" s="306">
        <f t="shared" si="20"/>
        <v>821.8</v>
      </c>
      <c r="O100" s="307">
        <f t="shared" si="21"/>
        <v>0.99999999999999989</v>
      </c>
      <c r="P100" s="1047">
        <f t="shared" si="22"/>
        <v>0</v>
      </c>
      <c r="Q100" s="306">
        <f t="shared" si="23"/>
        <v>0</v>
      </c>
      <c r="R100" s="307">
        <f t="shared" si="24"/>
        <v>0</v>
      </c>
      <c r="S100" s="314" t="str">
        <f t="shared" si="16"/>
        <v>ok</v>
      </c>
      <c r="T100" s="314"/>
      <c r="U100" s="314"/>
      <c r="V100" s="314"/>
      <c r="W100" s="314"/>
      <c r="X100" s="314"/>
    </row>
    <row r="101" spans="1:24" s="313" customFormat="1" ht="16.5" customHeight="1">
      <c r="A101" s="1337" t="s">
        <v>611</v>
      </c>
      <c r="B101" s="1711" t="s">
        <v>2894</v>
      </c>
      <c r="C101" s="1502" t="s">
        <v>51</v>
      </c>
      <c r="D101" s="1710">
        <v>350</v>
      </c>
      <c r="E101" s="1312">
        <v>13.51</v>
      </c>
      <c r="F101" s="1486">
        <f t="shared" si="25"/>
        <v>4728.5</v>
      </c>
      <c r="G101" s="1049">
        <v>350</v>
      </c>
      <c r="H101" s="306">
        <v>4728.5</v>
      </c>
      <c r="I101" s="307">
        <v>1</v>
      </c>
      <c r="J101" s="1046"/>
      <c r="K101" s="306">
        <f t="shared" si="17"/>
        <v>0</v>
      </c>
      <c r="L101" s="307">
        <f t="shared" si="18"/>
        <v>0</v>
      </c>
      <c r="M101" s="1047">
        <f t="shared" si="19"/>
        <v>350</v>
      </c>
      <c r="N101" s="306">
        <f t="shared" si="20"/>
        <v>4728.5</v>
      </c>
      <c r="O101" s="307">
        <f t="shared" si="21"/>
        <v>1</v>
      </c>
      <c r="P101" s="1047">
        <f t="shared" si="22"/>
        <v>0</v>
      </c>
      <c r="Q101" s="306">
        <f t="shared" si="23"/>
        <v>0</v>
      </c>
      <c r="R101" s="307">
        <f t="shared" si="24"/>
        <v>0</v>
      </c>
      <c r="S101" s="314" t="str">
        <f t="shared" si="16"/>
        <v>ok</v>
      </c>
      <c r="T101" s="314"/>
      <c r="U101" s="314"/>
      <c r="V101" s="314"/>
      <c r="W101" s="314"/>
      <c r="X101" s="314"/>
    </row>
    <row r="102" spans="1:24" s="313" customFormat="1" ht="16.5" customHeight="1">
      <c r="A102" s="1706" t="s">
        <v>35</v>
      </c>
      <c r="B102" s="1707" t="s">
        <v>1736</v>
      </c>
      <c r="C102" s="1502"/>
      <c r="D102" s="1710"/>
      <c r="E102" s="1312"/>
      <c r="F102" s="1716"/>
      <c r="G102" s="1049"/>
      <c r="H102" s="306"/>
      <c r="I102" s="307"/>
      <c r="J102" s="1046"/>
      <c r="K102" s="306"/>
      <c r="L102" s="307"/>
      <c r="M102" s="1047"/>
      <c r="N102" s="306"/>
      <c r="O102" s="307"/>
      <c r="P102" s="1047"/>
      <c r="Q102" s="306"/>
      <c r="R102" s="307"/>
      <c r="S102" s="314" t="str">
        <f t="shared" si="16"/>
        <v>ok</v>
      </c>
      <c r="T102" s="314"/>
      <c r="U102" s="314"/>
      <c r="V102" s="314"/>
      <c r="W102" s="314"/>
      <c r="X102" s="314"/>
    </row>
    <row r="103" spans="1:24" s="313" customFormat="1" ht="16.5" customHeight="1">
      <c r="A103" s="1648" t="s">
        <v>45</v>
      </c>
      <c r="B103" s="1648" t="s">
        <v>2572</v>
      </c>
      <c r="C103" s="1502"/>
      <c r="D103" s="1710"/>
      <c r="E103" s="1312"/>
      <c r="F103" s="1486"/>
      <c r="G103" s="1049"/>
      <c r="H103" s="306"/>
      <c r="I103" s="307"/>
      <c r="J103" s="1046"/>
      <c r="K103" s="306"/>
      <c r="L103" s="307"/>
      <c r="M103" s="1047"/>
      <c r="N103" s="306"/>
      <c r="O103" s="307"/>
      <c r="P103" s="1047"/>
      <c r="Q103" s="306"/>
      <c r="R103" s="307"/>
      <c r="S103" s="314" t="str">
        <f t="shared" si="16"/>
        <v>ok</v>
      </c>
      <c r="T103" s="314"/>
      <c r="U103" s="314"/>
      <c r="V103" s="314"/>
      <c r="W103" s="314"/>
      <c r="X103" s="314"/>
    </row>
    <row r="104" spans="1:24" s="313" customFormat="1" ht="16.5" customHeight="1">
      <c r="A104" s="1337" t="s">
        <v>675</v>
      </c>
      <c r="B104" s="1711" t="s">
        <v>2895</v>
      </c>
      <c r="C104" s="1502" t="s">
        <v>49</v>
      </c>
      <c r="D104" s="1710">
        <v>475.63</v>
      </c>
      <c r="E104" s="1312">
        <v>55.78</v>
      </c>
      <c r="F104" s="1486">
        <f t="shared" si="25"/>
        <v>26530.6414</v>
      </c>
      <c r="G104" s="1049">
        <v>475.63</v>
      </c>
      <c r="H104" s="306">
        <v>26530.639999999999</v>
      </c>
      <c r="I104" s="307">
        <v>0.99999994723082719</v>
      </c>
      <c r="J104" s="1046"/>
      <c r="K104" s="306">
        <f t="shared" si="17"/>
        <v>0</v>
      </c>
      <c r="L104" s="307">
        <f t="shared" si="18"/>
        <v>0</v>
      </c>
      <c r="M104" s="1047">
        <f t="shared" si="19"/>
        <v>475.63</v>
      </c>
      <c r="N104" s="306">
        <f t="shared" si="20"/>
        <v>26530.639999999999</v>
      </c>
      <c r="O104" s="307">
        <f t="shared" si="21"/>
        <v>0.99999994723082719</v>
      </c>
      <c r="P104" s="1047">
        <f t="shared" si="22"/>
        <v>0</v>
      </c>
      <c r="Q104" s="306">
        <f t="shared" si="23"/>
        <v>1.4000000010128133E-3</v>
      </c>
      <c r="R104" s="307">
        <f t="shared" si="24"/>
        <v>5.2769172818144276E-8</v>
      </c>
      <c r="S104" s="314" t="str">
        <f t="shared" si="16"/>
        <v>ok</v>
      </c>
      <c r="T104" s="314"/>
      <c r="U104" s="314"/>
      <c r="V104" s="314"/>
      <c r="W104" s="314"/>
      <c r="X104" s="314"/>
    </row>
    <row r="105" spans="1:24" s="313" customFormat="1" ht="16.5" customHeight="1">
      <c r="A105" s="1337" t="s">
        <v>679</v>
      </c>
      <c r="B105" s="1711" t="s">
        <v>2896</v>
      </c>
      <c r="C105" s="1502" t="s">
        <v>49</v>
      </c>
      <c r="D105" s="1710">
        <v>10.18</v>
      </c>
      <c r="E105" s="1312">
        <v>69.77</v>
      </c>
      <c r="F105" s="1486">
        <f t="shared" si="25"/>
        <v>710.25859999999989</v>
      </c>
      <c r="G105" s="1049">
        <v>10.18</v>
      </c>
      <c r="H105" s="306">
        <v>710.26</v>
      </c>
      <c r="I105" s="307">
        <v>1.0000019711130568</v>
      </c>
      <c r="J105" s="1046"/>
      <c r="K105" s="306">
        <f t="shared" si="17"/>
        <v>0</v>
      </c>
      <c r="L105" s="307">
        <f t="shared" si="18"/>
        <v>0</v>
      </c>
      <c r="M105" s="1047">
        <f t="shared" si="19"/>
        <v>10.18</v>
      </c>
      <c r="N105" s="306">
        <f t="shared" si="20"/>
        <v>710.26</v>
      </c>
      <c r="O105" s="307">
        <f t="shared" si="21"/>
        <v>1.0000019711130568</v>
      </c>
      <c r="P105" s="1047">
        <f t="shared" si="22"/>
        <v>0</v>
      </c>
      <c r="Q105" s="306">
        <f t="shared" si="23"/>
        <v>-1.4000000001033186E-3</v>
      </c>
      <c r="R105" s="307">
        <f t="shared" si="24"/>
        <v>-1.9711130567138768E-6</v>
      </c>
      <c r="S105" s="314" t="str">
        <f t="shared" si="16"/>
        <v>ok</v>
      </c>
      <c r="T105" s="314"/>
      <c r="U105" s="314"/>
      <c r="V105" s="314"/>
      <c r="W105" s="314"/>
      <c r="X105" s="314"/>
    </row>
    <row r="106" spans="1:24" s="313" customFormat="1" ht="16.5" customHeight="1">
      <c r="A106" s="1337" t="s">
        <v>2897</v>
      </c>
      <c r="B106" s="1711" t="s">
        <v>2898</v>
      </c>
      <c r="C106" s="1502" t="s">
        <v>49</v>
      </c>
      <c r="D106" s="1710">
        <v>338.43</v>
      </c>
      <c r="E106" s="1312">
        <v>74.37</v>
      </c>
      <c r="F106" s="1486">
        <f t="shared" si="25"/>
        <v>25169.039100000002</v>
      </c>
      <c r="G106" s="1049">
        <v>338.43</v>
      </c>
      <c r="H106" s="306">
        <v>25169.040000000001</v>
      </c>
      <c r="I106" s="307">
        <v>1.0000000357582184</v>
      </c>
      <c r="J106" s="1046"/>
      <c r="K106" s="306">
        <f t="shared" si="17"/>
        <v>0</v>
      </c>
      <c r="L106" s="307">
        <f t="shared" si="18"/>
        <v>0</v>
      </c>
      <c r="M106" s="1047">
        <f t="shared" si="19"/>
        <v>338.43</v>
      </c>
      <c r="N106" s="306">
        <f t="shared" si="20"/>
        <v>25169.040000000001</v>
      </c>
      <c r="O106" s="307">
        <f t="shared" si="21"/>
        <v>1.0000000357582184</v>
      </c>
      <c r="P106" s="1047">
        <f t="shared" si="22"/>
        <v>0</v>
      </c>
      <c r="Q106" s="306">
        <f t="shared" si="23"/>
        <v>-8.9999999909196049E-4</v>
      </c>
      <c r="R106" s="307">
        <f t="shared" si="24"/>
        <v>-3.5758218480893868E-8</v>
      </c>
      <c r="S106" s="314" t="str">
        <f t="shared" si="16"/>
        <v>ok</v>
      </c>
      <c r="T106" s="314"/>
      <c r="U106" s="314"/>
      <c r="V106" s="314"/>
      <c r="W106" s="314"/>
      <c r="X106" s="314"/>
    </row>
    <row r="107" spans="1:24" s="313" customFormat="1" ht="16.5" customHeight="1">
      <c r="A107" s="1337" t="s">
        <v>2899</v>
      </c>
      <c r="B107" s="1711" t="s">
        <v>2900</v>
      </c>
      <c r="C107" s="1502" t="s">
        <v>49</v>
      </c>
      <c r="D107" s="1710">
        <v>216.70000000000002</v>
      </c>
      <c r="E107" s="1312">
        <v>25.22</v>
      </c>
      <c r="F107" s="1486">
        <f t="shared" si="25"/>
        <v>5465.174</v>
      </c>
      <c r="G107" s="1049">
        <v>216.7</v>
      </c>
      <c r="H107" s="306">
        <v>5465.17</v>
      </c>
      <c r="I107" s="307">
        <v>0.99999926809283657</v>
      </c>
      <c r="J107" s="1046"/>
      <c r="K107" s="306">
        <f t="shared" si="17"/>
        <v>0</v>
      </c>
      <c r="L107" s="307">
        <f t="shared" si="18"/>
        <v>0</v>
      </c>
      <c r="M107" s="1047">
        <f t="shared" si="19"/>
        <v>216.7</v>
      </c>
      <c r="N107" s="306">
        <f t="shared" si="20"/>
        <v>5465.17</v>
      </c>
      <c r="O107" s="307">
        <f t="shared" si="21"/>
        <v>0.99999926809283657</v>
      </c>
      <c r="P107" s="1047">
        <f t="shared" si="22"/>
        <v>0</v>
      </c>
      <c r="Q107" s="306">
        <f t="shared" si="23"/>
        <v>3.9999999999054126E-3</v>
      </c>
      <c r="R107" s="307">
        <f t="shared" si="24"/>
        <v>7.3190716341426875E-7</v>
      </c>
      <c r="S107" s="314" t="str">
        <f t="shared" si="16"/>
        <v>ok</v>
      </c>
      <c r="T107" s="314"/>
      <c r="U107" s="314"/>
      <c r="V107" s="314"/>
      <c r="W107" s="314"/>
      <c r="X107" s="314"/>
    </row>
    <row r="108" spans="1:24" s="313" customFormat="1" ht="16.5" customHeight="1">
      <c r="A108" s="1709" t="s">
        <v>2901</v>
      </c>
      <c r="B108" s="1709" t="s">
        <v>2902</v>
      </c>
      <c r="C108" s="1502"/>
      <c r="D108" s="1710"/>
      <c r="E108" s="1312"/>
      <c r="F108" s="1486"/>
      <c r="G108" s="1049"/>
      <c r="H108" s="306"/>
      <c r="I108" s="307"/>
      <c r="J108" s="1046"/>
      <c r="K108" s="306"/>
      <c r="L108" s="307"/>
      <c r="M108" s="1047"/>
      <c r="N108" s="306"/>
      <c r="O108" s="307"/>
      <c r="P108" s="1047"/>
      <c r="Q108" s="306"/>
      <c r="R108" s="307"/>
      <c r="S108" s="314" t="str">
        <f t="shared" si="16"/>
        <v>ok</v>
      </c>
      <c r="T108" s="1471">
        <f>SUM(F109:F113)</f>
        <v>4657.6000000000004</v>
      </c>
      <c r="U108" s="314"/>
      <c r="V108" s="314"/>
      <c r="W108" s="314"/>
      <c r="X108" s="314"/>
    </row>
    <row r="109" spans="1:24" s="313" customFormat="1" ht="16.5" customHeight="1">
      <c r="A109" s="1337" t="s">
        <v>2903</v>
      </c>
      <c r="B109" s="1711" t="s">
        <v>2904</v>
      </c>
      <c r="C109" s="1502" t="s">
        <v>52</v>
      </c>
      <c r="D109" s="1710">
        <v>1</v>
      </c>
      <c r="E109" s="1312">
        <v>426.04</v>
      </c>
      <c r="F109" s="1486">
        <f t="shared" si="25"/>
        <v>426.04</v>
      </c>
      <c r="G109" s="1049">
        <v>1</v>
      </c>
      <c r="H109" s="306">
        <v>426.04</v>
      </c>
      <c r="I109" s="307">
        <v>1</v>
      </c>
      <c r="J109" s="1046"/>
      <c r="K109" s="306">
        <f t="shared" si="17"/>
        <v>0</v>
      </c>
      <c r="L109" s="307">
        <f t="shared" si="18"/>
        <v>0</v>
      </c>
      <c r="M109" s="1047">
        <f t="shared" si="19"/>
        <v>1</v>
      </c>
      <c r="N109" s="306">
        <f t="shared" si="20"/>
        <v>426.04</v>
      </c>
      <c r="O109" s="307">
        <f t="shared" si="21"/>
        <v>1</v>
      </c>
      <c r="P109" s="1047">
        <f t="shared" si="22"/>
        <v>0</v>
      </c>
      <c r="Q109" s="306">
        <f t="shared" si="23"/>
        <v>0</v>
      </c>
      <c r="R109" s="307">
        <f t="shared" si="24"/>
        <v>0</v>
      </c>
      <c r="S109" s="314" t="str">
        <f t="shared" si="16"/>
        <v>ok</v>
      </c>
      <c r="T109" s="314"/>
      <c r="U109" s="314"/>
      <c r="V109" s="314"/>
      <c r="W109" s="314"/>
      <c r="X109" s="314"/>
    </row>
    <row r="110" spans="1:24" s="313" customFormat="1" ht="16.5" customHeight="1">
      <c r="A110" s="1337" t="s">
        <v>2905</v>
      </c>
      <c r="B110" s="1711" t="s">
        <v>2906</v>
      </c>
      <c r="C110" s="1502" t="s">
        <v>52</v>
      </c>
      <c r="D110" s="1710">
        <v>1</v>
      </c>
      <c r="E110" s="1312">
        <v>448.45</v>
      </c>
      <c r="F110" s="1486">
        <f t="shared" si="25"/>
        <v>448.45</v>
      </c>
      <c r="G110" s="1049">
        <v>1</v>
      </c>
      <c r="H110" s="306">
        <v>448.45</v>
      </c>
      <c r="I110" s="307">
        <v>1</v>
      </c>
      <c r="J110" s="1046"/>
      <c r="K110" s="306">
        <f t="shared" si="17"/>
        <v>0</v>
      </c>
      <c r="L110" s="307">
        <f t="shared" si="18"/>
        <v>0</v>
      </c>
      <c r="M110" s="1047">
        <f t="shared" si="19"/>
        <v>1</v>
      </c>
      <c r="N110" s="306">
        <f t="shared" si="20"/>
        <v>448.45</v>
      </c>
      <c r="O110" s="307">
        <f t="shared" si="21"/>
        <v>1</v>
      </c>
      <c r="P110" s="1047">
        <f t="shared" si="22"/>
        <v>0</v>
      </c>
      <c r="Q110" s="306">
        <f t="shared" si="23"/>
        <v>0</v>
      </c>
      <c r="R110" s="307">
        <f t="shared" si="24"/>
        <v>0</v>
      </c>
      <c r="S110" s="314" t="str">
        <f t="shared" si="16"/>
        <v>ok</v>
      </c>
      <c r="T110" s="314"/>
      <c r="U110" s="314"/>
      <c r="V110" s="314"/>
      <c r="W110" s="314"/>
      <c r="X110" s="314"/>
    </row>
    <row r="111" spans="1:24" s="313" customFormat="1" ht="16.5" customHeight="1">
      <c r="A111" s="1337" t="s">
        <v>2907</v>
      </c>
      <c r="B111" s="1711" t="s">
        <v>2908</v>
      </c>
      <c r="C111" s="1502" t="s">
        <v>52</v>
      </c>
      <c r="D111" s="1710">
        <v>1</v>
      </c>
      <c r="E111" s="1312">
        <v>491.71000000000004</v>
      </c>
      <c r="F111" s="1486">
        <f t="shared" si="25"/>
        <v>491.71000000000004</v>
      </c>
      <c r="G111" s="1049">
        <v>1</v>
      </c>
      <c r="H111" s="306">
        <v>491.71</v>
      </c>
      <c r="I111" s="307">
        <v>0.99999999999999989</v>
      </c>
      <c r="J111" s="1046"/>
      <c r="K111" s="306">
        <f t="shared" si="17"/>
        <v>0</v>
      </c>
      <c r="L111" s="307">
        <f t="shared" si="18"/>
        <v>0</v>
      </c>
      <c r="M111" s="1047">
        <f t="shared" si="19"/>
        <v>1</v>
      </c>
      <c r="N111" s="306">
        <f t="shared" si="20"/>
        <v>491.71</v>
      </c>
      <c r="O111" s="307">
        <f t="shared" si="21"/>
        <v>0.99999999999999989</v>
      </c>
      <c r="P111" s="1047">
        <f t="shared" si="22"/>
        <v>0</v>
      </c>
      <c r="Q111" s="306">
        <f t="shared" si="23"/>
        <v>0</v>
      </c>
      <c r="R111" s="307">
        <f t="shared" si="24"/>
        <v>0</v>
      </c>
      <c r="S111" s="314" t="str">
        <f t="shared" si="16"/>
        <v>ok</v>
      </c>
      <c r="T111" s="314"/>
      <c r="U111" s="314"/>
      <c r="V111" s="314"/>
      <c r="W111" s="314"/>
      <c r="X111" s="314"/>
    </row>
    <row r="112" spans="1:24" s="313" customFormat="1" ht="16.5" customHeight="1">
      <c r="A112" s="1337" t="s">
        <v>2909</v>
      </c>
      <c r="B112" s="1711" t="s">
        <v>2910</v>
      </c>
      <c r="C112" s="1502" t="s">
        <v>52</v>
      </c>
      <c r="D112" s="1710">
        <v>1</v>
      </c>
      <c r="E112" s="1312">
        <v>1876.3600000000001</v>
      </c>
      <c r="F112" s="1486">
        <f t="shared" si="25"/>
        <v>1876.3600000000001</v>
      </c>
      <c r="G112" s="1049">
        <v>1</v>
      </c>
      <c r="H112" s="306">
        <v>1876.36</v>
      </c>
      <c r="I112" s="307">
        <v>0.99999999999999989</v>
      </c>
      <c r="J112" s="1046"/>
      <c r="K112" s="306">
        <f t="shared" si="17"/>
        <v>0</v>
      </c>
      <c r="L112" s="307">
        <f t="shared" si="18"/>
        <v>0</v>
      </c>
      <c r="M112" s="1047">
        <f t="shared" si="19"/>
        <v>1</v>
      </c>
      <c r="N112" s="306">
        <f t="shared" si="20"/>
        <v>1876.36</v>
      </c>
      <c r="O112" s="307">
        <f t="shared" si="21"/>
        <v>0.99999999999999989</v>
      </c>
      <c r="P112" s="1047">
        <f t="shared" si="22"/>
        <v>0</v>
      </c>
      <c r="Q112" s="306">
        <f t="shared" si="23"/>
        <v>0</v>
      </c>
      <c r="R112" s="307">
        <f t="shared" si="24"/>
        <v>0</v>
      </c>
      <c r="S112" s="314" t="str">
        <f t="shared" si="16"/>
        <v>ok</v>
      </c>
      <c r="T112" s="314"/>
      <c r="U112" s="314"/>
      <c r="V112" s="314"/>
      <c r="W112" s="314"/>
      <c r="X112" s="314"/>
    </row>
    <row r="113" spans="1:24" s="313" customFormat="1" ht="16.5" customHeight="1">
      <c r="A113" s="1337" t="s">
        <v>2911</v>
      </c>
      <c r="B113" s="1711" t="s">
        <v>2912</v>
      </c>
      <c r="C113" s="1502" t="s">
        <v>52</v>
      </c>
      <c r="D113" s="1710">
        <v>8</v>
      </c>
      <c r="E113" s="1312">
        <v>176.88</v>
      </c>
      <c r="F113" s="1486">
        <f t="shared" si="25"/>
        <v>1415.04</v>
      </c>
      <c r="G113" s="1049">
        <v>8</v>
      </c>
      <c r="H113" s="306">
        <v>1415.04</v>
      </c>
      <c r="I113" s="307">
        <v>1</v>
      </c>
      <c r="J113" s="1046"/>
      <c r="K113" s="306">
        <f t="shared" si="17"/>
        <v>0</v>
      </c>
      <c r="L113" s="307">
        <f t="shared" si="18"/>
        <v>0</v>
      </c>
      <c r="M113" s="1047">
        <f t="shared" si="19"/>
        <v>8</v>
      </c>
      <c r="N113" s="306">
        <f t="shared" si="20"/>
        <v>1415.04</v>
      </c>
      <c r="O113" s="307">
        <f t="shared" si="21"/>
        <v>1</v>
      </c>
      <c r="P113" s="1047">
        <f t="shared" si="22"/>
        <v>0</v>
      </c>
      <c r="Q113" s="306">
        <f t="shared" si="23"/>
        <v>0</v>
      </c>
      <c r="R113" s="307">
        <f t="shared" si="24"/>
        <v>0</v>
      </c>
      <c r="S113" s="314" t="str">
        <f t="shared" si="16"/>
        <v>ok</v>
      </c>
      <c r="T113" s="314"/>
      <c r="U113" s="314"/>
      <c r="V113" s="314"/>
      <c r="W113" s="314"/>
      <c r="X113" s="314"/>
    </row>
    <row r="114" spans="1:24" s="313" customFormat="1" ht="16.5" customHeight="1">
      <c r="A114" s="1709" t="s">
        <v>2913</v>
      </c>
      <c r="B114" s="1709" t="s">
        <v>2914</v>
      </c>
      <c r="C114" s="1502"/>
      <c r="D114" s="1710"/>
      <c r="E114" s="1312"/>
      <c r="F114" s="1486"/>
      <c r="G114" s="1049"/>
      <c r="H114" s="306"/>
      <c r="I114" s="307"/>
      <c r="J114" s="1046"/>
      <c r="K114" s="306"/>
      <c r="L114" s="307"/>
      <c r="M114" s="1047"/>
      <c r="N114" s="306"/>
      <c r="O114" s="307"/>
      <c r="P114" s="1047"/>
      <c r="Q114" s="306"/>
      <c r="R114" s="307"/>
      <c r="S114" s="314" t="str">
        <f t="shared" si="16"/>
        <v>ok</v>
      </c>
      <c r="T114" s="314"/>
      <c r="U114" s="314"/>
      <c r="V114" s="314"/>
      <c r="W114" s="314"/>
      <c r="X114" s="314"/>
    </row>
    <row r="115" spans="1:24" s="313" customFormat="1" ht="16.5" customHeight="1">
      <c r="A115" s="1337" t="s">
        <v>2915</v>
      </c>
      <c r="B115" s="1711" t="s">
        <v>2916</v>
      </c>
      <c r="C115" s="1502" t="s">
        <v>49</v>
      </c>
      <c r="D115" s="1710">
        <v>180.87</v>
      </c>
      <c r="E115" s="1312">
        <v>80.36</v>
      </c>
      <c r="F115" s="1486">
        <f t="shared" si="25"/>
        <v>14534.7132</v>
      </c>
      <c r="G115" s="1049">
        <v>0</v>
      </c>
      <c r="H115" s="306">
        <v>0</v>
      </c>
      <c r="I115" s="307">
        <v>0</v>
      </c>
      <c r="J115" s="1046"/>
      <c r="K115" s="306">
        <f t="shared" si="17"/>
        <v>0</v>
      </c>
      <c r="L115" s="307">
        <f t="shared" si="18"/>
        <v>0</v>
      </c>
      <c r="M115" s="1047">
        <f t="shared" si="19"/>
        <v>0</v>
      </c>
      <c r="N115" s="306">
        <f t="shared" si="20"/>
        <v>0</v>
      </c>
      <c r="O115" s="307">
        <f t="shared" si="21"/>
        <v>0</v>
      </c>
      <c r="P115" s="1047">
        <f t="shared" si="22"/>
        <v>180.87</v>
      </c>
      <c r="Q115" s="306">
        <f t="shared" si="23"/>
        <v>14534.7132</v>
      </c>
      <c r="R115" s="307">
        <f t="shared" si="24"/>
        <v>1</v>
      </c>
      <c r="S115" s="314" t="str">
        <f t="shared" si="16"/>
        <v>ok</v>
      </c>
      <c r="T115" s="314"/>
      <c r="U115" s="314"/>
      <c r="V115" s="314"/>
      <c r="W115" s="314"/>
      <c r="X115" s="314"/>
    </row>
    <row r="116" spans="1:24" s="313" customFormat="1" ht="16.5" customHeight="1">
      <c r="A116" s="1709" t="s">
        <v>2917</v>
      </c>
      <c r="B116" s="1709" t="s">
        <v>2918</v>
      </c>
      <c r="C116" s="1502"/>
      <c r="D116" s="1710"/>
      <c r="E116" s="1312"/>
      <c r="F116" s="1486"/>
      <c r="G116" s="1049"/>
      <c r="H116" s="306"/>
      <c r="I116" s="307"/>
      <c r="J116" s="1046"/>
      <c r="K116" s="306"/>
      <c r="L116" s="307"/>
      <c r="M116" s="1047"/>
      <c r="N116" s="306"/>
      <c r="O116" s="307"/>
      <c r="P116" s="1047"/>
      <c r="Q116" s="306"/>
      <c r="R116" s="307"/>
      <c r="S116" s="314" t="str">
        <f t="shared" si="16"/>
        <v>ok</v>
      </c>
      <c r="T116" s="314"/>
      <c r="U116" s="314"/>
      <c r="V116" s="314"/>
      <c r="W116" s="314"/>
      <c r="X116" s="314"/>
    </row>
    <row r="117" spans="1:24" s="313" customFormat="1" ht="16.5" customHeight="1">
      <c r="A117" s="1337" t="s">
        <v>2919</v>
      </c>
      <c r="B117" s="1711" t="s">
        <v>2920</v>
      </c>
      <c r="C117" s="1502" t="s">
        <v>49</v>
      </c>
      <c r="D117" s="1710">
        <v>44.1</v>
      </c>
      <c r="E117" s="1312">
        <v>237.89000000000001</v>
      </c>
      <c r="F117" s="1486">
        <f t="shared" si="25"/>
        <v>10490.949000000001</v>
      </c>
      <c r="G117" s="1049">
        <v>44.1</v>
      </c>
      <c r="H117" s="306">
        <v>10490.95</v>
      </c>
      <c r="I117" s="307">
        <v>1.0000000953202612</v>
      </c>
      <c r="J117" s="1046"/>
      <c r="K117" s="306">
        <f t="shared" si="17"/>
        <v>0</v>
      </c>
      <c r="L117" s="307">
        <f t="shared" si="18"/>
        <v>0</v>
      </c>
      <c r="M117" s="1047">
        <f t="shared" si="19"/>
        <v>44.1</v>
      </c>
      <c r="N117" s="306">
        <f t="shared" si="20"/>
        <v>10490.95</v>
      </c>
      <c r="O117" s="307">
        <f t="shared" si="21"/>
        <v>1.0000000953202612</v>
      </c>
      <c r="P117" s="1047">
        <f t="shared" si="22"/>
        <v>0</v>
      </c>
      <c r="Q117" s="306">
        <f t="shared" si="23"/>
        <v>-1.0000000002037268E-3</v>
      </c>
      <c r="R117" s="307">
        <f t="shared" si="24"/>
        <v>-9.5320261322758003E-8</v>
      </c>
      <c r="S117" s="314" t="str">
        <f t="shared" si="16"/>
        <v>ok</v>
      </c>
      <c r="T117" s="314"/>
      <c r="U117" s="314"/>
      <c r="V117" s="314"/>
      <c r="W117" s="314"/>
      <c r="X117" s="314"/>
    </row>
    <row r="118" spans="1:24" s="313" customFormat="1" ht="16.5" customHeight="1">
      <c r="A118" s="1337" t="s">
        <v>2921</v>
      </c>
      <c r="B118" s="1711" t="s">
        <v>2922</v>
      </c>
      <c r="C118" s="1502" t="s">
        <v>49</v>
      </c>
      <c r="D118" s="1710">
        <v>56.49</v>
      </c>
      <c r="E118" s="1312">
        <v>115.08</v>
      </c>
      <c r="F118" s="1486">
        <f t="shared" si="25"/>
        <v>6500.8692000000001</v>
      </c>
      <c r="G118" s="1049">
        <v>56.49</v>
      </c>
      <c r="H118" s="306">
        <v>6500.87</v>
      </c>
      <c r="I118" s="307">
        <v>1.0000001230604669</v>
      </c>
      <c r="J118" s="1046"/>
      <c r="K118" s="306">
        <f t="shared" si="17"/>
        <v>0</v>
      </c>
      <c r="L118" s="307">
        <f t="shared" si="18"/>
        <v>0</v>
      </c>
      <c r="M118" s="1047">
        <f t="shared" si="19"/>
        <v>56.49</v>
      </c>
      <c r="N118" s="306">
        <f t="shared" si="20"/>
        <v>6500.87</v>
      </c>
      <c r="O118" s="307">
        <f t="shared" si="21"/>
        <v>1.0000001230604669</v>
      </c>
      <c r="P118" s="1047">
        <f t="shared" si="22"/>
        <v>0</v>
      </c>
      <c r="Q118" s="306">
        <f t="shared" si="23"/>
        <v>-7.9999999979918357E-4</v>
      </c>
      <c r="R118" s="307">
        <f t="shared" si="24"/>
        <v>-1.2306046702173052E-7</v>
      </c>
      <c r="S118" s="314" t="str">
        <f t="shared" si="16"/>
        <v>ok</v>
      </c>
      <c r="T118" s="314"/>
      <c r="U118" s="314"/>
      <c r="V118" s="314"/>
      <c r="W118" s="314"/>
      <c r="X118" s="314"/>
    </row>
    <row r="119" spans="1:24" s="313" customFormat="1" ht="16.5" customHeight="1">
      <c r="A119" s="1648" t="s">
        <v>116</v>
      </c>
      <c r="B119" s="1648" t="s">
        <v>2591</v>
      </c>
      <c r="C119" s="1502"/>
      <c r="D119" s="1710"/>
      <c r="E119" s="1312"/>
      <c r="F119" s="1486"/>
      <c r="G119" s="1049"/>
      <c r="H119" s="306"/>
      <c r="I119" s="307"/>
      <c r="J119" s="1046"/>
      <c r="K119" s="306"/>
      <c r="L119" s="307"/>
      <c r="M119" s="1047"/>
      <c r="N119" s="306"/>
      <c r="O119" s="307"/>
      <c r="P119" s="1047"/>
      <c r="Q119" s="306"/>
      <c r="R119" s="307"/>
      <c r="S119" s="314" t="str">
        <f t="shared" si="16"/>
        <v>ok</v>
      </c>
      <c r="T119" s="314"/>
      <c r="U119" s="314"/>
      <c r="V119" s="314"/>
      <c r="W119" s="314"/>
      <c r="X119" s="314"/>
    </row>
    <row r="120" spans="1:24" s="313" customFormat="1" ht="16.5" customHeight="1">
      <c r="A120" s="1337" t="s">
        <v>689</v>
      </c>
      <c r="B120" s="1711" t="s">
        <v>2923</v>
      </c>
      <c r="C120" s="1502" t="s">
        <v>49</v>
      </c>
      <c r="D120" s="1710">
        <v>30.1</v>
      </c>
      <c r="E120" s="1312">
        <v>82</v>
      </c>
      <c r="F120" s="1486">
        <f t="shared" si="25"/>
        <v>2468.2000000000003</v>
      </c>
      <c r="G120" s="1049">
        <v>30.1</v>
      </c>
      <c r="H120" s="306">
        <v>2468.1999999999998</v>
      </c>
      <c r="I120" s="307">
        <v>0.99999999999999978</v>
      </c>
      <c r="J120" s="1046"/>
      <c r="K120" s="306">
        <f t="shared" si="17"/>
        <v>0</v>
      </c>
      <c r="L120" s="307">
        <f t="shared" si="18"/>
        <v>0</v>
      </c>
      <c r="M120" s="1047">
        <f t="shared" si="19"/>
        <v>30.1</v>
      </c>
      <c r="N120" s="306">
        <f t="shared" si="20"/>
        <v>2468.1999999999998</v>
      </c>
      <c r="O120" s="307">
        <f t="shared" si="21"/>
        <v>0.99999999999999978</v>
      </c>
      <c r="P120" s="1047">
        <f t="shared" si="22"/>
        <v>0</v>
      </c>
      <c r="Q120" s="306">
        <f t="shared" si="23"/>
        <v>0</v>
      </c>
      <c r="R120" s="307">
        <f t="shared" si="24"/>
        <v>0</v>
      </c>
      <c r="S120" s="314" t="str">
        <f t="shared" si="16"/>
        <v>ok</v>
      </c>
      <c r="T120" s="314"/>
      <c r="U120" s="314"/>
      <c r="V120" s="314"/>
      <c r="W120" s="314"/>
      <c r="X120" s="314"/>
    </row>
    <row r="121" spans="1:24" s="313" customFormat="1" ht="16.5" customHeight="1">
      <c r="A121" s="1337" t="s">
        <v>693</v>
      </c>
      <c r="B121" s="1711" t="s">
        <v>2924</v>
      </c>
      <c r="C121" s="1502" t="s">
        <v>49</v>
      </c>
      <c r="D121" s="1710">
        <v>10.4</v>
      </c>
      <c r="E121" s="1312">
        <v>115.96000000000001</v>
      </c>
      <c r="F121" s="1486">
        <f t="shared" si="25"/>
        <v>1205.9840000000002</v>
      </c>
      <c r="G121" s="1049">
        <v>10.4</v>
      </c>
      <c r="H121" s="306">
        <v>1205.98</v>
      </c>
      <c r="I121" s="307">
        <v>0.99999668320641055</v>
      </c>
      <c r="J121" s="1046"/>
      <c r="K121" s="306">
        <f t="shared" si="17"/>
        <v>0</v>
      </c>
      <c r="L121" s="307">
        <f t="shared" si="18"/>
        <v>0</v>
      </c>
      <c r="M121" s="1047">
        <f t="shared" si="19"/>
        <v>10.4</v>
      </c>
      <c r="N121" s="306">
        <f t="shared" si="20"/>
        <v>1205.98</v>
      </c>
      <c r="O121" s="307">
        <f t="shared" si="21"/>
        <v>0.99999668320641055</v>
      </c>
      <c r="P121" s="1047">
        <f t="shared" si="22"/>
        <v>0</v>
      </c>
      <c r="Q121" s="306">
        <f t="shared" si="23"/>
        <v>4.0000000001327862E-3</v>
      </c>
      <c r="R121" s="307">
        <f t="shared" si="24"/>
        <v>3.3167935894114565E-6</v>
      </c>
      <c r="S121" s="314" t="str">
        <f t="shared" si="16"/>
        <v>ok</v>
      </c>
      <c r="T121" s="314"/>
      <c r="U121" s="314"/>
      <c r="V121" s="314"/>
      <c r="W121" s="314"/>
      <c r="X121" s="314"/>
    </row>
    <row r="122" spans="1:24" s="313" customFormat="1" ht="16.5" customHeight="1">
      <c r="A122" s="1648" t="s">
        <v>699</v>
      </c>
      <c r="B122" s="1648" t="s">
        <v>2925</v>
      </c>
      <c r="C122" s="1502"/>
      <c r="D122" s="1710"/>
      <c r="E122" s="1312"/>
      <c r="F122" s="1486"/>
      <c r="G122" s="1049"/>
      <c r="H122" s="306"/>
      <c r="I122" s="307"/>
      <c r="J122" s="1046"/>
      <c r="K122" s="306"/>
      <c r="L122" s="307"/>
      <c r="M122" s="1047"/>
      <c r="N122" s="306"/>
      <c r="O122" s="307"/>
      <c r="P122" s="1047"/>
      <c r="Q122" s="306"/>
      <c r="R122" s="307"/>
      <c r="S122" s="314" t="str">
        <f t="shared" si="16"/>
        <v>ok</v>
      </c>
      <c r="T122" s="314"/>
      <c r="U122" s="314"/>
      <c r="V122" s="314"/>
      <c r="W122" s="314"/>
      <c r="X122" s="314"/>
    </row>
    <row r="123" spans="1:24" s="313" customFormat="1" ht="16.5" customHeight="1">
      <c r="A123" s="1337" t="s">
        <v>700</v>
      </c>
      <c r="B123" s="1711" t="s">
        <v>2926</v>
      </c>
      <c r="C123" s="1502" t="s">
        <v>51</v>
      </c>
      <c r="D123" s="1710">
        <v>3.45</v>
      </c>
      <c r="E123" s="1312">
        <v>92.29</v>
      </c>
      <c r="F123" s="1486">
        <f t="shared" si="25"/>
        <v>318.40050000000002</v>
      </c>
      <c r="G123" s="1049">
        <v>0</v>
      </c>
      <c r="H123" s="306">
        <v>0</v>
      </c>
      <c r="I123" s="307">
        <v>0</v>
      </c>
      <c r="J123" s="1046"/>
      <c r="K123" s="306">
        <f t="shared" si="17"/>
        <v>0</v>
      </c>
      <c r="L123" s="307">
        <f t="shared" si="18"/>
        <v>0</v>
      </c>
      <c r="M123" s="1047">
        <f t="shared" si="19"/>
        <v>0</v>
      </c>
      <c r="N123" s="306">
        <f t="shared" si="20"/>
        <v>0</v>
      </c>
      <c r="O123" s="307">
        <f t="shared" si="21"/>
        <v>0</v>
      </c>
      <c r="P123" s="1047">
        <f t="shared" si="22"/>
        <v>3.45</v>
      </c>
      <c r="Q123" s="306">
        <f t="shared" si="23"/>
        <v>318.40050000000002</v>
      </c>
      <c r="R123" s="307">
        <f t="shared" si="24"/>
        <v>1</v>
      </c>
      <c r="S123" s="314" t="str">
        <f t="shared" si="16"/>
        <v>ok</v>
      </c>
      <c r="T123" s="314"/>
      <c r="U123" s="314"/>
      <c r="V123" s="314"/>
      <c r="W123" s="314"/>
      <c r="X123" s="314"/>
    </row>
    <row r="124" spans="1:24" s="313" customFormat="1" ht="16.5" customHeight="1">
      <c r="A124" s="1648" t="s">
        <v>1086</v>
      </c>
      <c r="B124" s="1648" t="s">
        <v>2927</v>
      </c>
      <c r="C124" s="1502"/>
      <c r="D124" s="1710"/>
      <c r="E124" s="1312"/>
      <c r="F124" s="1486"/>
      <c r="G124" s="1049"/>
      <c r="H124" s="306"/>
      <c r="I124" s="307"/>
      <c r="J124" s="1046"/>
      <c r="K124" s="306"/>
      <c r="L124" s="307"/>
      <c r="M124" s="1047"/>
      <c r="N124" s="306"/>
      <c r="O124" s="307"/>
      <c r="P124" s="1047"/>
      <c r="Q124" s="306"/>
      <c r="R124" s="307"/>
      <c r="S124" s="314" t="str">
        <f t="shared" si="16"/>
        <v>ok</v>
      </c>
      <c r="T124" s="314"/>
      <c r="U124" s="314"/>
      <c r="V124" s="314"/>
      <c r="W124" s="314"/>
      <c r="X124" s="314"/>
    </row>
    <row r="125" spans="1:24" s="313" customFormat="1" ht="16.5" customHeight="1">
      <c r="A125" s="1337" t="s">
        <v>1087</v>
      </c>
      <c r="B125" s="1711" t="s">
        <v>2928</v>
      </c>
      <c r="C125" s="1502" t="s">
        <v>49</v>
      </c>
      <c r="D125" s="1710">
        <v>17.28</v>
      </c>
      <c r="E125" s="1312">
        <v>629.03</v>
      </c>
      <c r="F125" s="1486">
        <f t="shared" si="25"/>
        <v>10869.6384</v>
      </c>
      <c r="G125" s="1049">
        <v>10</v>
      </c>
      <c r="H125" s="306">
        <v>6290.3</v>
      </c>
      <c r="I125" s="307">
        <v>0.57870370370370372</v>
      </c>
      <c r="J125" s="1046"/>
      <c r="K125" s="306">
        <f t="shared" si="17"/>
        <v>0</v>
      </c>
      <c r="L125" s="307">
        <f t="shared" si="18"/>
        <v>0</v>
      </c>
      <c r="M125" s="1047">
        <f t="shared" si="19"/>
        <v>10</v>
      </c>
      <c r="N125" s="306">
        <f t="shared" si="20"/>
        <v>6290.3</v>
      </c>
      <c r="O125" s="307">
        <f t="shared" si="21"/>
        <v>0.57870370370370372</v>
      </c>
      <c r="P125" s="1047">
        <f t="shared" si="22"/>
        <v>7.2800000000000011</v>
      </c>
      <c r="Q125" s="306">
        <f t="shared" si="23"/>
        <v>4579.3383999999996</v>
      </c>
      <c r="R125" s="307">
        <f t="shared" si="24"/>
        <v>0.42129629629629628</v>
      </c>
      <c r="S125" s="314" t="str">
        <f t="shared" si="16"/>
        <v>ok</v>
      </c>
      <c r="T125" s="314"/>
      <c r="U125" s="314"/>
      <c r="V125" s="314"/>
      <c r="W125" s="314"/>
      <c r="X125" s="314"/>
    </row>
    <row r="126" spans="1:24" s="313" customFormat="1" ht="16.5" customHeight="1">
      <c r="A126" s="1337" t="s">
        <v>2593</v>
      </c>
      <c r="B126" s="1711" t="s">
        <v>2929</v>
      </c>
      <c r="C126" s="1502" t="s">
        <v>49</v>
      </c>
      <c r="D126" s="1710">
        <v>166.06</v>
      </c>
      <c r="E126" s="1312">
        <v>745.32</v>
      </c>
      <c r="F126" s="1486">
        <f t="shared" si="25"/>
        <v>123767.83920000002</v>
      </c>
      <c r="G126" s="1049">
        <v>166.06</v>
      </c>
      <c r="H126" s="306">
        <v>123767.84</v>
      </c>
      <c r="I126" s="307">
        <v>1.0000000064637145</v>
      </c>
      <c r="J126" s="1046"/>
      <c r="K126" s="306">
        <f t="shared" si="17"/>
        <v>0</v>
      </c>
      <c r="L126" s="307">
        <f t="shared" si="18"/>
        <v>0</v>
      </c>
      <c r="M126" s="1047">
        <f t="shared" si="19"/>
        <v>166.06</v>
      </c>
      <c r="N126" s="306">
        <f t="shared" si="20"/>
        <v>123767.84</v>
      </c>
      <c r="O126" s="307">
        <f t="shared" si="21"/>
        <v>1.0000000064637145</v>
      </c>
      <c r="P126" s="1047">
        <f t="shared" si="22"/>
        <v>0</v>
      </c>
      <c r="Q126" s="306">
        <f t="shared" si="23"/>
        <v>-7.9999997979030013E-4</v>
      </c>
      <c r="R126" s="307">
        <f t="shared" si="24"/>
        <v>-6.4637145235892588E-9</v>
      </c>
      <c r="S126" s="314" t="str">
        <f t="shared" si="16"/>
        <v>ok</v>
      </c>
      <c r="T126" s="314"/>
      <c r="U126" s="314"/>
      <c r="V126" s="314"/>
      <c r="W126" s="314"/>
      <c r="X126" s="314"/>
    </row>
    <row r="127" spans="1:24" s="1427" customFormat="1" ht="16.5" customHeight="1">
      <c r="A127" s="1880" t="s">
        <v>2595</v>
      </c>
      <c r="B127" s="1881" t="s">
        <v>2930</v>
      </c>
      <c r="C127" s="1858" t="s">
        <v>49</v>
      </c>
      <c r="D127" s="1859">
        <v>166.06</v>
      </c>
      <c r="E127" s="1854">
        <v>205.5</v>
      </c>
      <c r="F127" s="1855">
        <f t="shared" si="25"/>
        <v>34125.33</v>
      </c>
      <c r="G127" s="1049">
        <v>125.41</v>
      </c>
      <c r="H127" s="1425">
        <v>25771.759999999998</v>
      </c>
      <c r="I127" s="305">
        <v>0.75520910713537415</v>
      </c>
      <c r="J127" s="1049"/>
      <c r="K127" s="1425">
        <f t="shared" ref="K127:K185" si="26">J127*E127</f>
        <v>0</v>
      </c>
      <c r="L127" s="305">
        <f t="shared" ref="L127:L189" si="27">+K127/$F127</f>
        <v>0</v>
      </c>
      <c r="M127" s="1049">
        <f t="shared" ref="M127:M189" si="28">+G127+J127</f>
        <v>125.41</v>
      </c>
      <c r="N127" s="1425">
        <f t="shared" ref="N127:N189" si="29">ROUND(+M127*E127,2)</f>
        <v>25771.759999999998</v>
      </c>
      <c r="O127" s="305">
        <f t="shared" ref="O127:O189" si="30">+N127/$F127</f>
        <v>0.75520910713537415</v>
      </c>
      <c r="P127" s="1049">
        <f t="shared" ref="P127:P189" si="31">D127-M127</f>
        <v>40.650000000000006</v>
      </c>
      <c r="Q127" s="1425">
        <f t="shared" ref="Q127:Q189" si="32">F127-N127</f>
        <v>8353.5700000000033</v>
      </c>
      <c r="R127" s="305">
        <f t="shared" ref="R127:R189" si="33">+Q127/$F127</f>
        <v>0.24479089286462585</v>
      </c>
      <c r="S127" s="1426" t="str">
        <f t="shared" si="16"/>
        <v>ok</v>
      </c>
      <c r="T127" s="1426"/>
      <c r="U127" s="1426"/>
      <c r="V127" s="1426"/>
      <c r="W127" s="1426"/>
      <c r="X127" s="1426"/>
    </row>
    <row r="128" spans="1:24" s="313" customFormat="1" ht="16.5" customHeight="1">
      <c r="A128" s="1337" t="s">
        <v>2597</v>
      </c>
      <c r="B128" s="1711" t="s">
        <v>2931</v>
      </c>
      <c r="C128" s="1502" t="s">
        <v>49</v>
      </c>
      <c r="D128" s="1710">
        <v>1.62</v>
      </c>
      <c r="E128" s="1312">
        <v>278.82</v>
      </c>
      <c r="F128" s="1486">
        <f t="shared" si="25"/>
        <v>451.6884</v>
      </c>
      <c r="G128" s="1049">
        <v>0</v>
      </c>
      <c r="H128" s="306">
        <v>0</v>
      </c>
      <c r="I128" s="307">
        <v>0</v>
      </c>
      <c r="J128" s="1046"/>
      <c r="K128" s="306">
        <f t="shared" si="26"/>
        <v>0</v>
      </c>
      <c r="L128" s="307">
        <f t="shared" si="27"/>
        <v>0</v>
      </c>
      <c r="M128" s="1047">
        <f t="shared" si="28"/>
        <v>0</v>
      </c>
      <c r="N128" s="306">
        <f t="shared" si="29"/>
        <v>0</v>
      </c>
      <c r="O128" s="307">
        <f t="shared" si="30"/>
        <v>0</v>
      </c>
      <c r="P128" s="1047">
        <f t="shared" si="31"/>
        <v>1.62</v>
      </c>
      <c r="Q128" s="306">
        <f t="shared" si="32"/>
        <v>451.6884</v>
      </c>
      <c r="R128" s="307">
        <f t="shared" si="33"/>
        <v>1</v>
      </c>
      <c r="S128" s="314" t="str">
        <f t="shared" si="16"/>
        <v>ok</v>
      </c>
      <c r="T128" s="314"/>
      <c r="U128" s="314"/>
      <c r="V128" s="314"/>
      <c r="W128" s="314"/>
      <c r="X128" s="314"/>
    </row>
    <row r="129" spans="1:24" s="313" customFormat="1" ht="16.5" customHeight="1">
      <c r="A129" s="1648" t="s">
        <v>2611</v>
      </c>
      <c r="B129" s="1648" t="s">
        <v>2932</v>
      </c>
      <c r="C129" s="1502"/>
      <c r="D129" s="1710"/>
      <c r="E129" s="1312"/>
      <c r="F129" s="1486"/>
      <c r="G129" s="1049"/>
      <c r="H129" s="306"/>
      <c r="I129" s="307"/>
      <c r="J129" s="1046"/>
      <c r="K129" s="306"/>
      <c r="L129" s="307"/>
      <c r="M129" s="1047"/>
      <c r="N129" s="306"/>
      <c r="O129" s="307"/>
      <c r="P129" s="1047"/>
      <c r="Q129" s="306"/>
      <c r="R129" s="307"/>
      <c r="S129" s="314" t="str">
        <f t="shared" si="16"/>
        <v>ok</v>
      </c>
      <c r="T129" s="314"/>
      <c r="U129" s="314"/>
      <c r="V129" s="314"/>
      <c r="W129" s="314"/>
      <c r="X129" s="314"/>
    </row>
    <row r="130" spans="1:24" s="313" customFormat="1" ht="16.5" customHeight="1">
      <c r="A130" s="1709" t="s">
        <v>2612</v>
      </c>
      <c r="B130" s="1709" t="s">
        <v>2933</v>
      </c>
      <c r="C130" s="1502"/>
      <c r="D130" s="1710"/>
      <c r="E130" s="1312"/>
      <c r="F130" s="1486"/>
      <c r="G130" s="1049"/>
      <c r="H130" s="306"/>
      <c r="I130" s="307"/>
      <c r="J130" s="1046"/>
      <c r="K130" s="306"/>
      <c r="L130" s="307"/>
      <c r="M130" s="1047"/>
      <c r="N130" s="306"/>
      <c r="O130" s="307"/>
      <c r="P130" s="1047"/>
      <c r="Q130" s="306"/>
      <c r="R130" s="307"/>
      <c r="S130" s="314" t="str">
        <f t="shared" si="16"/>
        <v>ok</v>
      </c>
      <c r="T130" s="314"/>
      <c r="U130" s="314"/>
      <c r="V130" s="314"/>
      <c r="W130" s="314"/>
      <c r="X130" s="314"/>
    </row>
    <row r="131" spans="1:24" s="313" customFormat="1" ht="16.5" customHeight="1">
      <c r="A131" s="1337" t="s">
        <v>2934</v>
      </c>
      <c r="B131" s="1711" t="s">
        <v>2935</v>
      </c>
      <c r="C131" s="1502" t="s">
        <v>52</v>
      </c>
      <c r="D131" s="1710">
        <v>2</v>
      </c>
      <c r="E131" s="1312">
        <v>2220.04</v>
      </c>
      <c r="F131" s="1486">
        <f t="shared" si="25"/>
        <v>4440.08</v>
      </c>
      <c r="G131" s="1049">
        <v>0</v>
      </c>
      <c r="H131" s="306">
        <v>0</v>
      </c>
      <c r="I131" s="307">
        <v>0</v>
      </c>
      <c r="J131" s="1046"/>
      <c r="K131" s="306">
        <f t="shared" si="26"/>
        <v>0</v>
      </c>
      <c r="L131" s="307">
        <f t="shared" si="27"/>
        <v>0</v>
      </c>
      <c r="M131" s="1047">
        <f t="shared" si="28"/>
        <v>0</v>
      </c>
      <c r="N131" s="306">
        <f t="shared" si="29"/>
        <v>0</v>
      </c>
      <c r="O131" s="307">
        <f t="shared" si="30"/>
        <v>0</v>
      </c>
      <c r="P131" s="1047">
        <f t="shared" si="31"/>
        <v>2</v>
      </c>
      <c r="Q131" s="306">
        <f t="shared" si="32"/>
        <v>4440.08</v>
      </c>
      <c r="R131" s="307">
        <f t="shared" si="33"/>
        <v>1</v>
      </c>
      <c r="S131" s="314" t="str">
        <f t="shared" si="16"/>
        <v>ok</v>
      </c>
      <c r="T131" s="314"/>
      <c r="U131" s="314"/>
      <c r="V131" s="314"/>
      <c r="W131" s="314"/>
      <c r="X131" s="314"/>
    </row>
    <row r="132" spans="1:24" s="313" customFormat="1" ht="16.5" customHeight="1">
      <c r="A132" s="1337" t="s">
        <v>2936</v>
      </c>
      <c r="B132" s="1711" t="s">
        <v>2937</v>
      </c>
      <c r="C132" s="1502" t="s">
        <v>52</v>
      </c>
      <c r="D132" s="1710">
        <v>12</v>
      </c>
      <c r="E132" s="1312">
        <v>3019.82</v>
      </c>
      <c r="F132" s="1486">
        <f t="shared" si="25"/>
        <v>36237.840000000004</v>
      </c>
      <c r="G132" s="1049">
        <v>0</v>
      </c>
      <c r="H132" s="306">
        <v>0</v>
      </c>
      <c r="I132" s="307">
        <v>0</v>
      </c>
      <c r="J132" s="1046"/>
      <c r="K132" s="306">
        <f t="shared" si="26"/>
        <v>0</v>
      </c>
      <c r="L132" s="307">
        <f t="shared" si="27"/>
        <v>0</v>
      </c>
      <c r="M132" s="1047">
        <f t="shared" si="28"/>
        <v>0</v>
      </c>
      <c r="N132" s="306">
        <f t="shared" si="29"/>
        <v>0</v>
      </c>
      <c r="O132" s="307">
        <f t="shared" si="30"/>
        <v>0</v>
      </c>
      <c r="P132" s="1047">
        <f t="shared" si="31"/>
        <v>12</v>
      </c>
      <c r="Q132" s="306">
        <f t="shared" si="32"/>
        <v>36237.840000000004</v>
      </c>
      <c r="R132" s="307">
        <f t="shared" si="33"/>
        <v>1</v>
      </c>
      <c r="S132" s="314" t="str">
        <f t="shared" si="16"/>
        <v>ok</v>
      </c>
      <c r="T132" s="314"/>
      <c r="U132" s="314"/>
      <c r="V132" s="314"/>
      <c r="W132" s="314"/>
      <c r="X132" s="314"/>
    </row>
    <row r="133" spans="1:24" s="313" customFormat="1" ht="16.5" customHeight="1">
      <c r="A133" s="1337" t="s">
        <v>2938</v>
      </c>
      <c r="B133" s="1711" t="s">
        <v>2939</v>
      </c>
      <c r="C133" s="1502" t="s">
        <v>52</v>
      </c>
      <c r="D133" s="1710">
        <v>13</v>
      </c>
      <c r="E133" s="1312">
        <v>556.88</v>
      </c>
      <c r="F133" s="1486">
        <f t="shared" si="25"/>
        <v>7239.44</v>
      </c>
      <c r="G133" s="1049">
        <v>0</v>
      </c>
      <c r="H133" s="306">
        <v>0</v>
      </c>
      <c r="I133" s="307">
        <v>0</v>
      </c>
      <c r="J133" s="1046"/>
      <c r="K133" s="306">
        <f t="shared" si="26"/>
        <v>0</v>
      </c>
      <c r="L133" s="307">
        <f t="shared" si="27"/>
        <v>0</v>
      </c>
      <c r="M133" s="1047">
        <f t="shared" si="28"/>
        <v>0</v>
      </c>
      <c r="N133" s="306">
        <f t="shared" si="29"/>
        <v>0</v>
      </c>
      <c r="O133" s="307">
        <f t="shared" si="30"/>
        <v>0</v>
      </c>
      <c r="P133" s="1047">
        <f t="shared" si="31"/>
        <v>13</v>
      </c>
      <c r="Q133" s="306">
        <f t="shared" si="32"/>
        <v>7239.44</v>
      </c>
      <c r="R133" s="307">
        <f t="shared" si="33"/>
        <v>1</v>
      </c>
      <c r="S133" s="314" t="str">
        <f t="shared" si="16"/>
        <v>ok</v>
      </c>
      <c r="T133" s="314"/>
      <c r="U133" s="314"/>
      <c r="V133" s="314"/>
      <c r="W133" s="314"/>
      <c r="X133" s="314"/>
    </row>
    <row r="134" spans="1:24" s="313" customFormat="1" ht="16.5" customHeight="1">
      <c r="A134" s="1709" t="s">
        <v>2614</v>
      </c>
      <c r="B134" s="1709" t="s">
        <v>2940</v>
      </c>
      <c r="C134" s="1502"/>
      <c r="D134" s="1710"/>
      <c r="E134" s="1312"/>
      <c r="F134" s="1486"/>
      <c r="G134" s="1049"/>
      <c r="H134" s="306"/>
      <c r="I134" s="307"/>
      <c r="J134" s="1046"/>
      <c r="K134" s="306"/>
      <c r="L134" s="307"/>
      <c r="M134" s="1047"/>
      <c r="N134" s="306"/>
      <c r="O134" s="307"/>
      <c r="P134" s="1047"/>
      <c r="Q134" s="306"/>
      <c r="R134" s="307"/>
      <c r="S134" s="314" t="str">
        <f t="shared" si="16"/>
        <v>ok</v>
      </c>
      <c r="T134" s="314"/>
      <c r="U134" s="314"/>
      <c r="V134" s="314"/>
      <c r="W134" s="314"/>
      <c r="X134" s="314"/>
    </row>
    <row r="135" spans="1:24" s="1427" customFormat="1" ht="16.5" customHeight="1">
      <c r="A135" s="1880" t="s">
        <v>2941</v>
      </c>
      <c r="B135" s="1881" t="s">
        <v>2942</v>
      </c>
      <c r="C135" s="1858" t="s">
        <v>268</v>
      </c>
      <c r="D135" s="1859">
        <v>1</v>
      </c>
      <c r="E135" s="1854">
        <v>15888.220000000001</v>
      </c>
      <c r="F135" s="1855">
        <f t="shared" si="25"/>
        <v>15888.220000000001</v>
      </c>
      <c r="G135" s="2008">
        <v>0</v>
      </c>
      <c r="H135" s="2008">
        <v>0</v>
      </c>
      <c r="I135" s="305">
        <v>0</v>
      </c>
      <c r="J135" s="312">
        <v>1</v>
      </c>
      <c r="K135" s="1425">
        <f>J135*E135</f>
        <v>15888.220000000001</v>
      </c>
      <c r="L135" s="305">
        <f t="shared" si="27"/>
        <v>1</v>
      </c>
      <c r="M135" s="1047">
        <f t="shared" si="28"/>
        <v>1</v>
      </c>
      <c r="N135" s="1425">
        <f t="shared" si="29"/>
        <v>15888.22</v>
      </c>
      <c r="O135" s="305">
        <f t="shared" si="30"/>
        <v>0.99999999999999989</v>
      </c>
      <c r="P135" s="2022">
        <f t="shared" si="31"/>
        <v>0</v>
      </c>
      <c r="Q135" s="1425">
        <f t="shared" si="32"/>
        <v>0</v>
      </c>
      <c r="R135" s="305">
        <f t="shared" si="33"/>
        <v>0</v>
      </c>
      <c r="S135" s="1426" t="str">
        <f t="shared" si="16"/>
        <v>ok</v>
      </c>
      <c r="T135" s="1426"/>
      <c r="U135" s="1426"/>
      <c r="V135" s="1426"/>
      <c r="W135" s="1426"/>
      <c r="X135" s="1426"/>
    </row>
    <row r="136" spans="1:24" s="1427" customFormat="1" ht="16.5" customHeight="1">
      <c r="A136" s="1880" t="s">
        <v>2943</v>
      </c>
      <c r="B136" s="1881" t="s">
        <v>2944</v>
      </c>
      <c r="C136" s="1858" t="s">
        <v>268</v>
      </c>
      <c r="D136" s="1859">
        <v>1</v>
      </c>
      <c r="E136" s="1854">
        <v>2246.2800000000002</v>
      </c>
      <c r="F136" s="1855">
        <f t="shared" si="25"/>
        <v>2246.2800000000002</v>
      </c>
      <c r="G136" s="2008">
        <v>0.7</v>
      </c>
      <c r="H136" s="1425">
        <v>1572.4</v>
      </c>
      <c r="I136" s="305">
        <v>0.70000178072190467</v>
      </c>
      <c r="J136" s="312">
        <v>0.3</v>
      </c>
      <c r="K136" s="1425">
        <f>J136*E136</f>
        <v>673.88400000000001</v>
      </c>
      <c r="L136" s="305">
        <f t="shared" si="27"/>
        <v>0.3</v>
      </c>
      <c r="M136" s="1047">
        <f t="shared" si="28"/>
        <v>1</v>
      </c>
      <c r="N136" s="1425">
        <f t="shared" si="29"/>
        <v>2246.2800000000002</v>
      </c>
      <c r="O136" s="305">
        <f t="shared" si="30"/>
        <v>1</v>
      </c>
      <c r="P136" s="2022">
        <f t="shared" si="31"/>
        <v>0</v>
      </c>
      <c r="Q136" s="1425">
        <f t="shared" si="32"/>
        <v>0</v>
      </c>
      <c r="R136" s="305">
        <f t="shared" si="33"/>
        <v>0</v>
      </c>
      <c r="S136" s="1426" t="str">
        <f t="shared" si="16"/>
        <v>ok</v>
      </c>
      <c r="T136" s="1426"/>
      <c r="U136" s="1426"/>
      <c r="V136" s="1426"/>
      <c r="W136" s="1426"/>
      <c r="X136" s="1426"/>
    </row>
    <row r="137" spans="1:24" s="1427" customFormat="1" ht="16.5" customHeight="1">
      <c r="A137" s="1880" t="s">
        <v>2945</v>
      </c>
      <c r="B137" s="1881" t="s">
        <v>2946</v>
      </c>
      <c r="C137" s="1858" t="s">
        <v>268</v>
      </c>
      <c r="D137" s="1859">
        <v>1</v>
      </c>
      <c r="E137" s="1854">
        <v>666.28</v>
      </c>
      <c r="F137" s="1855">
        <f t="shared" si="25"/>
        <v>666.28</v>
      </c>
      <c r="G137" s="2008">
        <v>0.5</v>
      </c>
      <c r="H137" s="1425">
        <v>333.14</v>
      </c>
      <c r="I137" s="305">
        <v>0.5</v>
      </c>
      <c r="J137" s="312">
        <v>0.5</v>
      </c>
      <c r="K137" s="1425">
        <f t="shared" si="26"/>
        <v>333.14</v>
      </c>
      <c r="L137" s="305">
        <f t="shared" si="27"/>
        <v>0.5</v>
      </c>
      <c r="M137" s="1047">
        <f t="shared" si="28"/>
        <v>1</v>
      </c>
      <c r="N137" s="1425">
        <f t="shared" si="29"/>
        <v>666.28</v>
      </c>
      <c r="O137" s="305">
        <f t="shared" si="30"/>
        <v>1</v>
      </c>
      <c r="P137" s="2022">
        <f t="shared" si="31"/>
        <v>0</v>
      </c>
      <c r="Q137" s="1425">
        <f t="shared" si="32"/>
        <v>0</v>
      </c>
      <c r="R137" s="305">
        <f t="shared" si="33"/>
        <v>0</v>
      </c>
      <c r="S137" s="1426" t="str">
        <f t="shared" si="16"/>
        <v>ok</v>
      </c>
      <c r="T137" s="1426"/>
      <c r="U137" s="1426"/>
      <c r="V137" s="1426"/>
      <c r="W137" s="1426"/>
      <c r="X137" s="1426"/>
    </row>
    <row r="138" spans="1:24" s="1427" customFormat="1" ht="16.5" customHeight="1">
      <c r="A138" s="1880" t="s">
        <v>4271</v>
      </c>
      <c r="B138" s="1881" t="s">
        <v>2948</v>
      </c>
      <c r="C138" s="1858" t="s">
        <v>268</v>
      </c>
      <c r="D138" s="1859">
        <v>1</v>
      </c>
      <c r="E138" s="1854">
        <v>626.28</v>
      </c>
      <c r="F138" s="1855">
        <f t="shared" si="25"/>
        <v>626.28</v>
      </c>
      <c r="G138" s="2008">
        <v>0.5</v>
      </c>
      <c r="H138" s="1425">
        <v>313.14</v>
      </c>
      <c r="I138" s="305">
        <v>0.5</v>
      </c>
      <c r="J138" s="312">
        <v>0.5</v>
      </c>
      <c r="K138" s="1425">
        <f t="shared" si="26"/>
        <v>313.14</v>
      </c>
      <c r="L138" s="305">
        <f t="shared" si="27"/>
        <v>0.5</v>
      </c>
      <c r="M138" s="1047">
        <f t="shared" si="28"/>
        <v>1</v>
      </c>
      <c r="N138" s="1425">
        <f t="shared" si="29"/>
        <v>626.28</v>
      </c>
      <c r="O138" s="305">
        <f t="shared" si="30"/>
        <v>1</v>
      </c>
      <c r="P138" s="2022">
        <f t="shared" si="31"/>
        <v>0</v>
      </c>
      <c r="Q138" s="1425">
        <f t="shared" si="32"/>
        <v>0</v>
      </c>
      <c r="R138" s="305">
        <f t="shared" si="33"/>
        <v>0</v>
      </c>
      <c r="S138" s="1426" t="str">
        <f t="shared" si="16"/>
        <v>ok</v>
      </c>
      <c r="T138" s="1426"/>
      <c r="U138" s="1426"/>
      <c r="V138" s="1426"/>
      <c r="W138" s="1426"/>
      <c r="X138" s="1426"/>
    </row>
    <row r="139" spans="1:24" s="1427" customFormat="1" ht="16.5" customHeight="1">
      <c r="A139" s="1880" t="s">
        <v>2949</v>
      </c>
      <c r="B139" s="1881" t="s">
        <v>2950</v>
      </c>
      <c r="C139" s="1858" t="s">
        <v>268</v>
      </c>
      <c r="D139" s="1859">
        <v>1</v>
      </c>
      <c r="E139" s="1854">
        <v>1218.22</v>
      </c>
      <c r="F139" s="1855">
        <f t="shared" si="25"/>
        <v>1218.22</v>
      </c>
      <c r="G139" s="2008">
        <v>0.5</v>
      </c>
      <c r="H139" s="1425">
        <v>609.11</v>
      </c>
      <c r="I139" s="305">
        <v>0.5</v>
      </c>
      <c r="J139" s="312">
        <v>0.5</v>
      </c>
      <c r="K139" s="1425">
        <f t="shared" si="26"/>
        <v>609.11</v>
      </c>
      <c r="L139" s="305">
        <f t="shared" si="27"/>
        <v>0.5</v>
      </c>
      <c r="M139" s="1047">
        <f t="shared" si="28"/>
        <v>1</v>
      </c>
      <c r="N139" s="1425">
        <f t="shared" si="29"/>
        <v>1218.22</v>
      </c>
      <c r="O139" s="305">
        <f t="shared" si="30"/>
        <v>1</v>
      </c>
      <c r="P139" s="2022">
        <f t="shared" si="31"/>
        <v>0</v>
      </c>
      <c r="Q139" s="1425">
        <f t="shared" si="32"/>
        <v>0</v>
      </c>
      <c r="R139" s="305">
        <f t="shared" si="33"/>
        <v>0</v>
      </c>
      <c r="S139" s="1426" t="str">
        <f t="shared" si="16"/>
        <v>ok</v>
      </c>
      <c r="T139" s="1426"/>
      <c r="U139" s="1426"/>
      <c r="V139" s="1426"/>
      <c r="W139" s="1426"/>
      <c r="X139" s="1426"/>
    </row>
    <row r="140" spans="1:24" s="313" customFormat="1" ht="16.5" customHeight="1">
      <c r="A140" s="1648" t="s">
        <v>2616</v>
      </c>
      <c r="B140" s="1648" t="s">
        <v>2951</v>
      </c>
      <c r="C140" s="1502"/>
      <c r="D140" s="1710"/>
      <c r="E140" s="1312"/>
      <c r="F140" s="1486"/>
      <c r="G140" s="1049"/>
      <c r="H140" s="306"/>
      <c r="I140" s="307"/>
      <c r="J140" s="1046"/>
      <c r="K140" s="306"/>
      <c r="L140" s="307"/>
      <c r="M140" s="1047"/>
      <c r="N140" s="306"/>
      <c r="O140" s="307"/>
      <c r="P140" s="1047"/>
      <c r="Q140" s="306"/>
      <c r="R140" s="307"/>
      <c r="S140" s="314" t="str">
        <f t="shared" si="16"/>
        <v>ok</v>
      </c>
      <c r="T140" s="314"/>
      <c r="U140" s="314"/>
      <c r="V140" s="314"/>
      <c r="W140" s="314"/>
      <c r="X140" s="314"/>
    </row>
    <row r="141" spans="1:24" s="313" customFormat="1" ht="16.5" customHeight="1">
      <c r="A141" s="1709" t="s">
        <v>2617</v>
      </c>
      <c r="B141" s="1709" t="s">
        <v>2952</v>
      </c>
      <c r="C141" s="1502"/>
      <c r="D141" s="1710"/>
      <c r="E141" s="1312"/>
      <c r="F141" s="1486"/>
      <c r="G141" s="1049"/>
      <c r="H141" s="306"/>
      <c r="I141" s="307"/>
      <c r="J141" s="1046"/>
      <c r="K141" s="306"/>
      <c r="L141" s="307"/>
      <c r="M141" s="1047"/>
      <c r="N141" s="306"/>
      <c r="O141" s="307"/>
      <c r="P141" s="1047"/>
      <c r="Q141" s="306"/>
      <c r="R141" s="307"/>
      <c r="S141" s="314" t="str">
        <f t="shared" si="16"/>
        <v>ok</v>
      </c>
      <c r="T141" s="314"/>
      <c r="U141" s="314"/>
      <c r="V141" s="314"/>
      <c r="W141" s="314"/>
      <c r="X141" s="314"/>
    </row>
    <row r="142" spans="1:24" s="313" customFormat="1" ht="16.5" customHeight="1">
      <c r="A142" s="1337" t="s">
        <v>2953</v>
      </c>
      <c r="B142" s="1711" t="s">
        <v>2954</v>
      </c>
      <c r="C142" s="1502" t="s">
        <v>52</v>
      </c>
      <c r="D142" s="1710">
        <v>1</v>
      </c>
      <c r="E142" s="1312">
        <v>2387.1</v>
      </c>
      <c r="F142" s="1486">
        <f t="shared" si="25"/>
        <v>2387.1</v>
      </c>
      <c r="G142" s="1049">
        <v>0</v>
      </c>
      <c r="H142" s="306">
        <v>0</v>
      </c>
      <c r="I142" s="307">
        <v>0</v>
      </c>
      <c r="J142" s="1046"/>
      <c r="K142" s="306">
        <f t="shared" si="26"/>
        <v>0</v>
      </c>
      <c r="L142" s="307">
        <f t="shared" si="27"/>
        <v>0</v>
      </c>
      <c r="M142" s="1047">
        <f t="shared" si="28"/>
        <v>0</v>
      </c>
      <c r="N142" s="306">
        <f t="shared" si="29"/>
        <v>0</v>
      </c>
      <c r="O142" s="307">
        <f t="shared" si="30"/>
        <v>0</v>
      </c>
      <c r="P142" s="1047">
        <f t="shared" si="31"/>
        <v>1</v>
      </c>
      <c r="Q142" s="306">
        <f t="shared" si="32"/>
        <v>2387.1</v>
      </c>
      <c r="R142" s="307">
        <f t="shared" si="33"/>
        <v>1</v>
      </c>
      <c r="S142" s="314" t="str">
        <f t="shared" si="16"/>
        <v>ok</v>
      </c>
      <c r="T142" s="314"/>
      <c r="U142" s="314"/>
      <c r="V142" s="314"/>
      <c r="W142" s="314"/>
      <c r="X142" s="314"/>
    </row>
    <row r="143" spans="1:24" s="313" customFormat="1" ht="16.5" customHeight="1">
      <c r="A143" s="1337" t="s">
        <v>2955</v>
      </c>
      <c r="B143" s="1711" t="s">
        <v>2956</v>
      </c>
      <c r="C143" s="1502" t="s">
        <v>52</v>
      </c>
      <c r="D143" s="1710">
        <v>1</v>
      </c>
      <c r="E143" s="1312">
        <v>1586.3600000000001</v>
      </c>
      <c r="F143" s="1486">
        <f t="shared" si="25"/>
        <v>1586.3600000000001</v>
      </c>
      <c r="G143" s="1049">
        <v>0</v>
      </c>
      <c r="H143" s="306">
        <v>0</v>
      </c>
      <c r="I143" s="307">
        <v>0</v>
      </c>
      <c r="J143" s="1046"/>
      <c r="K143" s="306">
        <f t="shared" si="26"/>
        <v>0</v>
      </c>
      <c r="L143" s="307">
        <f t="shared" si="27"/>
        <v>0</v>
      </c>
      <c r="M143" s="1047">
        <f t="shared" si="28"/>
        <v>0</v>
      </c>
      <c r="N143" s="306">
        <f t="shared" si="29"/>
        <v>0</v>
      </c>
      <c r="O143" s="307">
        <f t="shared" si="30"/>
        <v>0</v>
      </c>
      <c r="P143" s="1047">
        <f t="shared" si="31"/>
        <v>1</v>
      </c>
      <c r="Q143" s="306">
        <f t="shared" si="32"/>
        <v>1586.3600000000001</v>
      </c>
      <c r="R143" s="307">
        <f t="shared" si="33"/>
        <v>1</v>
      </c>
      <c r="S143" s="314" t="str">
        <f t="shared" si="16"/>
        <v>ok</v>
      </c>
      <c r="T143" s="314"/>
      <c r="U143" s="314"/>
      <c r="V143" s="314"/>
      <c r="W143" s="314"/>
      <c r="X143" s="314"/>
    </row>
    <row r="144" spans="1:24" s="313" customFormat="1" ht="16.5" customHeight="1">
      <c r="A144" s="1337" t="s">
        <v>2957</v>
      </c>
      <c r="B144" s="1711" t="s">
        <v>2958</v>
      </c>
      <c r="C144" s="1502" t="s">
        <v>52</v>
      </c>
      <c r="D144" s="1710">
        <v>1</v>
      </c>
      <c r="E144" s="1312">
        <v>3186.66</v>
      </c>
      <c r="F144" s="1486">
        <f t="shared" si="25"/>
        <v>3186.66</v>
      </c>
      <c r="G144" s="1049">
        <v>0</v>
      </c>
      <c r="H144" s="306">
        <v>0</v>
      </c>
      <c r="I144" s="307">
        <v>0</v>
      </c>
      <c r="J144" s="1046"/>
      <c r="K144" s="306">
        <f t="shared" si="26"/>
        <v>0</v>
      </c>
      <c r="L144" s="307">
        <f t="shared" si="27"/>
        <v>0</v>
      </c>
      <c r="M144" s="1047">
        <f t="shared" si="28"/>
        <v>0</v>
      </c>
      <c r="N144" s="306">
        <f t="shared" si="29"/>
        <v>0</v>
      </c>
      <c r="O144" s="307">
        <f t="shared" si="30"/>
        <v>0</v>
      </c>
      <c r="P144" s="1047">
        <f t="shared" si="31"/>
        <v>1</v>
      </c>
      <c r="Q144" s="306">
        <f t="shared" si="32"/>
        <v>3186.66</v>
      </c>
      <c r="R144" s="307">
        <f t="shared" si="33"/>
        <v>1</v>
      </c>
      <c r="S144" s="314" t="str">
        <f t="shared" si="16"/>
        <v>ok</v>
      </c>
      <c r="T144" s="314"/>
      <c r="U144" s="314"/>
      <c r="V144" s="314"/>
      <c r="W144" s="314"/>
      <c r="X144" s="314"/>
    </row>
    <row r="145" spans="1:24" s="313" customFormat="1" ht="16.5" customHeight="1">
      <c r="A145" s="1337" t="s">
        <v>2959</v>
      </c>
      <c r="B145" s="1711" t="s">
        <v>2960</v>
      </c>
      <c r="C145" s="1502" t="s">
        <v>52</v>
      </c>
      <c r="D145" s="1710">
        <v>1</v>
      </c>
      <c r="E145" s="1312">
        <v>2959.56</v>
      </c>
      <c r="F145" s="1486">
        <f t="shared" si="25"/>
        <v>2959.56</v>
      </c>
      <c r="G145" s="1049">
        <v>0</v>
      </c>
      <c r="H145" s="306">
        <v>0</v>
      </c>
      <c r="I145" s="307">
        <v>0</v>
      </c>
      <c r="J145" s="1046"/>
      <c r="K145" s="306">
        <f t="shared" si="26"/>
        <v>0</v>
      </c>
      <c r="L145" s="307">
        <f t="shared" si="27"/>
        <v>0</v>
      </c>
      <c r="M145" s="1047">
        <f t="shared" si="28"/>
        <v>0</v>
      </c>
      <c r="N145" s="306">
        <f t="shared" si="29"/>
        <v>0</v>
      </c>
      <c r="O145" s="307">
        <f t="shared" si="30"/>
        <v>0</v>
      </c>
      <c r="P145" s="1047">
        <f t="shared" si="31"/>
        <v>1</v>
      </c>
      <c r="Q145" s="306">
        <f t="shared" si="32"/>
        <v>2959.56</v>
      </c>
      <c r="R145" s="307">
        <f t="shared" si="33"/>
        <v>1</v>
      </c>
      <c r="S145" s="314" t="str">
        <f t="shared" si="16"/>
        <v>ok</v>
      </c>
      <c r="T145" s="314"/>
      <c r="U145" s="314"/>
      <c r="V145" s="314"/>
      <c r="W145" s="314"/>
      <c r="X145" s="314"/>
    </row>
    <row r="146" spans="1:24" s="313" customFormat="1" ht="16.5" customHeight="1">
      <c r="A146" s="1337" t="s">
        <v>2961</v>
      </c>
      <c r="B146" s="1711" t="s">
        <v>2962</v>
      </c>
      <c r="C146" s="1502" t="s">
        <v>52</v>
      </c>
      <c r="D146" s="1710">
        <v>1</v>
      </c>
      <c r="E146" s="1312">
        <v>5175.82</v>
      </c>
      <c r="F146" s="1486">
        <f t="shared" si="25"/>
        <v>5175.82</v>
      </c>
      <c r="G146" s="1049">
        <v>0</v>
      </c>
      <c r="H146" s="306">
        <v>0</v>
      </c>
      <c r="I146" s="307">
        <v>0</v>
      </c>
      <c r="J146" s="1046"/>
      <c r="K146" s="306">
        <f t="shared" si="26"/>
        <v>0</v>
      </c>
      <c r="L146" s="307">
        <f t="shared" si="27"/>
        <v>0</v>
      </c>
      <c r="M146" s="1047">
        <f t="shared" si="28"/>
        <v>0</v>
      </c>
      <c r="N146" s="306">
        <f t="shared" si="29"/>
        <v>0</v>
      </c>
      <c r="O146" s="307">
        <f t="shared" si="30"/>
        <v>0</v>
      </c>
      <c r="P146" s="1047">
        <f t="shared" si="31"/>
        <v>1</v>
      </c>
      <c r="Q146" s="306">
        <f t="shared" si="32"/>
        <v>5175.82</v>
      </c>
      <c r="R146" s="307">
        <f t="shared" si="33"/>
        <v>1</v>
      </c>
      <c r="S146" s="314" t="str">
        <f t="shared" si="16"/>
        <v>ok</v>
      </c>
      <c r="T146" s="314"/>
      <c r="U146" s="314"/>
      <c r="V146" s="314"/>
      <c r="W146" s="314"/>
      <c r="X146" s="314"/>
    </row>
    <row r="147" spans="1:24" s="313" customFormat="1" ht="16.5" customHeight="1">
      <c r="A147" s="1337" t="s">
        <v>2963</v>
      </c>
      <c r="B147" s="1711" t="s">
        <v>2964</v>
      </c>
      <c r="C147" s="1502" t="s">
        <v>52</v>
      </c>
      <c r="D147" s="1710">
        <v>1</v>
      </c>
      <c r="E147" s="1312">
        <v>3758.26</v>
      </c>
      <c r="F147" s="1486">
        <f t="shared" si="25"/>
        <v>3758.26</v>
      </c>
      <c r="G147" s="1049">
        <v>0</v>
      </c>
      <c r="H147" s="306">
        <v>0</v>
      </c>
      <c r="I147" s="307">
        <v>0</v>
      </c>
      <c r="J147" s="1046"/>
      <c r="K147" s="306">
        <f t="shared" si="26"/>
        <v>0</v>
      </c>
      <c r="L147" s="307">
        <f t="shared" si="27"/>
        <v>0</v>
      </c>
      <c r="M147" s="1047">
        <f t="shared" si="28"/>
        <v>0</v>
      </c>
      <c r="N147" s="306">
        <f t="shared" si="29"/>
        <v>0</v>
      </c>
      <c r="O147" s="307">
        <f t="shared" si="30"/>
        <v>0</v>
      </c>
      <c r="P147" s="1047">
        <f t="shared" si="31"/>
        <v>1</v>
      </c>
      <c r="Q147" s="306">
        <f t="shared" si="32"/>
        <v>3758.26</v>
      </c>
      <c r="R147" s="307">
        <f t="shared" si="33"/>
        <v>1</v>
      </c>
      <c r="S147" s="314" t="str">
        <f t="shared" si="16"/>
        <v>ok</v>
      </c>
      <c r="T147" s="314"/>
      <c r="U147" s="314"/>
      <c r="V147" s="314"/>
      <c r="W147" s="314"/>
      <c r="X147" s="314"/>
    </row>
    <row r="148" spans="1:24" s="313" customFormat="1" ht="16.5" customHeight="1">
      <c r="A148" s="1337" t="s">
        <v>2965</v>
      </c>
      <c r="B148" s="1711" t="s">
        <v>2966</v>
      </c>
      <c r="C148" s="1502" t="s">
        <v>52</v>
      </c>
      <c r="D148" s="1710">
        <v>1</v>
      </c>
      <c r="E148" s="1312">
        <v>1963.6100000000001</v>
      </c>
      <c r="F148" s="1486">
        <f t="shared" si="25"/>
        <v>1963.6100000000001</v>
      </c>
      <c r="G148" s="1049">
        <v>0</v>
      </c>
      <c r="H148" s="306">
        <v>0</v>
      </c>
      <c r="I148" s="307">
        <v>0</v>
      </c>
      <c r="J148" s="1046"/>
      <c r="K148" s="306">
        <f t="shared" si="26"/>
        <v>0</v>
      </c>
      <c r="L148" s="307">
        <f t="shared" si="27"/>
        <v>0</v>
      </c>
      <c r="M148" s="1047">
        <f t="shared" si="28"/>
        <v>0</v>
      </c>
      <c r="N148" s="306">
        <f t="shared" si="29"/>
        <v>0</v>
      </c>
      <c r="O148" s="307">
        <f t="shared" si="30"/>
        <v>0</v>
      </c>
      <c r="P148" s="1047">
        <f t="shared" si="31"/>
        <v>1</v>
      </c>
      <c r="Q148" s="306">
        <f t="shared" si="32"/>
        <v>1963.6100000000001</v>
      </c>
      <c r="R148" s="307">
        <f t="shared" si="33"/>
        <v>1</v>
      </c>
      <c r="S148" s="314" t="str">
        <f t="shared" si="16"/>
        <v>ok</v>
      </c>
      <c r="T148" s="314"/>
      <c r="U148" s="314"/>
      <c r="V148" s="314"/>
      <c r="W148" s="314"/>
      <c r="X148" s="314"/>
    </row>
    <row r="149" spans="1:24" s="313" customFormat="1" ht="16.5" customHeight="1">
      <c r="A149" s="1337" t="s">
        <v>2967</v>
      </c>
      <c r="B149" s="1711" t="s">
        <v>2968</v>
      </c>
      <c r="C149" s="1502" t="s">
        <v>52</v>
      </c>
      <c r="D149" s="1710">
        <v>1</v>
      </c>
      <c r="E149" s="1312">
        <v>2109.86</v>
      </c>
      <c r="F149" s="1486">
        <f t="shared" si="25"/>
        <v>2109.86</v>
      </c>
      <c r="G149" s="1049">
        <v>0</v>
      </c>
      <c r="H149" s="306">
        <v>0</v>
      </c>
      <c r="I149" s="307">
        <v>0</v>
      </c>
      <c r="J149" s="1046"/>
      <c r="K149" s="306">
        <f t="shared" si="26"/>
        <v>0</v>
      </c>
      <c r="L149" s="307">
        <f t="shared" si="27"/>
        <v>0</v>
      </c>
      <c r="M149" s="1047">
        <f t="shared" si="28"/>
        <v>0</v>
      </c>
      <c r="N149" s="306">
        <f t="shared" si="29"/>
        <v>0</v>
      </c>
      <c r="O149" s="307">
        <f t="shared" si="30"/>
        <v>0</v>
      </c>
      <c r="P149" s="1047">
        <f t="shared" si="31"/>
        <v>1</v>
      </c>
      <c r="Q149" s="306">
        <f t="shared" si="32"/>
        <v>2109.86</v>
      </c>
      <c r="R149" s="307">
        <f t="shared" si="33"/>
        <v>1</v>
      </c>
      <c r="S149" s="314" t="str">
        <f t="shared" si="16"/>
        <v>ok</v>
      </c>
      <c r="T149" s="314"/>
      <c r="U149" s="314"/>
      <c r="V149" s="314"/>
      <c r="W149" s="314"/>
      <c r="X149" s="314"/>
    </row>
    <row r="150" spans="1:24" s="313" customFormat="1" ht="16.5" customHeight="1">
      <c r="A150" s="1337" t="s">
        <v>2969</v>
      </c>
      <c r="B150" s="1711" t="s">
        <v>2970</v>
      </c>
      <c r="C150" s="1502" t="s">
        <v>52</v>
      </c>
      <c r="D150" s="1710">
        <v>2</v>
      </c>
      <c r="E150" s="1312">
        <v>1835.69</v>
      </c>
      <c r="F150" s="1486">
        <f t="shared" si="25"/>
        <v>3671.38</v>
      </c>
      <c r="G150" s="1049">
        <v>0</v>
      </c>
      <c r="H150" s="306">
        <v>0</v>
      </c>
      <c r="I150" s="307">
        <v>0</v>
      </c>
      <c r="J150" s="1046"/>
      <c r="K150" s="306">
        <f t="shared" si="26"/>
        <v>0</v>
      </c>
      <c r="L150" s="307">
        <f t="shared" si="27"/>
        <v>0</v>
      </c>
      <c r="M150" s="1047">
        <f t="shared" si="28"/>
        <v>0</v>
      </c>
      <c r="N150" s="306">
        <f t="shared" si="29"/>
        <v>0</v>
      </c>
      <c r="O150" s="307">
        <f t="shared" si="30"/>
        <v>0</v>
      </c>
      <c r="P150" s="1047">
        <f t="shared" si="31"/>
        <v>2</v>
      </c>
      <c r="Q150" s="306">
        <f t="shared" si="32"/>
        <v>3671.38</v>
      </c>
      <c r="R150" s="307">
        <f t="shared" si="33"/>
        <v>1</v>
      </c>
      <c r="S150" s="314" t="str">
        <f t="shared" si="16"/>
        <v>ok</v>
      </c>
      <c r="T150" s="314"/>
      <c r="U150" s="314"/>
      <c r="V150" s="314"/>
      <c r="W150" s="314"/>
      <c r="X150" s="314"/>
    </row>
    <row r="151" spans="1:24" s="313" customFormat="1" ht="16.5" customHeight="1">
      <c r="A151" s="1337" t="s">
        <v>2971</v>
      </c>
      <c r="B151" s="1711" t="s">
        <v>2972</v>
      </c>
      <c r="C151" s="1502" t="s">
        <v>52</v>
      </c>
      <c r="D151" s="1710">
        <v>2</v>
      </c>
      <c r="E151" s="1312">
        <v>1365.79</v>
      </c>
      <c r="F151" s="1486">
        <f t="shared" si="25"/>
        <v>2731.58</v>
      </c>
      <c r="G151" s="1049">
        <v>0</v>
      </c>
      <c r="H151" s="306">
        <v>0</v>
      </c>
      <c r="I151" s="307">
        <v>0</v>
      </c>
      <c r="J151" s="1046"/>
      <c r="K151" s="306">
        <f t="shared" si="26"/>
        <v>0</v>
      </c>
      <c r="L151" s="307">
        <f t="shared" si="27"/>
        <v>0</v>
      </c>
      <c r="M151" s="1047">
        <f t="shared" si="28"/>
        <v>0</v>
      </c>
      <c r="N151" s="306">
        <f t="shared" si="29"/>
        <v>0</v>
      </c>
      <c r="O151" s="307">
        <f t="shared" si="30"/>
        <v>0</v>
      </c>
      <c r="P151" s="1047">
        <f t="shared" si="31"/>
        <v>2</v>
      </c>
      <c r="Q151" s="306">
        <f t="shared" si="32"/>
        <v>2731.58</v>
      </c>
      <c r="R151" s="307">
        <f t="shared" si="33"/>
        <v>1</v>
      </c>
      <c r="S151" s="314" t="str">
        <f t="shared" ref="S151:S214" si="34">IF(M151&gt;D151,"mayormetrado","ok")</f>
        <v>ok</v>
      </c>
      <c r="T151" s="314"/>
      <c r="U151" s="314"/>
      <c r="V151" s="314"/>
      <c r="W151" s="314"/>
      <c r="X151" s="314"/>
    </row>
    <row r="152" spans="1:24" s="313" customFormat="1" ht="16.5" customHeight="1">
      <c r="A152" s="1337" t="s">
        <v>2973</v>
      </c>
      <c r="B152" s="1711" t="s">
        <v>2974</v>
      </c>
      <c r="C152" s="1502" t="s">
        <v>52</v>
      </c>
      <c r="D152" s="1710">
        <v>6</v>
      </c>
      <c r="E152" s="1312">
        <v>62.32</v>
      </c>
      <c r="F152" s="1486">
        <f t="shared" si="25"/>
        <v>373.92</v>
      </c>
      <c r="G152" s="1049">
        <v>0</v>
      </c>
      <c r="H152" s="306">
        <v>0</v>
      </c>
      <c r="I152" s="307">
        <v>0</v>
      </c>
      <c r="J152" s="1046"/>
      <c r="K152" s="306">
        <f t="shared" si="26"/>
        <v>0</v>
      </c>
      <c r="L152" s="307">
        <f t="shared" si="27"/>
        <v>0</v>
      </c>
      <c r="M152" s="1047">
        <f t="shared" si="28"/>
        <v>0</v>
      </c>
      <c r="N152" s="306">
        <f t="shared" si="29"/>
        <v>0</v>
      </c>
      <c r="O152" s="307">
        <f t="shared" si="30"/>
        <v>0</v>
      </c>
      <c r="P152" s="1047">
        <f t="shared" si="31"/>
        <v>6</v>
      </c>
      <c r="Q152" s="306">
        <f t="shared" si="32"/>
        <v>373.92</v>
      </c>
      <c r="R152" s="307">
        <f t="shared" si="33"/>
        <v>1</v>
      </c>
      <c r="S152" s="314" t="str">
        <f t="shared" si="34"/>
        <v>ok</v>
      </c>
      <c r="T152" s="314"/>
      <c r="U152" s="314"/>
      <c r="V152" s="314"/>
      <c r="W152" s="314"/>
      <c r="X152" s="314"/>
    </row>
    <row r="153" spans="1:24" s="313" customFormat="1" ht="16.5" customHeight="1">
      <c r="A153" s="1709" t="s">
        <v>2619</v>
      </c>
      <c r="B153" s="1709" t="s">
        <v>2975</v>
      </c>
      <c r="C153" s="1709"/>
      <c r="D153" s="1710"/>
      <c r="E153" s="1312"/>
      <c r="F153" s="1486"/>
      <c r="G153" s="1049"/>
      <c r="H153" s="306"/>
      <c r="I153" s="307"/>
      <c r="J153" s="1046"/>
      <c r="K153" s="306"/>
      <c r="L153" s="307"/>
      <c r="M153" s="1047"/>
      <c r="N153" s="306"/>
      <c r="O153" s="307"/>
      <c r="P153" s="1047"/>
      <c r="Q153" s="306"/>
      <c r="R153" s="307"/>
      <c r="S153" s="314" t="str">
        <f t="shared" si="34"/>
        <v>ok</v>
      </c>
      <c r="T153" s="314"/>
      <c r="U153" s="314"/>
      <c r="V153" s="314"/>
      <c r="W153" s="314"/>
      <c r="X153" s="314"/>
    </row>
    <row r="154" spans="1:24" s="1427" customFormat="1" ht="16.5" customHeight="1">
      <c r="A154" s="1880" t="s">
        <v>2976</v>
      </c>
      <c r="B154" s="1881" t="s">
        <v>2977</v>
      </c>
      <c r="C154" s="1858" t="s">
        <v>268</v>
      </c>
      <c r="D154" s="1859">
        <v>1</v>
      </c>
      <c r="E154" s="1854">
        <v>11658.65</v>
      </c>
      <c r="F154" s="1855">
        <f t="shared" ref="F154:F216" si="35">E154*D154</f>
        <v>11658.65</v>
      </c>
      <c r="G154" s="2008">
        <v>0</v>
      </c>
      <c r="H154" s="1425">
        <v>0</v>
      </c>
      <c r="I154" s="305">
        <v>0</v>
      </c>
      <c r="J154" s="312">
        <v>1</v>
      </c>
      <c r="K154" s="1425">
        <f>J154*E154</f>
        <v>11658.65</v>
      </c>
      <c r="L154" s="305">
        <f t="shared" si="27"/>
        <v>1</v>
      </c>
      <c r="M154" s="1047">
        <f t="shared" si="28"/>
        <v>1</v>
      </c>
      <c r="N154" s="1425">
        <f t="shared" si="29"/>
        <v>11658.65</v>
      </c>
      <c r="O154" s="305">
        <f t="shared" si="30"/>
        <v>1</v>
      </c>
      <c r="P154" s="2022">
        <f t="shared" si="31"/>
        <v>0</v>
      </c>
      <c r="Q154" s="1425">
        <f t="shared" si="32"/>
        <v>0</v>
      </c>
      <c r="R154" s="305">
        <f t="shared" si="33"/>
        <v>0</v>
      </c>
      <c r="S154" s="1426" t="str">
        <f t="shared" si="34"/>
        <v>ok</v>
      </c>
      <c r="T154" s="1426"/>
      <c r="U154" s="1426"/>
      <c r="V154" s="1426"/>
      <c r="W154" s="1426"/>
      <c r="X154" s="1426"/>
    </row>
    <row r="155" spans="1:24" s="313" customFormat="1" ht="16.5" customHeight="1">
      <c r="A155" s="1648" t="s">
        <v>2623</v>
      </c>
      <c r="B155" s="1648" t="s">
        <v>2978</v>
      </c>
      <c r="C155" s="1502"/>
      <c r="D155" s="1710"/>
      <c r="E155" s="1312"/>
      <c r="F155" s="1486"/>
      <c r="G155" s="1049"/>
      <c r="H155" s="306"/>
      <c r="I155" s="307"/>
      <c r="J155" s="1046"/>
      <c r="K155" s="306"/>
      <c r="L155" s="307"/>
      <c r="M155" s="1047"/>
      <c r="N155" s="306"/>
      <c r="O155" s="307"/>
      <c r="P155" s="1047"/>
      <c r="Q155" s="306"/>
      <c r="R155" s="307"/>
      <c r="S155" s="314" t="str">
        <f t="shared" si="34"/>
        <v>ok</v>
      </c>
      <c r="T155" s="314"/>
      <c r="U155" s="314"/>
      <c r="V155" s="314"/>
      <c r="W155" s="314"/>
      <c r="X155" s="314"/>
    </row>
    <row r="156" spans="1:24" s="313" customFormat="1" ht="16.5" customHeight="1">
      <c r="A156" s="1709" t="s">
        <v>2625</v>
      </c>
      <c r="B156" s="1709" t="s">
        <v>2979</v>
      </c>
      <c r="C156" s="1502"/>
      <c r="D156" s="1710"/>
      <c r="E156" s="1312"/>
      <c r="F156" s="1486"/>
      <c r="G156" s="1049"/>
      <c r="H156" s="306"/>
      <c r="I156" s="307"/>
      <c r="J156" s="1046"/>
      <c r="K156" s="306"/>
      <c r="L156" s="307"/>
      <c r="M156" s="1047"/>
      <c r="N156" s="306"/>
      <c r="O156" s="307"/>
      <c r="P156" s="1047"/>
      <c r="Q156" s="306"/>
      <c r="R156" s="307"/>
      <c r="S156" s="314" t="str">
        <f t="shared" si="34"/>
        <v>ok</v>
      </c>
      <c r="T156" s="314"/>
      <c r="U156" s="314"/>
      <c r="V156" s="314"/>
      <c r="W156" s="314"/>
      <c r="X156" s="314"/>
    </row>
    <row r="157" spans="1:24" s="313" customFormat="1" ht="16.5" customHeight="1">
      <c r="A157" s="1337" t="s">
        <v>2627</v>
      </c>
      <c r="B157" s="1711" t="s">
        <v>2980</v>
      </c>
      <c r="C157" s="1502" t="s">
        <v>52</v>
      </c>
      <c r="D157" s="1710">
        <v>1</v>
      </c>
      <c r="E157" s="1312">
        <v>1334.75</v>
      </c>
      <c r="F157" s="1486">
        <f t="shared" si="35"/>
        <v>1334.75</v>
      </c>
      <c r="G157" s="1049">
        <v>0</v>
      </c>
      <c r="H157" s="306">
        <v>0</v>
      </c>
      <c r="I157" s="307">
        <v>0</v>
      </c>
      <c r="J157" s="1046"/>
      <c r="K157" s="306">
        <f t="shared" si="26"/>
        <v>0</v>
      </c>
      <c r="L157" s="307">
        <f t="shared" si="27"/>
        <v>0</v>
      </c>
      <c r="M157" s="1047">
        <f t="shared" si="28"/>
        <v>0</v>
      </c>
      <c r="N157" s="306">
        <f t="shared" si="29"/>
        <v>0</v>
      </c>
      <c r="O157" s="307">
        <f t="shared" si="30"/>
        <v>0</v>
      </c>
      <c r="P157" s="1047">
        <f t="shared" si="31"/>
        <v>1</v>
      </c>
      <c r="Q157" s="306">
        <f t="shared" si="32"/>
        <v>1334.75</v>
      </c>
      <c r="R157" s="307">
        <f t="shared" si="33"/>
        <v>1</v>
      </c>
      <c r="S157" s="314" t="str">
        <f t="shared" si="34"/>
        <v>ok</v>
      </c>
      <c r="T157" s="314"/>
      <c r="U157" s="314"/>
      <c r="V157" s="314"/>
      <c r="W157" s="314"/>
      <c r="X157" s="314"/>
    </row>
    <row r="158" spans="1:24" s="313" customFormat="1" ht="16.5" customHeight="1">
      <c r="A158" s="1337" t="s">
        <v>2629</v>
      </c>
      <c r="B158" s="1711" t="s">
        <v>2981</v>
      </c>
      <c r="C158" s="1502" t="s">
        <v>52</v>
      </c>
      <c r="D158" s="1710">
        <v>1</v>
      </c>
      <c r="E158" s="1312">
        <v>1522.52</v>
      </c>
      <c r="F158" s="1486">
        <f t="shared" si="35"/>
        <v>1522.52</v>
      </c>
      <c r="G158" s="1049">
        <v>0</v>
      </c>
      <c r="H158" s="306">
        <v>0</v>
      </c>
      <c r="I158" s="307">
        <v>0</v>
      </c>
      <c r="J158" s="1046"/>
      <c r="K158" s="306">
        <f t="shared" si="26"/>
        <v>0</v>
      </c>
      <c r="L158" s="307">
        <f t="shared" si="27"/>
        <v>0</v>
      </c>
      <c r="M158" s="1047">
        <f t="shared" si="28"/>
        <v>0</v>
      </c>
      <c r="N158" s="306">
        <f t="shared" si="29"/>
        <v>0</v>
      </c>
      <c r="O158" s="307">
        <f t="shared" si="30"/>
        <v>0</v>
      </c>
      <c r="P158" s="1047">
        <f t="shared" si="31"/>
        <v>1</v>
      </c>
      <c r="Q158" s="306">
        <f t="shared" si="32"/>
        <v>1522.52</v>
      </c>
      <c r="R158" s="307">
        <f t="shared" si="33"/>
        <v>1</v>
      </c>
      <c r="S158" s="314" t="str">
        <f t="shared" si="34"/>
        <v>ok</v>
      </c>
      <c r="T158" s="314"/>
      <c r="U158" s="314"/>
      <c r="V158" s="314"/>
      <c r="W158" s="314"/>
      <c r="X158" s="314"/>
    </row>
    <row r="159" spans="1:24" s="313" customFormat="1" ht="16.5" customHeight="1">
      <c r="A159" s="1337" t="s">
        <v>2631</v>
      </c>
      <c r="B159" s="1711" t="s">
        <v>2982</v>
      </c>
      <c r="C159" s="1502" t="s">
        <v>52</v>
      </c>
      <c r="D159" s="1710">
        <v>1</v>
      </c>
      <c r="E159" s="1312">
        <v>1828.82</v>
      </c>
      <c r="F159" s="1486">
        <f t="shared" si="35"/>
        <v>1828.82</v>
      </c>
      <c r="G159" s="1049">
        <v>0</v>
      </c>
      <c r="H159" s="306">
        <v>0</v>
      </c>
      <c r="I159" s="307">
        <v>0</v>
      </c>
      <c r="J159" s="1046"/>
      <c r="K159" s="306">
        <f t="shared" si="26"/>
        <v>0</v>
      </c>
      <c r="L159" s="307">
        <f t="shared" si="27"/>
        <v>0</v>
      </c>
      <c r="M159" s="1047">
        <f t="shared" si="28"/>
        <v>0</v>
      </c>
      <c r="N159" s="306">
        <f t="shared" si="29"/>
        <v>0</v>
      </c>
      <c r="O159" s="307">
        <f t="shared" si="30"/>
        <v>0</v>
      </c>
      <c r="P159" s="1047">
        <f t="shared" si="31"/>
        <v>1</v>
      </c>
      <c r="Q159" s="306">
        <f t="shared" si="32"/>
        <v>1828.82</v>
      </c>
      <c r="R159" s="307">
        <f t="shared" si="33"/>
        <v>1</v>
      </c>
      <c r="S159" s="314" t="str">
        <f t="shared" si="34"/>
        <v>ok</v>
      </c>
      <c r="T159" s="314"/>
      <c r="U159" s="314"/>
      <c r="V159" s="314"/>
      <c r="W159" s="314"/>
      <c r="X159" s="314"/>
    </row>
    <row r="160" spans="1:24" s="313" customFormat="1" ht="16.5" customHeight="1">
      <c r="A160" s="1337" t="s">
        <v>2983</v>
      </c>
      <c r="B160" s="1711" t="s">
        <v>2984</v>
      </c>
      <c r="C160" s="1502" t="s">
        <v>52</v>
      </c>
      <c r="D160" s="1710">
        <v>2</v>
      </c>
      <c r="E160" s="1312">
        <v>1553.07</v>
      </c>
      <c r="F160" s="1486">
        <f t="shared" si="35"/>
        <v>3106.14</v>
      </c>
      <c r="G160" s="1049">
        <v>0</v>
      </c>
      <c r="H160" s="306">
        <v>0</v>
      </c>
      <c r="I160" s="307">
        <v>0</v>
      </c>
      <c r="J160" s="1046"/>
      <c r="K160" s="306">
        <f t="shared" si="26"/>
        <v>0</v>
      </c>
      <c r="L160" s="307">
        <f t="shared" si="27"/>
        <v>0</v>
      </c>
      <c r="M160" s="1047">
        <f t="shared" si="28"/>
        <v>0</v>
      </c>
      <c r="N160" s="306">
        <f t="shared" si="29"/>
        <v>0</v>
      </c>
      <c r="O160" s="307">
        <f t="shared" si="30"/>
        <v>0</v>
      </c>
      <c r="P160" s="1047">
        <f t="shared" si="31"/>
        <v>2</v>
      </c>
      <c r="Q160" s="306">
        <f t="shared" si="32"/>
        <v>3106.14</v>
      </c>
      <c r="R160" s="307">
        <f t="shared" si="33"/>
        <v>1</v>
      </c>
      <c r="S160" s="314" t="str">
        <f t="shared" si="34"/>
        <v>ok</v>
      </c>
      <c r="T160" s="314"/>
      <c r="U160" s="314"/>
      <c r="V160" s="314"/>
      <c r="W160" s="314"/>
      <c r="X160" s="314"/>
    </row>
    <row r="161" spans="1:24" s="313" customFormat="1" ht="16.5" customHeight="1">
      <c r="A161" s="1337" t="s">
        <v>2985</v>
      </c>
      <c r="B161" s="1711" t="s">
        <v>2986</v>
      </c>
      <c r="C161" s="1502" t="s">
        <v>52</v>
      </c>
      <c r="D161" s="1710">
        <v>1</v>
      </c>
      <c r="E161" s="1312">
        <v>1724.92</v>
      </c>
      <c r="F161" s="1486">
        <f t="shared" si="35"/>
        <v>1724.92</v>
      </c>
      <c r="G161" s="1049">
        <v>0</v>
      </c>
      <c r="H161" s="306">
        <v>0</v>
      </c>
      <c r="I161" s="307">
        <v>0</v>
      </c>
      <c r="J161" s="1046"/>
      <c r="K161" s="306">
        <f t="shared" si="26"/>
        <v>0</v>
      </c>
      <c r="L161" s="307">
        <f t="shared" si="27"/>
        <v>0</v>
      </c>
      <c r="M161" s="1047">
        <f t="shared" si="28"/>
        <v>0</v>
      </c>
      <c r="N161" s="306">
        <f t="shared" si="29"/>
        <v>0</v>
      </c>
      <c r="O161" s="307">
        <f t="shared" si="30"/>
        <v>0</v>
      </c>
      <c r="P161" s="1047">
        <f t="shared" si="31"/>
        <v>1</v>
      </c>
      <c r="Q161" s="306">
        <f t="shared" si="32"/>
        <v>1724.92</v>
      </c>
      <c r="R161" s="307">
        <f t="shared" si="33"/>
        <v>1</v>
      </c>
      <c r="S161" s="314" t="str">
        <f t="shared" si="34"/>
        <v>ok</v>
      </c>
      <c r="T161" s="314"/>
      <c r="U161" s="314"/>
      <c r="V161" s="314"/>
      <c r="W161" s="314"/>
      <c r="X161" s="314"/>
    </row>
    <row r="162" spans="1:24" s="313" customFormat="1" ht="16.5" customHeight="1">
      <c r="A162" s="1709" t="s">
        <v>2633</v>
      </c>
      <c r="B162" s="1709" t="s">
        <v>2987</v>
      </c>
      <c r="C162" s="1502"/>
      <c r="D162" s="1710"/>
      <c r="E162" s="1312"/>
      <c r="F162" s="1486"/>
      <c r="G162" s="1049"/>
      <c r="H162" s="306"/>
      <c r="I162" s="307"/>
      <c r="J162" s="1046"/>
      <c r="K162" s="306"/>
      <c r="L162" s="307"/>
      <c r="M162" s="1047"/>
      <c r="N162" s="306"/>
      <c r="O162" s="307"/>
      <c r="P162" s="1047"/>
      <c r="Q162" s="306"/>
      <c r="R162" s="307"/>
      <c r="S162" s="314" t="str">
        <f t="shared" si="34"/>
        <v>ok</v>
      </c>
      <c r="T162" s="314"/>
      <c r="U162" s="314"/>
      <c r="V162" s="314"/>
      <c r="W162" s="314"/>
      <c r="X162" s="314"/>
    </row>
    <row r="163" spans="1:24" s="313" customFormat="1" ht="16.5" customHeight="1">
      <c r="A163" s="1337" t="s">
        <v>2635</v>
      </c>
      <c r="B163" s="1711" t="s">
        <v>2988</v>
      </c>
      <c r="C163" s="1502" t="s">
        <v>52</v>
      </c>
      <c r="D163" s="1710">
        <v>1</v>
      </c>
      <c r="E163" s="1312">
        <v>1563.43</v>
      </c>
      <c r="F163" s="1486">
        <f t="shared" si="35"/>
        <v>1563.43</v>
      </c>
      <c r="G163" s="1049">
        <v>0</v>
      </c>
      <c r="H163" s="306">
        <v>0</v>
      </c>
      <c r="I163" s="307">
        <v>0</v>
      </c>
      <c r="J163" s="1046"/>
      <c r="K163" s="306">
        <f t="shared" si="26"/>
        <v>0</v>
      </c>
      <c r="L163" s="307">
        <f t="shared" si="27"/>
        <v>0</v>
      </c>
      <c r="M163" s="1047">
        <f t="shared" si="28"/>
        <v>0</v>
      </c>
      <c r="N163" s="306">
        <f t="shared" si="29"/>
        <v>0</v>
      </c>
      <c r="O163" s="307">
        <f t="shared" si="30"/>
        <v>0</v>
      </c>
      <c r="P163" s="1047">
        <f t="shared" si="31"/>
        <v>1</v>
      </c>
      <c r="Q163" s="306">
        <f t="shared" si="32"/>
        <v>1563.43</v>
      </c>
      <c r="R163" s="307">
        <f t="shared" si="33"/>
        <v>1</v>
      </c>
      <c r="S163" s="314" t="str">
        <f t="shared" si="34"/>
        <v>ok</v>
      </c>
      <c r="T163" s="314"/>
      <c r="U163" s="314"/>
      <c r="V163" s="314"/>
      <c r="W163" s="314"/>
      <c r="X163" s="314"/>
    </row>
    <row r="164" spans="1:24" s="313" customFormat="1" ht="16.5" customHeight="1">
      <c r="A164" s="1337" t="s">
        <v>2637</v>
      </c>
      <c r="B164" s="1711" t="s">
        <v>2989</v>
      </c>
      <c r="C164" s="1502" t="s">
        <v>52</v>
      </c>
      <c r="D164" s="1710">
        <v>1</v>
      </c>
      <c r="E164" s="1312">
        <v>1395.28</v>
      </c>
      <c r="F164" s="1486">
        <f t="shared" si="35"/>
        <v>1395.28</v>
      </c>
      <c r="G164" s="1049">
        <v>0</v>
      </c>
      <c r="H164" s="306">
        <v>0</v>
      </c>
      <c r="I164" s="307">
        <v>0</v>
      </c>
      <c r="J164" s="1046"/>
      <c r="K164" s="306">
        <f t="shared" si="26"/>
        <v>0</v>
      </c>
      <c r="L164" s="307">
        <f t="shared" si="27"/>
        <v>0</v>
      </c>
      <c r="M164" s="1047">
        <f t="shared" si="28"/>
        <v>0</v>
      </c>
      <c r="N164" s="306">
        <f t="shared" si="29"/>
        <v>0</v>
      </c>
      <c r="O164" s="307">
        <f t="shared" si="30"/>
        <v>0</v>
      </c>
      <c r="P164" s="1047">
        <f t="shared" si="31"/>
        <v>1</v>
      </c>
      <c r="Q164" s="306">
        <f t="shared" si="32"/>
        <v>1395.28</v>
      </c>
      <c r="R164" s="307">
        <f t="shared" si="33"/>
        <v>1</v>
      </c>
      <c r="S164" s="314" t="str">
        <f t="shared" si="34"/>
        <v>ok</v>
      </c>
      <c r="T164" s="314"/>
      <c r="U164" s="314"/>
      <c r="V164" s="314"/>
      <c r="W164" s="314"/>
      <c r="X164" s="314"/>
    </row>
    <row r="165" spans="1:24" s="313" customFormat="1" ht="16.5" customHeight="1">
      <c r="A165" s="1337" t="s">
        <v>2639</v>
      </c>
      <c r="B165" s="1711" t="s">
        <v>2990</v>
      </c>
      <c r="C165" s="1502" t="s">
        <v>52</v>
      </c>
      <c r="D165" s="1710">
        <v>1</v>
      </c>
      <c r="E165" s="1312">
        <v>1186.73</v>
      </c>
      <c r="F165" s="1486">
        <f t="shared" si="35"/>
        <v>1186.73</v>
      </c>
      <c r="G165" s="1049">
        <v>0</v>
      </c>
      <c r="H165" s="306">
        <v>0</v>
      </c>
      <c r="I165" s="307">
        <v>0</v>
      </c>
      <c r="J165" s="1046"/>
      <c r="K165" s="306">
        <f t="shared" si="26"/>
        <v>0</v>
      </c>
      <c r="L165" s="307">
        <f t="shared" si="27"/>
        <v>0</v>
      </c>
      <c r="M165" s="1047">
        <f t="shared" si="28"/>
        <v>0</v>
      </c>
      <c r="N165" s="306">
        <f t="shared" si="29"/>
        <v>0</v>
      </c>
      <c r="O165" s="307">
        <f t="shared" si="30"/>
        <v>0</v>
      </c>
      <c r="P165" s="1047">
        <f t="shared" si="31"/>
        <v>1</v>
      </c>
      <c r="Q165" s="306">
        <f t="shared" si="32"/>
        <v>1186.73</v>
      </c>
      <c r="R165" s="307">
        <f t="shared" si="33"/>
        <v>1</v>
      </c>
      <c r="S165" s="314" t="str">
        <f t="shared" si="34"/>
        <v>ok</v>
      </c>
      <c r="T165" s="314"/>
      <c r="U165" s="314"/>
      <c r="V165" s="314"/>
      <c r="W165" s="314"/>
      <c r="X165" s="314"/>
    </row>
    <row r="166" spans="1:24" s="313" customFormat="1" ht="16.5" customHeight="1">
      <c r="A166" s="1709" t="s">
        <v>2991</v>
      </c>
      <c r="B166" s="1709" t="s">
        <v>2992</v>
      </c>
      <c r="C166" s="1502"/>
      <c r="D166" s="1710"/>
      <c r="E166" s="1312"/>
      <c r="F166" s="1486"/>
      <c r="G166" s="1049"/>
      <c r="H166" s="306"/>
      <c r="I166" s="307"/>
      <c r="J166" s="1046"/>
      <c r="K166" s="306"/>
      <c r="L166" s="307"/>
      <c r="M166" s="1047"/>
      <c r="N166" s="306"/>
      <c r="O166" s="307"/>
      <c r="P166" s="1047"/>
      <c r="Q166" s="306"/>
      <c r="R166" s="307"/>
      <c r="S166" s="314" t="str">
        <f t="shared" si="34"/>
        <v>ok</v>
      </c>
      <c r="T166" s="314"/>
      <c r="U166" s="314"/>
      <c r="V166" s="314"/>
      <c r="W166" s="314"/>
      <c r="X166" s="314"/>
    </row>
    <row r="167" spans="1:24" s="313" customFormat="1" ht="16.5" customHeight="1">
      <c r="A167" s="1337" t="s">
        <v>2993</v>
      </c>
      <c r="B167" s="1711" t="s">
        <v>2994</v>
      </c>
      <c r="C167" s="1502" t="s">
        <v>51</v>
      </c>
      <c r="D167" s="1710">
        <v>44.410000000000004</v>
      </c>
      <c r="E167" s="1312">
        <v>76.61</v>
      </c>
      <c r="F167" s="1486">
        <f t="shared" si="35"/>
        <v>3402.2501000000002</v>
      </c>
      <c r="G167" s="1049">
        <v>0</v>
      </c>
      <c r="H167" s="306">
        <v>0</v>
      </c>
      <c r="I167" s="307">
        <v>0</v>
      </c>
      <c r="J167" s="1046"/>
      <c r="K167" s="306">
        <f t="shared" si="26"/>
        <v>0</v>
      </c>
      <c r="L167" s="307">
        <f t="shared" si="27"/>
        <v>0</v>
      </c>
      <c r="M167" s="1047">
        <f t="shared" si="28"/>
        <v>0</v>
      </c>
      <c r="N167" s="306">
        <f t="shared" si="29"/>
        <v>0</v>
      </c>
      <c r="O167" s="307">
        <f t="shared" si="30"/>
        <v>0</v>
      </c>
      <c r="P167" s="1047">
        <f t="shared" si="31"/>
        <v>44.410000000000004</v>
      </c>
      <c r="Q167" s="306">
        <f t="shared" si="32"/>
        <v>3402.2501000000002</v>
      </c>
      <c r="R167" s="307">
        <f t="shared" si="33"/>
        <v>1</v>
      </c>
      <c r="S167" s="314" t="str">
        <f t="shared" si="34"/>
        <v>ok</v>
      </c>
      <c r="T167" s="314"/>
      <c r="U167" s="314"/>
      <c r="V167" s="314"/>
      <c r="W167" s="314"/>
      <c r="X167" s="314"/>
    </row>
    <row r="168" spans="1:24" s="313" customFormat="1" ht="16.5" customHeight="1">
      <c r="A168" s="1337" t="s">
        <v>2995</v>
      </c>
      <c r="B168" s="1711" t="s">
        <v>2996</v>
      </c>
      <c r="C168" s="1502" t="s">
        <v>51</v>
      </c>
      <c r="D168" s="1710">
        <v>29.6</v>
      </c>
      <c r="E168" s="1312">
        <v>81.99</v>
      </c>
      <c r="F168" s="1486">
        <f t="shared" si="35"/>
        <v>2426.904</v>
      </c>
      <c r="G168" s="1049">
        <v>0</v>
      </c>
      <c r="H168" s="306">
        <v>0</v>
      </c>
      <c r="I168" s="307">
        <v>0</v>
      </c>
      <c r="J168" s="1046"/>
      <c r="K168" s="306">
        <f t="shared" si="26"/>
        <v>0</v>
      </c>
      <c r="L168" s="307">
        <f t="shared" si="27"/>
        <v>0</v>
      </c>
      <c r="M168" s="1047">
        <f t="shared" si="28"/>
        <v>0</v>
      </c>
      <c r="N168" s="306">
        <f t="shared" si="29"/>
        <v>0</v>
      </c>
      <c r="O168" s="307">
        <f t="shared" si="30"/>
        <v>0</v>
      </c>
      <c r="P168" s="1047">
        <f t="shared" si="31"/>
        <v>29.6</v>
      </c>
      <c r="Q168" s="306">
        <f t="shared" si="32"/>
        <v>2426.904</v>
      </c>
      <c r="R168" s="307">
        <f t="shared" si="33"/>
        <v>1</v>
      </c>
      <c r="S168" s="314" t="str">
        <f t="shared" si="34"/>
        <v>ok</v>
      </c>
      <c r="T168" s="314"/>
      <c r="U168" s="314"/>
      <c r="V168" s="314"/>
      <c r="W168" s="314"/>
      <c r="X168" s="314"/>
    </row>
    <row r="169" spans="1:24" s="313" customFormat="1" ht="16.5" customHeight="1">
      <c r="A169" s="1337" t="s">
        <v>2997</v>
      </c>
      <c r="B169" s="1711" t="s">
        <v>2998</v>
      </c>
      <c r="C169" s="1502" t="s">
        <v>51</v>
      </c>
      <c r="D169" s="1710">
        <v>26.76</v>
      </c>
      <c r="E169" s="1312">
        <v>81.99</v>
      </c>
      <c r="F169" s="1486">
        <f t="shared" si="35"/>
        <v>2194.0524</v>
      </c>
      <c r="G169" s="1049">
        <v>0</v>
      </c>
      <c r="H169" s="306">
        <v>0</v>
      </c>
      <c r="I169" s="307">
        <v>0</v>
      </c>
      <c r="J169" s="1046"/>
      <c r="K169" s="306">
        <f t="shared" si="26"/>
        <v>0</v>
      </c>
      <c r="L169" s="307">
        <f t="shared" si="27"/>
        <v>0</v>
      </c>
      <c r="M169" s="1047">
        <f t="shared" si="28"/>
        <v>0</v>
      </c>
      <c r="N169" s="306">
        <f t="shared" si="29"/>
        <v>0</v>
      </c>
      <c r="O169" s="307">
        <f t="shared" si="30"/>
        <v>0</v>
      </c>
      <c r="P169" s="1047">
        <f t="shared" si="31"/>
        <v>26.76</v>
      </c>
      <c r="Q169" s="306">
        <f t="shared" si="32"/>
        <v>2194.0524</v>
      </c>
      <c r="R169" s="307">
        <f t="shared" si="33"/>
        <v>1</v>
      </c>
      <c r="S169" s="314" t="str">
        <f t="shared" si="34"/>
        <v>ok</v>
      </c>
      <c r="T169" s="314"/>
      <c r="U169" s="314"/>
      <c r="V169" s="314"/>
      <c r="W169" s="314"/>
      <c r="X169" s="314"/>
    </row>
    <row r="170" spans="1:24" s="313" customFormat="1" ht="16.5" customHeight="1">
      <c r="A170" s="1648" t="s">
        <v>2645</v>
      </c>
      <c r="B170" s="1648" t="s">
        <v>2999</v>
      </c>
      <c r="C170" s="1502"/>
      <c r="D170" s="1710"/>
      <c r="E170" s="1312"/>
      <c r="F170" s="1486"/>
      <c r="G170" s="1049"/>
      <c r="H170" s="306"/>
      <c r="I170" s="307"/>
      <c r="J170" s="1046"/>
      <c r="K170" s="306"/>
      <c r="L170" s="307"/>
      <c r="M170" s="1047"/>
      <c r="N170" s="306"/>
      <c r="O170" s="307"/>
      <c r="P170" s="1047"/>
      <c r="Q170" s="306"/>
      <c r="R170" s="307"/>
      <c r="S170" s="314" t="str">
        <f t="shared" si="34"/>
        <v>ok</v>
      </c>
      <c r="T170" s="314"/>
      <c r="U170" s="314"/>
      <c r="V170" s="314"/>
      <c r="W170" s="314"/>
      <c r="X170" s="314"/>
    </row>
    <row r="171" spans="1:24" s="313" customFormat="1" ht="16.5" customHeight="1">
      <c r="A171" s="1337" t="s">
        <v>2647</v>
      </c>
      <c r="B171" s="1711" t="s">
        <v>3000</v>
      </c>
      <c r="C171" s="1502" t="s">
        <v>52</v>
      </c>
      <c r="D171" s="1710">
        <v>1</v>
      </c>
      <c r="E171" s="1312">
        <v>474.72</v>
      </c>
      <c r="F171" s="1486">
        <f t="shared" si="35"/>
        <v>474.72</v>
      </c>
      <c r="G171" s="1049">
        <v>0</v>
      </c>
      <c r="H171" s="306">
        <v>0</v>
      </c>
      <c r="I171" s="307">
        <v>0</v>
      </c>
      <c r="J171" s="1046"/>
      <c r="K171" s="306">
        <f t="shared" si="26"/>
        <v>0</v>
      </c>
      <c r="L171" s="307">
        <f t="shared" si="27"/>
        <v>0</v>
      </c>
      <c r="M171" s="1047">
        <f t="shared" si="28"/>
        <v>0</v>
      </c>
      <c r="N171" s="306">
        <f t="shared" si="29"/>
        <v>0</v>
      </c>
      <c r="O171" s="307">
        <f t="shared" si="30"/>
        <v>0</v>
      </c>
      <c r="P171" s="1047">
        <f t="shared" si="31"/>
        <v>1</v>
      </c>
      <c r="Q171" s="306">
        <f t="shared" si="32"/>
        <v>474.72</v>
      </c>
      <c r="R171" s="307">
        <f t="shared" si="33"/>
        <v>1</v>
      </c>
      <c r="S171" s="314" t="str">
        <f t="shared" si="34"/>
        <v>ok</v>
      </c>
      <c r="T171" s="314"/>
      <c r="U171" s="314"/>
      <c r="V171" s="314"/>
      <c r="W171" s="314"/>
      <c r="X171" s="314"/>
    </row>
    <row r="172" spans="1:24" s="313" customFormat="1" ht="16.5" customHeight="1">
      <c r="A172" s="1648" t="s">
        <v>2660</v>
      </c>
      <c r="B172" s="1648" t="s">
        <v>3001</v>
      </c>
      <c r="C172" s="1502"/>
      <c r="D172" s="1710"/>
      <c r="E172" s="1312"/>
      <c r="F172" s="1486"/>
      <c r="G172" s="1049"/>
      <c r="H172" s="306"/>
      <c r="I172" s="307"/>
      <c r="J172" s="1046"/>
      <c r="K172" s="306"/>
      <c r="L172" s="307"/>
      <c r="M172" s="1047"/>
      <c r="N172" s="306"/>
      <c r="O172" s="307"/>
      <c r="P172" s="1047"/>
      <c r="Q172" s="306"/>
      <c r="R172" s="307"/>
      <c r="S172" s="314" t="str">
        <f t="shared" si="34"/>
        <v>ok</v>
      </c>
      <c r="T172" s="314"/>
      <c r="U172" s="314"/>
      <c r="V172" s="314"/>
      <c r="W172" s="314"/>
      <c r="X172" s="314"/>
    </row>
    <row r="173" spans="1:24" s="313" customFormat="1" ht="16.5" customHeight="1">
      <c r="A173" s="1337" t="s">
        <v>2662</v>
      </c>
      <c r="B173" s="1711" t="s">
        <v>3002</v>
      </c>
      <c r="C173" s="1502" t="s">
        <v>51</v>
      </c>
      <c r="D173" s="1710">
        <v>25.28</v>
      </c>
      <c r="E173" s="1312">
        <v>481.99</v>
      </c>
      <c r="F173" s="1486">
        <f t="shared" si="35"/>
        <v>12184.707200000001</v>
      </c>
      <c r="G173" s="1049">
        <v>0</v>
      </c>
      <c r="H173" s="306">
        <v>0</v>
      </c>
      <c r="I173" s="307">
        <v>0</v>
      </c>
      <c r="J173" s="1046"/>
      <c r="K173" s="306">
        <f t="shared" si="26"/>
        <v>0</v>
      </c>
      <c r="L173" s="307">
        <f t="shared" si="27"/>
        <v>0</v>
      </c>
      <c r="M173" s="1047">
        <f t="shared" si="28"/>
        <v>0</v>
      </c>
      <c r="N173" s="306">
        <f t="shared" si="29"/>
        <v>0</v>
      </c>
      <c r="O173" s="307">
        <f t="shared" si="30"/>
        <v>0</v>
      </c>
      <c r="P173" s="1047">
        <f t="shared" si="31"/>
        <v>25.28</v>
      </c>
      <c r="Q173" s="306">
        <f t="shared" si="32"/>
        <v>12184.707200000001</v>
      </c>
      <c r="R173" s="307">
        <f t="shared" si="33"/>
        <v>1</v>
      </c>
      <c r="S173" s="314" t="str">
        <f t="shared" si="34"/>
        <v>ok</v>
      </c>
      <c r="T173" s="314"/>
      <c r="U173" s="314"/>
      <c r="V173" s="314"/>
      <c r="W173" s="314"/>
      <c r="X173" s="314"/>
    </row>
    <row r="174" spans="1:24" s="313" customFormat="1" ht="16.5" customHeight="1">
      <c r="A174" s="1648" t="s">
        <v>3003</v>
      </c>
      <c r="B174" s="1648" t="s">
        <v>3004</v>
      </c>
      <c r="C174" s="1502"/>
      <c r="D174" s="1710"/>
      <c r="E174" s="1312"/>
      <c r="F174" s="1486"/>
      <c r="G174" s="1049"/>
      <c r="H174" s="306"/>
      <c r="I174" s="307"/>
      <c r="J174" s="1046"/>
      <c r="K174" s="306"/>
      <c r="L174" s="307"/>
      <c r="M174" s="1047"/>
      <c r="N174" s="306"/>
      <c r="O174" s="307"/>
      <c r="P174" s="1047"/>
      <c r="Q174" s="306"/>
      <c r="R174" s="307"/>
      <c r="S174" s="314" t="str">
        <f t="shared" si="34"/>
        <v>ok</v>
      </c>
      <c r="T174" s="314"/>
      <c r="U174" s="314"/>
      <c r="V174" s="314"/>
      <c r="W174" s="314"/>
      <c r="X174" s="314"/>
    </row>
    <row r="175" spans="1:24" s="313" customFormat="1" ht="16.5" customHeight="1">
      <c r="A175" s="1709" t="s">
        <v>3005</v>
      </c>
      <c r="B175" s="1709" t="s">
        <v>3006</v>
      </c>
      <c r="C175" s="1502"/>
      <c r="D175" s="1710"/>
      <c r="E175" s="1312"/>
      <c r="F175" s="1486"/>
      <c r="G175" s="1049"/>
      <c r="H175" s="306"/>
      <c r="I175" s="307"/>
      <c r="J175" s="1046"/>
      <c r="K175" s="306"/>
      <c r="L175" s="307"/>
      <c r="M175" s="1047"/>
      <c r="N175" s="306"/>
      <c r="O175" s="307"/>
      <c r="P175" s="1047"/>
      <c r="Q175" s="306"/>
      <c r="R175" s="307"/>
      <c r="S175" s="314" t="str">
        <f t="shared" si="34"/>
        <v>ok</v>
      </c>
      <c r="T175" s="314"/>
      <c r="U175" s="314"/>
      <c r="V175" s="314"/>
      <c r="W175" s="314"/>
      <c r="X175" s="314"/>
    </row>
    <row r="176" spans="1:24" s="313" customFormat="1" ht="16.5" customHeight="1">
      <c r="A176" s="1337" t="s">
        <v>3007</v>
      </c>
      <c r="B176" s="1711" t="s">
        <v>3008</v>
      </c>
      <c r="C176" s="1502" t="s">
        <v>51</v>
      </c>
      <c r="D176" s="1710">
        <v>43.7</v>
      </c>
      <c r="E176" s="1312">
        <v>128.86000000000001</v>
      </c>
      <c r="F176" s="1486">
        <f t="shared" si="35"/>
        <v>5631.1820000000007</v>
      </c>
      <c r="G176" s="1049">
        <v>0</v>
      </c>
      <c r="H176" s="306">
        <v>0</v>
      </c>
      <c r="I176" s="307">
        <v>0</v>
      </c>
      <c r="J176" s="1046"/>
      <c r="K176" s="306">
        <f t="shared" si="26"/>
        <v>0</v>
      </c>
      <c r="L176" s="307">
        <f t="shared" si="27"/>
        <v>0</v>
      </c>
      <c r="M176" s="1047">
        <f t="shared" si="28"/>
        <v>0</v>
      </c>
      <c r="N176" s="306">
        <f t="shared" si="29"/>
        <v>0</v>
      </c>
      <c r="O176" s="307">
        <f t="shared" si="30"/>
        <v>0</v>
      </c>
      <c r="P176" s="1047">
        <f t="shared" si="31"/>
        <v>43.7</v>
      </c>
      <c r="Q176" s="306">
        <f t="shared" si="32"/>
        <v>5631.1820000000007</v>
      </c>
      <c r="R176" s="307">
        <f t="shared" si="33"/>
        <v>1</v>
      </c>
      <c r="S176" s="314" t="str">
        <f t="shared" si="34"/>
        <v>ok</v>
      </c>
      <c r="T176" s="314"/>
      <c r="U176" s="314"/>
      <c r="V176" s="314"/>
      <c r="W176" s="314"/>
      <c r="X176" s="314"/>
    </row>
    <row r="177" spans="1:24" s="313" customFormat="1" ht="16.5" customHeight="1">
      <c r="A177" s="1337" t="s">
        <v>3009</v>
      </c>
      <c r="B177" s="1711" t="s">
        <v>3010</v>
      </c>
      <c r="C177" s="1502" t="s">
        <v>51</v>
      </c>
      <c r="D177" s="1710">
        <v>94.53</v>
      </c>
      <c r="E177" s="1312">
        <v>125.74000000000001</v>
      </c>
      <c r="F177" s="1486">
        <f t="shared" si="35"/>
        <v>11886.202200000002</v>
      </c>
      <c r="G177" s="1049">
        <v>0</v>
      </c>
      <c r="H177" s="306">
        <v>0</v>
      </c>
      <c r="I177" s="307">
        <v>0</v>
      </c>
      <c r="J177" s="1046"/>
      <c r="K177" s="306">
        <f t="shared" si="26"/>
        <v>0</v>
      </c>
      <c r="L177" s="307">
        <f t="shared" si="27"/>
        <v>0</v>
      </c>
      <c r="M177" s="1047">
        <f t="shared" si="28"/>
        <v>0</v>
      </c>
      <c r="N177" s="306">
        <f t="shared" si="29"/>
        <v>0</v>
      </c>
      <c r="O177" s="307">
        <f t="shared" si="30"/>
        <v>0</v>
      </c>
      <c r="P177" s="1047">
        <f t="shared" si="31"/>
        <v>94.53</v>
      </c>
      <c r="Q177" s="306">
        <f t="shared" si="32"/>
        <v>11886.202200000002</v>
      </c>
      <c r="R177" s="307">
        <f t="shared" si="33"/>
        <v>1</v>
      </c>
      <c r="S177" s="314" t="str">
        <f t="shared" si="34"/>
        <v>ok</v>
      </c>
      <c r="T177" s="314"/>
      <c r="U177" s="314"/>
      <c r="V177" s="314"/>
      <c r="W177" s="314"/>
      <c r="X177" s="314"/>
    </row>
    <row r="178" spans="1:24" s="313" customFormat="1" ht="16.5" customHeight="1">
      <c r="A178" s="1337" t="s">
        <v>3011</v>
      </c>
      <c r="B178" s="1711" t="s">
        <v>3012</v>
      </c>
      <c r="C178" s="1502" t="s">
        <v>51</v>
      </c>
      <c r="D178" s="1710">
        <v>57.35</v>
      </c>
      <c r="E178" s="1312">
        <v>125.74000000000001</v>
      </c>
      <c r="F178" s="1486">
        <f t="shared" si="35"/>
        <v>7211.1890000000003</v>
      </c>
      <c r="G178" s="1049">
        <v>0</v>
      </c>
      <c r="H178" s="306">
        <v>0</v>
      </c>
      <c r="I178" s="307">
        <v>0</v>
      </c>
      <c r="J178" s="1046"/>
      <c r="K178" s="306">
        <f t="shared" si="26"/>
        <v>0</v>
      </c>
      <c r="L178" s="307">
        <f t="shared" si="27"/>
        <v>0</v>
      </c>
      <c r="M178" s="1047">
        <f t="shared" si="28"/>
        <v>0</v>
      </c>
      <c r="N178" s="306">
        <f t="shared" si="29"/>
        <v>0</v>
      </c>
      <c r="O178" s="307">
        <f t="shared" si="30"/>
        <v>0</v>
      </c>
      <c r="P178" s="1047">
        <f t="shared" si="31"/>
        <v>57.35</v>
      </c>
      <c r="Q178" s="306">
        <f t="shared" si="32"/>
        <v>7211.1890000000003</v>
      </c>
      <c r="R178" s="307">
        <f t="shared" si="33"/>
        <v>1</v>
      </c>
      <c r="S178" s="314" t="str">
        <f t="shared" si="34"/>
        <v>ok</v>
      </c>
      <c r="T178" s="314"/>
      <c r="U178" s="314"/>
      <c r="V178" s="314"/>
      <c r="W178" s="314"/>
      <c r="X178" s="314"/>
    </row>
    <row r="179" spans="1:24" s="313" customFormat="1" ht="16.5" customHeight="1">
      <c r="A179" s="1337" t="s">
        <v>3013</v>
      </c>
      <c r="B179" s="1711" t="s">
        <v>3014</v>
      </c>
      <c r="C179" s="1502" t="s">
        <v>51</v>
      </c>
      <c r="D179" s="1710">
        <v>2.4500000000000002</v>
      </c>
      <c r="E179" s="1312">
        <v>131.72999999999999</v>
      </c>
      <c r="F179" s="1486">
        <f t="shared" si="35"/>
        <v>322.73849999999999</v>
      </c>
      <c r="G179" s="1049">
        <v>0</v>
      </c>
      <c r="H179" s="306">
        <v>0</v>
      </c>
      <c r="I179" s="307">
        <v>0</v>
      </c>
      <c r="J179" s="1046"/>
      <c r="K179" s="306">
        <f t="shared" si="26"/>
        <v>0</v>
      </c>
      <c r="L179" s="307">
        <f t="shared" si="27"/>
        <v>0</v>
      </c>
      <c r="M179" s="1047">
        <f t="shared" si="28"/>
        <v>0</v>
      </c>
      <c r="N179" s="306">
        <f t="shared" si="29"/>
        <v>0</v>
      </c>
      <c r="O179" s="307">
        <f t="shared" si="30"/>
        <v>0</v>
      </c>
      <c r="P179" s="1047">
        <f t="shared" si="31"/>
        <v>2.4500000000000002</v>
      </c>
      <c r="Q179" s="306">
        <f t="shared" si="32"/>
        <v>322.73849999999999</v>
      </c>
      <c r="R179" s="307">
        <f t="shared" si="33"/>
        <v>1</v>
      </c>
      <c r="S179" s="314" t="str">
        <f t="shared" si="34"/>
        <v>ok</v>
      </c>
      <c r="T179" s="314"/>
      <c r="U179" s="314"/>
      <c r="V179" s="314"/>
      <c r="W179" s="314"/>
      <c r="X179" s="314"/>
    </row>
    <row r="180" spans="1:24" s="313" customFormat="1" ht="16.5" customHeight="1">
      <c r="A180" s="1337" t="s">
        <v>3015</v>
      </c>
      <c r="B180" s="1711" t="s">
        <v>3016</v>
      </c>
      <c r="C180" s="1502" t="s">
        <v>51</v>
      </c>
      <c r="D180" s="1710">
        <v>22.580000000000002</v>
      </c>
      <c r="E180" s="1312">
        <v>131.72999999999999</v>
      </c>
      <c r="F180" s="1486">
        <f t="shared" si="35"/>
        <v>2974.4634000000001</v>
      </c>
      <c r="G180" s="1049">
        <v>0</v>
      </c>
      <c r="H180" s="306">
        <v>0</v>
      </c>
      <c r="I180" s="307">
        <v>0</v>
      </c>
      <c r="J180" s="1046"/>
      <c r="K180" s="306">
        <f t="shared" si="26"/>
        <v>0</v>
      </c>
      <c r="L180" s="307">
        <f t="shared" si="27"/>
        <v>0</v>
      </c>
      <c r="M180" s="1047">
        <f t="shared" si="28"/>
        <v>0</v>
      </c>
      <c r="N180" s="306">
        <f t="shared" si="29"/>
        <v>0</v>
      </c>
      <c r="O180" s="307">
        <f t="shared" si="30"/>
        <v>0</v>
      </c>
      <c r="P180" s="1047">
        <f t="shared" si="31"/>
        <v>22.580000000000002</v>
      </c>
      <c r="Q180" s="306">
        <f t="shared" si="32"/>
        <v>2974.4634000000001</v>
      </c>
      <c r="R180" s="307">
        <f t="shared" si="33"/>
        <v>1</v>
      </c>
      <c r="S180" s="314" t="str">
        <f t="shared" si="34"/>
        <v>ok</v>
      </c>
      <c r="T180" s="314"/>
      <c r="U180" s="314"/>
      <c r="V180" s="314"/>
      <c r="W180" s="314"/>
      <c r="X180" s="314"/>
    </row>
    <row r="181" spans="1:24" s="313" customFormat="1" ht="16.5" customHeight="1">
      <c r="A181" s="1709" t="s">
        <v>3017</v>
      </c>
      <c r="B181" s="1709" t="s">
        <v>3018</v>
      </c>
      <c r="C181" s="1502"/>
      <c r="D181" s="1710"/>
      <c r="E181" s="1312"/>
      <c r="F181" s="1486"/>
      <c r="G181" s="1049"/>
      <c r="H181" s="306"/>
      <c r="I181" s="307"/>
      <c r="J181" s="1046"/>
      <c r="K181" s="306"/>
      <c r="L181" s="307"/>
      <c r="M181" s="1047"/>
      <c r="N181" s="306"/>
      <c r="O181" s="307"/>
      <c r="P181" s="1047"/>
      <c r="Q181" s="306"/>
      <c r="R181" s="307"/>
      <c r="S181" s="314" t="str">
        <f t="shared" si="34"/>
        <v>ok</v>
      </c>
      <c r="T181" s="314"/>
      <c r="U181" s="314"/>
      <c r="V181" s="314"/>
      <c r="W181" s="314"/>
      <c r="X181" s="314"/>
    </row>
    <row r="182" spans="1:24" s="1427" customFormat="1" ht="16.5" customHeight="1">
      <c r="A182" s="1880" t="s">
        <v>3019</v>
      </c>
      <c r="B182" s="1881" t="s">
        <v>3020</v>
      </c>
      <c r="C182" s="1858" t="s">
        <v>51</v>
      </c>
      <c r="D182" s="1859">
        <v>13.85</v>
      </c>
      <c r="E182" s="1854">
        <v>553.87</v>
      </c>
      <c r="F182" s="1855">
        <f t="shared" si="35"/>
        <v>7671.0995000000003</v>
      </c>
      <c r="G182" s="2008">
        <v>0</v>
      </c>
      <c r="H182" s="1425">
        <v>0</v>
      </c>
      <c r="I182" s="305">
        <v>0</v>
      </c>
      <c r="J182" s="312">
        <v>13.85</v>
      </c>
      <c r="K182" s="1425">
        <f>J182*E182</f>
        <v>7671.0995000000003</v>
      </c>
      <c r="L182" s="305">
        <f t="shared" si="27"/>
        <v>1</v>
      </c>
      <c r="M182" s="1047">
        <f t="shared" si="28"/>
        <v>13.85</v>
      </c>
      <c r="N182" s="1425">
        <f t="shared" si="29"/>
        <v>7671.1</v>
      </c>
      <c r="O182" s="305">
        <f t="shared" si="30"/>
        <v>1.0000000651797047</v>
      </c>
      <c r="P182" s="2022">
        <f t="shared" si="31"/>
        <v>0</v>
      </c>
      <c r="Q182" s="1425">
        <f t="shared" ref="Q182:Q183" si="36">F182-N182</f>
        <v>-5.0000000010186341E-4</v>
      </c>
      <c r="R182" s="305">
        <f t="shared" si="33"/>
        <v>-6.5179704695769278E-8</v>
      </c>
      <c r="S182" s="1426" t="str">
        <f t="shared" si="34"/>
        <v>ok</v>
      </c>
      <c r="T182" s="1426"/>
      <c r="U182" s="1426"/>
      <c r="V182" s="1426"/>
      <c r="W182" s="1426"/>
      <c r="X182" s="1426"/>
    </row>
    <row r="183" spans="1:24" s="1427" customFormat="1" ht="16.5" customHeight="1">
      <c r="A183" s="1880" t="s">
        <v>3021</v>
      </c>
      <c r="B183" s="1881" t="s">
        <v>3022</v>
      </c>
      <c r="C183" s="1858" t="s">
        <v>51</v>
      </c>
      <c r="D183" s="1859">
        <v>5.5</v>
      </c>
      <c r="E183" s="1854">
        <v>242.67000000000002</v>
      </c>
      <c r="F183" s="1855">
        <f t="shared" si="35"/>
        <v>1334.6850000000002</v>
      </c>
      <c r="G183" s="2008">
        <v>0</v>
      </c>
      <c r="H183" s="1425">
        <v>0</v>
      </c>
      <c r="I183" s="305">
        <v>0</v>
      </c>
      <c r="J183" s="312">
        <v>5.5</v>
      </c>
      <c r="K183" s="1425">
        <f>J183*E183</f>
        <v>1334.6850000000002</v>
      </c>
      <c r="L183" s="305">
        <f t="shared" si="27"/>
        <v>1</v>
      </c>
      <c r="M183" s="1047">
        <f t="shared" si="28"/>
        <v>5.5</v>
      </c>
      <c r="N183" s="1425">
        <f t="shared" si="29"/>
        <v>1334.69</v>
      </c>
      <c r="O183" s="305">
        <f t="shared" si="30"/>
        <v>1.0000037462022873</v>
      </c>
      <c r="P183" s="2022">
        <f t="shared" si="31"/>
        <v>0</v>
      </c>
      <c r="Q183" s="1425">
        <f t="shared" si="36"/>
        <v>-4.9999999998817657E-3</v>
      </c>
      <c r="R183" s="305">
        <f t="shared" si="33"/>
        <v>-3.7462022873425301E-6</v>
      </c>
      <c r="S183" s="1426" t="str">
        <f t="shared" si="34"/>
        <v>ok</v>
      </c>
      <c r="T183" s="1426"/>
      <c r="U183" s="1426"/>
      <c r="V183" s="1426"/>
      <c r="W183" s="1426"/>
      <c r="X183" s="1426"/>
    </row>
    <row r="184" spans="1:24" s="1427" customFormat="1" ht="16.5" customHeight="1">
      <c r="A184" s="1857" t="s">
        <v>3023</v>
      </c>
      <c r="B184" s="1857" t="s">
        <v>3024</v>
      </c>
      <c r="C184" s="1858"/>
      <c r="D184" s="1859"/>
      <c r="E184" s="1854"/>
      <c r="F184" s="1855"/>
      <c r="G184" s="2008"/>
      <c r="H184" s="1425"/>
      <c r="I184" s="305"/>
      <c r="J184" s="312"/>
      <c r="K184" s="1425"/>
      <c r="L184" s="305"/>
      <c r="M184" s="1047"/>
      <c r="N184" s="1425"/>
      <c r="O184" s="305"/>
      <c r="P184" s="2022"/>
      <c r="Q184" s="1425"/>
      <c r="R184" s="305"/>
      <c r="S184" s="1426" t="str">
        <f t="shared" si="34"/>
        <v>ok</v>
      </c>
      <c r="T184" s="1426"/>
      <c r="U184" s="1426"/>
      <c r="V184" s="1426"/>
      <c r="W184" s="1426"/>
      <c r="X184" s="1426"/>
    </row>
    <row r="185" spans="1:24" s="1427" customFormat="1" ht="16.5" customHeight="1">
      <c r="A185" s="1880" t="s">
        <v>3025</v>
      </c>
      <c r="B185" s="1881" t="s">
        <v>3026</v>
      </c>
      <c r="C185" s="1858" t="s">
        <v>51</v>
      </c>
      <c r="D185" s="1859">
        <v>6</v>
      </c>
      <c r="E185" s="1854">
        <v>304.42</v>
      </c>
      <c r="F185" s="1855">
        <f t="shared" si="35"/>
        <v>1826.52</v>
      </c>
      <c r="G185" s="2008">
        <v>0</v>
      </c>
      <c r="H185" s="1425">
        <v>0</v>
      </c>
      <c r="I185" s="305">
        <v>0</v>
      </c>
      <c r="J185" s="312"/>
      <c r="K185" s="1425">
        <f t="shared" si="26"/>
        <v>0</v>
      </c>
      <c r="L185" s="305">
        <f t="shared" si="27"/>
        <v>0</v>
      </c>
      <c r="M185" s="1047">
        <f t="shared" si="28"/>
        <v>0</v>
      </c>
      <c r="N185" s="1425">
        <f t="shared" si="29"/>
        <v>0</v>
      </c>
      <c r="O185" s="305">
        <f t="shared" si="30"/>
        <v>0</v>
      </c>
      <c r="P185" s="2022">
        <f t="shared" si="31"/>
        <v>6</v>
      </c>
      <c r="Q185" s="1425">
        <f t="shared" si="32"/>
        <v>1826.52</v>
      </c>
      <c r="R185" s="305">
        <f t="shared" si="33"/>
        <v>1</v>
      </c>
      <c r="S185" s="1426" t="str">
        <f t="shared" si="34"/>
        <v>ok</v>
      </c>
      <c r="T185" s="1426"/>
      <c r="U185" s="1426"/>
      <c r="V185" s="1426"/>
      <c r="W185" s="1426"/>
      <c r="X185" s="1426"/>
    </row>
    <row r="186" spans="1:24" s="1427" customFormat="1" ht="16.5" customHeight="1">
      <c r="A186" s="1887" t="s">
        <v>3027</v>
      </c>
      <c r="B186" s="1887" t="s">
        <v>3028</v>
      </c>
      <c r="C186" s="1858"/>
      <c r="D186" s="1859"/>
      <c r="E186" s="1854"/>
      <c r="F186" s="1855"/>
      <c r="G186" s="2008"/>
      <c r="H186" s="1425"/>
      <c r="I186" s="305"/>
      <c r="J186" s="312"/>
      <c r="K186" s="1425"/>
      <c r="L186" s="305"/>
      <c r="M186" s="1047"/>
      <c r="N186" s="1425"/>
      <c r="O186" s="305"/>
      <c r="P186" s="2022"/>
      <c r="Q186" s="1425"/>
      <c r="R186" s="305"/>
      <c r="S186" s="1426" t="str">
        <f t="shared" si="34"/>
        <v>ok</v>
      </c>
      <c r="T186" s="1426"/>
      <c r="U186" s="1426"/>
      <c r="V186" s="1426"/>
      <c r="W186" s="1426"/>
      <c r="X186" s="1426"/>
    </row>
    <row r="187" spans="1:24" s="1427" customFormat="1" ht="16.5" customHeight="1">
      <c r="A187" s="1880" t="s">
        <v>3029</v>
      </c>
      <c r="B187" s="1881" t="s">
        <v>3030</v>
      </c>
      <c r="C187" s="1858" t="s">
        <v>52</v>
      </c>
      <c r="D187" s="1859">
        <v>1</v>
      </c>
      <c r="E187" s="1854">
        <v>3161.52</v>
      </c>
      <c r="F187" s="1855">
        <f t="shared" si="35"/>
        <v>3161.52</v>
      </c>
      <c r="G187" s="2008">
        <v>0</v>
      </c>
      <c r="H187" s="1425">
        <v>0</v>
      </c>
      <c r="I187" s="305">
        <v>0</v>
      </c>
      <c r="J187" s="312">
        <v>1</v>
      </c>
      <c r="K187" s="1425">
        <f>J187*E187</f>
        <v>3161.52</v>
      </c>
      <c r="L187" s="305">
        <f t="shared" si="27"/>
        <v>1</v>
      </c>
      <c r="M187" s="1047">
        <f t="shared" si="28"/>
        <v>1</v>
      </c>
      <c r="N187" s="1425">
        <f t="shared" si="29"/>
        <v>3161.52</v>
      </c>
      <c r="O187" s="305">
        <f t="shared" si="30"/>
        <v>1</v>
      </c>
      <c r="P187" s="2022">
        <f t="shared" si="31"/>
        <v>0</v>
      </c>
      <c r="Q187" s="1425">
        <f t="shared" si="32"/>
        <v>0</v>
      </c>
      <c r="R187" s="305">
        <f t="shared" si="33"/>
        <v>0</v>
      </c>
      <c r="S187" s="1426" t="str">
        <f t="shared" si="34"/>
        <v>ok</v>
      </c>
      <c r="T187" s="1426"/>
      <c r="U187" s="1426"/>
      <c r="V187" s="1426"/>
      <c r="W187" s="1426"/>
      <c r="X187" s="1426"/>
    </row>
    <row r="188" spans="1:24" s="1427" customFormat="1" ht="16.5" customHeight="1">
      <c r="A188" s="1880" t="s">
        <v>3031</v>
      </c>
      <c r="B188" s="1881" t="s">
        <v>3032</v>
      </c>
      <c r="C188" s="1858" t="s">
        <v>52</v>
      </c>
      <c r="D188" s="1859">
        <v>5</v>
      </c>
      <c r="E188" s="1854">
        <v>3311.52</v>
      </c>
      <c r="F188" s="1855">
        <f t="shared" si="35"/>
        <v>16557.599999999999</v>
      </c>
      <c r="G188" s="2008">
        <v>0</v>
      </c>
      <c r="H188" s="1425">
        <v>0</v>
      </c>
      <c r="I188" s="305">
        <v>0</v>
      </c>
      <c r="J188" s="312">
        <v>5</v>
      </c>
      <c r="K188" s="1425">
        <f>J188*E188</f>
        <v>16557.599999999999</v>
      </c>
      <c r="L188" s="305">
        <f t="shared" si="27"/>
        <v>1</v>
      </c>
      <c r="M188" s="1047">
        <f t="shared" si="28"/>
        <v>5</v>
      </c>
      <c r="N188" s="1425">
        <f t="shared" si="29"/>
        <v>16557.599999999999</v>
      </c>
      <c r="O188" s="305">
        <f t="shared" si="30"/>
        <v>1</v>
      </c>
      <c r="P188" s="2022">
        <f t="shared" si="31"/>
        <v>0</v>
      </c>
      <c r="Q188" s="1425">
        <f t="shared" si="32"/>
        <v>0</v>
      </c>
      <c r="R188" s="305">
        <f t="shared" si="33"/>
        <v>0</v>
      </c>
      <c r="S188" s="1426" t="str">
        <f t="shared" si="34"/>
        <v>ok</v>
      </c>
      <c r="T188" s="1426"/>
      <c r="U188" s="1426"/>
      <c r="V188" s="1426"/>
      <c r="W188" s="1426"/>
      <c r="X188" s="1426"/>
    </row>
    <row r="189" spans="1:24" s="1427" customFormat="1" ht="16.5" customHeight="1">
      <c r="A189" s="1880" t="s">
        <v>3033</v>
      </c>
      <c r="B189" s="1881" t="s">
        <v>3034</v>
      </c>
      <c r="C189" s="1858" t="s">
        <v>52</v>
      </c>
      <c r="D189" s="1859">
        <v>1</v>
      </c>
      <c r="E189" s="1854">
        <v>3236.52</v>
      </c>
      <c r="F189" s="1855">
        <f t="shared" si="35"/>
        <v>3236.52</v>
      </c>
      <c r="G189" s="2008">
        <v>0</v>
      </c>
      <c r="H189" s="1425">
        <v>0</v>
      </c>
      <c r="I189" s="305">
        <v>0</v>
      </c>
      <c r="J189" s="312">
        <v>1</v>
      </c>
      <c r="K189" s="1425">
        <f>J189*E189</f>
        <v>3236.52</v>
      </c>
      <c r="L189" s="305">
        <f t="shared" si="27"/>
        <v>1</v>
      </c>
      <c r="M189" s="1047">
        <f t="shared" si="28"/>
        <v>1</v>
      </c>
      <c r="N189" s="1425">
        <f t="shared" si="29"/>
        <v>3236.52</v>
      </c>
      <c r="O189" s="305">
        <f t="shared" si="30"/>
        <v>1</v>
      </c>
      <c r="P189" s="2022">
        <f t="shared" si="31"/>
        <v>0</v>
      </c>
      <c r="Q189" s="1425">
        <f t="shared" si="32"/>
        <v>0</v>
      </c>
      <c r="R189" s="305">
        <f t="shared" si="33"/>
        <v>0</v>
      </c>
      <c r="S189" s="1426" t="str">
        <f t="shared" si="34"/>
        <v>ok</v>
      </c>
      <c r="T189" s="1426"/>
      <c r="U189" s="1426"/>
      <c r="V189" s="1426"/>
      <c r="W189" s="1426"/>
      <c r="X189" s="1426"/>
    </row>
    <row r="190" spans="1:24" s="313" customFormat="1" ht="16.5" customHeight="1">
      <c r="A190" s="1648" t="s">
        <v>3035</v>
      </c>
      <c r="B190" s="1648" t="s">
        <v>3036</v>
      </c>
      <c r="C190" s="1502"/>
      <c r="D190" s="1710"/>
      <c r="E190" s="1312"/>
      <c r="F190" s="1486"/>
      <c r="G190" s="1049"/>
      <c r="H190" s="306"/>
      <c r="I190" s="307"/>
      <c r="J190" s="1046"/>
      <c r="K190" s="306"/>
      <c r="L190" s="307"/>
      <c r="M190" s="1047"/>
      <c r="N190" s="306"/>
      <c r="O190" s="307"/>
      <c r="P190" s="1047"/>
      <c r="Q190" s="306"/>
      <c r="R190" s="307"/>
      <c r="S190" s="314" t="str">
        <f t="shared" si="34"/>
        <v>ok</v>
      </c>
      <c r="T190" s="314"/>
      <c r="U190" s="314"/>
      <c r="V190" s="314"/>
      <c r="W190" s="314"/>
      <c r="X190" s="314"/>
    </row>
    <row r="191" spans="1:24" s="313" customFormat="1" ht="16.5" customHeight="1">
      <c r="A191" s="1709" t="s">
        <v>3037</v>
      </c>
      <c r="B191" s="1709" t="s">
        <v>3038</v>
      </c>
      <c r="C191" s="1502"/>
      <c r="D191" s="1710"/>
      <c r="E191" s="1312"/>
      <c r="F191" s="1486"/>
      <c r="G191" s="1049"/>
      <c r="H191" s="306"/>
      <c r="I191" s="307"/>
      <c r="J191" s="1046"/>
      <c r="K191" s="306"/>
      <c r="L191" s="307"/>
      <c r="M191" s="1047"/>
      <c r="N191" s="306"/>
      <c r="O191" s="307"/>
      <c r="P191" s="1047"/>
      <c r="Q191" s="306"/>
      <c r="R191" s="307"/>
      <c r="S191" s="314" t="str">
        <f t="shared" si="34"/>
        <v>ok</v>
      </c>
      <c r="T191" s="314"/>
      <c r="U191" s="314"/>
      <c r="V191" s="314"/>
      <c r="W191" s="314"/>
      <c r="X191" s="314"/>
    </row>
    <row r="192" spans="1:24" s="313" customFormat="1" ht="16.5" customHeight="1">
      <c r="A192" s="1337" t="s">
        <v>3039</v>
      </c>
      <c r="B192" s="1711" t="s">
        <v>3040</v>
      </c>
      <c r="C192" s="1502" t="s">
        <v>52</v>
      </c>
      <c r="D192" s="1710">
        <v>29</v>
      </c>
      <c r="E192" s="1312">
        <v>194.47</v>
      </c>
      <c r="F192" s="1486">
        <f t="shared" si="35"/>
        <v>5639.63</v>
      </c>
      <c r="G192" s="1049">
        <v>25</v>
      </c>
      <c r="H192" s="306">
        <v>4861.75</v>
      </c>
      <c r="I192" s="307">
        <v>0.86206896551724133</v>
      </c>
      <c r="J192" s="1046"/>
      <c r="K192" s="306">
        <f t="shared" ref="K192:K253" si="37">J192*E192</f>
        <v>0</v>
      </c>
      <c r="L192" s="307">
        <f t="shared" ref="L192:L253" si="38">+K192/$F192</f>
        <v>0</v>
      </c>
      <c r="M192" s="1047">
        <f t="shared" ref="M192:M253" si="39">+G192+J192</f>
        <v>25</v>
      </c>
      <c r="N192" s="306">
        <f t="shared" ref="N192:N253" si="40">ROUND(+M192*E192,2)</f>
        <v>4861.75</v>
      </c>
      <c r="O192" s="307">
        <f t="shared" ref="O192:O253" si="41">+N192/$F192</f>
        <v>0.86206896551724133</v>
      </c>
      <c r="P192" s="1047">
        <f t="shared" ref="P192:P253" si="42">D192-M192</f>
        <v>4</v>
      </c>
      <c r="Q192" s="306">
        <f t="shared" ref="Q192:Q253" si="43">F192-N192</f>
        <v>777.88000000000011</v>
      </c>
      <c r="R192" s="307">
        <f t="shared" ref="R192:R253" si="44">+Q192/$F192</f>
        <v>0.13793103448275865</v>
      </c>
      <c r="S192" s="314" t="str">
        <f t="shared" si="34"/>
        <v>ok</v>
      </c>
      <c r="T192" s="314"/>
      <c r="U192" s="314"/>
      <c r="V192" s="314"/>
      <c r="W192" s="314"/>
      <c r="X192" s="314"/>
    </row>
    <row r="193" spans="1:24" s="1427" customFormat="1" ht="16.5" customHeight="1">
      <c r="A193" s="1880" t="s">
        <v>3041</v>
      </c>
      <c r="B193" s="1881" t="s">
        <v>3042</v>
      </c>
      <c r="C193" s="1858" t="s">
        <v>52</v>
      </c>
      <c r="D193" s="1859">
        <v>21</v>
      </c>
      <c r="E193" s="1854">
        <v>194.47</v>
      </c>
      <c r="F193" s="1855">
        <f t="shared" si="35"/>
        <v>4083.87</v>
      </c>
      <c r="G193" s="1049">
        <v>21</v>
      </c>
      <c r="H193" s="1425">
        <v>4083.87</v>
      </c>
      <c r="I193" s="305">
        <v>1</v>
      </c>
      <c r="J193" s="1049"/>
      <c r="K193" s="1425">
        <f t="shared" si="37"/>
        <v>0</v>
      </c>
      <c r="L193" s="305">
        <f t="shared" si="38"/>
        <v>0</v>
      </c>
      <c r="M193" s="1049">
        <f t="shared" si="39"/>
        <v>21</v>
      </c>
      <c r="N193" s="1425">
        <f t="shared" si="40"/>
        <v>4083.87</v>
      </c>
      <c r="O193" s="305">
        <f t="shared" si="41"/>
        <v>1</v>
      </c>
      <c r="P193" s="1049">
        <f t="shared" si="42"/>
        <v>0</v>
      </c>
      <c r="Q193" s="1425">
        <f t="shared" si="43"/>
        <v>0</v>
      </c>
      <c r="R193" s="305">
        <f t="shared" si="44"/>
        <v>0</v>
      </c>
      <c r="S193" s="1426" t="str">
        <f t="shared" si="34"/>
        <v>ok</v>
      </c>
      <c r="T193" s="1426"/>
      <c r="U193" s="1426"/>
      <c r="V193" s="1426"/>
      <c r="W193" s="1426"/>
      <c r="X193" s="1426"/>
    </row>
    <row r="194" spans="1:24" s="1427" customFormat="1" ht="16.5" customHeight="1">
      <c r="A194" s="1880" t="s">
        <v>3043</v>
      </c>
      <c r="B194" s="1881" t="s">
        <v>3044</v>
      </c>
      <c r="C194" s="1858" t="s">
        <v>52</v>
      </c>
      <c r="D194" s="1859">
        <v>2</v>
      </c>
      <c r="E194" s="1854">
        <v>413.59000000000003</v>
      </c>
      <c r="F194" s="1855">
        <f t="shared" si="35"/>
        <v>827.18000000000006</v>
      </c>
      <c r="G194" s="1049">
        <v>0</v>
      </c>
      <c r="H194" s="1425">
        <v>0</v>
      </c>
      <c r="I194" s="305">
        <v>0</v>
      </c>
      <c r="J194" s="1049"/>
      <c r="K194" s="1425">
        <f t="shared" si="37"/>
        <v>0</v>
      </c>
      <c r="L194" s="305">
        <f t="shared" si="38"/>
        <v>0</v>
      </c>
      <c r="M194" s="1049">
        <f t="shared" si="39"/>
        <v>0</v>
      </c>
      <c r="N194" s="1425">
        <f t="shared" si="40"/>
        <v>0</v>
      </c>
      <c r="O194" s="305">
        <f t="shared" si="41"/>
        <v>0</v>
      </c>
      <c r="P194" s="1049">
        <f t="shared" si="42"/>
        <v>2</v>
      </c>
      <c r="Q194" s="1425">
        <f t="shared" si="43"/>
        <v>827.18000000000006</v>
      </c>
      <c r="R194" s="305">
        <f t="shared" si="44"/>
        <v>1</v>
      </c>
      <c r="S194" s="1426" t="str">
        <f t="shared" si="34"/>
        <v>ok</v>
      </c>
      <c r="T194" s="1426"/>
      <c r="U194" s="1426"/>
      <c r="V194" s="1426"/>
      <c r="W194" s="1426"/>
      <c r="X194" s="1426"/>
    </row>
    <row r="195" spans="1:24" s="1427" customFormat="1" ht="16.5" customHeight="1">
      <c r="A195" s="1880" t="s">
        <v>3045</v>
      </c>
      <c r="B195" s="1881" t="s">
        <v>3046</v>
      </c>
      <c r="C195" s="1858" t="s">
        <v>52</v>
      </c>
      <c r="D195" s="1859">
        <v>3</v>
      </c>
      <c r="E195" s="1854">
        <v>413.59000000000003</v>
      </c>
      <c r="F195" s="1855">
        <f t="shared" si="35"/>
        <v>1240.77</v>
      </c>
      <c r="G195" s="1049">
        <v>0</v>
      </c>
      <c r="H195" s="1425">
        <v>0</v>
      </c>
      <c r="I195" s="305">
        <v>0</v>
      </c>
      <c r="J195" s="1049"/>
      <c r="K195" s="1425">
        <f t="shared" si="37"/>
        <v>0</v>
      </c>
      <c r="L195" s="305">
        <f t="shared" si="38"/>
        <v>0</v>
      </c>
      <c r="M195" s="1049">
        <f t="shared" si="39"/>
        <v>0</v>
      </c>
      <c r="N195" s="1425">
        <f t="shared" si="40"/>
        <v>0</v>
      </c>
      <c r="O195" s="305">
        <f t="shared" si="41"/>
        <v>0</v>
      </c>
      <c r="P195" s="1049">
        <f t="shared" si="42"/>
        <v>3</v>
      </c>
      <c r="Q195" s="1425">
        <f t="shared" si="43"/>
        <v>1240.77</v>
      </c>
      <c r="R195" s="305">
        <f t="shared" si="44"/>
        <v>1</v>
      </c>
      <c r="S195" s="1426" t="str">
        <f t="shared" si="34"/>
        <v>ok</v>
      </c>
      <c r="T195" s="1426"/>
      <c r="U195" s="1426"/>
      <c r="V195" s="1426"/>
      <c r="W195" s="1426"/>
      <c r="X195" s="1426"/>
    </row>
    <row r="196" spans="1:24" s="1427" customFormat="1" ht="16.5" customHeight="1">
      <c r="A196" s="1857" t="s">
        <v>3047</v>
      </c>
      <c r="B196" s="1857" t="s">
        <v>3048</v>
      </c>
      <c r="C196" s="1858"/>
      <c r="D196" s="1859"/>
      <c r="E196" s="1854"/>
      <c r="F196" s="1855"/>
      <c r="G196" s="1049"/>
      <c r="H196" s="1425"/>
      <c r="I196" s="305"/>
      <c r="J196" s="1049"/>
      <c r="K196" s="1425"/>
      <c r="L196" s="305"/>
      <c r="M196" s="1049"/>
      <c r="N196" s="1425"/>
      <c r="O196" s="305"/>
      <c r="P196" s="1049"/>
      <c r="Q196" s="1425"/>
      <c r="R196" s="305"/>
      <c r="S196" s="1426" t="str">
        <f t="shared" si="34"/>
        <v>ok</v>
      </c>
      <c r="T196" s="1426"/>
      <c r="U196" s="1426"/>
      <c r="V196" s="1426"/>
      <c r="W196" s="1426"/>
      <c r="X196" s="1426"/>
    </row>
    <row r="197" spans="1:24" s="1427" customFormat="1" ht="16.5" customHeight="1">
      <c r="A197" s="1880" t="s">
        <v>3049</v>
      </c>
      <c r="B197" s="1881" t="s">
        <v>3050</v>
      </c>
      <c r="C197" s="1858" t="s">
        <v>52</v>
      </c>
      <c r="D197" s="1859">
        <v>200</v>
      </c>
      <c r="E197" s="1854">
        <v>13.200000000000001</v>
      </c>
      <c r="F197" s="1855">
        <f t="shared" si="35"/>
        <v>2640</v>
      </c>
      <c r="G197" s="1049">
        <v>108</v>
      </c>
      <c r="H197" s="1425">
        <v>1425.6</v>
      </c>
      <c r="I197" s="305">
        <v>0.53999999999999992</v>
      </c>
      <c r="J197" s="1049"/>
      <c r="K197" s="1425">
        <f t="shared" si="37"/>
        <v>0</v>
      </c>
      <c r="L197" s="305">
        <f t="shared" si="38"/>
        <v>0</v>
      </c>
      <c r="M197" s="1049">
        <f t="shared" si="39"/>
        <v>108</v>
      </c>
      <c r="N197" s="1425">
        <f t="shared" si="40"/>
        <v>1425.6</v>
      </c>
      <c r="O197" s="305">
        <f t="shared" si="41"/>
        <v>0.53999999999999992</v>
      </c>
      <c r="P197" s="1049">
        <f t="shared" si="42"/>
        <v>92</v>
      </c>
      <c r="Q197" s="1425">
        <f t="shared" si="43"/>
        <v>1214.4000000000001</v>
      </c>
      <c r="R197" s="305">
        <f t="shared" si="44"/>
        <v>0.46</v>
      </c>
      <c r="S197" s="1426" t="str">
        <f t="shared" si="34"/>
        <v>ok</v>
      </c>
      <c r="T197" s="1426"/>
      <c r="U197" s="1426"/>
      <c r="V197" s="1426"/>
      <c r="W197" s="1426"/>
      <c r="X197" s="1426"/>
    </row>
    <row r="198" spans="1:24" s="1427" customFormat="1" ht="16.5" customHeight="1">
      <c r="A198" s="1880" t="s">
        <v>3051</v>
      </c>
      <c r="B198" s="1881" t="s">
        <v>3052</v>
      </c>
      <c r="C198" s="1858" t="s">
        <v>52</v>
      </c>
      <c r="D198" s="1859">
        <v>40</v>
      </c>
      <c r="E198" s="1854">
        <v>24.650000000000002</v>
      </c>
      <c r="F198" s="1855">
        <f t="shared" si="35"/>
        <v>986.00000000000011</v>
      </c>
      <c r="G198" s="1049">
        <v>40</v>
      </c>
      <c r="H198" s="1425">
        <v>986</v>
      </c>
      <c r="I198" s="305">
        <v>0.99999999999999989</v>
      </c>
      <c r="J198" s="1049"/>
      <c r="K198" s="1425">
        <f t="shared" si="37"/>
        <v>0</v>
      </c>
      <c r="L198" s="305">
        <f t="shared" si="38"/>
        <v>0</v>
      </c>
      <c r="M198" s="1049">
        <f t="shared" si="39"/>
        <v>40</v>
      </c>
      <c r="N198" s="1425">
        <f t="shared" si="40"/>
        <v>986</v>
      </c>
      <c r="O198" s="305">
        <f t="shared" si="41"/>
        <v>0.99999999999999989</v>
      </c>
      <c r="P198" s="1049">
        <f t="shared" si="42"/>
        <v>0</v>
      </c>
      <c r="Q198" s="1425">
        <f t="shared" si="43"/>
        <v>0</v>
      </c>
      <c r="R198" s="305">
        <f t="shared" si="44"/>
        <v>0</v>
      </c>
      <c r="S198" s="1426" t="str">
        <f t="shared" si="34"/>
        <v>ok</v>
      </c>
      <c r="T198" s="1426"/>
      <c r="U198" s="1426"/>
      <c r="V198" s="1426"/>
      <c r="W198" s="1426"/>
      <c r="X198" s="1426"/>
    </row>
    <row r="199" spans="1:24" s="313" customFormat="1" ht="16.5" customHeight="1">
      <c r="A199" s="1709" t="s">
        <v>3053</v>
      </c>
      <c r="B199" s="1709" t="s">
        <v>3054</v>
      </c>
      <c r="C199" s="1502"/>
      <c r="D199" s="1710"/>
      <c r="E199" s="1312"/>
      <c r="F199" s="1486"/>
      <c r="G199" s="1049"/>
      <c r="H199" s="306"/>
      <c r="I199" s="307"/>
      <c r="J199" s="1049"/>
      <c r="K199" s="306"/>
      <c r="L199" s="307"/>
      <c r="M199" s="1049"/>
      <c r="N199" s="306"/>
      <c r="O199" s="307"/>
      <c r="P199" s="1049"/>
      <c r="Q199" s="306"/>
      <c r="R199" s="307"/>
      <c r="S199" s="314" t="str">
        <f t="shared" si="34"/>
        <v>ok</v>
      </c>
      <c r="T199" s="314"/>
      <c r="U199" s="314"/>
      <c r="V199" s="314"/>
      <c r="W199" s="314"/>
      <c r="X199" s="314"/>
    </row>
    <row r="200" spans="1:24" s="313" customFormat="1" ht="16.5" customHeight="1">
      <c r="A200" s="1337" t="s">
        <v>3055</v>
      </c>
      <c r="B200" s="1711" t="s">
        <v>3056</v>
      </c>
      <c r="C200" s="1502" t="s">
        <v>52</v>
      </c>
      <c r="D200" s="1710">
        <v>8</v>
      </c>
      <c r="E200" s="1312">
        <v>479.90000000000003</v>
      </c>
      <c r="F200" s="1486">
        <f t="shared" si="35"/>
        <v>3839.2000000000003</v>
      </c>
      <c r="G200" s="1049">
        <v>0</v>
      </c>
      <c r="H200" s="306">
        <v>0</v>
      </c>
      <c r="I200" s="307">
        <v>0</v>
      </c>
      <c r="J200" s="1049"/>
      <c r="K200" s="306">
        <f t="shared" si="37"/>
        <v>0</v>
      </c>
      <c r="L200" s="307">
        <f t="shared" si="38"/>
        <v>0</v>
      </c>
      <c r="M200" s="1049">
        <f t="shared" si="39"/>
        <v>0</v>
      </c>
      <c r="N200" s="306">
        <f t="shared" si="40"/>
        <v>0</v>
      </c>
      <c r="O200" s="307">
        <f t="shared" si="41"/>
        <v>0</v>
      </c>
      <c r="P200" s="1049">
        <f t="shared" si="42"/>
        <v>8</v>
      </c>
      <c r="Q200" s="306">
        <f t="shared" si="43"/>
        <v>3839.2000000000003</v>
      </c>
      <c r="R200" s="307">
        <f t="shared" si="44"/>
        <v>1</v>
      </c>
      <c r="S200" s="314" t="str">
        <f t="shared" si="34"/>
        <v>ok</v>
      </c>
      <c r="T200" s="314"/>
      <c r="U200" s="314"/>
      <c r="V200" s="314"/>
      <c r="W200" s="314"/>
      <c r="X200" s="314"/>
    </row>
    <row r="201" spans="1:24" s="313" customFormat="1" ht="16.5" customHeight="1">
      <c r="A201" s="1337" t="s">
        <v>3057</v>
      </c>
      <c r="B201" s="1711" t="s">
        <v>3058</v>
      </c>
      <c r="C201" s="1502" t="s">
        <v>52</v>
      </c>
      <c r="D201" s="1710">
        <v>7</v>
      </c>
      <c r="E201" s="1312">
        <v>198</v>
      </c>
      <c r="F201" s="1486">
        <f t="shared" si="35"/>
        <v>1386</v>
      </c>
      <c r="G201" s="1049">
        <v>0</v>
      </c>
      <c r="H201" s="306">
        <v>0</v>
      </c>
      <c r="I201" s="307">
        <v>0</v>
      </c>
      <c r="J201" s="1049"/>
      <c r="K201" s="306">
        <f t="shared" si="37"/>
        <v>0</v>
      </c>
      <c r="L201" s="307">
        <f t="shared" si="38"/>
        <v>0</v>
      </c>
      <c r="M201" s="1049">
        <f t="shared" si="39"/>
        <v>0</v>
      </c>
      <c r="N201" s="306">
        <f t="shared" si="40"/>
        <v>0</v>
      </c>
      <c r="O201" s="307">
        <f t="shared" si="41"/>
        <v>0</v>
      </c>
      <c r="P201" s="1049">
        <f t="shared" si="42"/>
        <v>7</v>
      </c>
      <c r="Q201" s="306">
        <f t="shared" si="43"/>
        <v>1386</v>
      </c>
      <c r="R201" s="307">
        <f t="shared" si="44"/>
        <v>1</v>
      </c>
      <c r="S201" s="314" t="str">
        <f t="shared" si="34"/>
        <v>ok</v>
      </c>
      <c r="T201" s="314"/>
      <c r="U201" s="314"/>
      <c r="V201" s="314"/>
      <c r="W201" s="314"/>
      <c r="X201" s="314"/>
    </row>
    <row r="202" spans="1:24" s="313" customFormat="1" ht="16.5" customHeight="1">
      <c r="A202" s="1337" t="s">
        <v>3059</v>
      </c>
      <c r="B202" s="1711" t="s">
        <v>3060</v>
      </c>
      <c r="C202" s="1502" t="s">
        <v>52</v>
      </c>
      <c r="D202" s="1710">
        <v>7</v>
      </c>
      <c r="E202" s="1312">
        <v>113.24000000000001</v>
      </c>
      <c r="F202" s="1486">
        <f t="shared" si="35"/>
        <v>792.68000000000006</v>
      </c>
      <c r="G202" s="1049">
        <v>0</v>
      </c>
      <c r="H202" s="306">
        <v>0</v>
      </c>
      <c r="I202" s="307">
        <v>0</v>
      </c>
      <c r="J202" s="1049"/>
      <c r="K202" s="306">
        <f t="shared" si="37"/>
        <v>0</v>
      </c>
      <c r="L202" s="307">
        <f t="shared" si="38"/>
        <v>0</v>
      </c>
      <c r="M202" s="1049">
        <f t="shared" si="39"/>
        <v>0</v>
      </c>
      <c r="N202" s="306">
        <f t="shared" si="40"/>
        <v>0</v>
      </c>
      <c r="O202" s="307">
        <f t="shared" si="41"/>
        <v>0</v>
      </c>
      <c r="P202" s="1049">
        <f t="shared" si="42"/>
        <v>7</v>
      </c>
      <c r="Q202" s="306">
        <f t="shared" si="43"/>
        <v>792.68000000000006</v>
      </c>
      <c r="R202" s="307">
        <f t="shared" si="44"/>
        <v>1</v>
      </c>
      <c r="S202" s="314" t="str">
        <f t="shared" si="34"/>
        <v>ok</v>
      </c>
      <c r="T202" s="314"/>
      <c r="U202" s="314"/>
      <c r="V202" s="314"/>
      <c r="W202" s="314"/>
      <c r="X202" s="314"/>
    </row>
    <row r="203" spans="1:24" s="313" customFormat="1" ht="16.5" customHeight="1">
      <c r="A203" s="1709" t="s">
        <v>3061</v>
      </c>
      <c r="B203" s="1709" t="s">
        <v>3062</v>
      </c>
      <c r="C203" s="1502"/>
      <c r="D203" s="1710"/>
      <c r="E203" s="1312"/>
      <c r="F203" s="1486"/>
      <c r="G203" s="1049"/>
      <c r="H203" s="306"/>
      <c r="I203" s="307"/>
      <c r="J203" s="1049"/>
      <c r="K203" s="306"/>
      <c r="L203" s="307"/>
      <c r="M203" s="1049"/>
      <c r="N203" s="306"/>
      <c r="O203" s="307"/>
      <c r="P203" s="1049"/>
      <c r="Q203" s="306"/>
      <c r="R203" s="307"/>
      <c r="S203" s="314" t="str">
        <f t="shared" si="34"/>
        <v>ok</v>
      </c>
      <c r="T203" s="314"/>
      <c r="U203" s="314"/>
      <c r="V203" s="314"/>
      <c r="W203" s="314"/>
      <c r="X203" s="314"/>
    </row>
    <row r="204" spans="1:24" s="313" customFormat="1" ht="16.5" customHeight="1">
      <c r="A204" s="1337" t="s">
        <v>3063</v>
      </c>
      <c r="B204" s="1711" t="s">
        <v>3064</v>
      </c>
      <c r="C204" s="1502" t="s">
        <v>51</v>
      </c>
      <c r="D204" s="1710">
        <v>91.2</v>
      </c>
      <c r="E204" s="1312">
        <v>15.93</v>
      </c>
      <c r="F204" s="1486">
        <f t="shared" si="35"/>
        <v>1452.816</v>
      </c>
      <c r="G204" s="1049">
        <v>91.2</v>
      </c>
      <c r="H204" s="306">
        <v>1452.82</v>
      </c>
      <c r="I204" s="307">
        <v>1.0000027532736422</v>
      </c>
      <c r="J204" s="1049"/>
      <c r="K204" s="306">
        <f t="shared" si="37"/>
        <v>0</v>
      </c>
      <c r="L204" s="307">
        <f t="shared" si="38"/>
        <v>0</v>
      </c>
      <c r="M204" s="1049">
        <f t="shared" si="39"/>
        <v>91.2</v>
      </c>
      <c r="N204" s="306">
        <f t="shared" si="40"/>
        <v>1452.82</v>
      </c>
      <c r="O204" s="307">
        <f t="shared" si="41"/>
        <v>1.0000027532736422</v>
      </c>
      <c r="P204" s="1049">
        <f t="shared" si="42"/>
        <v>0</v>
      </c>
      <c r="Q204" s="306">
        <f t="shared" si="43"/>
        <v>-3.9999999999054126E-3</v>
      </c>
      <c r="R204" s="307">
        <f t="shared" si="44"/>
        <v>-2.7532736422956605E-6</v>
      </c>
      <c r="S204" s="314" t="str">
        <f t="shared" si="34"/>
        <v>ok</v>
      </c>
      <c r="T204" s="314"/>
      <c r="U204" s="314"/>
      <c r="V204" s="314"/>
      <c r="W204" s="314"/>
      <c r="X204" s="314"/>
    </row>
    <row r="205" spans="1:24" s="1427" customFormat="1" ht="16.5" customHeight="1">
      <c r="A205" s="1887" t="s">
        <v>3065</v>
      </c>
      <c r="B205" s="1887" t="s">
        <v>3066</v>
      </c>
      <c r="C205" s="1858"/>
      <c r="D205" s="1859"/>
      <c r="E205" s="1854"/>
      <c r="F205" s="1855"/>
      <c r="G205" s="1049"/>
      <c r="H205" s="1425"/>
      <c r="I205" s="305"/>
      <c r="J205" s="1049"/>
      <c r="K205" s="1425"/>
      <c r="L205" s="305"/>
      <c r="M205" s="1049"/>
      <c r="N205" s="1425"/>
      <c r="O205" s="305"/>
      <c r="P205" s="1049"/>
      <c r="Q205" s="1425"/>
      <c r="R205" s="305"/>
      <c r="S205" s="1426" t="str">
        <f t="shared" si="34"/>
        <v>ok</v>
      </c>
      <c r="T205" s="1426"/>
      <c r="U205" s="1426"/>
      <c r="V205" s="1426"/>
      <c r="W205" s="1426"/>
      <c r="X205" s="1426"/>
    </row>
    <row r="206" spans="1:24" s="313" customFormat="1" ht="16.5" customHeight="1">
      <c r="A206" s="1709" t="s">
        <v>3067</v>
      </c>
      <c r="B206" s="1709" t="s">
        <v>3068</v>
      </c>
      <c r="C206" s="1502"/>
      <c r="D206" s="1710"/>
      <c r="E206" s="1312"/>
      <c r="F206" s="1486"/>
      <c r="G206" s="1049"/>
      <c r="H206" s="306"/>
      <c r="I206" s="307"/>
      <c r="J206" s="1046"/>
      <c r="K206" s="306"/>
      <c r="L206" s="307"/>
      <c r="M206" s="1047"/>
      <c r="N206" s="306"/>
      <c r="O206" s="307"/>
      <c r="P206" s="1047"/>
      <c r="Q206" s="306"/>
      <c r="R206" s="307"/>
      <c r="S206" s="314" t="str">
        <f t="shared" si="34"/>
        <v>ok</v>
      </c>
      <c r="T206" s="314"/>
      <c r="U206" s="314"/>
      <c r="V206" s="314"/>
      <c r="W206" s="314"/>
      <c r="X206" s="314"/>
    </row>
    <row r="207" spans="1:24" s="313" customFormat="1" ht="16.5" customHeight="1">
      <c r="A207" s="1337" t="s">
        <v>3069</v>
      </c>
      <c r="B207" s="1711" t="s">
        <v>3070</v>
      </c>
      <c r="C207" s="1502" t="s">
        <v>51</v>
      </c>
      <c r="D207" s="1710">
        <v>2191.3200000000002</v>
      </c>
      <c r="E207" s="1312">
        <v>11.19</v>
      </c>
      <c r="F207" s="1486">
        <f t="shared" si="35"/>
        <v>24520.870800000001</v>
      </c>
      <c r="G207" s="1049">
        <v>1519.1</v>
      </c>
      <c r="H207" s="306">
        <v>16998.73</v>
      </c>
      <c r="I207" s="307">
        <v>0.69323516846718181</v>
      </c>
      <c r="J207" s="1046"/>
      <c r="K207" s="306">
        <f t="shared" si="37"/>
        <v>0</v>
      </c>
      <c r="L207" s="307">
        <f t="shared" si="38"/>
        <v>0</v>
      </c>
      <c r="M207" s="1047">
        <f t="shared" si="39"/>
        <v>1519.1</v>
      </c>
      <c r="N207" s="306">
        <f t="shared" si="40"/>
        <v>16998.73</v>
      </c>
      <c r="O207" s="307">
        <f t="shared" si="41"/>
        <v>0.69323516846718181</v>
      </c>
      <c r="P207" s="1047">
        <f t="shared" si="42"/>
        <v>672.22000000000025</v>
      </c>
      <c r="Q207" s="306">
        <f t="shared" si="43"/>
        <v>7522.140800000001</v>
      </c>
      <c r="R207" s="307">
        <f t="shared" si="44"/>
        <v>0.30676483153281819</v>
      </c>
      <c r="S207" s="314" t="str">
        <f t="shared" si="34"/>
        <v>ok</v>
      </c>
      <c r="T207" s="314"/>
      <c r="U207" s="314"/>
      <c r="V207" s="314"/>
      <c r="W207" s="314"/>
      <c r="X207" s="314"/>
    </row>
    <row r="208" spans="1:24" s="313" customFormat="1" ht="16.5" customHeight="1">
      <c r="A208" s="1709" t="s">
        <v>3071</v>
      </c>
      <c r="B208" s="1709" t="s">
        <v>3072</v>
      </c>
      <c r="C208" s="1502"/>
      <c r="D208" s="1710"/>
      <c r="E208" s="1312"/>
      <c r="F208" s="1486"/>
      <c r="G208" s="1049"/>
      <c r="H208" s="306"/>
      <c r="I208" s="307"/>
      <c r="J208" s="1046"/>
      <c r="K208" s="306"/>
      <c r="L208" s="307"/>
      <c r="M208" s="1047"/>
      <c r="N208" s="306"/>
      <c r="O208" s="307"/>
      <c r="P208" s="1047"/>
      <c r="Q208" s="306"/>
      <c r="R208" s="307"/>
      <c r="S208" s="314" t="str">
        <f t="shared" si="34"/>
        <v>ok</v>
      </c>
      <c r="T208" s="314"/>
      <c r="U208" s="314"/>
      <c r="V208" s="314"/>
      <c r="W208" s="314"/>
      <c r="X208" s="314"/>
    </row>
    <row r="209" spans="1:24" s="313" customFormat="1" ht="16.5" customHeight="1">
      <c r="A209" s="1337" t="s">
        <v>3073</v>
      </c>
      <c r="B209" s="1711" t="s">
        <v>3074</v>
      </c>
      <c r="C209" s="1502" t="s">
        <v>49</v>
      </c>
      <c r="D209" s="1710">
        <v>203.69</v>
      </c>
      <c r="E209" s="1312">
        <v>111.64</v>
      </c>
      <c r="F209" s="1486">
        <f t="shared" si="35"/>
        <v>22739.9516</v>
      </c>
      <c r="G209" s="1049">
        <v>180</v>
      </c>
      <c r="H209" s="306">
        <v>20095.2</v>
      </c>
      <c r="I209" s="307">
        <v>0.88369581226373417</v>
      </c>
      <c r="J209" s="1046"/>
      <c r="K209" s="306">
        <f t="shared" si="37"/>
        <v>0</v>
      </c>
      <c r="L209" s="307">
        <f t="shared" si="38"/>
        <v>0</v>
      </c>
      <c r="M209" s="1047">
        <f t="shared" si="39"/>
        <v>180</v>
      </c>
      <c r="N209" s="306">
        <f t="shared" si="40"/>
        <v>20095.2</v>
      </c>
      <c r="O209" s="307">
        <f t="shared" si="41"/>
        <v>0.88369581226373417</v>
      </c>
      <c r="P209" s="1047">
        <f t="shared" si="42"/>
        <v>23.689999999999998</v>
      </c>
      <c r="Q209" s="306">
        <f t="shared" si="43"/>
        <v>2644.7515999999996</v>
      </c>
      <c r="R209" s="307">
        <f t="shared" si="44"/>
        <v>0.11630418773626587</v>
      </c>
      <c r="S209" s="314" t="str">
        <f t="shared" si="34"/>
        <v>ok</v>
      </c>
      <c r="T209" s="314"/>
      <c r="U209" s="314"/>
      <c r="V209" s="314"/>
      <c r="W209" s="314"/>
      <c r="X209" s="314"/>
    </row>
    <row r="210" spans="1:24" s="313" customFormat="1" ht="16.5" customHeight="1">
      <c r="A210" s="1337" t="s">
        <v>3075</v>
      </c>
      <c r="B210" s="1711" t="s">
        <v>3076</v>
      </c>
      <c r="C210" s="1502" t="s">
        <v>49</v>
      </c>
      <c r="D210" s="1710">
        <v>34.56</v>
      </c>
      <c r="E210" s="1312">
        <v>125.60000000000001</v>
      </c>
      <c r="F210" s="1486">
        <f t="shared" si="35"/>
        <v>4340.7360000000008</v>
      </c>
      <c r="G210" s="1049">
        <v>25</v>
      </c>
      <c r="H210" s="306">
        <v>3140</v>
      </c>
      <c r="I210" s="307">
        <v>0.72337962962962954</v>
      </c>
      <c r="J210" s="1046"/>
      <c r="K210" s="306">
        <f t="shared" si="37"/>
        <v>0</v>
      </c>
      <c r="L210" s="307">
        <f t="shared" si="38"/>
        <v>0</v>
      </c>
      <c r="M210" s="1047">
        <f t="shared" si="39"/>
        <v>25</v>
      </c>
      <c r="N210" s="306">
        <f t="shared" si="40"/>
        <v>3140</v>
      </c>
      <c r="O210" s="307">
        <f t="shared" si="41"/>
        <v>0.72337962962962954</v>
      </c>
      <c r="P210" s="1047">
        <f t="shared" si="42"/>
        <v>9.5600000000000023</v>
      </c>
      <c r="Q210" s="306">
        <f t="shared" si="43"/>
        <v>1200.7360000000008</v>
      </c>
      <c r="R210" s="307">
        <f t="shared" si="44"/>
        <v>0.27662037037037052</v>
      </c>
      <c r="S210" s="314" t="str">
        <f t="shared" si="34"/>
        <v>ok</v>
      </c>
      <c r="T210" s="314"/>
      <c r="U210" s="314"/>
      <c r="V210" s="314"/>
      <c r="W210" s="314"/>
      <c r="X210" s="314"/>
    </row>
    <row r="211" spans="1:24" s="313" customFormat="1" ht="16.5" customHeight="1">
      <c r="A211" s="1709" t="s">
        <v>3077</v>
      </c>
      <c r="B211" s="1709" t="s">
        <v>3078</v>
      </c>
      <c r="C211" s="1502"/>
      <c r="D211" s="1710"/>
      <c r="E211" s="1312"/>
      <c r="F211" s="1486"/>
      <c r="G211" s="1049"/>
      <c r="H211" s="306"/>
      <c r="I211" s="307"/>
      <c r="J211" s="1046"/>
      <c r="K211" s="306"/>
      <c r="L211" s="307"/>
      <c r="M211" s="1047"/>
      <c r="N211" s="306"/>
      <c r="O211" s="307"/>
      <c r="P211" s="1047"/>
      <c r="Q211" s="306"/>
      <c r="R211" s="307"/>
      <c r="S211" s="314" t="str">
        <f t="shared" si="34"/>
        <v>ok</v>
      </c>
      <c r="T211" s="314"/>
      <c r="U211" s="314"/>
      <c r="V211" s="314"/>
      <c r="W211" s="314"/>
      <c r="X211" s="314"/>
    </row>
    <row r="212" spans="1:24" s="313" customFormat="1" ht="16.5" customHeight="1">
      <c r="A212" s="1337" t="s">
        <v>3079</v>
      </c>
      <c r="B212" s="1711" t="s">
        <v>3080</v>
      </c>
      <c r="C212" s="1502" t="s">
        <v>49</v>
      </c>
      <c r="D212" s="1710">
        <v>108.22</v>
      </c>
      <c r="E212" s="1312">
        <v>54.18</v>
      </c>
      <c r="F212" s="1486">
        <f t="shared" si="35"/>
        <v>5863.3595999999998</v>
      </c>
      <c r="G212" s="1049">
        <v>0</v>
      </c>
      <c r="H212" s="306">
        <v>0</v>
      </c>
      <c r="I212" s="307">
        <v>0</v>
      </c>
      <c r="J212" s="1046"/>
      <c r="K212" s="306">
        <f t="shared" si="37"/>
        <v>0</v>
      </c>
      <c r="L212" s="307">
        <f t="shared" si="38"/>
        <v>0</v>
      </c>
      <c r="M212" s="1047">
        <f t="shared" si="39"/>
        <v>0</v>
      </c>
      <c r="N212" s="306">
        <f t="shared" si="40"/>
        <v>0</v>
      </c>
      <c r="O212" s="307">
        <f t="shared" si="41"/>
        <v>0</v>
      </c>
      <c r="P212" s="1047">
        <f t="shared" si="42"/>
        <v>108.22</v>
      </c>
      <c r="Q212" s="306">
        <f t="shared" si="43"/>
        <v>5863.3595999999998</v>
      </c>
      <c r="R212" s="307">
        <f t="shared" si="44"/>
        <v>1</v>
      </c>
      <c r="S212" s="314" t="str">
        <f t="shared" si="34"/>
        <v>ok</v>
      </c>
      <c r="T212" s="314"/>
      <c r="U212" s="314"/>
      <c r="V212" s="314"/>
      <c r="W212" s="314"/>
      <c r="X212" s="314"/>
    </row>
    <row r="213" spans="1:24" s="313" customFormat="1" ht="16.5" customHeight="1">
      <c r="A213" s="1709" t="s">
        <v>3081</v>
      </c>
      <c r="B213" s="1709" t="s">
        <v>3082</v>
      </c>
      <c r="C213" s="1502"/>
      <c r="D213" s="1710"/>
      <c r="E213" s="1312"/>
      <c r="F213" s="1486"/>
      <c r="G213" s="1049"/>
      <c r="H213" s="306"/>
      <c r="I213" s="307"/>
      <c r="J213" s="1046"/>
      <c r="K213" s="306"/>
      <c r="L213" s="307"/>
      <c r="M213" s="1047"/>
      <c r="N213" s="306"/>
      <c r="O213" s="307"/>
      <c r="P213" s="1047"/>
      <c r="Q213" s="306"/>
      <c r="R213" s="307"/>
      <c r="S213" s="314" t="str">
        <f t="shared" si="34"/>
        <v>ok</v>
      </c>
      <c r="T213" s="314"/>
      <c r="U213" s="314"/>
      <c r="V213" s="314"/>
      <c r="W213" s="314"/>
      <c r="X213" s="314"/>
    </row>
    <row r="214" spans="1:24" s="313" customFormat="1" ht="16.5" customHeight="1">
      <c r="A214" s="1337" t="s">
        <v>3083</v>
      </c>
      <c r="B214" s="1711" t="s">
        <v>3084</v>
      </c>
      <c r="C214" s="1502" t="s">
        <v>49</v>
      </c>
      <c r="D214" s="1710">
        <v>23.17</v>
      </c>
      <c r="E214" s="1312">
        <v>52.58</v>
      </c>
      <c r="F214" s="1486">
        <f t="shared" si="35"/>
        <v>1218.2786000000001</v>
      </c>
      <c r="G214" s="1049">
        <v>0</v>
      </c>
      <c r="H214" s="306">
        <v>0</v>
      </c>
      <c r="I214" s="307">
        <v>0</v>
      </c>
      <c r="J214" s="1046"/>
      <c r="K214" s="306">
        <f t="shared" si="37"/>
        <v>0</v>
      </c>
      <c r="L214" s="307">
        <f t="shared" si="38"/>
        <v>0</v>
      </c>
      <c r="M214" s="1047">
        <f t="shared" si="39"/>
        <v>0</v>
      </c>
      <c r="N214" s="306">
        <f t="shared" si="40"/>
        <v>0</v>
      </c>
      <c r="O214" s="307">
        <f t="shared" si="41"/>
        <v>0</v>
      </c>
      <c r="P214" s="1047">
        <f t="shared" si="42"/>
        <v>23.17</v>
      </c>
      <c r="Q214" s="306">
        <f t="shared" si="43"/>
        <v>1218.2786000000001</v>
      </c>
      <c r="R214" s="307">
        <f t="shared" si="44"/>
        <v>1</v>
      </c>
      <c r="S214" s="314" t="str">
        <f t="shared" si="34"/>
        <v>ok</v>
      </c>
      <c r="T214" s="314"/>
      <c r="U214" s="314"/>
      <c r="V214" s="314"/>
      <c r="W214" s="314"/>
      <c r="X214" s="314"/>
    </row>
    <row r="215" spans="1:24" s="313" customFormat="1" ht="16.5" customHeight="1">
      <c r="A215" s="1709" t="s">
        <v>3085</v>
      </c>
      <c r="B215" s="1709" t="s">
        <v>3086</v>
      </c>
      <c r="C215" s="1502"/>
      <c r="D215" s="1710"/>
      <c r="E215" s="1312"/>
      <c r="F215" s="1486"/>
      <c r="G215" s="1049"/>
      <c r="H215" s="306"/>
      <c r="I215" s="307"/>
      <c r="J215" s="1046"/>
      <c r="K215" s="306"/>
      <c r="L215" s="307"/>
      <c r="M215" s="1047"/>
      <c r="N215" s="306"/>
      <c r="O215" s="307"/>
      <c r="P215" s="1047"/>
      <c r="Q215" s="306"/>
      <c r="R215" s="307"/>
      <c r="S215" s="314" t="str">
        <f t="shared" ref="S215:S278" si="45">IF(M215&gt;D215,"mayormetrado","ok")</f>
        <v>ok</v>
      </c>
      <c r="T215" s="314"/>
      <c r="U215" s="314"/>
      <c r="V215" s="314"/>
      <c r="W215" s="314"/>
      <c r="X215" s="314"/>
    </row>
    <row r="216" spans="1:24" s="313" customFormat="1" ht="16.5" customHeight="1">
      <c r="A216" s="1337" t="s">
        <v>3087</v>
      </c>
      <c r="B216" s="1711" t="s">
        <v>3088</v>
      </c>
      <c r="C216" s="1502" t="s">
        <v>49</v>
      </c>
      <c r="D216" s="1710">
        <v>134.5</v>
      </c>
      <c r="E216" s="1312">
        <v>22.63</v>
      </c>
      <c r="F216" s="1486">
        <f t="shared" si="35"/>
        <v>3043.7349999999997</v>
      </c>
      <c r="G216" s="1049">
        <v>0</v>
      </c>
      <c r="H216" s="306">
        <v>0</v>
      </c>
      <c r="I216" s="307">
        <v>0</v>
      </c>
      <c r="J216" s="1046"/>
      <c r="K216" s="306">
        <f t="shared" si="37"/>
        <v>0</v>
      </c>
      <c r="L216" s="307">
        <f t="shared" si="38"/>
        <v>0</v>
      </c>
      <c r="M216" s="1047">
        <f t="shared" si="39"/>
        <v>0</v>
      </c>
      <c r="N216" s="306">
        <f t="shared" si="40"/>
        <v>0</v>
      </c>
      <c r="O216" s="307">
        <f t="shared" si="41"/>
        <v>0</v>
      </c>
      <c r="P216" s="1047">
        <f t="shared" si="42"/>
        <v>134.5</v>
      </c>
      <c r="Q216" s="306">
        <f t="shared" si="43"/>
        <v>3043.7349999999997</v>
      </c>
      <c r="R216" s="307">
        <f t="shared" si="44"/>
        <v>1</v>
      </c>
      <c r="S216" s="314" t="str">
        <f t="shared" si="45"/>
        <v>ok</v>
      </c>
      <c r="T216" s="314"/>
      <c r="U216" s="314"/>
      <c r="V216" s="314"/>
      <c r="W216" s="314"/>
      <c r="X216" s="314"/>
    </row>
    <row r="217" spans="1:24" s="313" customFormat="1" ht="16.5" customHeight="1">
      <c r="A217" s="1648" t="s">
        <v>3089</v>
      </c>
      <c r="B217" s="1648" t="s">
        <v>3090</v>
      </c>
      <c r="C217" s="1502"/>
      <c r="D217" s="1710"/>
      <c r="E217" s="1312"/>
      <c r="F217" s="1486"/>
      <c r="G217" s="1049"/>
      <c r="H217" s="306"/>
      <c r="I217" s="307"/>
      <c r="J217" s="1046"/>
      <c r="K217" s="306"/>
      <c r="L217" s="307"/>
      <c r="M217" s="1047"/>
      <c r="N217" s="306"/>
      <c r="O217" s="307"/>
      <c r="P217" s="1047"/>
      <c r="Q217" s="306"/>
      <c r="R217" s="307"/>
      <c r="S217" s="314" t="str">
        <f t="shared" si="45"/>
        <v>ok</v>
      </c>
      <c r="T217" s="314"/>
      <c r="U217" s="314"/>
      <c r="V217" s="314"/>
      <c r="W217" s="314"/>
      <c r="X217" s="314"/>
    </row>
    <row r="218" spans="1:24" s="313" customFormat="1" ht="16.5" customHeight="1">
      <c r="A218" s="1709" t="s">
        <v>3091</v>
      </c>
      <c r="B218" s="1709" t="s">
        <v>3092</v>
      </c>
      <c r="C218" s="1502"/>
      <c r="D218" s="1710"/>
      <c r="E218" s="1312"/>
      <c r="F218" s="1486"/>
      <c r="G218" s="1049"/>
      <c r="H218" s="306"/>
      <c r="I218" s="307"/>
      <c r="J218" s="1046"/>
      <c r="K218" s="306"/>
      <c r="L218" s="307"/>
      <c r="M218" s="1047"/>
      <c r="N218" s="306"/>
      <c r="O218" s="307"/>
      <c r="P218" s="1047"/>
      <c r="Q218" s="306"/>
      <c r="R218" s="307"/>
      <c r="S218" s="314" t="str">
        <f t="shared" si="45"/>
        <v>ok</v>
      </c>
      <c r="T218" s="314"/>
      <c r="U218" s="314"/>
      <c r="V218" s="314"/>
      <c r="W218" s="314"/>
      <c r="X218" s="314"/>
    </row>
    <row r="219" spans="1:24" s="313" customFormat="1" ht="16.5" customHeight="1">
      <c r="A219" s="1337" t="s">
        <v>3093</v>
      </c>
      <c r="B219" s="1711" t="s">
        <v>3094</v>
      </c>
      <c r="C219" s="1502" t="s">
        <v>49</v>
      </c>
      <c r="D219" s="1710">
        <v>3594.12</v>
      </c>
      <c r="E219" s="1312">
        <v>7.69</v>
      </c>
      <c r="F219" s="1486">
        <f t="shared" ref="F219:F280" si="46">E219*D219</f>
        <v>27638.782800000001</v>
      </c>
      <c r="G219" s="1049">
        <v>0</v>
      </c>
      <c r="H219" s="306">
        <v>0</v>
      </c>
      <c r="I219" s="307">
        <v>0</v>
      </c>
      <c r="J219" s="1046"/>
      <c r="K219" s="306">
        <f t="shared" si="37"/>
        <v>0</v>
      </c>
      <c r="L219" s="307">
        <f t="shared" si="38"/>
        <v>0</v>
      </c>
      <c r="M219" s="1047">
        <f t="shared" si="39"/>
        <v>0</v>
      </c>
      <c r="N219" s="306">
        <f t="shared" si="40"/>
        <v>0</v>
      </c>
      <c r="O219" s="307">
        <f t="shared" si="41"/>
        <v>0</v>
      </c>
      <c r="P219" s="1047">
        <f t="shared" si="42"/>
        <v>3594.12</v>
      </c>
      <c r="Q219" s="306">
        <f t="shared" si="43"/>
        <v>27638.782800000001</v>
      </c>
      <c r="R219" s="307">
        <f t="shared" si="44"/>
        <v>1</v>
      </c>
      <c r="S219" s="314" t="str">
        <f t="shared" si="45"/>
        <v>ok</v>
      </c>
      <c r="T219" s="314"/>
      <c r="U219" s="314"/>
      <c r="V219" s="314"/>
      <c r="W219" s="314"/>
      <c r="X219" s="314"/>
    </row>
    <row r="220" spans="1:24" s="313" customFormat="1" ht="16.5" customHeight="1">
      <c r="A220" s="1337" t="s">
        <v>3095</v>
      </c>
      <c r="B220" s="1711" t="s">
        <v>3096</v>
      </c>
      <c r="C220" s="1502" t="s">
        <v>49</v>
      </c>
      <c r="D220" s="1710">
        <v>800</v>
      </c>
      <c r="E220" s="1717">
        <v>17.2</v>
      </c>
      <c r="F220" s="1486">
        <f t="shared" si="46"/>
        <v>13760</v>
      </c>
      <c r="G220" s="1049">
        <v>0</v>
      </c>
      <c r="H220" s="306">
        <v>0</v>
      </c>
      <c r="I220" s="307">
        <v>0</v>
      </c>
      <c r="J220" s="1046"/>
      <c r="K220" s="306">
        <f t="shared" si="37"/>
        <v>0</v>
      </c>
      <c r="L220" s="307">
        <f t="shared" si="38"/>
        <v>0</v>
      </c>
      <c r="M220" s="1047">
        <f t="shared" si="39"/>
        <v>0</v>
      </c>
      <c r="N220" s="306">
        <f t="shared" si="40"/>
        <v>0</v>
      </c>
      <c r="O220" s="307">
        <f t="shared" si="41"/>
        <v>0</v>
      </c>
      <c r="P220" s="1047">
        <f t="shared" si="42"/>
        <v>800</v>
      </c>
      <c r="Q220" s="306">
        <f t="shared" si="43"/>
        <v>13760</v>
      </c>
      <c r="R220" s="307">
        <f t="shared" si="44"/>
        <v>1</v>
      </c>
      <c r="S220" s="314" t="str">
        <f t="shared" si="45"/>
        <v>ok</v>
      </c>
      <c r="T220" s="314"/>
      <c r="U220" s="314"/>
      <c r="V220" s="314"/>
      <c r="W220" s="314"/>
      <c r="X220" s="314"/>
    </row>
    <row r="221" spans="1:24" s="313" customFormat="1" ht="16.5" customHeight="1">
      <c r="A221" s="1709" t="s">
        <v>3097</v>
      </c>
      <c r="B221" s="1709" t="s">
        <v>3098</v>
      </c>
      <c r="C221" s="1502"/>
      <c r="D221" s="1710"/>
      <c r="E221" s="1312"/>
      <c r="F221" s="1486"/>
      <c r="G221" s="1049"/>
      <c r="H221" s="306"/>
      <c r="I221" s="307"/>
      <c r="J221" s="1046"/>
      <c r="K221" s="306"/>
      <c r="L221" s="307"/>
      <c r="M221" s="1047"/>
      <c r="N221" s="306"/>
      <c r="O221" s="307"/>
      <c r="P221" s="1047"/>
      <c r="Q221" s="306"/>
      <c r="R221" s="307"/>
      <c r="S221" s="314" t="str">
        <f t="shared" si="45"/>
        <v>ok</v>
      </c>
      <c r="T221" s="314"/>
      <c r="U221" s="314"/>
      <c r="V221" s="314"/>
      <c r="W221" s="314"/>
      <c r="X221" s="314"/>
    </row>
    <row r="222" spans="1:24" s="313" customFormat="1" ht="16.5" customHeight="1">
      <c r="A222" s="1337" t="s">
        <v>3099</v>
      </c>
      <c r="B222" s="1711" t="s">
        <v>3100</v>
      </c>
      <c r="C222" s="1502" t="s">
        <v>52</v>
      </c>
      <c r="D222" s="1710">
        <v>36</v>
      </c>
      <c r="E222" s="1717">
        <v>40</v>
      </c>
      <c r="F222" s="1486">
        <f t="shared" si="46"/>
        <v>1440</v>
      </c>
      <c r="G222" s="1049">
        <v>0</v>
      </c>
      <c r="H222" s="306">
        <v>0</v>
      </c>
      <c r="I222" s="307">
        <v>0</v>
      </c>
      <c r="J222" s="1046"/>
      <c r="K222" s="306">
        <f t="shared" si="37"/>
        <v>0</v>
      </c>
      <c r="L222" s="307">
        <f t="shared" si="38"/>
        <v>0</v>
      </c>
      <c r="M222" s="1047">
        <f t="shared" si="39"/>
        <v>0</v>
      </c>
      <c r="N222" s="306">
        <f t="shared" si="40"/>
        <v>0</v>
      </c>
      <c r="O222" s="307">
        <f t="shared" si="41"/>
        <v>0</v>
      </c>
      <c r="P222" s="1047">
        <f t="shared" si="42"/>
        <v>36</v>
      </c>
      <c r="Q222" s="306">
        <f t="shared" si="43"/>
        <v>1440</v>
      </c>
      <c r="R222" s="307">
        <f t="shared" si="44"/>
        <v>1</v>
      </c>
      <c r="S222" s="314" t="str">
        <f t="shared" si="45"/>
        <v>ok</v>
      </c>
      <c r="T222" s="314"/>
      <c r="U222" s="314"/>
      <c r="V222" s="314"/>
      <c r="W222" s="314"/>
      <c r="X222" s="314"/>
    </row>
    <row r="223" spans="1:24" s="313" customFormat="1" ht="16.5" customHeight="1">
      <c r="A223" s="1337" t="s">
        <v>3101</v>
      </c>
      <c r="B223" s="1711" t="s">
        <v>3102</v>
      </c>
      <c r="C223" s="1502" t="s">
        <v>52</v>
      </c>
      <c r="D223" s="1710">
        <v>18</v>
      </c>
      <c r="E223" s="1717">
        <v>125</v>
      </c>
      <c r="F223" s="1486">
        <f t="shared" si="46"/>
        <v>2250</v>
      </c>
      <c r="G223" s="1049">
        <v>0</v>
      </c>
      <c r="H223" s="306">
        <v>0</v>
      </c>
      <c r="I223" s="307">
        <v>0</v>
      </c>
      <c r="J223" s="1046"/>
      <c r="K223" s="306">
        <f t="shared" si="37"/>
        <v>0</v>
      </c>
      <c r="L223" s="307">
        <f t="shared" si="38"/>
        <v>0</v>
      </c>
      <c r="M223" s="1047">
        <f t="shared" si="39"/>
        <v>0</v>
      </c>
      <c r="N223" s="306">
        <f t="shared" si="40"/>
        <v>0</v>
      </c>
      <c r="O223" s="307">
        <f t="shared" si="41"/>
        <v>0</v>
      </c>
      <c r="P223" s="1047">
        <f t="shared" si="42"/>
        <v>18</v>
      </c>
      <c r="Q223" s="306">
        <f t="shared" si="43"/>
        <v>2250</v>
      </c>
      <c r="R223" s="307">
        <f t="shared" si="44"/>
        <v>1</v>
      </c>
      <c r="S223" s="314" t="str">
        <f t="shared" si="45"/>
        <v>ok</v>
      </c>
      <c r="T223" s="314"/>
      <c r="U223" s="314"/>
      <c r="V223" s="314"/>
      <c r="W223" s="314"/>
      <c r="X223" s="314"/>
    </row>
    <row r="224" spans="1:24" s="313" customFormat="1" ht="16.5" customHeight="1">
      <c r="A224" s="1337" t="s">
        <v>3103</v>
      </c>
      <c r="B224" s="1711" t="s">
        <v>3104</v>
      </c>
      <c r="C224" s="1502" t="s">
        <v>52</v>
      </c>
      <c r="D224" s="1710">
        <v>18</v>
      </c>
      <c r="E224" s="1717">
        <v>60</v>
      </c>
      <c r="F224" s="1486">
        <f t="shared" si="46"/>
        <v>1080</v>
      </c>
      <c r="G224" s="1049">
        <v>0</v>
      </c>
      <c r="H224" s="306">
        <v>0</v>
      </c>
      <c r="I224" s="307">
        <v>0</v>
      </c>
      <c r="J224" s="1046"/>
      <c r="K224" s="306">
        <f t="shared" si="37"/>
        <v>0</v>
      </c>
      <c r="L224" s="307">
        <f t="shared" si="38"/>
        <v>0</v>
      </c>
      <c r="M224" s="1047">
        <f t="shared" si="39"/>
        <v>0</v>
      </c>
      <c r="N224" s="306">
        <f t="shared" si="40"/>
        <v>0</v>
      </c>
      <c r="O224" s="307">
        <f t="shared" si="41"/>
        <v>0</v>
      </c>
      <c r="P224" s="1047">
        <f t="shared" si="42"/>
        <v>18</v>
      </c>
      <c r="Q224" s="306">
        <f t="shared" si="43"/>
        <v>1080</v>
      </c>
      <c r="R224" s="307">
        <f t="shared" si="44"/>
        <v>1</v>
      </c>
      <c r="S224" s="314" t="str">
        <f t="shared" si="45"/>
        <v>ok</v>
      </c>
      <c r="T224" s="314"/>
      <c r="U224" s="314"/>
      <c r="V224" s="314"/>
      <c r="W224" s="314"/>
      <c r="X224" s="314"/>
    </row>
    <row r="225" spans="1:24" s="313" customFormat="1" ht="16.5" customHeight="1">
      <c r="A225" s="1337" t="s">
        <v>3105</v>
      </c>
      <c r="B225" s="1711" t="s">
        <v>3106</v>
      </c>
      <c r="C225" s="1502" t="s">
        <v>52</v>
      </c>
      <c r="D225" s="1710">
        <v>36</v>
      </c>
      <c r="E225" s="1717">
        <v>35</v>
      </c>
      <c r="F225" s="1486">
        <f t="shared" si="46"/>
        <v>1260</v>
      </c>
      <c r="G225" s="1049">
        <v>0</v>
      </c>
      <c r="H225" s="306">
        <v>0</v>
      </c>
      <c r="I225" s="307">
        <v>0</v>
      </c>
      <c r="J225" s="1046"/>
      <c r="K225" s="306">
        <f t="shared" si="37"/>
        <v>0</v>
      </c>
      <c r="L225" s="307">
        <f t="shared" si="38"/>
        <v>0</v>
      </c>
      <c r="M225" s="1047">
        <f t="shared" si="39"/>
        <v>0</v>
      </c>
      <c r="N225" s="306">
        <f t="shared" si="40"/>
        <v>0</v>
      </c>
      <c r="O225" s="307">
        <f t="shared" si="41"/>
        <v>0</v>
      </c>
      <c r="P225" s="1047">
        <f t="shared" si="42"/>
        <v>36</v>
      </c>
      <c r="Q225" s="306">
        <f t="shared" si="43"/>
        <v>1260</v>
      </c>
      <c r="R225" s="307">
        <f t="shared" si="44"/>
        <v>1</v>
      </c>
      <c r="S225" s="314" t="str">
        <f t="shared" si="45"/>
        <v>ok</v>
      </c>
      <c r="T225" s="314"/>
      <c r="U225" s="314"/>
      <c r="V225" s="314"/>
      <c r="W225" s="314"/>
      <c r="X225" s="314"/>
    </row>
    <row r="226" spans="1:24" s="313" customFormat="1" ht="16.5" customHeight="1">
      <c r="A226" s="1337" t="s">
        <v>3107</v>
      </c>
      <c r="B226" s="1711" t="s">
        <v>3108</v>
      </c>
      <c r="C226" s="1502" t="s">
        <v>52</v>
      </c>
      <c r="D226" s="1710">
        <v>297</v>
      </c>
      <c r="E226" s="1717">
        <v>7</v>
      </c>
      <c r="F226" s="1486">
        <f t="shared" si="46"/>
        <v>2079</v>
      </c>
      <c r="G226" s="1049">
        <v>0</v>
      </c>
      <c r="H226" s="306">
        <v>0</v>
      </c>
      <c r="I226" s="307">
        <v>0</v>
      </c>
      <c r="J226" s="1046"/>
      <c r="K226" s="306">
        <f t="shared" si="37"/>
        <v>0</v>
      </c>
      <c r="L226" s="307">
        <f t="shared" si="38"/>
        <v>0</v>
      </c>
      <c r="M226" s="1047">
        <f t="shared" si="39"/>
        <v>0</v>
      </c>
      <c r="N226" s="306">
        <f t="shared" si="40"/>
        <v>0</v>
      </c>
      <c r="O226" s="307">
        <f t="shared" si="41"/>
        <v>0</v>
      </c>
      <c r="P226" s="1047">
        <f t="shared" si="42"/>
        <v>297</v>
      </c>
      <c r="Q226" s="306">
        <f t="shared" si="43"/>
        <v>2079</v>
      </c>
      <c r="R226" s="307">
        <f t="shared" si="44"/>
        <v>1</v>
      </c>
      <c r="S226" s="314" t="str">
        <f t="shared" si="45"/>
        <v>ok</v>
      </c>
      <c r="T226" s="314"/>
      <c r="U226" s="314"/>
      <c r="V226" s="314"/>
      <c r="W226" s="314"/>
      <c r="X226" s="314"/>
    </row>
    <row r="227" spans="1:24" s="313" customFormat="1" ht="16.5" customHeight="1">
      <c r="A227" s="1337" t="s">
        <v>3109</v>
      </c>
      <c r="B227" s="1711" t="s">
        <v>3110</v>
      </c>
      <c r="C227" s="1502" t="s">
        <v>52</v>
      </c>
      <c r="D227" s="1710">
        <v>6</v>
      </c>
      <c r="E227" s="1717">
        <v>25</v>
      </c>
      <c r="F227" s="1486">
        <f t="shared" si="46"/>
        <v>150</v>
      </c>
      <c r="G227" s="1049">
        <v>0</v>
      </c>
      <c r="H227" s="306">
        <v>0</v>
      </c>
      <c r="I227" s="307">
        <v>0</v>
      </c>
      <c r="J227" s="1046"/>
      <c r="K227" s="306">
        <f t="shared" si="37"/>
        <v>0</v>
      </c>
      <c r="L227" s="307">
        <f t="shared" si="38"/>
        <v>0</v>
      </c>
      <c r="M227" s="1047">
        <f t="shared" si="39"/>
        <v>0</v>
      </c>
      <c r="N227" s="306">
        <f t="shared" si="40"/>
        <v>0</v>
      </c>
      <c r="O227" s="307">
        <f t="shared" si="41"/>
        <v>0</v>
      </c>
      <c r="P227" s="1047">
        <f t="shared" si="42"/>
        <v>6</v>
      </c>
      <c r="Q227" s="306">
        <f t="shared" si="43"/>
        <v>150</v>
      </c>
      <c r="R227" s="307">
        <f t="shared" si="44"/>
        <v>1</v>
      </c>
      <c r="S227" s="314" t="str">
        <f t="shared" si="45"/>
        <v>ok</v>
      </c>
      <c r="T227" s="314"/>
      <c r="U227" s="314"/>
      <c r="V227" s="314"/>
      <c r="W227" s="314"/>
      <c r="X227" s="314"/>
    </row>
    <row r="228" spans="1:24" s="313" customFormat="1" ht="16.5" customHeight="1">
      <c r="A228" s="1337" t="s">
        <v>3111</v>
      </c>
      <c r="B228" s="1711" t="s">
        <v>3112</v>
      </c>
      <c r="C228" s="1502" t="s">
        <v>52</v>
      </c>
      <c r="D228" s="1710">
        <v>7</v>
      </c>
      <c r="E228" s="1717">
        <v>30</v>
      </c>
      <c r="F228" s="1486">
        <f t="shared" si="46"/>
        <v>210</v>
      </c>
      <c r="G228" s="1049">
        <v>0</v>
      </c>
      <c r="H228" s="306">
        <v>0</v>
      </c>
      <c r="I228" s="307">
        <v>0</v>
      </c>
      <c r="J228" s="1046"/>
      <c r="K228" s="306">
        <f t="shared" si="37"/>
        <v>0</v>
      </c>
      <c r="L228" s="307">
        <f t="shared" si="38"/>
        <v>0</v>
      </c>
      <c r="M228" s="1047">
        <f t="shared" si="39"/>
        <v>0</v>
      </c>
      <c r="N228" s="306">
        <f t="shared" si="40"/>
        <v>0</v>
      </c>
      <c r="O228" s="307">
        <f t="shared" si="41"/>
        <v>0</v>
      </c>
      <c r="P228" s="1047">
        <f t="shared" si="42"/>
        <v>7</v>
      </c>
      <c r="Q228" s="306">
        <f t="shared" si="43"/>
        <v>210</v>
      </c>
      <c r="R228" s="307">
        <f t="shared" si="44"/>
        <v>1</v>
      </c>
      <c r="S228" s="314" t="str">
        <f t="shared" si="45"/>
        <v>ok</v>
      </c>
      <c r="T228" s="314"/>
      <c r="U228" s="314"/>
      <c r="V228" s="314"/>
      <c r="W228" s="314"/>
      <c r="X228" s="314"/>
    </row>
    <row r="229" spans="1:24" s="313" customFormat="1" ht="16.5" customHeight="1">
      <c r="A229" s="1337" t="s">
        <v>3113</v>
      </c>
      <c r="B229" s="1711" t="s">
        <v>3114</v>
      </c>
      <c r="C229" s="1502" t="s">
        <v>52</v>
      </c>
      <c r="D229" s="1710">
        <v>15</v>
      </c>
      <c r="E229" s="1717">
        <v>75</v>
      </c>
      <c r="F229" s="1486">
        <f t="shared" si="46"/>
        <v>1125</v>
      </c>
      <c r="G229" s="1049">
        <v>0</v>
      </c>
      <c r="H229" s="306">
        <v>0</v>
      </c>
      <c r="I229" s="307">
        <v>0</v>
      </c>
      <c r="J229" s="1046"/>
      <c r="K229" s="306">
        <f t="shared" si="37"/>
        <v>0</v>
      </c>
      <c r="L229" s="307">
        <f t="shared" si="38"/>
        <v>0</v>
      </c>
      <c r="M229" s="1047">
        <f t="shared" si="39"/>
        <v>0</v>
      </c>
      <c r="N229" s="306">
        <f t="shared" si="40"/>
        <v>0</v>
      </c>
      <c r="O229" s="307">
        <f t="shared" si="41"/>
        <v>0</v>
      </c>
      <c r="P229" s="1047">
        <f t="shared" si="42"/>
        <v>15</v>
      </c>
      <c r="Q229" s="306">
        <f t="shared" si="43"/>
        <v>1125</v>
      </c>
      <c r="R229" s="307">
        <f t="shared" si="44"/>
        <v>1</v>
      </c>
      <c r="S229" s="314" t="str">
        <f t="shared" si="45"/>
        <v>ok</v>
      </c>
      <c r="T229" s="314"/>
      <c r="U229" s="314"/>
      <c r="V229" s="314"/>
      <c r="W229" s="314"/>
      <c r="X229" s="314"/>
    </row>
    <row r="230" spans="1:24" s="313" customFormat="1" ht="16.5" customHeight="1">
      <c r="A230" s="1337" t="s">
        <v>3115</v>
      </c>
      <c r="B230" s="1711" t="s">
        <v>3116</v>
      </c>
      <c r="C230" s="1502" t="s">
        <v>52</v>
      </c>
      <c r="D230" s="1710">
        <v>6</v>
      </c>
      <c r="E230" s="1717">
        <v>125</v>
      </c>
      <c r="F230" s="1486">
        <f t="shared" si="46"/>
        <v>750</v>
      </c>
      <c r="G230" s="1049">
        <v>0</v>
      </c>
      <c r="H230" s="306">
        <v>0</v>
      </c>
      <c r="I230" s="307">
        <v>0</v>
      </c>
      <c r="J230" s="1046"/>
      <c r="K230" s="306">
        <f t="shared" si="37"/>
        <v>0</v>
      </c>
      <c r="L230" s="307">
        <f t="shared" si="38"/>
        <v>0</v>
      </c>
      <c r="M230" s="1047">
        <f t="shared" si="39"/>
        <v>0</v>
      </c>
      <c r="N230" s="306">
        <f t="shared" si="40"/>
        <v>0</v>
      </c>
      <c r="O230" s="307">
        <f t="shared" si="41"/>
        <v>0</v>
      </c>
      <c r="P230" s="1047">
        <f t="shared" si="42"/>
        <v>6</v>
      </c>
      <c r="Q230" s="306">
        <f t="shared" si="43"/>
        <v>750</v>
      </c>
      <c r="R230" s="307">
        <f t="shared" si="44"/>
        <v>1</v>
      </c>
      <c r="S230" s="314" t="str">
        <f t="shared" si="45"/>
        <v>ok</v>
      </c>
      <c r="T230" s="314"/>
      <c r="U230" s="314"/>
      <c r="V230" s="314"/>
      <c r="W230" s="314"/>
      <c r="X230" s="314"/>
    </row>
    <row r="231" spans="1:24" s="313" customFormat="1" ht="16.5" customHeight="1">
      <c r="A231" s="1337" t="s">
        <v>3117</v>
      </c>
      <c r="B231" s="1711" t="s">
        <v>3118</v>
      </c>
      <c r="C231" s="1502" t="s">
        <v>52</v>
      </c>
      <c r="D231" s="1710">
        <v>8</v>
      </c>
      <c r="E231" s="1717">
        <v>10</v>
      </c>
      <c r="F231" s="1486">
        <f t="shared" si="46"/>
        <v>80</v>
      </c>
      <c r="G231" s="1049">
        <v>0</v>
      </c>
      <c r="H231" s="306">
        <v>0</v>
      </c>
      <c r="I231" s="307">
        <v>0</v>
      </c>
      <c r="J231" s="1046"/>
      <c r="K231" s="306">
        <f t="shared" si="37"/>
        <v>0</v>
      </c>
      <c r="L231" s="307">
        <f t="shared" si="38"/>
        <v>0</v>
      </c>
      <c r="M231" s="1047">
        <f t="shared" si="39"/>
        <v>0</v>
      </c>
      <c r="N231" s="306">
        <f t="shared" si="40"/>
        <v>0</v>
      </c>
      <c r="O231" s="307">
        <f t="shared" si="41"/>
        <v>0</v>
      </c>
      <c r="P231" s="1047">
        <f t="shared" si="42"/>
        <v>8</v>
      </c>
      <c r="Q231" s="306">
        <f t="shared" si="43"/>
        <v>80</v>
      </c>
      <c r="R231" s="307">
        <f t="shared" si="44"/>
        <v>1</v>
      </c>
      <c r="S231" s="314" t="str">
        <f t="shared" si="45"/>
        <v>ok</v>
      </c>
      <c r="T231" s="314"/>
      <c r="U231" s="314"/>
      <c r="V231" s="314"/>
      <c r="W231" s="314"/>
      <c r="X231" s="314"/>
    </row>
    <row r="232" spans="1:24" s="313" customFormat="1" ht="16.5" customHeight="1">
      <c r="A232" s="1709" t="s">
        <v>3119</v>
      </c>
      <c r="B232" s="1709" t="s">
        <v>3120</v>
      </c>
      <c r="C232" s="1502"/>
      <c r="D232" s="1710"/>
      <c r="E232" s="1312"/>
      <c r="F232" s="1486"/>
      <c r="G232" s="1049"/>
      <c r="H232" s="306"/>
      <c r="I232" s="307"/>
      <c r="J232" s="1046"/>
      <c r="K232" s="306"/>
      <c r="L232" s="307"/>
      <c r="M232" s="1047"/>
      <c r="N232" s="306"/>
      <c r="O232" s="307"/>
      <c r="P232" s="1047"/>
      <c r="Q232" s="306"/>
      <c r="R232" s="307"/>
      <c r="S232" s="314" t="str">
        <f t="shared" si="45"/>
        <v>ok</v>
      </c>
      <c r="T232" s="314"/>
      <c r="U232" s="314"/>
      <c r="V232" s="314"/>
      <c r="W232" s="314"/>
      <c r="X232" s="314"/>
    </row>
    <row r="233" spans="1:24" s="313" customFormat="1" ht="16.5" customHeight="1">
      <c r="A233" s="1337" t="s">
        <v>3121</v>
      </c>
      <c r="B233" s="1711" t="s">
        <v>3122</v>
      </c>
      <c r="C233" s="1502" t="s">
        <v>50</v>
      </c>
      <c r="D233" s="1710">
        <v>43.58</v>
      </c>
      <c r="E233" s="1312">
        <v>425.75</v>
      </c>
      <c r="F233" s="1486">
        <f t="shared" si="46"/>
        <v>18554.184999999998</v>
      </c>
      <c r="G233" s="1049">
        <v>0</v>
      </c>
      <c r="H233" s="306">
        <v>0</v>
      </c>
      <c r="I233" s="307">
        <v>0</v>
      </c>
      <c r="J233" s="1046"/>
      <c r="K233" s="306">
        <f t="shared" si="37"/>
        <v>0</v>
      </c>
      <c r="L233" s="307">
        <f t="shared" si="38"/>
        <v>0</v>
      </c>
      <c r="M233" s="1047">
        <f t="shared" si="39"/>
        <v>0</v>
      </c>
      <c r="N233" s="306">
        <f t="shared" si="40"/>
        <v>0</v>
      </c>
      <c r="O233" s="307">
        <f t="shared" si="41"/>
        <v>0</v>
      </c>
      <c r="P233" s="1047">
        <f t="shared" si="42"/>
        <v>43.58</v>
      </c>
      <c r="Q233" s="306">
        <f t="shared" si="43"/>
        <v>18554.184999999998</v>
      </c>
      <c r="R233" s="307">
        <f t="shared" si="44"/>
        <v>1</v>
      </c>
      <c r="S233" s="314" t="str">
        <f t="shared" si="45"/>
        <v>ok</v>
      </c>
      <c r="T233" s="314"/>
      <c r="U233" s="314"/>
      <c r="V233" s="314"/>
      <c r="W233" s="314"/>
      <c r="X233" s="314"/>
    </row>
    <row r="234" spans="1:24" s="313" customFormat="1" ht="16.5" customHeight="1">
      <c r="A234" s="1709" t="s">
        <v>3123</v>
      </c>
      <c r="B234" s="1709" t="s">
        <v>3124</v>
      </c>
      <c r="C234" s="1502"/>
      <c r="D234" s="1710"/>
      <c r="E234" s="1312"/>
      <c r="F234" s="1486"/>
      <c r="G234" s="1049"/>
      <c r="H234" s="306"/>
      <c r="I234" s="307"/>
      <c r="J234" s="1046"/>
      <c r="K234" s="306"/>
      <c r="L234" s="307"/>
      <c r="M234" s="1047"/>
      <c r="N234" s="306"/>
      <c r="O234" s="307"/>
      <c r="P234" s="1047"/>
      <c r="Q234" s="306"/>
      <c r="R234" s="307"/>
      <c r="S234" s="314" t="str">
        <f t="shared" si="45"/>
        <v>ok</v>
      </c>
      <c r="T234" s="314"/>
      <c r="U234" s="314"/>
      <c r="V234" s="314"/>
      <c r="W234" s="314"/>
      <c r="X234" s="314"/>
    </row>
    <row r="235" spans="1:24" s="313" customFormat="1" ht="16.5" customHeight="1">
      <c r="A235" s="1337" t="s">
        <v>3125</v>
      </c>
      <c r="B235" s="1711" t="s">
        <v>3126</v>
      </c>
      <c r="C235" s="1502" t="s">
        <v>268</v>
      </c>
      <c r="D235" s="1710">
        <v>1</v>
      </c>
      <c r="E235" s="1312">
        <v>5693.84</v>
      </c>
      <c r="F235" s="1486">
        <f t="shared" si="46"/>
        <v>5693.84</v>
      </c>
      <c r="G235" s="1049">
        <v>0</v>
      </c>
      <c r="H235" s="306">
        <v>0</v>
      </c>
      <c r="I235" s="307">
        <v>0</v>
      </c>
      <c r="J235" s="1046"/>
      <c r="K235" s="306">
        <f t="shared" si="37"/>
        <v>0</v>
      </c>
      <c r="L235" s="307">
        <f t="shared" si="38"/>
        <v>0</v>
      </c>
      <c r="M235" s="1047">
        <f t="shared" si="39"/>
        <v>0</v>
      </c>
      <c r="N235" s="306">
        <f t="shared" si="40"/>
        <v>0</v>
      </c>
      <c r="O235" s="307">
        <f t="shared" si="41"/>
        <v>0</v>
      </c>
      <c r="P235" s="1047">
        <f t="shared" si="42"/>
        <v>1</v>
      </c>
      <c r="Q235" s="306">
        <f t="shared" si="43"/>
        <v>5693.84</v>
      </c>
      <c r="R235" s="307">
        <f t="shared" si="44"/>
        <v>1</v>
      </c>
      <c r="S235" s="314" t="str">
        <f t="shared" si="45"/>
        <v>ok</v>
      </c>
      <c r="T235" s="314"/>
      <c r="U235" s="314"/>
      <c r="V235" s="314"/>
      <c r="W235" s="314"/>
      <c r="X235" s="314"/>
    </row>
    <row r="236" spans="1:24" s="313" customFormat="1" ht="16.5" customHeight="1">
      <c r="A236" s="1337" t="s">
        <v>3127</v>
      </c>
      <c r="B236" s="1711" t="s">
        <v>3128</v>
      </c>
      <c r="C236" s="1502" t="s">
        <v>268</v>
      </c>
      <c r="D236" s="1710">
        <v>1</v>
      </c>
      <c r="E236" s="1312">
        <v>1019.3</v>
      </c>
      <c r="F236" s="1486">
        <f t="shared" si="46"/>
        <v>1019.3</v>
      </c>
      <c r="G236" s="1049">
        <v>0</v>
      </c>
      <c r="H236" s="306">
        <v>0</v>
      </c>
      <c r="I236" s="307">
        <v>0</v>
      </c>
      <c r="J236" s="1046"/>
      <c r="K236" s="306">
        <f t="shared" si="37"/>
        <v>0</v>
      </c>
      <c r="L236" s="307">
        <f t="shared" si="38"/>
        <v>0</v>
      </c>
      <c r="M236" s="1047">
        <f t="shared" si="39"/>
        <v>0</v>
      </c>
      <c r="N236" s="306">
        <f t="shared" si="40"/>
        <v>0</v>
      </c>
      <c r="O236" s="307">
        <f t="shared" si="41"/>
        <v>0</v>
      </c>
      <c r="P236" s="1047">
        <f t="shared" si="42"/>
        <v>1</v>
      </c>
      <c r="Q236" s="306">
        <f t="shared" si="43"/>
        <v>1019.3</v>
      </c>
      <c r="R236" s="307">
        <f t="shared" si="44"/>
        <v>1</v>
      </c>
      <c r="S236" s="314" t="str">
        <f t="shared" si="45"/>
        <v>ok</v>
      </c>
      <c r="T236" s="314"/>
      <c r="U236" s="314"/>
      <c r="V236" s="314"/>
      <c r="W236" s="314"/>
      <c r="X236" s="314"/>
    </row>
    <row r="237" spans="1:24" s="313" customFormat="1" ht="16.5" customHeight="1">
      <c r="A237" s="1648" t="s">
        <v>3129</v>
      </c>
      <c r="B237" s="1648" t="s">
        <v>3130</v>
      </c>
      <c r="C237" s="1502"/>
      <c r="D237" s="1710"/>
      <c r="E237" s="1312"/>
      <c r="F237" s="1486"/>
      <c r="G237" s="1049"/>
      <c r="H237" s="306"/>
      <c r="I237" s="307"/>
      <c r="J237" s="1046"/>
      <c r="K237" s="306"/>
      <c r="L237" s="307"/>
      <c r="M237" s="1047"/>
      <c r="N237" s="306"/>
      <c r="O237" s="307"/>
      <c r="P237" s="1047"/>
      <c r="Q237" s="306"/>
      <c r="R237" s="307"/>
      <c r="S237" s="314" t="str">
        <f t="shared" si="45"/>
        <v>ok</v>
      </c>
      <c r="T237" s="314"/>
      <c r="U237" s="314"/>
      <c r="V237" s="314"/>
      <c r="W237" s="314"/>
      <c r="X237" s="314"/>
    </row>
    <row r="238" spans="1:24" s="313" customFormat="1" ht="16.5" customHeight="1">
      <c r="A238" s="1709" t="s">
        <v>3131</v>
      </c>
      <c r="B238" s="1709" t="s">
        <v>3132</v>
      </c>
      <c r="C238" s="1502"/>
      <c r="D238" s="1710"/>
      <c r="E238" s="1312"/>
      <c r="F238" s="1486"/>
      <c r="G238" s="1049"/>
      <c r="H238" s="306"/>
      <c r="I238" s="307"/>
      <c r="J238" s="1046"/>
      <c r="K238" s="306"/>
      <c r="L238" s="307"/>
      <c r="M238" s="1047"/>
      <c r="N238" s="306"/>
      <c r="O238" s="307"/>
      <c r="P238" s="1047"/>
      <c r="Q238" s="306"/>
      <c r="R238" s="307"/>
      <c r="S238" s="314" t="str">
        <f t="shared" si="45"/>
        <v>ok</v>
      </c>
      <c r="T238" s="314"/>
      <c r="U238" s="314"/>
      <c r="V238" s="314"/>
      <c r="W238" s="314"/>
      <c r="X238" s="314"/>
    </row>
    <row r="239" spans="1:24" s="313" customFormat="1" ht="16.5" customHeight="1">
      <c r="A239" s="1337" t="s">
        <v>3133</v>
      </c>
      <c r="B239" s="1711" t="s">
        <v>3134</v>
      </c>
      <c r="C239" s="1502" t="s">
        <v>268</v>
      </c>
      <c r="D239" s="1710">
        <v>1</v>
      </c>
      <c r="E239" s="1312">
        <v>6807.35</v>
      </c>
      <c r="F239" s="1486">
        <f t="shared" si="46"/>
        <v>6807.35</v>
      </c>
      <c r="G239" s="1049">
        <v>0</v>
      </c>
      <c r="H239" s="306">
        <v>0</v>
      </c>
      <c r="I239" s="307">
        <v>0</v>
      </c>
      <c r="J239" s="1046"/>
      <c r="K239" s="306">
        <f t="shared" si="37"/>
        <v>0</v>
      </c>
      <c r="L239" s="307">
        <f t="shared" si="38"/>
        <v>0</v>
      </c>
      <c r="M239" s="1047">
        <f t="shared" si="39"/>
        <v>0</v>
      </c>
      <c r="N239" s="306">
        <f t="shared" si="40"/>
        <v>0</v>
      </c>
      <c r="O239" s="307">
        <f t="shared" si="41"/>
        <v>0</v>
      </c>
      <c r="P239" s="1047">
        <f t="shared" si="42"/>
        <v>1</v>
      </c>
      <c r="Q239" s="306">
        <f t="shared" si="43"/>
        <v>6807.35</v>
      </c>
      <c r="R239" s="307">
        <f t="shared" si="44"/>
        <v>1</v>
      </c>
      <c r="S239" s="314" t="str">
        <f t="shared" si="45"/>
        <v>ok</v>
      </c>
      <c r="T239" s="314"/>
      <c r="U239" s="314"/>
      <c r="V239" s="314"/>
      <c r="W239" s="314"/>
      <c r="X239" s="314"/>
    </row>
    <row r="240" spans="1:24" s="313" customFormat="1" ht="16.5" customHeight="1">
      <c r="A240" s="1337" t="s">
        <v>3135</v>
      </c>
      <c r="B240" s="1711" t="s">
        <v>3136</v>
      </c>
      <c r="C240" s="1502" t="s">
        <v>268</v>
      </c>
      <c r="D240" s="1710">
        <v>1</v>
      </c>
      <c r="E240" s="1312">
        <v>4807.3500000000004</v>
      </c>
      <c r="F240" s="1486">
        <f t="shared" si="46"/>
        <v>4807.3500000000004</v>
      </c>
      <c r="G240" s="1049">
        <v>0</v>
      </c>
      <c r="H240" s="306">
        <v>0</v>
      </c>
      <c r="I240" s="307">
        <v>0</v>
      </c>
      <c r="J240" s="1046"/>
      <c r="K240" s="306">
        <f t="shared" si="37"/>
        <v>0</v>
      </c>
      <c r="L240" s="307">
        <f t="shared" si="38"/>
        <v>0</v>
      </c>
      <c r="M240" s="1047">
        <f t="shared" si="39"/>
        <v>0</v>
      </c>
      <c r="N240" s="306">
        <f t="shared" si="40"/>
        <v>0</v>
      </c>
      <c r="O240" s="307">
        <f t="shared" si="41"/>
        <v>0</v>
      </c>
      <c r="P240" s="1047">
        <f t="shared" si="42"/>
        <v>1</v>
      </c>
      <c r="Q240" s="306">
        <f t="shared" si="43"/>
        <v>4807.3500000000004</v>
      </c>
      <c r="R240" s="307">
        <f t="shared" si="44"/>
        <v>1</v>
      </c>
      <c r="S240" s="314" t="str">
        <f t="shared" si="45"/>
        <v>ok</v>
      </c>
      <c r="T240" s="314"/>
      <c r="U240" s="314"/>
      <c r="V240" s="314"/>
      <c r="W240" s="314"/>
      <c r="X240" s="314"/>
    </row>
    <row r="241" spans="1:24" s="313" customFormat="1" ht="16.5" customHeight="1">
      <c r="A241" s="1337" t="s">
        <v>3137</v>
      </c>
      <c r="B241" s="1711" t="s">
        <v>3138</v>
      </c>
      <c r="C241" s="1502" t="s">
        <v>52</v>
      </c>
      <c r="D241" s="1710">
        <v>1</v>
      </c>
      <c r="E241" s="1312">
        <v>9692.9500000000007</v>
      </c>
      <c r="F241" s="1486">
        <f t="shared" si="46"/>
        <v>9692.9500000000007</v>
      </c>
      <c r="G241" s="1049">
        <v>0</v>
      </c>
      <c r="H241" s="306">
        <v>0</v>
      </c>
      <c r="I241" s="307">
        <v>0</v>
      </c>
      <c r="J241" s="1046"/>
      <c r="K241" s="306">
        <f t="shared" si="37"/>
        <v>0</v>
      </c>
      <c r="L241" s="307">
        <f t="shared" si="38"/>
        <v>0</v>
      </c>
      <c r="M241" s="1047">
        <f t="shared" si="39"/>
        <v>0</v>
      </c>
      <c r="N241" s="306">
        <f t="shared" si="40"/>
        <v>0</v>
      </c>
      <c r="O241" s="307">
        <f t="shared" si="41"/>
        <v>0</v>
      </c>
      <c r="P241" s="1047">
        <f t="shared" si="42"/>
        <v>1</v>
      </c>
      <c r="Q241" s="306">
        <f t="shared" si="43"/>
        <v>9692.9500000000007</v>
      </c>
      <c r="R241" s="307">
        <f t="shared" si="44"/>
        <v>1</v>
      </c>
      <c r="S241" s="314" t="str">
        <f t="shared" si="45"/>
        <v>ok</v>
      </c>
      <c r="T241" s="314"/>
      <c r="U241" s="314"/>
      <c r="V241" s="314"/>
      <c r="W241" s="314"/>
      <c r="X241" s="314"/>
    </row>
    <row r="242" spans="1:24" s="313" customFormat="1" ht="16.5" customHeight="1">
      <c r="A242" s="1337" t="s">
        <v>3139</v>
      </c>
      <c r="B242" s="1711" t="s">
        <v>3140</v>
      </c>
      <c r="C242" s="1502" t="s">
        <v>52</v>
      </c>
      <c r="D242" s="1710">
        <v>1</v>
      </c>
      <c r="E242" s="1312">
        <v>15000</v>
      </c>
      <c r="F242" s="1486">
        <f t="shared" si="46"/>
        <v>15000</v>
      </c>
      <c r="G242" s="1049">
        <v>0</v>
      </c>
      <c r="H242" s="306">
        <v>0</v>
      </c>
      <c r="I242" s="307">
        <v>0</v>
      </c>
      <c r="J242" s="1046"/>
      <c r="K242" s="306">
        <f t="shared" si="37"/>
        <v>0</v>
      </c>
      <c r="L242" s="307">
        <f t="shared" si="38"/>
        <v>0</v>
      </c>
      <c r="M242" s="1047">
        <f t="shared" si="39"/>
        <v>0</v>
      </c>
      <c r="N242" s="306">
        <f t="shared" si="40"/>
        <v>0</v>
      </c>
      <c r="O242" s="307">
        <f t="shared" si="41"/>
        <v>0</v>
      </c>
      <c r="P242" s="1047">
        <f t="shared" si="42"/>
        <v>1</v>
      </c>
      <c r="Q242" s="306">
        <f t="shared" si="43"/>
        <v>15000</v>
      </c>
      <c r="R242" s="307">
        <f t="shared" si="44"/>
        <v>1</v>
      </c>
      <c r="S242" s="314" t="str">
        <f t="shared" si="45"/>
        <v>ok</v>
      </c>
      <c r="T242" s="314"/>
      <c r="U242" s="314"/>
      <c r="V242" s="314"/>
      <c r="W242" s="314"/>
      <c r="X242" s="314"/>
    </row>
    <row r="243" spans="1:24" s="313" customFormat="1" ht="16.5" customHeight="1">
      <c r="A243" s="1706" t="s">
        <v>46</v>
      </c>
      <c r="B243" s="1707" t="s">
        <v>1784</v>
      </c>
      <c r="C243" s="1502"/>
      <c r="D243" s="1710"/>
      <c r="E243" s="1312"/>
      <c r="F243" s="1716"/>
      <c r="G243" s="1049"/>
      <c r="H243" s="306"/>
      <c r="I243" s="307"/>
      <c r="J243" s="1046"/>
      <c r="K243" s="306"/>
      <c r="L243" s="307"/>
      <c r="M243" s="1047"/>
      <c r="N243" s="306"/>
      <c r="O243" s="307"/>
      <c r="P243" s="1047"/>
      <c r="Q243" s="306"/>
      <c r="R243" s="307"/>
      <c r="S243" s="314" t="str">
        <f t="shared" si="45"/>
        <v>ok</v>
      </c>
      <c r="T243" s="314"/>
      <c r="U243" s="314"/>
      <c r="V243" s="314"/>
      <c r="W243" s="314"/>
      <c r="X243" s="314"/>
    </row>
    <row r="244" spans="1:24" s="313" customFormat="1" ht="16.5" customHeight="1">
      <c r="A244" s="1648" t="s">
        <v>47</v>
      </c>
      <c r="B244" s="1648" t="s">
        <v>3141</v>
      </c>
      <c r="C244" s="1502"/>
      <c r="D244" s="1710"/>
      <c r="E244" s="1312"/>
      <c r="F244" s="1486"/>
      <c r="G244" s="1049"/>
      <c r="H244" s="306"/>
      <c r="I244" s="307"/>
      <c r="J244" s="1046"/>
      <c r="K244" s="306"/>
      <c r="L244" s="307"/>
      <c r="M244" s="1047"/>
      <c r="N244" s="306"/>
      <c r="O244" s="307"/>
      <c r="P244" s="1047"/>
      <c r="Q244" s="306"/>
      <c r="R244" s="307"/>
      <c r="S244" s="314" t="str">
        <f t="shared" si="45"/>
        <v>ok</v>
      </c>
      <c r="T244" s="314"/>
      <c r="U244" s="314"/>
      <c r="V244" s="314"/>
      <c r="W244" s="314"/>
      <c r="X244" s="314"/>
    </row>
    <row r="245" spans="1:24" s="313" customFormat="1" ht="16.5" customHeight="1">
      <c r="A245" s="1709" t="s">
        <v>406</v>
      </c>
      <c r="B245" s="1709" t="s">
        <v>3142</v>
      </c>
      <c r="C245" s="1502"/>
      <c r="D245" s="1710"/>
      <c r="E245" s="1312"/>
      <c r="F245" s="1486"/>
      <c r="G245" s="1049"/>
      <c r="H245" s="306"/>
      <c r="I245" s="307"/>
      <c r="J245" s="1046"/>
      <c r="K245" s="306"/>
      <c r="L245" s="307"/>
      <c r="M245" s="1047"/>
      <c r="N245" s="306"/>
      <c r="O245" s="307"/>
      <c r="P245" s="1047"/>
      <c r="Q245" s="306"/>
      <c r="R245" s="307"/>
      <c r="S245" s="314" t="str">
        <f t="shared" si="45"/>
        <v>ok</v>
      </c>
      <c r="T245" s="314"/>
      <c r="U245" s="314"/>
      <c r="V245" s="314"/>
      <c r="W245" s="314"/>
      <c r="X245" s="314"/>
    </row>
    <row r="246" spans="1:24" s="313" customFormat="1" ht="16.5" customHeight="1">
      <c r="A246" s="1337" t="s">
        <v>3143</v>
      </c>
      <c r="B246" s="1711" t="s">
        <v>3144</v>
      </c>
      <c r="C246" s="1502" t="s">
        <v>1145</v>
      </c>
      <c r="D246" s="1710">
        <v>153</v>
      </c>
      <c r="E246" s="1312">
        <v>135.67000000000002</v>
      </c>
      <c r="F246" s="1486">
        <f t="shared" si="46"/>
        <v>20757.510000000002</v>
      </c>
      <c r="G246" s="1049">
        <v>153</v>
      </c>
      <c r="H246" s="306">
        <v>20757.509999999998</v>
      </c>
      <c r="I246" s="307">
        <v>0.99999999999999978</v>
      </c>
      <c r="J246" s="1046"/>
      <c r="K246" s="306">
        <f t="shared" si="37"/>
        <v>0</v>
      </c>
      <c r="L246" s="307">
        <f t="shared" si="38"/>
        <v>0</v>
      </c>
      <c r="M246" s="1047">
        <f t="shared" si="39"/>
        <v>153</v>
      </c>
      <c r="N246" s="306">
        <f t="shared" si="40"/>
        <v>20757.509999999998</v>
      </c>
      <c r="O246" s="307">
        <f t="shared" si="41"/>
        <v>0.99999999999999978</v>
      </c>
      <c r="P246" s="1047">
        <f t="shared" si="42"/>
        <v>0</v>
      </c>
      <c r="Q246" s="306">
        <f t="shared" si="43"/>
        <v>0</v>
      </c>
      <c r="R246" s="307">
        <f t="shared" si="44"/>
        <v>0</v>
      </c>
      <c r="S246" s="314" t="str">
        <f t="shared" si="45"/>
        <v>ok</v>
      </c>
      <c r="T246" s="314"/>
      <c r="U246" s="314"/>
      <c r="V246" s="314"/>
      <c r="W246" s="314"/>
      <c r="X246" s="314"/>
    </row>
    <row r="247" spans="1:24" s="313" customFormat="1" ht="16.5" customHeight="1">
      <c r="A247" s="1709" t="s">
        <v>1088</v>
      </c>
      <c r="B247" s="1709" t="s">
        <v>3145</v>
      </c>
      <c r="C247" s="1502"/>
      <c r="D247" s="1710"/>
      <c r="E247" s="1312"/>
      <c r="F247" s="1486"/>
      <c r="G247" s="1049"/>
      <c r="H247" s="306"/>
      <c r="I247" s="307"/>
      <c r="J247" s="1046"/>
      <c r="K247" s="306"/>
      <c r="L247" s="307"/>
      <c r="M247" s="1047"/>
      <c r="N247" s="306"/>
      <c r="O247" s="307"/>
      <c r="P247" s="1047"/>
      <c r="Q247" s="306"/>
      <c r="R247" s="307"/>
      <c r="S247" s="314" t="str">
        <f t="shared" si="45"/>
        <v>ok</v>
      </c>
      <c r="T247" s="314"/>
      <c r="U247" s="314"/>
      <c r="V247" s="314"/>
      <c r="W247" s="314"/>
      <c r="X247" s="314"/>
    </row>
    <row r="248" spans="1:24" s="313" customFormat="1" ht="16.5" customHeight="1">
      <c r="A248" s="1337" t="s">
        <v>3146</v>
      </c>
      <c r="B248" s="1711" t="s">
        <v>3147</v>
      </c>
      <c r="C248" s="1502" t="s">
        <v>51</v>
      </c>
      <c r="D248" s="1710">
        <v>308</v>
      </c>
      <c r="E248" s="1312">
        <v>25.78</v>
      </c>
      <c r="F248" s="1486">
        <f t="shared" si="46"/>
        <v>7940.2400000000007</v>
      </c>
      <c r="G248" s="1049">
        <v>308</v>
      </c>
      <c r="H248" s="306">
        <v>7940.24</v>
      </c>
      <c r="I248" s="307">
        <v>0.99999999999999989</v>
      </c>
      <c r="J248" s="1046"/>
      <c r="K248" s="306">
        <f t="shared" si="37"/>
        <v>0</v>
      </c>
      <c r="L248" s="307">
        <f t="shared" si="38"/>
        <v>0</v>
      </c>
      <c r="M248" s="1047">
        <f t="shared" si="39"/>
        <v>308</v>
      </c>
      <c r="N248" s="306">
        <f t="shared" si="40"/>
        <v>7940.24</v>
      </c>
      <c r="O248" s="307">
        <f t="shared" si="41"/>
        <v>0.99999999999999989</v>
      </c>
      <c r="P248" s="1047">
        <f t="shared" si="42"/>
        <v>0</v>
      </c>
      <c r="Q248" s="306">
        <f t="shared" si="43"/>
        <v>0</v>
      </c>
      <c r="R248" s="307">
        <f t="shared" si="44"/>
        <v>0</v>
      </c>
      <c r="S248" s="314" t="str">
        <f t="shared" si="45"/>
        <v>ok</v>
      </c>
      <c r="T248" s="314"/>
      <c r="U248" s="314"/>
      <c r="V248" s="314"/>
      <c r="W248" s="314"/>
      <c r="X248" s="314"/>
    </row>
    <row r="249" spans="1:24" s="313" customFormat="1" ht="16.5" customHeight="1">
      <c r="A249" s="1709" t="s">
        <v>3148</v>
      </c>
      <c r="B249" s="1709" t="s">
        <v>3149</v>
      </c>
      <c r="C249" s="1502"/>
      <c r="D249" s="1710"/>
      <c r="E249" s="1312"/>
      <c r="F249" s="1486"/>
      <c r="G249" s="1049"/>
      <c r="H249" s="306"/>
      <c r="I249" s="307"/>
      <c r="J249" s="1046"/>
      <c r="K249" s="306"/>
      <c r="L249" s="307"/>
      <c r="M249" s="1047"/>
      <c r="N249" s="306"/>
      <c r="O249" s="307"/>
      <c r="P249" s="1047"/>
      <c r="Q249" s="306"/>
      <c r="R249" s="307"/>
      <c r="S249" s="314" t="str">
        <f t="shared" si="45"/>
        <v>ok</v>
      </c>
      <c r="T249" s="314"/>
      <c r="U249" s="314"/>
      <c r="V249" s="314"/>
      <c r="W249" s="314"/>
      <c r="X249" s="314"/>
    </row>
    <row r="250" spans="1:24" s="1427" customFormat="1" ht="16.5" customHeight="1">
      <c r="A250" s="1880" t="s">
        <v>3150</v>
      </c>
      <c r="B250" s="1881" t="s">
        <v>3151</v>
      </c>
      <c r="C250" s="1858" t="s">
        <v>52</v>
      </c>
      <c r="D250" s="1859">
        <v>82</v>
      </c>
      <c r="E250" s="1854">
        <v>83.47</v>
      </c>
      <c r="F250" s="1855">
        <f t="shared" si="46"/>
        <v>6844.54</v>
      </c>
      <c r="G250" s="1049">
        <v>82</v>
      </c>
      <c r="H250" s="1425">
        <v>6844.54</v>
      </c>
      <c r="I250" s="305">
        <v>1</v>
      </c>
      <c r="J250" s="1049"/>
      <c r="K250" s="1425">
        <f t="shared" si="37"/>
        <v>0</v>
      </c>
      <c r="L250" s="305">
        <f t="shared" si="38"/>
        <v>0</v>
      </c>
      <c r="M250" s="1049">
        <f t="shared" si="39"/>
        <v>82</v>
      </c>
      <c r="N250" s="1425">
        <f t="shared" si="40"/>
        <v>6844.54</v>
      </c>
      <c r="O250" s="305">
        <f t="shared" si="41"/>
        <v>1</v>
      </c>
      <c r="P250" s="1049">
        <f t="shared" si="42"/>
        <v>0</v>
      </c>
      <c r="Q250" s="1425">
        <f t="shared" si="43"/>
        <v>0</v>
      </c>
      <c r="R250" s="305">
        <f t="shared" si="44"/>
        <v>0</v>
      </c>
      <c r="S250" s="1426" t="str">
        <f t="shared" si="45"/>
        <v>ok</v>
      </c>
      <c r="T250" s="1426"/>
      <c r="U250" s="1426"/>
      <c r="V250" s="1426"/>
      <c r="W250" s="1426"/>
      <c r="X250" s="1426"/>
    </row>
    <row r="251" spans="1:24" s="313" customFormat="1" ht="16.5" customHeight="1">
      <c r="A251" s="1337" t="s">
        <v>3152</v>
      </c>
      <c r="B251" s="1711" t="s">
        <v>3153</v>
      </c>
      <c r="C251" s="1502" t="s">
        <v>52</v>
      </c>
      <c r="D251" s="1710">
        <v>52</v>
      </c>
      <c r="E251" s="1312">
        <v>78.05</v>
      </c>
      <c r="F251" s="1486">
        <f t="shared" si="46"/>
        <v>4058.6</v>
      </c>
      <c r="G251" s="1049">
        <v>52</v>
      </c>
      <c r="H251" s="306">
        <v>4058.6</v>
      </c>
      <c r="I251" s="307">
        <v>1</v>
      </c>
      <c r="J251" s="1046"/>
      <c r="K251" s="306">
        <f t="shared" si="37"/>
        <v>0</v>
      </c>
      <c r="L251" s="307">
        <f t="shared" si="38"/>
        <v>0</v>
      </c>
      <c r="M251" s="1047">
        <f t="shared" si="39"/>
        <v>52</v>
      </c>
      <c r="N251" s="306">
        <f t="shared" si="40"/>
        <v>4058.6</v>
      </c>
      <c r="O251" s="307">
        <f t="shared" si="41"/>
        <v>1</v>
      </c>
      <c r="P251" s="1047">
        <f t="shared" si="42"/>
        <v>0</v>
      </c>
      <c r="Q251" s="306">
        <f t="shared" si="43"/>
        <v>0</v>
      </c>
      <c r="R251" s="307">
        <f t="shared" si="44"/>
        <v>0</v>
      </c>
      <c r="S251" s="314" t="str">
        <f t="shared" si="45"/>
        <v>ok</v>
      </c>
      <c r="T251" s="314"/>
      <c r="U251" s="314"/>
      <c r="V251" s="314"/>
      <c r="W251" s="314"/>
      <c r="X251" s="314"/>
    </row>
    <row r="252" spans="1:24" s="313" customFormat="1" ht="16.5" customHeight="1">
      <c r="A252" s="1337" t="s">
        <v>3154</v>
      </c>
      <c r="B252" s="1711" t="s">
        <v>3155</v>
      </c>
      <c r="C252" s="1502" t="s">
        <v>52</v>
      </c>
      <c r="D252" s="1710">
        <v>10</v>
      </c>
      <c r="E252" s="1312">
        <v>56.25</v>
      </c>
      <c r="F252" s="1486">
        <f t="shared" si="46"/>
        <v>562.5</v>
      </c>
      <c r="G252" s="1049">
        <v>10</v>
      </c>
      <c r="H252" s="306">
        <v>562.5</v>
      </c>
      <c r="I252" s="307">
        <v>1</v>
      </c>
      <c r="J252" s="1046"/>
      <c r="K252" s="306">
        <f t="shared" si="37"/>
        <v>0</v>
      </c>
      <c r="L252" s="307">
        <f t="shared" si="38"/>
        <v>0</v>
      </c>
      <c r="M252" s="1047">
        <f t="shared" si="39"/>
        <v>10</v>
      </c>
      <c r="N252" s="306">
        <f t="shared" si="40"/>
        <v>562.5</v>
      </c>
      <c r="O252" s="307">
        <f t="shared" si="41"/>
        <v>1</v>
      </c>
      <c r="P252" s="1047">
        <f t="shared" si="42"/>
        <v>0</v>
      </c>
      <c r="Q252" s="306">
        <f t="shared" si="43"/>
        <v>0</v>
      </c>
      <c r="R252" s="307">
        <f t="shared" si="44"/>
        <v>0</v>
      </c>
      <c r="S252" s="314" t="str">
        <f t="shared" si="45"/>
        <v>ok</v>
      </c>
      <c r="T252" s="314"/>
      <c r="U252" s="314"/>
      <c r="V252" s="314"/>
      <c r="W252" s="314"/>
      <c r="X252" s="314"/>
    </row>
    <row r="253" spans="1:24" s="313" customFormat="1" ht="16.5" customHeight="1">
      <c r="A253" s="1337" t="s">
        <v>3156</v>
      </c>
      <c r="B253" s="1711" t="s">
        <v>3157</v>
      </c>
      <c r="C253" s="1502" t="s">
        <v>52</v>
      </c>
      <c r="D253" s="1710">
        <v>138</v>
      </c>
      <c r="E253" s="1312">
        <v>30.09</v>
      </c>
      <c r="F253" s="1486">
        <f t="shared" si="46"/>
        <v>4152.42</v>
      </c>
      <c r="G253" s="1049">
        <v>138</v>
      </c>
      <c r="H253" s="306">
        <v>4152.42</v>
      </c>
      <c r="I253" s="307">
        <v>1</v>
      </c>
      <c r="J253" s="1046"/>
      <c r="K253" s="306">
        <f t="shared" si="37"/>
        <v>0</v>
      </c>
      <c r="L253" s="307">
        <f t="shared" si="38"/>
        <v>0</v>
      </c>
      <c r="M253" s="1047">
        <f t="shared" si="39"/>
        <v>138</v>
      </c>
      <c r="N253" s="306">
        <f t="shared" si="40"/>
        <v>4152.42</v>
      </c>
      <c r="O253" s="307">
        <f t="shared" si="41"/>
        <v>1</v>
      </c>
      <c r="P253" s="1047">
        <f t="shared" si="42"/>
        <v>0</v>
      </c>
      <c r="Q253" s="306">
        <f t="shared" si="43"/>
        <v>0</v>
      </c>
      <c r="R253" s="307">
        <f t="shared" si="44"/>
        <v>0</v>
      </c>
      <c r="S253" s="314" t="str">
        <f t="shared" si="45"/>
        <v>ok</v>
      </c>
      <c r="T253" s="314"/>
      <c r="U253" s="314"/>
      <c r="V253" s="314"/>
      <c r="W253" s="314"/>
      <c r="X253" s="314"/>
    </row>
    <row r="254" spans="1:24" s="313" customFormat="1" ht="16.5" customHeight="1">
      <c r="A254" s="1709" t="s">
        <v>3158</v>
      </c>
      <c r="B254" s="1709" t="s">
        <v>3159</v>
      </c>
      <c r="C254" s="1502"/>
      <c r="D254" s="1710"/>
      <c r="E254" s="1312"/>
      <c r="F254" s="1486"/>
      <c r="G254" s="1049"/>
      <c r="H254" s="306"/>
      <c r="I254" s="307"/>
      <c r="J254" s="1046"/>
      <c r="K254" s="306"/>
      <c r="L254" s="307"/>
      <c r="M254" s="1047"/>
      <c r="N254" s="306"/>
      <c r="O254" s="307"/>
      <c r="P254" s="1047"/>
      <c r="Q254" s="306"/>
      <c r="R254" s="307"/>
      <c r="S254" s="314" t="str">
        <f t="shared" si="45"/>
        <v>ok</v>
      </c>
      <c r="T254" s="314"/>
      <c r="U254" s="314"/>
      <c r="V254" s="314"/>
      <c r="W254" s="314"/>
      <c r="X254" s="314"/>
    </row>
    <row r="255" spans="1:24" s="313" customFormat="1" ht="16.5" customHeight="1">
      <c r="A255" s="1337" t="s">
        <v>3160</v>
      </c>
      <c r="B255" s="1711" t="s">
        <v>3161</v>
      </c>
      <c r="C255" s="1502" t="s">
        <v>51</v>
      </c>
      <c r="D255" s="1710">
        <v>108</v>
      </c>
      <c r="E255" s="1312">
        <v>113.43</v>
      </c>
      <c r="F255" s="1486">
        <f t="shared" si="46"/>
        <v>12250.44</v>
      </c>
      <c r="G255" s="1049">
        <v>108</v>
      </c>
      <c r="H255" s="306">
        <v>12250.44</v>
      </c>
      <c r="I255" s="307">
        <v>1</v>
      </c>
      <c r="J255" s="1046"/>
      <c r="K255" s="306">
        <f t="shared" ref="K255:K318" si="47">J255*E255</f>
        <v>0</v>
      </c>
      <c r="L255" s="307">
        <f t="shared" ref="L255:L318" si="48">+K255/$F255</f>
        <v>0</v>
      </c>
      <c r="M255" s="1047">
        <f t="shared" ref="M255:M318" si="49">+G255+J255</f>
        <v>108</v>
      </c>
      <c r="N255" s="306">
        <f t="shared" ref="N255:N318" si="50">ROUND(+M255*E255,2)</f>
        <v>12250.44</v>
      </c>
      <c r="O255" s="307">
        <f t="shared" ref="O255:O318" si="51">+N255/$F255</f>
        <v>1</v>
      </c>
      <c r="P255" s="1047">
        <f t="shared" ref="P255:P318" si="52">D255-M255</f>
        <v>0</v>
      </c>
      <c r="Q255" s="306">
        <f t="shared" ref="Q255:Q318" si="53">F255-N255</f>
        <v>0</v>
      </c>
      <c r="R255" s="307">
        <f t="shared" ref="R255:R318" si="54">+Q255/$F255</f>
        <v>0</v>
      </c>
      <c r="S255" s="314" t="str">
        <f t="shared" si="45"/>
        <v>ok</v>
      </c>
      <c r="T255" s="314"/>
      <c r="U255" s="314"/>
      <c r="V255" s="314"/>
      <c r="W255" s="314"/>
      <c r="X255" s="314"/>
    </row>
    <row r="256" spans="1:24" s="313" customFormat="1" ht="16.5" customHeight="1">
      <c r="A256" s="1709" t="s">
        <v>3162</v>
      </c>
      <c r="B256" s="1709" t="s">
        <v>3163</v>
      </c>
      <c r="C256" s="1502"/>
      <c r="D256" s="1710"/>
      <c r="E256" s="1312"/>
      <c r="F256" s="1486"/>
      <c r="G256" s="1049"/>
      <c r="H256" s="306"/>
      <c r="I256" s="307"/>
      <c r="J256" s="1046"/>
      <c r="K256" s="306"/>
      <c r="L256" s="307"/>
      <c r="M256" s="1047"/>
      <c r="N256" s="306"/>
      <c r="O256" s="307"/>
      <c r="P256" s="1047"/>
      <c r="Q256" s="306"/>
      <c r="R256" s="307"/>
      <c r="S256" s="314" t="str">
        <f t="shared" si="45"/>
        <v>ok</v>
      </c>
      <c r="T256" s="314"/>
      <c r="U256" s="314"/>
      <c r="V256" s="314"/>
      <c r="W256" s="314"/>
      <c r="X256" s="314"/>
    </row>
    <row r="257" spans="1:24" s="313" customFormat="1" ht="16.5" customHeight="1">
      <c r="A257" s="1337" t="s">
        <v>3164</v>
      </c>
      <c r="B257" s="1711" t="s">
        <v>3165</v>
      </c>
      <c r="C257" s="1502" t="s">
        <v>52</v>
      </c>
      <c r="D257" s="1710">
        <v>18</v>
      </c>
      <c r="E257" s="1312">
        <v>229.06</v>
      </c>
      <c r="F257" s="1486">
        <f t="shared" si="46"/>
        <v>4123.08</v>
      </c>
      <c r="G257" s="1049">
        <v>18</v>
      </c>
      <c r="H257" s="306">
        <v>4123.08</v>
      </c>
      <c r="I257" s="307">
        <v>1</v>
      </c>
      <c r="J257" s="1046"/>
      <c r="K257" s="306">
        <f t="shared" si="47"/>
        <v>0</v>
      </c>
      <c r="L257" s="307">
        <f t="shared" si="48"/>
        <v>0</v>
      </c>
      <c r="M257" s="1047">
        <f t="shared" si="49"/>
        <v>18</v>
      </c>
      <c r="N257" s="306">
        <f t="shared" si="50"/>
        <v>4123.08</v>
      </c>
      <c r="O257" s="307">
        <f t="shared" si="51"/>
        <v>1</v>
      </c>
      <c r="P257" s="1047">
        <f t="shared" si="52"/>
        <v>0</v>
      </c>
      <c r="Q257" s="306">
        <f t="shared" si="53"/>
        <v>0</v>
      </c>
      <c r="R257" s="307">
        <f t="shared" si="54"/>
        <v>0</v>
      </c>
      <c r="S257" s="314" t="str">
        <f t="shared" si="45"/>
        <v>ok</v>
      </c>
      <c r="T257" s="314"/>
      <c r="U257" s="314"/>
      <c r="V257" s="314"/>
      <c r="W257" s="314"/>
      <c r="X257" s="314"/>
    </row>
    <row r="258" spans="1:24" s="313" customFormat="1" ht="16.5" customHeight="1">
      <c r="A258" s="1709" t="s">
        <v>3166</v>
      </c>
      <c r="B258" s="1709" t="s">
        <v>3167</v>
      </c>
      <c r="C258" s="1502"/>
      <c r="D258" s="1710"/>
      <c r="E258" s="1312"/>
      <c r="F258" s="1486"/>
      <c r="G258" s="1049"/>
      <c r="H258" s="306"/>
      <c r="I258" s="307"/>
      <c r="J258" s="1046"/>
      <c r="K258" s="306"/>
      <c r="L258" s="307"/>
      <c r="M258" s="1047"/>
      <c r="N258" s="306"/>
      <c r="O258" s="307"/>
      <c r="P258" s="1047"/>
      <c r="Q258" s="306"/>
      <c r="R258" s="307"/>
      <c r="S258" s="314" t="str">
        <f t="shared" si="45"/>
        <v>ok</v>
      </c>
      <c r="T258" s="314"/>
      <c r="U258" s="314"/>
      <c r="V258" s="314"/>
      <c r="W258" s="314"/>
      <c r="X258" s="314"/>
    </row>
    <row r="259" spans="1:24" s="313" customFormat="1" ht="16.5" customHeight="1">
      <c r="A259" s="1337" t="s">
        <v>3168</v>
      </c>
      <c r="B259" s="1711" t="s">
        <v>3169</v>
      </c>
      <c r="C259" s="1502" t="s">
        <v>52</v>
      </c>
      <c r="D259" s="1710">
        <v>505</v>
      </c>
      <c r="E259" s="1312">
        <v>35.1</v>
      </c>
      <c r="F259" s="1486">
        <f t="shared" si="46"/>
        <v>17725.5</v>
      </c>
      <c r="G259" s="1049">
        <v>270</v>
      </c>
      <c r="H259" s="306">
        <v>9477</v>
      </c>
      <c r="I259" s="307">
        <v>0.53465346534653468</v>
      </c>
      <c r="J259" s="1046"/>
      <c r="K259" s="306">
        <f t="shared" si="47"/>
        <v>0</v>
      </c>
      <c r="L259" s="307">
        <f t="shared" si="48"/>
        <v>0</v>
      </c>
      <c r="M259" s="1047">
        <f t="shared" si="49"/>
        <v>270</v>
      </c>
      <c r="N259" s="306">
        <f t="shared" si="50"/>
        <v>9477</v>
      </c>
      <c r="O259" s="307">
        <f t="shared" si="51"/>
        <v>0.53465346534653468</v>
      </c>
      <c r="P259" s="1047">
        <f t="shared" si="52"/>
        <v>235</v>
      </c>
      <c r="Q259" s="306">
        <f t="shared" si="53"/>
        <v>8248.5</v>
      </c>
      <c r="R259" s="307">
        <f t="shared" si="54"/>
        <v>0.46534653465346537</v>
      </c>
      <c r="S259" s="314" t="str">
        <f t="shared" si="45"/>
        <v>ok</v>
      </c>
      <c r="T259" s="314"/>
      <c r="U259" s="314"/>
      <c r="V259" s="314"/>
      <c r="W259" s="314"/>
      <c r="X259" s="314"/>
    </row>
    <row r="260" spans="1:24" s="313" customFormat="1" ht="16.5" customHeight="1">
      <c r="A260" s="1337" t="s">
        <v>3170</v>
      </c>
      <c r="B260" s="1711" t="s">
        <v>3171</v>
      </c>
      <c r="C260" s="1502" t="s">
        <v>52</v>
      </c>
      <c r="D260" s="1710">
        <v>365</v>
      </c>
      <c r="E260" s="1312">
        <v>38.78</v>
      </c>
      <c r="F260" s="1486">
        <f t="shared" si="46"/>
        <v>14154.7</v>
      </c>
      <c r="G260" s="1049">
        <v>185</v>
      </c>
      <c r="H260" s="306">
        <v>7174.3</v>
      </c>
      <c r="I260" s="307">
        <v>0.50684931506849318</v>
      </c>
      <c r="J260" s="1046"/>
      <c r="K260" s="306">
        <f t="shared" si="47"/>
        <v>0</v>
      </c>
      <c r="L260" s="307">
        <f t="shared" si="48"/>
        <v>0</v>
      </c>
      <c r="M260" s="1047">
        <f t="shared" si="49"/>
        <v>185</v>
      </c>
      <c r="N260" s="306">
        <f t="shared" si="50"/>
        <v>7174.3</v>
      </c>
      <c r="O260" s="307">
        <f t="shared" si="51"/>
        <v>0.50684931506849318</v>
      </c>
      <c r="P260" s="1047">
        <f t="shared" si="52"/>
        <v>180</v>
      </c>
      <c r="Q260" s="306">
        <f t="shared" si="53"/>
        <v>6980.4000000000005</v>
      </c>
      <c r="R260" s="307">
        <f t="shared" si="54"/>
        <v>0.49315068493150688</v>
      </c>
      <c r="S260" s="314" t="str">
        <f t="shared" si="45"/>
        <v>ok</v>
      </c>
      <c r="T260" s="314"/>
      <c r="U260" s="314"/>
      <c r="V260" s="314"/>
      <c r="W260" s="314"/>
      <c r="X260" s="314"/>
    </row>
    <row r="261" spans="1:24" s="313" customFormat="1" ht="16.5" customHeight="1">
      <c r="A261" s="1337" t="s">
        <v>3172</v>
      </c>
      <c r="B261" s="1711" t="s">
        <v>3173</v>
      </c>
      <c r="C261" s="1502" t="s">
        <v>52</v>
      </c>
      <c r="D261" s="1710">
        <v>300</v>
      </c>
      <c r="E261" s="1312">
        <v>27.92</v>
      </c>
      <c r="F261" s="1486">
        <f t="shared" si="46"/>
        <v>8376</v>
      </c>
      <c r="G261" s="1049">
        <v>190</v>
      </c>
      <c r="H261" s="306">
        <v>5304.8</v>
      </c>
      <c r="I261" s="307">
        <v>0.6333333333333333</v>
      </c>
      <c r="J261" s="1046"/>
      <c r="K261" s="306">
        <f t="shared" si="47"/>
        <v>0</v>
      </c>
      <c r="L261" s="307">
        <f t="shared" si="48"/>
        <v>0</v>
      </c>
      <c r="M261" s="1047">
        <f t="shared" si="49"/>
        <v>190</v>
      </c>
      <c r="N261" s="306">
        <f t="shared" si="50"/>
        <v>5304.8</v>
      </c>
      <c r="O261" s="307">
        <f t="shared" si="51"/>
        <v>0.6333333333333333</v>
      </c>
      <c r="P261" s="1047">
        <f t="shared" si="52"/>
        <v>110</v>
      </c>
      <c r="Q261" s="306">
        <f t="shared" si="53"/>
        <v>3071.2</v>
      </c>
      <c r="R261" s="307">
        <f t="shared" si="54"/>
        <v>0.36666666666666664</v>
      </c>
      <c r="S261" s="314" t="str">
        <f t="shared" si="45"/>
        <v>ok</v>
      </c>
      <c r="T261" s="314"/>
      <c r="U261" s="314"/>
      <c r="V261" s="314"/>
      <c r="W261" s="314"/>
      <c r="X261" s="314"/>
    </row>
    <row r="262" spans="1:24" s="313" customFormat="1" ht="16.5" customHeight="1">
      <c r="A262" s="1337" t="s">
        <v>3174</v>
      </c>
      <c r="B262" s="1711" t="s">
        <v>3175</v>
      </c>
      <c r="C262" s="1502" t="s">
        <v>52</v>
      </c>
      <c r="D262" s="1710">
        <v>350</v>
      </c>
      <c r="E262" s="1312">
        <v>31.6</v>
      </c>
      <c r="F262" s="1486">
        <f t="shared" si="46"/>
        <v>11060</v>
      </c>
      <c r="G262" s="1049">
        <v>195</v>
      </c>
      <c r="H262" s="306">
        <v>6162</v>
      </c>
      <c r="I262" s="307">
        <v>0.55714285714285716</v>
      </c>
      <c r="J262" s="1046"/>
      <c r="K262" s="306">
        <f t="shared" si="47"/>
        <v>0</v>
      </c>
      <c r="L262" s="307">
        <f t="shared" si="48"/>
        <v>0</v>
      </c>
      <c r="M262" s="1047">
        <f t="shared" si="49"/>
        <v>195</v>
      </c>
      <c r="N262" s="306">
        <f t="shared" si="50"/>
        <v>6162</v>
      </c>
      <c r="O262" s="307">
        <f t="shared" si="51"/>
        <v>0.55714285714285716</v>
      </c>
      <c r="P262" s="1047">
        <f t="shared" si="52"/>
        <v>155</v>
      </c>
      <c r="Q262" s="306">
        <f t="shared" si="53"/>
        <v>4898</v>
      </c>
      <c r="R262" s="307">
        <f t="shared" si="54"/>
        <v>0.44285714285714284</v>
      </c>
      <c r="S262" s="314" t="str">
        <f t="shared" si="45"/>
        <v>ok</v>
      </c>
      <c r="T262" s="314"/>
      <c r="U262" s="314"/>
      <c r="V262" s="314"/>
      <c r="W262" s="314"/>
      <c r="X262" s="314"/>
    </row>
    <row r="263" spans="1:24" s="313" customFormat="1" ht="16.5" customHeight="1">
      <c r="A263" s="1709" t="s">
        <v>3176</v>
      </c>
      <c r="B263" s="1709" t="s">
        <v>3177</v>
      </c>
      <c r="C263" s="1502"/>
      <c r="D263" s="1710"/>
      <c r="E263" s="1312"/>
      <c r="F263" s="1486"/>
      <c r="G263" s="1049"/>
      <c r="H263" s="306"/>
      <c r="I263" s="307"/>
      <c r="J263" s="1046"/>
      <c r="K263" s="306"/>
      <c r="L263" s="307"/>
      <c r="M263" s="1047"/>
      <c r="N263" s="306"/>
      <c r="O263" s="307"/>
      <c r="P263" s="1047"/>
      <c r="Q263" s="306"/>
      <c r="R263" s="307"/>
      <c r="S263" s="314" t="str">
        <f t="shared" si="45"/>
        <v>ok</v>
      </c>
      <c r="T263" s="314"/>
      <c r="U263" s="314"/>
      <c r="V263" s="314"/>
      <c r="W263" s="314"/>
      <c r="X263" s="314"/>
    </row>
    <row r="264" spans="1:24" s="313" customFormat="1" ht="16.5" customHeight="1">
      <c r="A264" s="1337" t="s">
        <v>3178</v>
      </c>
      <c r="B264" s="1711" t="s">
        <v>3179</v>
      </c>
      <c r="C264" s="1502" t="s">
        <v>52</v>
      </c>
      <c r="D264" s="1710">
        <v>27.25</v>
      </c>
      <c r="E264" s="1312">
        <v>323.18</v>
      </c>
      <c r="F264" s="1486">
        <f t="shared" si="46"/>
        <v>8806.6550000000007</v>
      </c>
      <c r="G264" s="1049">
        <v>0</v>
      </c>
      <c r="H264" s="306">
        <v>0</v>
      </c>
      <c r="I264" s="307">
        <v>0</v>
      </c>
      <c r="J264" s="1046"/>
      <c r="K264" s="306">
        <f t="shared" si="47"/>
        <v>0</v>
      </c>
      <c r="L264" s="307">
        <f t="shared" si="48"/>
        <v>0</v>
      </c>
      <c r="M264" s="1047">
        <f t="shared" si="49"/>
        <v>0</v>
      </c>
      <c r="N264" s="306">
        <f t="shared" si="50"/>
        <v>0</v>
      </c>
      <c r="O264" s="307">
        <f t="shared" si="51"/>
        <v>0</v>
      </c>
      <c r="P264" s="1047">
        <f t="shared" si="52"/>
        <v>27.25</v>
      </c>
      <c r="Q264" s="306">
        <f t="shared" si="53"/>
        <v>8806.6550000000007</v>
      </c>
      <c r="R264" s="307">
        <f t="shared" si="54"/>
        <v>1</v>
      </c>
      <c r="S264" s="314" t="str">
        <f t="shared" si="45"/>
        <v>ok</v>
      </c>
      <c r="T264" s="314"/>
      <c r="U264" s="314"/>
      <c r="V264" s="314"/>
      <c r="W264" s="314"/>
      <c r="X264" s="314"/>
    </row>
    <row r="265" spans="1:24" s="313" customFormat="1" ht="16.5" customHeight="1">
      <c r="A265" s="1648" t="s">
        <v>48</v>
      </c>
      <c r="B265" s="1648" t="s">
        <v>3180</v>
      </c>
      <c r="C265" s="1502"/>
      <c r="D265" s="1710"/>
      <c r="E265" s="1312"/>
      <c r="F265" s="1486"/>
      <c r="G265" s="1049"/>
      <c r="H265" s="306"/>
      <c r="I265" s="307"/>
      <c r="J265" s="1046"/>
      <c r="K265" s="306"/>
      <c r="L265" s="307"/>
      <c r="M265" s="1047"/>
      <c r="N265" s="306"/>
      <c r="O265" s="307"/>
      <c r="P265" s="1047"/>
      <c r="Q265" s="306"/>
      <c r="R265" s="307"/>
      <c r="S265" s="314" t="str">
        <f t="shared" si="45"/>
        <v>ok</v>
      </c>
      <c r="T265" s="314"/>
      <c r="U265" s="314"/>
      <c r="V265" s="314"/>
      <c r="W265" s="314"/>
      <c r="X265" s="314"/>
    </row>
    <row r="266" spans="1:24" s="313" customFormat="1" ht="16.5" customHeight="1">
      <c r="A266" s="1709" t="s">
        <v>407</v>
      </c>
      <c r="B266" s="1709" t="s">
        <v>3181</v>
      </c>
      <c r="C266" s="1502"/>
      <c r="D266" s="1710"/>
      <c r="E266" s="1312"/>
      <c r="F266" s="1486"/>
      <c r="G266" s="1049"/>
      <c r="H266" s="306"/>
      <c r="I266" s="307"/>
      <c r="J266" s="1046"/>
      <c r="K266" s="306"/>
      <c r="L266" s="307"/>
      <c r="M266" s="1047"/>
      <c r="N266" s="306"/>
      <c r="O266" s="307"/>
      <c r="P266" s="1047"/>
      <c r="Q266" s="306"/>
      <c r="R266" s="307"/>
      <c r="S266" s="314" t="str">
        <f t="shared" si="45"/>
        <v>ok</v>
      </c>
      <c r="T266" s="314"/>
      <c r="U266" s="314"/>
      <c r="V266" s="314"/>
      <c r="W266" s="314"/>
      <c r="X266" s="314"/>
    </row>
    <row r="267" spans="1:24" s="313" customFormat="1" ht="16.5" customHeight="1">
      <c r="A267" s="1337" t="s">
        <v>3182</v>
      </c>
      <c r="B267" s="1711" t="s">
        <v>3183</v>
      </c>
      <c r="C267" s="1502" t="s">
        <v>1145</v>
      </c>
      <c r="D267" s="1710">
        <v>170</v>
      </c>
      <c r="E267" s="1312">
        <v>372.75</v>
      </c>
      <c r="F267" s="1486">
        <f t="shared" si="46"/>
        <v>63367.5</v>
      </c>
      <c r="G267" s="1049">
        <v>170</v>
      </c>
      <c r="H267" s="306">
        <v>63367.5</v>
      </c>
      <c r="I267" s="307">
        <v>1</v>
      </c>
      <c r="J267" s="1046"/>
      <c r="K267" s="306">
        <f t="shared" si="47"/>
        <v>0</v>
      </c>
      <c r="L267" s="307">
        <f t="shared" si="48"/>
        <v>0</v>
      </c>
      <c r="M267" s="1047">
        <f t="shared" si="49"/>
        <v>170</v>
      </c>
      <c r="N267" s="306">
        <f t="shared" si="50"/>
        <v>63367.5</v>
      </c>
      <c r="O267" s="307">
        <f t="shared" si="51"/>
        <v>1</v>
      </c>
      <c r="P267" s="1047">
        <f t="shared" si="52"/>
        <v>0</v>
      </c>
      <c r="Q267" s="306">
        <f t="shared" si="53"/>
        <v>0</v>
      </c>
      <c r="R267" s="307">
        <f t="shared" si="54"/>
        <v>0</v>
      </c>
      <c r="S267" s="314" t="str">
        <f t="shared" si="45"/>
        <v>ok</v>
      </c>
      <c r="T267" s="314"/>
      <c r="U267" s="314"/>
      <c r="V267" s="314"/>
      <c r="W267" s="314"/>
      <c r="X267" s="314"/>
    </row>
    <row r="268" spans="1:24" s="313" customFormat="1" ht="16.5" customHeight="1">
      <c r="A268" s="1709" t="s">
        <v>1089</v>
      </c>
      <c r="B268" s="1709" t="s">
        <v>3184</v>
      </c>
      <c r="C268" s="1502"/>
      <c r="D268" s="1710"/>
      <c r="E268" s="1312"/>
      <c r="F268" s="1486"/>
      <c r="G268" s="1049"/>
      <c r="H268" s="306"/>
      <c r="I268" s="307"/>
      <c r="J268" s="1046"/>
      <c r="K268" s="306"/>
      <c r="L268" s="307"/>
      <c r="M268" s="1047"/>
      <c r="N268" s="306"/>
      <c r="O268" s="307"/>
      <c r="P268" s="1047"/>
      <c r="Q268" s="306"/>
      <c r="R268" s="307"/>
      <c r="S268" s="314" t="str">
        <f t="shared" si="45"/>
        <v>ok</v>
      </c>
      <c r="T268" s="314"/>
      <c r="U268" s="314"/>
      <c r="V268" s="314"/>
      <c r="W268" s="314"/>
      <c r="X268" s="314"/>
    </row>
    <row r="269" spans="1:24" s="313" customFormat="1" ht="16.5" customHeight="1">
      <c r="A269" s="1337" t="s">
        <v>3185</v>
      </c>
      <c r="B269" s="1711" t="s">
        <v>3186</v>
      </c>
      <c r="C269" s="1502" t="s">
        <v>51</v>
      </c>
      <c r="D269" s="1710">
        <v>381.65000000000003</v>
      </c>
      <c r="E269" s="1312">
        <v>22.48</v>
      </c>
      <c r="F269" s="1486">
        <f t="shared" si="46"/>
        <v>8579.4920000000002</v>
      </c>
      <c r="G269" s="1049">
        <v>295</v>
      </c>
      <c r="H269" s="306">
        <v>6631.6</v>
      </c>
      <c r="I269" s="307">
        <v>0.77295951788287698</v>
      </c>
      <c r="J269" s="1046"/>
      <c r="K269" s="306">
        <f t="shared" si="47"/>
        <v>0</v>
      </c>
      <c r="L269" s="307">
        <f t="shared" si="48"/>
        <v>0</v>
      </c>
      <c r="M269" s="1047">
        <f t="shared" si="49"/>
        <v>295</v>
      </c>
      <c r="N269" s="306">
        <f t="shared" si="50"/>
        <v>6631.6</v>
      </c>
      <c r="O269" s="307">
        <f t="shared" si="51"/>
        <v>0.77295951788287698</v>
      </c>
      <c r="P269" s="1047">
        <f t="shared" si="52"/>
        <v>86.650000000000034</v>
      </c>
      <c r="Q269" s="306">
        <f t="shared" si="53"/>
        <v>1947.8919999999998</v>
      </c>
      <c r="R269" s="307">
        <f t="shared" si="54"/>
        <v>0.22704048211712299</v>
      </c>
      <c r="S269" s="314" t="str">
        <f t="shared" si="45"/>
        <v>ok</v>
      </c>
      <c r="T269" s="314"/>
      <c r="U269" s="314"/>
      <c r="V269" s="314"/>
      <c r="W269" s="314"/>
      <c r="X269" s="314"/>
    </row>
    <row r="270" spans="1:24" s="313" customFormat="1" ht="16.5" customHeight="1">
      <c r="A270" s="1337" t="s">
        <v>3187</v>
      </c>
      <c r="B270" s="1711" t="s">
        <v>3188</v>
      </c>
      <c r="C270" s="1502" t="s">
        <v>51</v>
      </c>
      <c r="D270" s="1710">
        <v>90</v>
      </c>
      <c r="E270" s="1312">
        <v>72.37</v>
      </c>
      <c r="F270" s="1486">
        <f t="shared" si="46"/>
        <v>6513.3</v>
      </c>
      <c r="G270" s="1049">
        <v>90</v>
      </c>
      <c r="H270" s="306">
        <v>6513.3</v>
      </c>
      <c r="I270" s="307">
        <v>1</v>
      </c>
      <c r="J270" s="1046"/>
      <c r="K270" s="306">
        <f t="shared" si="47"/>
        <v>0</v>
      </c>
      <c r="L270" s="307">
        <f t="shared" si="48"/>
        <v>0</v>
      </c>
      <c r="M270" s="1047">
        <f t="shared" si="49"/>
        <v>90</v>
      </c>
      <c r="N270" s="306">
        <f t="shared" si="50"/>
        <v>6513.3</v>
      </c>
      <c r="O270" s="307">
        <f t="shared" si="51"/>
        <v>1</v>
      </c>
      <c r="P270" s="1047">
        <f t="shared" si="52"/>
        <v>0</v>
      </c>
      <c r="Q270" s="306">
        <f t="shared" si="53"/>
        <v>0</v>
      </c>
      <c r="R270" s="307">
        <f t="shared" si="54"/>
        <v>0</v>
      </c>
      <c r="S270" s="314" t="str">
        <f t="shared" si="45"/>
        <v>ok</v>
      </c>
      <c r="T270" s="314"/>
      <c r="U270" s="314"/>
      <c r="V270" s="314"/>
      <c r="W270" s="314"/>
      <c r="X270" s="314"/>
    </row>
    <row r="271" spans="1:24" s="313" customFormat="1" ht="16.5" customHeight="1">
      <c r="A271" s="1337" t="s">
        <v>3189</v>
      </c>
      <c r="B271" s="1711" t="s">
        <v>3190</v>
      </c>
      <c r="C271" s="1502" t="s">
        <v>51</v>
      </c>
      <c r="D271" s="1710">
        <v>232</v>
      </c>
      <c r="E271" s="1312">
        <v>65.510000000000005</v>
      </c>
      <c r="F271" s="1486">
        <f t="shared" si="46"/>
        <v>15198.320000000002</v>
      </c>
      <c r="G271" s="1049">
        <v>210</v>
      </c>
      <c r="H271" s="306">
        <v>13757.1</v>
      </c>
      <c r="I271" s="307">
        <v>0.90517241379310343</v>
      </c>
      <c r="J271" s="1046"/>
      <c r="K271" s="306">
        <f t="shared" si="47"/>
        <v>0</v>
      </c>
      <c r="L271" s="307">
        <f t="shared" si="48"/>
        <v>0</v>
      </c>
      <c r="M271" s="1047">
        <f t="shared" si="49"/>
        <v>210</v>
      </c>
      <c r="N271" s="306">
        <f t="shared" si="50"/>
        <v>13757.1</v>
      </c>
      <c r="O271" s="307">
        <f t="shared" si="51"/>
        <v>0.90517241379310343</v>
      </c>
      <c r="P271" s="1047">
        <f t="shared" si="52"/>
        <v>22</v>
      </c>
      <c r="Q271" s="306">
        <f t="shared" si="53"/>
        <v>1441.2200000000012</v>
      </c>
      <c r="R271" s="307">
        <f t="shared" si="54"/>
        <v>9.4827586206896616E-2</v>
      </c>
      <c r="S271" s="314" t="str">
        <f t="shared" si="45"/>
        <v>ok</v>
      </c>
      <c r="T271" s="314"/>
      <c r="U271" s="314"/>
      <c r="V271" s="314"/>
      <c r="W271" s="314"/>
      <c r="X271" s="314"/>
    </row>
    <row r="272" spans="1:24" s="313" customFormat="1" ht="16.5" customHeight="1">
      <c r="A272" s="1337" t="s">
        <v>3191</v>
      </c>
      <c r="B272" s="1711" t="s">
        <v>3192</v>
      </c>
      <c r="C272" s="1502" t="s">
        <v>52</v>
      </c>
      <c r="D272" s="1710">
        <v>260</v>
      </c>
      <c r="E272" s="1312">
        <v>16.53</v>
      </c>
      <c r="F272" s="1486">
        <f t="shared" si="46"/>
        <v>4297.8</v>
      </c>
      <c r="G272" s="1049">
        <v>260</v>
      </c>
      <c r="H272" s="306">
        <v>4297.8</v>
      </c>
      <c r="I272" s="307">
        <v>1</v>
      </c>
      <c r="J272" s="1046"/>
      <c r="K272" s="306">
        <f t="shared" si="47"/>
        <v>0</v>
      </c>
      <c r="L272" s="307">
        <f t="shared" si="48"/>
        <v>0</v>
      </c>
      <c r="M272" s="1047">
        <f t="shared" si="49"/>
        <v>260</v>
      </c>
      <c r="N272" s="306">
        <f t="shared" si="50"/>
        <v>4297.8</v>
      </c>
      <c r="O272" s="307">
        <f t="shared" si="51"/>
        <v>1</v>
      </c>
      <c r="P272" s="1047">
        <f t="shared" si="52"/>
        <v>0</v>
      </c>
      <c r="Q272" s="306">
        <f t="shared" si="53"/>
        <v>0</v>
      </c>
      <c r="R272" s="307">
        <f t="shared" si="54"/>
        <v>0</v>
      </c>
      <c r="S272" s="314" t="str">
        <f t="shared" si="45"/>
        <v>ok</v>
      </c>
      <c r="T272" s="314"/>
      <c r="U272" s="314"/>
      <c r="V272" s="314"/>
      <c r="W272" s="314"/>
      <c r="X272" s="314"/>
    </row>
    <row r="273" spans="1:24" s="313" customFormat="1" ht="16.5" customHeight="1">
      <c r="A273" s="1337" t="s">
        <v>3193</v>
      </c>
      <c r="B273" s="1711" t="s">
        <v>3194</v>
      </c>
      <c r="C273" s="1502" t="s">
        <v>52</v>
      </c>
      <c r="D273" s="1710">
        <v>55</v>
      </c>
      <c r="E273" s="1312">
        <v>20.61</v>
      </c>
      <c r="F273" s="1486">
        <f t="shared" si="46"/>
        <v>1133.55</v>
      </c>
      <c r="G273" s="1049">
        <v>55</v>
      </c>
      <c r="H273" s="306">
        <v>1133.55</v>
      </c>
      <c r="I273" s="307">
        <v>1</v>
      </c>
      <c r="J273" s="1046"/>
      <c r="K273" s="306">
        <f t="shared" si="47"/>
        <v>0</v>
      </c>
      <c r="L273" s="307">
        <f t="shared" si="48"/>
        <v>0</v>
      </c>
      <c r="M273" s="1047">
        <f t="shared" si="49"/>
        <v>55</v>
      </c>
      <c r="N273" s="306">
        <f t="shared" si="50"/>
        <v>1133.55</v>
      </c>
      <c r="O273" s="307">
        <f t="shared" si="51"/>
        <v>1</v>
      </c>
      <c r="P273" s="1047">
        <f t="shared" si="52"/>
        <v>0</v>
      </c>
      <c r="Q273" s="306">
        <f t="shared" si="53"/>
        <v>0</v>
      </c>
      <c r="R273" s="307">
        <f t="shared" si="54"/>
        <v>0</v>
      </c>
      <c r="S273" s="314" t="str">
        <f t="shared" si="45"/>
        <v>ok</v>
      </c>
      <c r="T273" s="314"/>
      <c r="U273" s="314"/>
      <c r="V273" s="314"/>
      <c r="W273" s="314"/>
      <c r="X273" s="314"/>
    </row>
    <row r="274" spans="1:24" s="313" customFormat="1" ht="16.5" customHeight="1">
      <c r="A274" s="1337" t="s">
        <v>3195</v>
      </c>
      <c r="B274" s="1711" t="s">
        <v>3196</v>
      </c>
      <c r="C274" s="1502" t="s">
        <v>52</v>
      </c>
      <c r="D274" s="1710">
        <v>74</v>
      </c>
      <c r="E274" s="1312">
        <v>35.17</v>
      </c>
      <c r="F274" s="1486">
        <f t="shared" si="46"/>
        <v>2602.58</v>
      </c>
      <c r="G274" s="1049">
        <v>74</v>
      </c>
      <c r="H274" s="306">
        <v>2602.58</v>
      </c>
      <c r="I274" s="307">
        <v>1</v>
      </c>
      <c r="J274" s="1046"/>
      <c r="K274" s="306">
        <f t="shared" si="47"/>
        <v>0</v>
      </c>
      <c r="L274" s="307">
        <f t="shared" si="48"/>
        <v>0</v>
      </c>
      <c r="M274" s="1047">
        <f t="shared" si="49"/>
        <v>74</v>
      </c>
      <c r="N274" s="306">
        <f t="shared" si="50"/>
        <v>2602.58</v>
      </c>
      <c r="O274" s="307">
        <f t="shared" si="51"/>
        <v>1</v>
      </c>
      <c r="P274" s="1047">
        <f t="shared" si="52"/>
        <v>0</v>
      </c>
      <c r="Q274" s="306">
        <f t="shared" si="53"/>
        <v>0</v>
      </c>
      <c r="R274" s="307">
        <f t="shared" si="54"/>
        <v>0</v>
      </c>
      <c r="S274" s="314" t="str">
        <f t="shared" si="45"/>
        <v>ok</v>
      </c>
      <c r="T274" s="314"/>
      <c r="U274" s="314"/>
      <c r="V274" s="314"/>
      <c r="W274" s="314"/>
      <c r="X274" s="314"/>
    </row>
    <row r="275" spans="1:24" s="313" customFormat="1" ht="16.5" customHeight="1">
      <c r="A275" s="1337" t="s">
        <v>3197</v>
      </c>
      <c r="B275" s="1711" t="s">
        <v>3198</v>
      </c>
      <c r="C275" s="1502" t="s">
        <v>52</v>
      </c>
      <c r="D275" s="1710">
        <v>30</v>
      </c>
      <c r="E275" s="1312">
        <v>18.010000000000002</v>
      </c>
      <c r="F275" s="1486">
        <f t="shared" si="46"/>
        <v>540.30000000000007</v>
      </c>
      <c r="G275" s="1049">
        <v>30</v>
      </c>
      <c r="H275" s="306">
        <v>540.29999999999995</v>
      </c>
      <c r="I275" s="307">
        <v>0.99999999999999978</v>
      </c>
      <c r="J275" s="1046"/>
      <c r="K275" s="306">
        <f t="shared" si="47"/>
        <v>0</v>
      </c>
      <c r="L275" s="307">
        <f t="shared" si="48"/>
        <v>0</v>
      </c>
      <c r="M275" s="1047">
        <f t="shared" si="49"/>
        <v>30</v>
      </c>
      <c r="N275" s="306">
        <f t="shared" si="50"/>
        <v>540.29999999999995</v>
      </c>
      <c r="O275" s="307">
        <f t="shared" si="51"/>
        <v>0.99999999999999978</v>
      </c>
      <c r="P275" s="1047">
        <f t="shared" si="52"/>
        <v>0</v>
      </c>
      <c r="Q275" s="306">
        <f t="shared" si="53"/>
        <v>0</v>
      </c>
      <c r="R275" s="307">
        <f t="shared" si="54"/>
        <v>0</v>
      </c>
      <c r="S275" s="314" t="str">
        <f t="shared" si="45"/>
        <v>ok</v>
      </c>
      <c r="T275" s="314"/>
      <c r="U275" s="314"/>
      <c r="V275" s="314"/>
      <c r="W275" s="314"/>
      <c r="X275" s="314"/>
    </row>
    <row r="276" spans="1:24" s="313" customFormat="1" ht="16.5" customHeight="1">
      <c r="A276" s="1337" t="s">
        <v>3199</v>
      </c>
      <c r="B276" s="1711" t="s">
        <v>3200</v>
      </c>
      <c r="C276" s="1502" t="s">
        <v>52</v>
      </c>
      <c r="D276" s="1710">
        <v>40</v>
      </c>
      <c r="E276" s="1312">
        <v>24.98</v>
      </c>
      <c r="F276" s="1486">
        <f t="shared" si="46"/>
        <v>999.2</v>
      </c>
      <c r="G276" s="1049">
        <v>40</v>
      </c>
      <c r="H276" s="306">
        <v>999.2</v>
      </c>
      <c r="I276" s="307">
        <v>1</v>
      </c>
      <c r="J276" s="1046"/>
      <c r="K276" s="306">
        <f t="shared" si="47"/>
        <v>0</v>
      </c>
      <c r="L276" s="307">
        <f t="shared" si="48"/>
        <v>0</v>
      </c>
      <c r="M276" s="1047">
        <f t="shared" si="49"/>
        <v>40</v>
      </c>
      <c r="N276" s="306">
        <f t="shared" si="50"/>
        <v>999.2</v>
      </c>
      <c r="O276" s="307">
        <f t="shared" si="51"/>
        <v>1</v>
      </c>
      <c r="P276" s="1047">
        <f t="shared" si="52"/>
        <v>0</v>
      </c>
      <c r="Q276" s="306">
        <f t="shared" si="53"/>
        <v>0</v>
      </c>
      <c r="R276" s="307">
        <f t="shared" si="54"/>
        <v>0</v>
      </c>
      <c r="S276" s="314" t="str">
        <f t="shared" si="45"/>
        <v>ok</v>
      </c>
      <c r="T276" s="314"/>
      <c r="U276" s="314"/>
      <c r="V276" s="314"/>
      <c r="W276" s="314"/>
      <c r="X276" s="314"/>
    </row>
    <row r="277" spans="1:24" s="313" customFormat="1" ht="16.5" customHeight="1">
      <c r="A277" s="1337" t="s">
        <v>3201</v>
      </c>
      <c r="B277" s="1711" t="s">
        <v>3202</v>
      </c>
      <c r="C277" s="1502" t="s">
        <v>52</v>
      </c>
      <c r="D277" s="1710">
        <v>20</v>
      </c>
      <c r="E277" s="1312">
        <v>28.28</v>
      </c>
      <c r="F277" s="1486">
        <f t="shared" si="46"/>
        <v>565.6</v>
      </c>
      <c r="G277" s="1049">
        <v>20</v>
      </c>
      <c r="H277" s="306">
        <v>565.6</v>
      </c>
      <c r="I277" s="307">
        <v>1</v>
      </c>
      <c r="J277" s="1046"/>
      <c r="K277" s="306">
        <f t="shared" si="47"/>
        <v>0</v>
      </c>
      <c r="L277" s="307">
        <f t="shared" si="48"/>
        <v>0</v>
      </c>
      <c r="M277" s="1047">
        <f t="shared" si="49"/>
        <v>20</v>
      </c>
      <c r="N277" s="306">
        <f t="shared" si="50"/>
        <v>565.6</v>
      </c>
      <c r="O277" s="307">
        <f t="shared" si="51"/>
        <v>1</v>
      </c>
      <c r="P277" s="1047">
        <f t="shared" si="52"/>
        <v>0</v>
      </c>
      <c r="Q277" s="306">
        <f t="shared" si="53"/>
        <v>0</v>
      </c>
      <c r="R277" s="307">
        <f t="shared" si="54"/>
        <v>0</v>
      </c>
      <c r="S277" s="314" t="str">
        <f t="shared" si="45"/>
        <v>ok</v>
      </c>
      <c r="T277" s="314"/>
      <c r="U277" s="314"/>
      <c r="V277" s="314"/>
      <c r="W277" s="314"/>
      <c r="X277" s="314"/>
    </row>
    <row r="278" spans="1:24" s="313" customFormat="1" ht="16.5" customHeight="1">
      <c r="A278" s="1337" t="s">
        <v>3203</v>
      </c>
      <c r="B278" s="1711" t="s">
        <v>3204</v>
      </c>
      <c r="C278" s="1502" t="s">
        <v>52</v>
      </c>
      <c r="D278" s="1710">
        <v>150</v>
      </c>
      <c r="E278" s="1312">
        <v>14.33</v>
      </c>
      <c r="F278" s="1486">
        <f t="shared" si="46"/>
        <v>2149.5</v>
      </c>
      <c r="G278" s="1049">
        <v>150</v>
      </c>
      <c r="H278" s="306">
        <v>2149.5</v>
      </c>
      <c r="I278" s="307">
        <v>1</v>
      </c>
      <c r="J278" s="1046"/>
      <c r="K278" s="306">
        <f t="shared" si="47"/>
        <v>0</v>
      </c>
      <c r="L278" s="307">
        <f t="shared" si="48"/>
        <v>0</v>
      </c>
      <c r="M278" s="1047">
        <f t="shared" si="49"/>
        <v>150</v>
      </c>
      <c r="N278" s="306">
        <f t="shared" si="50"/>
        <v>2149.5</v>
      </c>
      <c r="O278" s="307">
        <f t="shared" si="51"/>
        <v>1</v>
      </c>
      <c r="P278" s="1047">
        <f t="shared" si="52"/>
        <v>0</v>
      </c>
      <c r="Q278" s="306">
        <f t="shared" si="53"/>
        <v>0</v>
      </c>
      <c r="R278" s="307">
        <f t="shared" si="54"/>
        <v>0</v>
      </c>
      <c r="S278" s="314" t="str">
        <f t="shared" si="45"/>
        <v>ok</v>
      </c>
      <c r="T278" s="314"/>
      <c r="U278" s="314"/>
      <c r="V278" s="314"/>
      <c r="W278" s="314"/>
      <c r="X278" s="314"/>
    </row>
    <row r="279" spans="1:24" s="313" customFormat="1" ht="16.5" customHeight="1">
      <c r="A279" s="1337" t="s">
        <v>3205</v>
      </c>
      <c r="B279" s="1711" t="s">
        <v>3206</v>
      </c>
      <c r="C279" s="1502" t="s">
        <v>52</v>
      </c>
      <c r="D279" s="1710">
        <v>15</v>
      </c>
      <c r="E279" s="1312">
        <v>19.03</v>
      </c>
      <c r="F279" s="1486">
        <f t="shared" si="46"/>
        <v>285.45000000000005</v>
      </c>
      <c r="G279" s="1049">
        <v>15</v>
      </c>
      <c r="H279" s="306">
        <v>285.45</v>
      </c>
      <c r="I279" s="307">
        <v>0.99999999999999978</v>
      </c>
      <c r="J279" s="1046"/>
      <c r="K279" s="306">
        <f t="shared" si="47"/>
        <v>0</v>
      </c>
      <c r="L279" s="307">
        <f t="shared" si="48"/>
        <v>0</v>
      </c>
      <c r="M279" s="1047">
        <f t="shared" si="49"/>
        <v>15</v>
      </c>
      <c r="N279" s="306">
        <f t="shared" si="50"/>
        <v>285.45</v>
      </c>
      <c r="O279" s="307">
        <f t="shared" si="51"/>
        <v>0.99999999999999978</v>
      </c>
      <c r="P279" s="1047">
        <f t="shared" si="52"/>
        <v>0</v>
      </c>
      <c r="Q279" s="306">
        <f t="shared" si="53"/>
        <v>0</v>
      </c>
      <c r="R279" s="307">
        <f t="shared" si="54"/>
        <v>0</v>
      </c>
      <c r="S279" s="314" t="str">
        <f t="shared" ref="S279:S342" si="55">IF(M279&gt;D279,"mayormetrado","ok")</f>
        <v>ok</v>
      </c>
      <c r="T279" s="314"/>
      <c r="U279" s="314"/>
      <c r="V279" s="314"/>
      <c r="W279" s="314"/>
      <c r="X279" s="314"/>
    </row>
    <row r="280" spans="1:24" s="313" customFormat="1" ht="16.5" customHeight="1">
      <c r="A280" s="1337" t="s">
        <v>3207</v>
      </c>
      <c r="B280" s="1711" t="s">
        <v>3208</v>
      </c>
      <c r="C280" s="1502" t="s">
        <v>52</v>
      </c>
      <c r="D280" s="1710">
        <v>35</v>
      </c>
      <c r="E280" s="1312">
        <v>18.53</v>
      </c>
      <c r="F280" s="1486">
        <f t="shared" si="46"/>
        <v>648.55000000000007</v>
      </c>
      <c r="G280" s="1049">
        <v>35</v>
      </c>
      <c r="H280" s="306">
        <v>648.54999999999995</v>
      </c>
      <c r="I280" s="307">
        <v>0.99999999999999978</v>
      </c>
      <c r="J280" s="1046"/>
      <c r="K280" s="306">
        <f t="shared" si="47"/>
        <v>0</v>
      </c>
      <c r="L280" s="307">
        <f t="shared" si="48"/>
        <v>0</v>
      </c>
      <c r="M280" s="1047">
        <f t="shared" si="49"/>
        <v>35</v>
      </c>
      <c r="N280" s="306">
        <f t="shared" si="50"/>
        <v>648.54999999999995</v>
      </c>
      <c r="O280" s="307">
        <f t="shared" si="51"/>
        <v>0.99999999999999978</v>
      </c>
      <c r="P280" s="1047">
        <f t="shared" si="52"/>
        <v>0</v>
      </c>
      <c r="Q280" s="306">
        <f t="shared" si="53"/>
        <v>0</v>
      </c>
      <c r="R280" s="307">
        <f t="shared" si="54"/>
        <v>0</v>
      </c>
      <c r="S280" s="314" t="str">
        <f t="shared" si="55"/>
        <v>ok</v>
      </c>
      <c r="T280" s="314"/>
      <c r="U280" s="314"/>
      <c r="V280" s="314"/>
      <c r="W280" s="314"/>
      <c r="X280" s="314"/>
    </row>
    <row r="281" spans="1:24" s="313" customFormat="1" ht="16.5" customHeight="1">
      <c r="A281" s="1337" t="s">
        <v>3209</v>
      </c>
      <c r="B281" s="1711" t="s">
        <v>3210</v>
      </c>
      <c r="C281" s="1502" t="s">
        <v>52</v>
      </c>
      <c r="D281" s="1710">
        <v>60</v>
      </c>
      <c r="E281" s="1312">
        <v>18.330000000000002</v>
      </c>
      <c r="F281" s="1486">
        <f t="shared" ref="F281:F354" si="56">E281*D281</f>
        <v>1099.8000000000002</v>
      </c>
      <c r="G281" s="1049">
        <v>60</v>
      </c>
      <c r="H281" s="306">
        <v>1099.8</v>
      </c>
      <c r="I281" s="307">
        <v>0.99999999999999978</v>
      </c>
      <c r="J281" s="1046"/>
      <c r="K281" s="306">
        <f t="shared" si="47"/>
        <v>0</v>
      </c>
      <c r="L281" s="307">
        <f t="shared" si="48"/>
        <v>0</v>
      </c>
      <c r="M281" s="1047">
        <f t="shared" si="49"/>
        <v>60</v>
      </c>
      <c r="N281" s="306">
        <f t="shared" si="50"/>
        <v>1099.8</v>
      </c>
      <c r="O281" s="307">
        <f t="shared" si="51"/>
        <v>0.99999999999999978</v>
      </c>
      <c r="P281" s="1047">
        <f t="shared" si="52"/>
        <v>0</v>
      </c>
      <c r="Q281" s="306">
        <f t="shared" si="53"/>
        <v>0</v>
      </c>
      <c r="R281" s="307">
        <f t="shared" si="54"/>
        <v>0</v>
      </c>
      <c r="S281" s="314" t="str">
        <f t="shared" si="55"/>
        <v>ok</v>
      </c>
      <c r="T281" s="314"/>
      <c r="U281" s="314"/>
      <c r="V281" s="314"/>
      <c r="W281" s="314"/>
      <c r="X281" s="314"/>
    </row>
    <row r="282" spans="1:24" s="313" customFormat="1" ht="16.5" customHeight="1">
      <c r="A282" s="1337" t="s">
        <v>3211</v>
      </c>
      <c r="B282" s="1711" t="s">
        <v>3212</v>
      </c>
      <c r="C282" s="1502" t="s">
        <v>52</v>
      </c>
      <c r="D282" s="1710">
        <v>50</v>
      </c>
      <c r="E282" s="1312">
        <v>15.33</v>
      </c>
      <c r="F282" s="1486">
        <f t="shared" si="56"/>
        <v>766.5</v>
      </c>
      <c r="G282" s="1049">
        <v>50</v>
      </c>
      <c r="H282" s="306">
        <v>766.5</v>
      </c>
      <c r="I282" s="307">
        <v>1</v>
      </c>
      <c r="J282" s="1046"/>
      <c r="K282" s="306">
        <f t="shared" si="47"/>
        <v>0</v>
      </c>
      <c r="L282" s="307">
        <f t="shared" si="48"/>
        <v>0</v>
      </c>
      <c r="M282" s="1047">
        <f t="shared" si="49"/>
        <v>50</v>
      </c>
      <c r="N282" s="306">
        <f t="shared" si="50"/>
        <v>766.5</v>
      </c>
      <c r="O282" s="307">
        <f t="shared" si="51"/>
        <v>1</v>
      </c>
      <c r="P282" s="1047">
        <f t="shared" si="52"/>
        <v>0</v>
      </c>
      <c r="Q282" s="306">
        <f t="shared" si="53"/>
        <v>0</v>
      </c>
      <c r="R282" s="307">
        <f t="shared" si="54"/>
        <v>0</v>
      </c>
      <c r="S282" s="314" t="str">
        <f t="shared" si="55"/>
        <v>ok</v>
      </c>
      <c r="T282" s="314"/>
      <c r="U282" s="314"/>
      <c r="V282" s="314"/>
      <c r="W282" s="314"/>
      <c r="X282" s="314"/>
    </row>
    <row r="283" spans="1:24" s="313" customFormat="1" ht="16.5" customHeight="1">
      <c r="A283" s="1337" t="s">
        <v>3213</v>
      </c>
      <c r="B283" s="1711" t="s">
        <v>3214</v>
      </c>
      <c r="C283" s="1502" t="s">
        <v>52</v>
      </c>
      <c r="D283" s="1710">
        <v>75</v>
      </c>
      <c r="E283" s="1312">
        <v>15.33</v>
      </c>
      <c r="F283" s="1486">
        <f t="shared" si="56"/>
        <v>1149.75</v>
      </c>
      <c r="G283" s="1049">
        <v>75</v>
      </c>
      <c r="H283" s="306">
        <v>1149.75</v>
      </c>
      <c r="I283" s="307">
        <v>1</v>
      </c>
      <c r="J283" s="1046"/>
      <c r="K283" s="306">
        <f t="shared" si="47"/>
        <v>0</v>
      </c>
      <c r="L283" s="307">
        <f t="shared" si="48"/>
        <v>0</v>
      </c>
      <c r="M283" s="1047">
        <f t="shared" si="49"/>
        <v>75</v>
      </c>
      <c r="N283" s="306">
        <f t="shared" si="50"/>
        <v>1149.75</v>
      </c>
      <c r="O283" s="307">
        <f t="shared" si="51"/>
        <v>1</v>
      </c>
      <c r="P283" s="1047">
        <f t="shared" si="52"/>
        <v>0</v>
      </c>
      <c r="Q283" s="306">
        <f t="shared" si="53"/>
        <v>0</v>
      </c>
      <c r="R283" s="307">
        <f t="shared" si="54"/>
        <v>0</v>
      </c>
      <c r="S283" s="314" t="str">
        <f t="shared" si="55"/>
        <v>ok</v>
      </c>
      <c r="T283" s="314"/>
      <c r="U283" s="314"/>
      <c r="V283" s="314"/>
      <c r="W283" s="314"/>
      <c r="X283" s="314"/>
    </row>
    <row r="284" spans="1:24" s="313" customFormat="1" ht="16.5" customHeight="1">
      <c r="A284" s="1709" t="s">
        <v>1090</v>
      </c>
      <c r="B284" s="1709" t="s">
        <v>3215</v>
      </c>
      <c r="C284" s="1502"/>
      <c r="D284" s="1710"/>
      <c r="E284" s="1312"/>
      <c r="F284" s="1486"/>
      <c r="G284" s="1049"/>
      <c r="H284" s="306"/>
      <c r="I284" s="307"/>
      <c r="J284" s="1046"/>
      <c r="K284" s="306"/>
      <c r="L284" s="307"/>
      <c r="M284" s="1047"/>
      <c r="N284" s="306"/>
      <c r="O284" s="307"/>
      <c r="P284" s="1047"/>
      <c r="Q284" s="306"/>
      <c r="R284" s="307"/>
      <c r="S284" s="314" t="str">
        <f t="shared" si="55"/>
        <v>ok</v>
      </c>
      <c r="T284" s="314"/>
      <c r="U284" s="314"/>
      <c r="V284" s="314"/>
      <c r="W284" s="314"/>
      <c r="X284" s="314"/>
    </row>
    <row r="285" spans="1:24" s="313" customFormat="1" ht="16.5" customHeight="1">
      <c r="A285" s="1337" t="s">
        <v>3216</v>
      </c>
      <c r="B285" s="1711" t="s">
        <v>3217</v>
      </c>
      <c r="C285" s="1502" t="s">
        <v>52</v>
      </c>
      <c r="D285" s="1710">
        <v>20</v>
      </c>
      <c r="E285" s="1312">
        <v>121.63</v>
      </c>
      <c r="F285" s="1486">
        <f t="shared" si="56"/>
        <v>2432.6</v>
      </c>
      <c r="G285" s="1049">
        <v>20</v>
      </c>
      <c r="H285" s="306">
        <v>2432.6</v>
      </c>
      <c r="I285" s="307">
        <v>1</v>
      </c>
      <c r="J285" s="1046"/>
      <c r="K285" s="306">
        <f t="shared" si="47"/>
        <v>0</v>
      </c>
      <c r="L285" s="307">
        <f t="shared" si="48"/>
        <v>0</v>
      </c>
      <c r="M285" s="1047">
        <f t="shared" si="49"/>
        <v>20</v>
      </c>
      <c r="N285" s="306">
        <f t="shared" si="50"/>
        <v>2432.6</v>
      </c>
      <c r="O285" s="307">
        <f t="shared" si="51"/>
        <v>1</v>
      </c>
      <c r="P285" s="1047">
        <f t="shared" si="52"/>
        <v>0</v>
      </c>
      <c r="Q285" s="306">
        <f t="shared" si="53"/>
        <v>0</v>
      </c>
      <c r="R285" s="307">
        <f t="shared" si="54"/>
        <v>0</v>
      </c>
      <c r="S285" s="314" t="str">
        <f t="shared" si="55"/>
        <v>ok</v>
      </c>
      <c r="T285" s="314"/>
      <c r="U285" s="314"/>
      <c r="V285" s="314"/>
      <c r="W285" s="314"/>
      <c r="X285" s="314"/>
    </row>
    <row r="286" spans="1:24" s="313" customFormat="1" ht="16.5" customHeight="1">
      <c r="A286" s="1337" t="s">
        <v>3218</v>
      </c>
      <c r="B286" s="1711" t="s">
        <v>3219</v>
      </c>
      <c r="C286" s="1502" t="s">
        <v>52</v>
      </c>
      <c r="D286" s="1710">
        <v>22</v>
      </c>
      <c r="E286" s="1312">
        <v>147.09</v>
      </c>
      <c r="F286" s="1486">
        <f t="shared" si="56"/>
        <v>3235.98</v>
      </c>
      <c r="G286" s="1049">
        <v>22</v>
      </c>
      <c r="H286" s="306">
        <v>3235.98</v>
      </c>
      <c r="I286" s="307">
        <v>1</v>
      </c>
      <c r="J286" s="1046"/>
      <c r="K286" s="306">
        <f t="shared" si="47"/>
        <v>0</v>
      </c>
      <c r="L286" s="307">
        <f t="shared" si="48"/>
        <v>0</v>
      </c>
      <c r="M286" s="1047">
        <f t="shared" si="49"/>
        <v>22</v>
      </c>
      <c r="N286" s="306">
        <f t="shared" si="50"/>
        <v>3235.98</v>
      </c>
      <c r="O286" s="307">
        <f t="shared" si="51"/>
        <v>1</v>
      </c>
      <c r="P286" s="1047">
        <f t="shared" si="52"/>
        <v>0</v>
      </c>
      <c r="Q286" s="306">
        <f t="shared" si="53"/>
        <v>0</v>
      </c>
      <c r="R286" s="307">
        <f t="shared" si="54"/>
        <v>0</v>
      </c>
      <c r="S286" s="314" t="str">
        <f t="shared" si="55"/>
        <v>ok</v>
      </c>
      <c r="T286" s="314"/>
      <c r="U286" s="314"/>
      <c r="V286" s="314"/>
      <c r="W286" s="314"/>
      <c r="X286" s="314"/>
    </row>
    <row r="287" spans="1:24" s="313" customFormat="1" ht="16.5" customHeight="1">
      <c r="A287" s="1337" t="s">
        <v>3220</v>
      </c>
      <c r="B287" s="1711" t="s">
        <v>3221</v>
      </c>
      <c r="C287" s="1502" t="s">
        <v>52</v>
      </c>
      <c r="D287" s="1710">
        <v>8</v>
      </c>
      <c r="E287" s="1312">
        <v>171.75</v>
      </c>
      <c r="F287" s="1486">
        <f t="shared" si="56"/>
        <v>1374</v>
      </c>
      <c r="G287" s="1049">
        <v>8</v>
      </c>
      <c r="H287" s="306">
        <v>1374</v>
      </c>
      <c r="I287" s="307">
        <v>1</v>
      </c>
      <c r="J287" s="1046"/>
      <c r="K287" s="306">
        <f t="shared" si="47"/>
        <v>0</v>
      </c>
      <c r="L287" s="307">
        <f t="shared" si="48"/>
        <v>0</v>
      </c>
      <c r="M287" s="1047">
        <f t="shared" si="49"/>
        <v>8</v>
      </c>
      <c r="N287" s="306">
        <f t="shared" si="50"/>
        <v>1374</v>
      </c>
      <c r="O287" s="307">
        <f t="shared" si="51"/>
        <v>1</v>
      </c>
      <c r="P287" s="1047">
        <f t="shared" si="52"/>
        <v>0</v>
      </c>
      <c r="Q287" s="306">
        <f t="shared" si="53"/>
        <v>0</v>
      </c>
      <c r="R287" s="307">
        <f t="shared" si="54"/>
        <v>0</v>
      </c>
      <c r="S287" s="314" t="str">
        <f t="shared" si="55"/>
        <v>ok</v>
      </c>
      <c r="T287" s="314"/>
      <c r="U287" s="314"/>
      <c r="V287" s="314"/>
      <c r="W287" s="314"/>
      <c r="X287" s="314"/>
    </row>
    <row r="288" spans="1:24" s="313" customFormat="1" ht="16.5" customHeight="1">
      <c r="A288" s="1337" t="s">
        <v>3222</v>
      </c>
      <c r="B288" s="1711" t="s">
        <v>3223</v>
      </c>
      <c r="C288" s="1502" t="s">
        <v>52</v>
      </c>
      <c r="D288" s="1710">
        <v>12</v>
      </c>
      <c r="E288" s="1312">
        <v>235.75</v>
      </c>
      <c r="F288" s="1486">
        <f t="shared" si="56"/>
        <v>2829</v>
      </c>
      <c r="G288" s="1049">
        <v>12</v>
      </c>
      <c r="H288" s="306">
        <v>2829</v>
      </c>
      <c r="I288" s="307">
        <v>1</v>
      </c>
      <c r="J288" s="1046"/>
      <c r="K288" s="306">
        <f t="shared" si="47"/>
        <v>0</v>
      </c>
      <c r="L288" s="307">
        <f t="shared" si="48"/>
        <v>0</v>
      </c>
      <c r="M288" s="1047">
        <f t="shared" si="49"/>
        <v>12</v>
      </c>
      <c r="N288" s="306">
        <f t="shared" si="50"/>
        <v>2829</v>
      </c>
      <c r="O288" s="307">
        <f t="shared" si="51"/>
        <v>1</v>
      </c>
      <c r="P288" s="1047">
        <f t="shared" si="52"/>
        <v>0</v>
      </c>
      <c r="Q288" s="306">
        <f t="shared" si="53"/>
        <v>0</v>
      </c>
      <c r="R288" s="307">
        <f t="shared" si="54"/>
        <v>0</v>
      </c>
      <c r="S288" s="314" t="str">
        <f t="shared" si="55"/>
        <v>ok</v>
      </c>
      <c r="T288" s="314"/>
      <c r="U288" s="314"/>
      <c r="V288" s="314"/>
      <c r="W288" s="314"/>
      <c r="X288" s="314"/>
    </row>
    <row r="289" spans="1:24" s="313" customFormat="1" ht="16.5" customHeight="1">
      <c r="A289" s="1709" t="s">
        <v>1091</v>
      </c>
      <c r="B289" s="1709" t="s">
        <v>3167</v>
      </c>
      <c r="C289" s="1502"/>
      <c r="D289" s="1710"/>
      <c r="E289" s="1312"/>
      <c r="F289" s="1486"/>
      <c r="G289" s="1049"/>
      <c r="H289" s="306"/>
      <c r="I289" s="307"/>
      <c r="J289" s="1046"/>
      <c r="K289" s="306"/>
      <c r="L289" s="307"/>
      <c r="M289" s="1047"/>
      <c r="N289" s="306"/>
      <c r="O289" s="307"/>
      <c r="P289" s="1047"/>
      <c r="Q289" s="306"/>
      <c r="R289" s="307"/>
      <c r="S289" s="314" t="str">
        <f t="shared" si="55"/>
        <v>ok</v>
      </c>
      <c r="T289" s="314"/>
      <c r="U289" s="314"/>
      <c r="V289" s="314"/>
      <c r="W289" s="314"/>
      <c r="X289" s="314"/>
    </row>
    <row r="290" spans="1:24" s="313" customFormat="1" ht="16.5" customHeight="1">
      <c r="A290" s="1337" t="s">
        <v>3224</v>
      </c>
      <c r="B290" s="1711" t="s">
        <v>3225</v>
      </c>
      <c r="C290" s="1502" t="s">
        <v>52</v>
      </c>
      <c r="D290" s="1710">
        <v>55</v>
      </c>
      <c r="E290" s="1312">
        <v>35.1</v>
      </c>
      <c r="F290" s="1486">
        <f t="shared" si="56"/>
        <v>1930.5</v>
      </c>
      <c r="G290" s="1049">
        <v>55</v>
      </c>
      <c r="H290" s="306">
        <v>1930.5</v>
      </c>
      <c r="I290" s="307">
        <v>1</v>
      </c>
      <c r="J290" s="1046"/>
      <c r="K290" s="306">
        <f t="shared" si="47"/>
        <v>0</v>
      </c>
      <c r="L290" s="307">
        <f t="shared" si="48"/>
        <v>0</v>
      </c>
      <c r="M290" s="1047">
        <f t="shared" si="49"/>
        <v>55</v>
      </c>
      <c r="N290" s="306">
        <f t="shared" si="50"/>
        <v>1930.5</v>
      </c>
      <c r="O290" s="307">
        <f t="shared" si="51"/>
        <v>1</v>
      </c>
      <c r="P290" s="1047">
        <f t="shared" si="52"/>
        <v>0</v>
      </c>
      <c r="Q290" s="306">
        <f t="shared" si="53"/>
        <v>0</v>
      </c>
      <c r="R290" s="307">
        <f t="shared" si="54"/>
        <v>0</v>
      </c>
      <c r="S290" s="314" t="str">
        <f t="shared" si="55"/>
        <v>ok</v>
      </c>
      <c r="T290" s="314"/>
      <c r="U290" s="314"/>
      <c r="V290" s="314"/>
      <c r="W290" s="314"/>
      <c r="X290" s="314"/>
    </row>
    <row r="291" spans="1:24" s="313" customFormat="1" ht="16.5" customHeight="1">
      <c r="A291" s="1337" t="s">
        <v>3226</v>
      </c>
      <c r="B291" s="1711" t="s">
        <v>3227</v>
      </c>
      <c r="C291" s="1502" t="s">
        <v>52</v>
      </c>
      <c r="D291" s="1710">
        <v>25</v>
      </c>
      <c r="E291" s="1312">
        <v>37.200000000000003</v>
      </c>
      <c r="F291" s="1486">
        <f t="shared" si="56"/>
        <v>930.00000000000011</v>
      </c>
      <c r="G291" s="1049">
        <v>0</v>
      </c>
      <c r="H291" s="306">
        <v>0</v>
      </c>
      <c r="I291" s="307">
        <v>0</v>
      </c>
      <c r="J291" s="1046"/>
      <c r="K291" s="306">
        <f t="shared" si="47"/>
        <v>0</v>
      </c>
      <c r="L291" s="307">
        <f t="shared" si="48"/>
        <v>0</v>
      </c>
      <c r="M291" s="1047">
        <f t="shared" si="49"/>
        <v>0</v>
      </c>
      <c r="N291" s="306">
        <f t="shared" si="50"/>
        <v>0</v>
      </c>
      <c r="O291" s="307">
        <f t="shared" si="51"/>
        <v>0</v>
      </c>
      <c r="P291" s="1047">
        <f t="shared" si="52"/>
        <v>25</v>
      </c>
      <c r="Q291" s="306">
        <f t="shared" si="53"/>
        <v>930.00000000000011</v>
      </c>
      <c r="R291" s="307">
        <f t="shared" si="54"/>
        <v>1</v>
      </c>
      <c r="S291" s="314" t="str">
        <f t="shared" si="55"/>
        <v>ok</v>
      </c>
      <c r="T291" s="314"/>
      <c r="U291" s="314"/>
      <c r="V291" s="314"/>
      <c r="W291" s="314"/>
      <c r="X291" s="314"/>
    </row>
    <row r="292" spans="1:24" s="313" customFormat="1" ht="16.5" customHeight="1">
      <c r="A292" s="1337" t="s">
        <v>3228</v>
      </c>
      <c r="B292" s="1711" t="s">
        <v>3229</v>
      </c>
      <c r="C292" s="1502" t="s">
        <v>52</v>
      </c>
      <c r="D292" s="1710">
        <v>45</v>
      </c>
      <c r="E292" s="1312">
        <v>38.78</v>
      </c>
      <c r="F292" s="1486">
        <f t="shared" si="56"/>
        <v>1745.1000000000001</v>
      </c>
      <c r="G292" s="1049">
        <v>20</v>
      </c>
      <c r="H292" s="306">
        <v>775.6</v>
      </c>
      <c r="I292" s="307">
        <v>0.44444444444444442</v>
      </c>
      <c r="J292" s="1046"/>
      <c r="K292" s="306">
        <f t="shared" si="47"/>
        <v>0</v>
      </c>
      <c r="L292" s="307">
        <f t="shared" si="48"/>
        <v>0</v>
      </c>
      <c r="M292" s="1047">
        <f t="shared" si="49"/>
        <v>20</v>
      </c>
      <c r="N292" s="306">
        <f t="shared" si="50"/>
        <v>775.6</v>
      </c>
      <c r="O292" s="307">
        <f t="shared" si="51"/>
        <v>0.44444444444444442</v>
      </c>
      <c r="P292" s="1047">
        <f t="shared" si="52"/>
        <v>25</v>
      </c>
      <c r="Q292" s="306">
        <f t="shared" si="53"/>
        <v>969.50000000000011</v>
      </c>
      <c r="R292" s="307">
        <f>+Q292/$F292</f>
        <v>0.55555555555555558</v>
      </c>
      <c r="S292" s="314" t="str">
        <f t="shared" si="55"/>
        <v>ok</v>
      </c>
      <c r="T292" s="314"/>
      <c r="U292" s="314"/>
      <c r="V292" s="314"/>
      <c r="W292" s="314"/>
      <c r="X292" s="314"/>
    </row>
    <row r="293" spans="1:24" s="313" customFormat="1" ht="16.5" customHeight="1">
      <c r="A293" s="1337" t="s">
        <v>3230</v>
      </c>
      <c r="B293" s="1711" t="s">
        <v>3231</v>
      </c>
      <c r="C293" s="1502" t="s">
        <v>52</v>
      </c>
      <c r="D293" s="1710">
        <v>65</v>
      </c>
      <c r="E293" s="1312">
        <v>42.45</v>
      </c>
      <c r="F293" s="1486">
        <f t="shared" si="56"/>
        <v>2759.25</v>
      </c>
      <c r="G293" s="1049">
        <v>25</v>
      </c>
      <c r="H293" s="306">
        <v>1061.25</v>
      </c>
      <c r="I293" s="307">
        <v>0.38461538461538464</v>
      </c>
      <c r="J293" s="1046"/>
      <c r="K293" s="306">
        <f t="shared" si="47"/>
        <v>0</v>
      </c>
      <c r="L293" s="307">
        <f t="shared" si="48"/>
        <v>0</v>
      </c>
      <c r="M293" s="1047">
        <f t="shared" si="49"/>
        <v>25</v>
      </c>
      <c r="N293" s="306">
        <f t="shared" si="50"/>
        <v>1061.25</v>
      </c>
      <c r="O293" s="307">
        <f t="shared" si="51"/>
        <v>0.38461538461538464</v>
      </c>
      <c r="P293" s="1047">
        <f t="shared" si="52"/>
        <v>40</v>
      </c>
      <c r="Q293" s="306">
        <f t="shared" si="53"/>
        <v>1698</v>
      </c>
      <c r="R293" s="307">
        <f t="shared" si="54"/>
        <v>0.61538461538461542</v>
      </c>
      <c r="S293" s="314" t="str">
        <f t="shared" si="55"/>
        <v>ok</v>
      </c>
      <c r="T293" s="314"/>
      <c r="U293" s="314"/>
      <c r="V293" s="314"/>
      <c r="W293" s="314"/>
      <c r="X293" s="314"/>
    </row>
    <row r="294" spans="1:24" s="313" customFormat="1" ht="16.5" customHeight="1">
      <c r="A294" s="1337" t="s">
        <v>3232</v>
      </c>
      <c r="B294" s="1711" t="s">
        <v>3233</v>
      </c>
      <c r="C294" s="1502" t="s">
        <v>52</v>
      </c>
      <c r="D294" s="1710">
        <v>35</v>
      </c>
      <c r="E294" s="1312">
        <v>44.85</v>
      </c>
      <c r="F294" s="1486">
        <f t="shared" si="56"/>
        <v>1569.75</v>
      </c>
      <c r="G294" s="1049">
        <v>0</v>
      </c>
      <c r="H294" s="306">
        <v>0</v>
      </c>
      <c r="I294" s="307">
        <v>0</v>
      </c>
      <c r="J294" s="1046"/>
      <c r="K294" s="306">
        <f t="shared" si="47"/>
        <v>0</v>
      </c>
      <c r="L294" s="307">
        <f t="shared" si="48"/>
        <v>0</v>
      </c>
      <c r="M294" s="1047">
        <f t="shared" si="49"/>
        <v>0</v>
      </c>
      <c r="N294" s="306">
        <f t="shared" si="50"/>
        <v>0</v>
      </c>
      <c r="O294" s="307">
        <f t="shared" si="51"/>
        <v>0</v>
      </c>
      <c r="P294" s="1047">
        <f t="shared" si="52"/>
        <v>35</v>
      </c>
      <c r="Q294" s="306">
        <f t="shared" si="53"/>
        <v>1569.75</v>
      </c>
      <c r="R294" s="307">
        <f t="shared" si="54"/>
        <v>1</v>
      </c>
      <c r="S294" s="314" t="str">
        <f t="shared" si="55"/>
        <v>ok</v>
      </c>
      <c r="T294" s="314"/>
      <c r="U294" s="314"/>
      <c r="V294" s="314"/>
      <c r="W294" s="314"/>
      <c r="X294" s="314"/>
    </row>
    <row r="295" spans="1:24" s="313" customFormat="1" ht="16.5" customHeight="1">
      <c r="A295" s="1337" t="s">
        <v>3234</v>
      </c>
      <c r="B295" s="1711" t="s">
        <v>3235</v>
      </c>
      <c r="C295" s="1502" t="s">
        <v>52</v>
      </c>
      <c r="D295" s="1710">
        <v>96</v>
      </c>
      <c r="E295" s="1312">
        <v>23.93</v>
      </c>
      <c r="F295" s="1486">
        <f t="shared" si="56"/>
        <v>2297.2799999999997</v>
      </c>
      <c r="G295" s="1049">
        <v>96</v>
      </c>
      <c r="H295" s="306">
        <v>2297.2800000000002</v>
      </c>
      <c r="I295" s="307">
        <v>1.0000000000000002</v>
      </c>
      <c r="J295" s="1046"/>
      <c r="K295" s="306">
        <f t="shared" si="47"/>
        <v>0</v>
      </c>
      <c r="L295" s="307">
        <f t="shared" si="48"/>
        <v>0</v>
      </c>
      <c r="M295" s="1047">
        <f t="shared" si="49"/>
        <v>96</v>
      </c>
      <c r="N295" s="306">
        <f t="shared" si="50"/>
        <v>2297.2800000000002</v>
      </c>
      <c r="O295" s="307">
        <f t="shared" si="51"/>
        <v>1.0000000000000002</v>
      </c>
      <c r="P295" s="1047">
        <f t="shared" si="52"/>
        <v>0</v>
      </c>
      <c r="Q295" s="306">
        <f t="shared" si="53"/>
        <v>0</v>
      </c>
      <c r="R295" s="307">
        <f t="shared" si="54"/>
        <v>0</v>
      </c>
      <c r="S295" s="314" t="str">
        <f t="shared" si="55"/>
        <v>ok</v>
      </c>
      <c r="T295" s="314"/>
      <c r="U295" s="314"/>
      <c r="V295" s="314"/>
      <c r="W295" s="314"/>
      <c r="X295" s="314"/>
    </row>
    <row r="296" spans="1:24" s="313" customFormat="1" ht="16.5" customHeight="1">
      <c r="A296" s="1337" t="s">
        <v>3236</v>
      </c>
      <c r="B296" s="1711" t="s">
        <v>3237</v>
      </c>
      <c r="C296" s="1502" t="s">
        <v>52</v>
      </c>
      <c r="D296" s="1710">
        <v>35</v>
      </c>
      <c r="E296" s="1312">
        <v>25.82</v>
      </c>
      <c r="F296" s="1486">
        <f t="shared" si="56"/>
        <v>903.7</v>
      </c>
      <c r="G296" s="1049">
        <v>10</v>
      </c>
      <c r="H296" s="306">
        <v>258.2</v>
      </c>
      <c r="I296" s="307">
        <v>0.2857142857142857</v>
      </c>
      <c r="J296" s="1046"/>
      <c r="K296" s="306">
        <f t="shared" si="47"/>
        <v>0</v>
      </c>
      <c r="L296" s="307">
        <f t="shared" si="48"/>
        <v>0</v>
      </c>
      <c r="M296" s="1047">
        <f t="shared" si="49"/>
        <v>10</v>
      </c>
      <c r="N296" s="306">
        <f t="shared" si="50"/>
        <v>258.2</v>
      </c>
      <c r="O296" s="307">
        <f t="shared" si="51"/>
        <v>0.2857142857142857</v>
      </c>
      <c r="P296" s="1047">
        <f t="shared" si="52"/>
        <v>25</v>
      </c>
      <c r="Q296" s="306">
        <f t="shared" si="53"/>
        <v>645.5</v>
      </c>
      <c r="R296" s="307">
        <f t="shared" si="54"/>
        <v>0.7142857142857143</v>
      </c>
      <c r="S296" s="314" t="str">
        <f t="shared" si="55"/>
        <v>ok</v>
      </c>
      <c r="T296" s="314"/>
      <c r="U296" s="314"/>
      <c r="V296" s="314"/>
      <c r="W296" s="314"/>
      <c r="X296" s="314"/>
    </row>
    <row r="297" spans="1:24" s="313" customFormat="1" ht="16.5" customHeight="1">
      <c r="A297" s="1337" t="s">
        <v>3238</v>
      </c>
      <c r="B297" s="1711" t="s">
        <v>3239</v>
      </c>
      <c r="C297" s="1502" t="s">
        <v>52</v>
      </c>
      <c r="D297" s="1710">
        <v>40</v>
      </c>
      <c r="E297" s="1312">
        <v>27.12</v>
      </c>
      <c r="F297" s="1486">
        <f t="shared" si="56"/>
        <v>1084.8</v>
      </c>
      <c r="G297" s="1049">
        <v>25</v>
      </c>
      <c r="H297" s="306">
        <v>678</v>
      </c>
      <c r="I297" s="307">
        <v>0.625</v>
      </c>
      <c r="J297" s="1046"/>
      <c r="K297" s="306">
        <f t="shared" si="47"/>
        <v>0</v>
      </c>
      <c r="L297" s="307">
        <f t="shared" si="48"/>
        <v>0</v>
      </c>
      <c r="M297" s="1047">
        <f t="shared" si="49"/>
        <v>25</v>
      </c>
      <c r="N297" s="306">
        <f t="shared" si="50"/>
        <v>678</v>
      </c>
      <c r="O297" s="307">
        <f t="shared" si="51"/>
        <v>0.625</v>
      </c>
      <c r="P297" s="1047">
        <f t="shared" si="52"/>
        <v>15</v>
      </c>
      <c r="Q297" s="306">
        <f t="shared" si="53"/>
        <v>406.79999999999995</v>
      </c>
      <c r="R297" s="307">
        <f t="shared" si="54"/>
        <v>0.375</v>
      </c>
      <c r="S297" s="314" t="str">
        <f t="shared" si="55"/>
        <v>ok</v>
      </c>
      <c r="T297" s="314"/>
      <c r="U297" s="314"/>
      <c r="V297" s="314"/>
      <c r="W297" s="314"/>
      <c r="X297" s="314"/>
    </row>
    <row r="298" spans="1:24" s="313" customFormat="1" ht="16.5" customHeight="1">
      <c r="A298" s="1337" t="s">
        <v>3240</v>
      </c>
      <c r="B298" s="1711" t="s">
        <v>3241</v>
      </c>
      <c r="C298" s="1502" t="s">
        <v>52</v>
      </c>
      <c r="D298" s="1710">
        <v>70</v>
      </c>
      <c r="E298" s="1312">
        <v>29.62</v>
      </c>
      <c r="F298" s="1486">
        <f t="shared" si="56"/>
        <v>2073.4</v>
      </c>
      <c r="G298" s="1049">
        <v>70</v>
      </c>
      <c r="H298" s="306">
        <v>2073.4</v>
      </c>
      <c r="I298" s="307">
        <v>1</v>
      </c>
      <c r="J298" s="1046"/>
      <c r="K298" s="306">
        <f t="shared" si="47"/>
        <v>0</v>
      </c>
      <c r="L298" s="307">
        <f t="shared" si="48"/>
        <v>0</v>
      </c>
      <c r="M298" s="1047">
        <f t="shared" si="49"/>
        <v>70</v>
      </c>
      <c r="N298" s="306">
        <f t="shared" si="50"/>
        <v>2073.4</v>
      </c>
      <c r="O298" s="307">
        <f t="shared" si="51"/>
        <v>1</v>
      </c>
      <c r="P298" s="1047">
        <f t="shared" si="52"/>
        <v>0</v>
      </c>
      <c r="Q298" s="306">
        <f t="shared" si="53"/>
        <v>0</v>
      </c>
      <c r="R298" s="307">
        <f t="shared" si="54"/>
        <v>0</v>
      </c>
      <c r="S298" s="314" t="str">
        <f t="shared" si="55"/>
        <v>ok</v>
      </c>
      <c r="T298" s="314"/>
      <c r="U298" s="314"/>
      <c r="V298" s="314"/>
      <c r="W298" s="314"/>
      <c r="X298" s="314"/>
    </row>
    <row r="299" spans="1:24" s="313" customFormat="1" ht="16.5" customHeight="1">
      <c r="A299" s="1709" t="s">
        <v>3242</v>
      </c>
      <c r="B299" s="1709" t="s">
        <v>3243</v>
      </c>
      <c r="C299" s="1502"/>
      <c r="D299" s="1710"/>
      <c r="E299" s="1312"/>
      <c r="F299" s="1486"/>
      <c r="G299" s="1049"/>
      <c r="H299" s="306"/>
      <c r="I299" s="307"/>
      <c r="J299" s="1046"/>
      <c r="K299" s="306"/>
      <c r="L299" s="307"/>
      <c r="M299" s="1047"/>
      <c r="N299" s="306"/>
      <c r="O299" s="307"/>
      <c r="P299" s="1047"/>
      <c r="Q299" s="306"/>
      <c r="R299" s="307"/>
      <c r="S299" s="314" t="str">
        <f t="shared" si="55"/>
        <v>ok</v>
      </c>
      <c r="T299" s="314"/>
      <c r="U299" s="314"/>
      <c r="V299" s="314"/>
      <c r="W299" s="314"/>
      <c r="X299" s="314"/>
    </row>
    <row r="300" spans="1:24" s="313" customFormat="1" ht="16.5" customHeight="1">
      <c r="A300" s="1337" t="s">
        <v>3244</v>
      </c>
      <c r="B300" s="1711" t="s">
        <v>3245</v>
      </c>
      <c r="C300" s="1502" t="s">
        <v>52</v>
      </c>
      <c r="D300" s="1710">
        <v>2</v>
      </c>
      <c r="E300" s="1312">
        <v>6839.85</v>
      </c>
      <c r="F300" s="1486">
        <f t="shared" si="56"/>
        <v>13679.7</v>
      </c>
      <c r="G300" s="1049">
        <v>2</v>
      </c>
      <c r="H300" s="306">
        <v>13679.7</v>
      </c>
      <c r="I300" s="307">
        <v>1</v>
      </c>
      <c r="J300" s="1046"/>
      <c r="K300" s="306">
        <f t="shared" si="47"/>
        <v>0</v>
      </c>
      <c r="L300" s="307">
        <f t="shared" si="48"/>
        <v>0</v>
      </c>
      <c r="M300" s="1047">
        <f t="shared" si="49"/>
        <v>2</v>
      </c>
      <c r="N300" s="306">
        <f t="shared" si="50"/>
        <v>13679.7</v>
      </c>
      <c r="O300" s="307">
        <f t="shared" si="51"/>
        <v>1</v>
      </c>
      <c r="P300" s="1047">
        <f t="shared" si="52"/>
        <v>0</v>
      </c>
      <c r="Q300" s="306">
        <f t="shared" si="53"/>
        <v>0</v>
      </c>
      <c r="R300" s="307">
        <f t="shared" si="54"/>
        <v>0</v>
      </c>
      <c r="S300" s="314" t="str">
        <f t="shared" si="55"/>
        <v>ok</v>
      </c>
      <c r="T300" s="314"/>
      <c r="U300" s="314"/>
      <c r="V300" s="314"/>
      <c r="W300" s="314"/>
      <c r="X300" s="314"/>
    </row>
    <row r="301" spans="1:24" s="313" customFormat="1" ht="16.5" customHeight="1">
      <c r="A301" s="1337" t="s">
        <v>3246</v>
      </c>
      <c r="B301" s="1711" t="s">
        <v>3247</v>
      </c>
      <c r="C301" s="1502" t="s">
        <v>268</v>
      </c>
      <c r="D301" s="1710">
        <v>1</v>
      </c>
      <c r="E301" s="1312">
        <v>1859.23</v>
      </c>
      <c r="F301" s="1486">
        <f t="shared" si="56"/>
        <v>1859.23</v>
      </c>
      <c r="G301" s="1049">
        <v>1</v>
      </c>
      <c r="H301" s="306">
        <v>1859.23</v>
      </c>
      <c r="I301" s="307">
        <v>1</v>
      </c>
      <c r="J301" s="1046"/>
      <c r="K301" s="306">
        <f t="shared" si="47"/>
        <v>0</v>
      </c>
      <c r="L301" s="307">
        <f t="shared" si="48"/>
        <v>0</v>
      </c>
      <c r="M301" s="1047">
        <f t="shared" si="49"/>
        <v>1</v>
      </c>
      <c r="N301" s="306">
        <f t="shared" si="50"/>
        <v>1859.23</v>
      </c>
      <c r="O301" s="307">
        <f t="shared" si="51"/>
        <v>1</v>
      </c>
      <c r="P301" s="1047">
        <f t="shared" si="52"/>
        <v>0</v>
      </c>
      <c r="Q301" s="306">
        <f t="shared" si="53"/>
        <v>0</v>
      </c>
      <c r="R301" s="307">
        <f t="shared" si="54"/>
        <v>0</v>
      </c>
      <c r="S301" s="314" t="str">
        <f t="shared" si="55"/>
        <v>ok</v>
      </c>
      <c r="T301" s="314"/>
      <c r="U301" s="314"/>
      <c r="V301" s="314"/>
      <c r="W301" s="314"/>
      <c r="X301" s="314"/>
    </row>
    <row r="302" spans="1:24" s="313" customFormat="1" ht="16.5" customHeight="1">
      <c r="A302" s="1648" t="s">
        <v>3248</v>
      </c>
      <c r="B302" s="1648" t="s">
        <v>3249</v>
      </c>
      <c r="C302" s="1502"/>
      <c r="D302" s="1710"/>
      <c r="E302" s="1312"/>
      <c r="F302" s="1486"/>
      <c r="G302" s="1049"/>
      <c r="H302" s="306"/>
      <c r="I302" s="307"/>
      <c r="J302" s="1046"/>
      <c r="K302" s="306"/>
      <c r="L302" s="307"/>
      <c r="M302" s="1047"/>
      <c r="N302" s="306"/>
      <c r="O302" s="307"/>
      <c r="P302" s="1047"/>
      <c r="Q302" s="306"/>
      <c r="R302" s="307"/>
      <c r="S302" s="314" t="str">
        <f t="shared" si="55"/>
        <v>ok</v>
      </c>
      <c r="T302" s="314"/>
      <c r="U302" s="314"/>
      <c r="V302" s="314"/>
      <c r="W302" s="314"/>
      <c r="X302" s="314"/>
    </row>
    <row r="303" spans="1:24" s="313" customFormat="1" ht="16.5" customHeight="1">
      <c r="A303" s="1709" t="s">
        <v>3250</v>
      </c>
      <c r="B303" s="1709" t="s">
        <v>3251</v>
      </c>
      <c r="C303" s="1502"/>
      <c r="D303" s="1710"/>
      <c r="E303" s="1312"/>
      <c r="F303" s="1486"/>
      <c r="G303" s="1049"/>
      <c r="H303" s="306"/>
      <c r="I303" s="307"/>
      <c r="J303" s="1046"/>
      <c r="K303" s="306"/>
      <c r="L303" s="307"/>
      <c r="M303" s="1047"/>
      <c r="N303" s="306"/>
      <c r="O303" s="307"/>
      <c r="P303" s="1047"/>
      <c r="Q303" s="306"/>
      <c r="R303" s="307"/>
      <c r="S303" s="314" t="str">
        <f t="shared" si="55"/>
        <v>ok</v>
      </c>
      <c r="T303" s="314"/>
      <c r="U303" s="314"/>
      <c r="V303" s="314"/>
      <c r="W303" s="314"/>
      <c r="X303" s="314"/>
    </row>
    <row r="304" spans="1:24" s="313" customFormat="1" ht="16.5" customHeight="1">
      <c r="A304" s="1337" t="s">
        <v>3252</v>
      </c>
      <c r="B304" s="1711" t="s">
        <v>3253</v>
      </c>
      <c r="C304" s="1502" t="s">
        <v>51</v>
      </c>
      <c r="D304" s="1710">
        <v>20</v>
      </c>
      <c r="E304" s="1312">
        <v>3755.14</v>
      </c>
      <c r="F304" s="1486">
        <f t="shared" si="56"/>
        <v>75102.8</v>
      </c>
      <c r="G304" s="1049">
        <v>0</v>
      </c>
      <c r="H304" s="306">
        <v>0</v>
      </c>
      <c r="I304" s="307">
        <v>0</v>
      </c>
      <c r="J304" s="1046"/>
      <c r="K304" s="306">
        <f t="shared" si="47"/>
        <v>0</v>
      </c>
      <c r="L304" s="307">
        <f t="shared" si="48"/>
        <v>0</v>
      </c>
      <c r="M304" s="1047">
        <f t="shared" si="49"/>
        <v>0</v>
      </c>
      <c r="N304" s="306">
        <f t="shared" si="50"/>
        <v>0</v>
      </c>
      <c r="O304" s="307">
        <f t="shared" si="51"/>
        <v>0</v>
      </c>
      <c r="P304" s="1047">
        <f t="shared" si="52"/>
        <v>20</v>
      </c>
      <c r="Q304" s="306">
        <f t="shared" si="53"/>
        <v>75102.8</v>
      </c>
      <c r="R304" s="307">
        <f t="shared" si="54"/>
        <v>1</v>
      </c>
      <c r="S304" s="314" t="str">
        <f t="shared" si="55"/>
        <v>ok</v>
      </c>
      <c r="T304" s="314"/>
      <c r="U304" s="314"/>
      <c r="V304" s="314"/>
      <c r="W304" s="314"/>
      <c r="X304" s="314"/>
    </row>
    <row r="305" spans="1:24" s="313" customFormat="1" ht="16.5" customHeight="1">
      <c r="A305" s="1337" t="s">
        <v>3254</v>
      </c>
      <c r="B305" s="1711" t="s">
        <v>3255</v>
      </c>
      <c r="C305" s="1502" t="s">
        <v>51</v>
      </c>
      <c r="D305" s="1710">
        <v>10</v>
      </c>
      <c r="E305" s="1312">
        <v>3126.36</v>
      </c>
      <c r="F305" s="1486">
        <f t="shared" si="56"/>
        <v>31263.600000000002</v>
      </c>
      <c r="G305" s="1049">
        <v>0</v>
      </c>
      <c r="H305" s="306">
        <v>0</v>
      </c>
      <c r="I305" s="307">
        <v>0</v>
      </c>
      <c r="J305" s="1046"/>
      <c r="K305" s="306">
        <f t="shared" si="47"/>
        <v>0</v>
      </c>
      <c r="L305" s="307">
        <f t="shared" si="48"/>
        <v>0</v>
      </c>
      <c r="M305" s="1047">
        <f t="shared" si="49"/>
        <v>0</v>
      </c>
      <c r="N305" s="306">
        <f t="shared" si="50"/>
        <v>0</v>
      </c>
      <c r="O305" s="307">
        <f t="shared" si="51"/>
        <v>0</v>
      </c>
      <c r="P305" s="1047">
        <f t="shared" si="52"/>
        <v>10</v>
      </c>
      <c r="Q305" s="306">
        <f t="shared" si="53"/>
        <v>31263.600000000002</v>
      </c>
      <c r="R305" s="307">
        <f t="shared" si="54"/>
        <v>1</v>
      </c>
      <c r="S305" s="314" t="str">
        <f t="shared" si="55"/>
        <v>ok</v>
      </c>
      <c r="T305" s="314"/>
      <c r="U305" s="314"/>
      <c r="V305" s="314"/>
      <c r="W305" s="314"/>
      <c r="X305" s="314"/>
    </row>
    <row r="306" spans="1:24" s="313" customFormat="1" ht="16.5" customHeight="1">
      <c r="A306" s="1337" t="s">
        <v>3256</v>
      </c>
      <c r="B306" s="1711" t="s">
        <v>3257</v>
      </c>
      <c r="C306" s="1502" t="s">
        <v>51</v>
      </c>
      <c r="D306" s="1710">
        <v>30</v>
      </c>
      <c r="E306" s="1312">
        <v>162.77000000000001</v>
      </c>
      <c r="F306" s="1486">
        <f t="shared" si="56"/>
        <v>4883.1000000000004</v>
      </c>
      <c r="G306" s="1049">
        <v>0</v>
      </c>
      <c r="H306" s="306">
        <v>0</v>
      </c>
      <c r="I306" s="307">
        <v>0</v>
      </c>
      <c r="J306" s="1046"/>
      <c r="K306" s="306">
        <f t="shared" si="47"/>
        <v>0</v>
      </c>
      <c r="L306" s="307">
        <f t="shared" si="48"/>
        <v>0</v>
      </c>
      <c r="M306" s="1047">
        <f t="shared" si="49"/>
        <v>0</v>
      </c>
      <c r="N306" s="306">
        <f t="shared" si="50"/>
        <v>0</v>
      </c>
      <c r="O306" s="307">
        <f t="shared" si="51"/>
        <v>0</v>
      </c>
      <c r="P306" s="1047">
        <f t="shared" si="52"/>
        <v>30</v>
      </c>
      <c r="Q306" s="306">
        <f t="shared" si="53"/>
        <v>4883.1000000000004</v>
      </c>
      <c r="R306" s="307">
        <f t="shared" si="54"/>
        <v>1</v>
      </c>
      <c r="S306" s="314" t="str">
        <f t="shared" si="55"/>
        <v>ok</v>
      </c>
      <c r="T306" s="314"/>
      <c r="U306" s="314"/>
      <c r="V306" s="314"/>
      <c r="W306" s="314"/>
      <c r="X306" s="314"/>
    </row>
    <row r="307" spans="1:24" s="313" customFormat="1" ht="16.5" customHeight="1">
      <c r="A307" s="1709" t="s">
        <v>3258</v>
      </c>
      <c r="B307" s="1709" t="s">
        <v>3167</v>
      </c>
      <c r="C307" s="1502"/>
      <c r="D307" s="1710"/>
      <c r="E307" s="1312"/>
      <c r="F307" s="1486"/>
      <c r="G307" s="1049"/>
      <c r="H307" s="306"/>
      <c r="I307" s="307"/>
      <c r="J307" s="1046"/>
      <c r="K307" s="306"/>
      <c r="L307" s="307"/>
      <c r="M307" s="1047"/>
      <c r="N307" s="306"/>
      <c r="O307" s="307"/>
      <c r="P307" s="1047"/>
      <c r="Q307" s="306"/>
      <c r="R307" s="307"/>
      <c r="S307" s="314" t="str">
        <f t="shared" si="55"/>
        <v>ok</v>
      </c>
      <c r="T307" s="314"/>
      <c r="U307" s="314"/>
      <c r="V307" s="314"/>
      <c r="W307" s="314"/>
      <c r="X307" s="314"/>
    </row>
    <row r="308" spans="1:24" s="313" customFormat="1" ht="16.5" customHeight="1">
      <c r="A308" s="1337" t="s">
        <v>3259</v>
      </c>
      <c r="B308" s="1711" t="s">
        <v>3260</v>
      </c>
      <c r="C308" s="1502" t="s">
        <v>52</v>
      </c>
      <c r="D308" s="1710">
        <v>14</v>
      </c>
      <c r="E308" s="1312">
        <v>76.31</v>
      </c>
      <c r="F308" s="1486">
        <f t="shared" si="56"/>
        <v>1068.3400000000001</v>
      </c>
      <c r="G308" s="1049">
        <v>0</v>
      </c>
      <c r="H308" s="306">
        <v>0</v>
      </c>
      <c r="I308" s="307">
        <v>0</v>
      </c>
      <c r="J308" s="1046"/>
      <c r="K308" s="306">
        <f t="shared" si="47"/>
        <v>0</v>
      </c>
      <c r="L308" s="307">
        <f t="shared" si="48"/>
        <v>0</v>
      </c>
      <c r="M308" s="1047">
        <f t="shared" si="49"/>
        <v>0</v>
      </c>
      <c r="N308" s="306">
        <f t="shared" si="50"/>
        <v>0</v>
      </c>
      <c r="O308" s="307">
        <f t="shared" si="51"/>
        <v>0</v>
      </c>
      <c r="P308" s="1047">
        <f t="shared" si="52"/>
        <v>14</v>
      </c>
      <c r="Q308" s="306">
        <f t="shared" si="53"/>
        <v>1068.3400000000001</v>
      </c>
      <c r="R308" s="307">
        <f t="shared" si="54"/>
        <v>1</v>
      </c>
      <c r="S308" s="314" t="str">
        <f t="shared" si="55"/>
        <v>ok</v>
      </c>
      <c r="T308" s="314"/>
      <c r="U308" s="314"/>
      <c r="V308" s="314"/>
      <c r="W308" s="314"/>
      <c r="X308" s="314"/>
    </row>
    <row r="309" spans="1:24" s="313" customFormat="1" ht="16.5" customHeight="1">
      <c r="A309" s="1337" t="s">
        <v>3261</v>
      </c>
      <c r="B309" s="1711" t="s">
        <v>3262</v>
      </c>
      <c r="C309" s="1502" t="s">
        <v>52</v>
      </c>
      <c r="D309" s="1710">
        <v>18</v>
      </c>
      <c r="E309" s="1312">
        <v>57.11</v>
      </c>
      <c r="F309" s="1486">
        <f t="shared" si="56"/>
        <v>1027.98</v>
      </c>
      <c r="G309" s="1049">
        <v>0</v>
      </c>
      <c r="H309" s="306">
        <v>0</v>
      </c>
      <c r="I309" s="307">
        <v>0</v>
      </c>
      <c r="J309" s="1046"/>
      <c r="K309" s="306">
        <f t="shared" si="47"/>
        <v>0</v>
      </c>
      <c r="L309" s="307">
        <f t="shared" si="48"/>
        <v>0</v>
      </c>
      <c r="M309" s="1047">
        <f t="shared" si="49"/>
        <v>0</v>
      </c>
      <c r="N309" s="306">
        <f t="shared" si="50"/>
        <v>0</v>
      </c>
      <c r="O309" s="307">
        <f t="shared" si="51"/>
        <v>0</v>
      </c>
      <c r="P309" s="1047">
        <f t="shared" si="52"/>
        <v>18</v>
      </c>
      <c r="Q309" s="306">
        <f t="shared" si="53"/>
        <v>1027.98</v>
      </c>
      <c r="R309" s="307">
        <f t="shared" si="54"/>
        <v>1</v>
      </c>
      <c r="S309" s="314" t="str">
        <f t="shared" si="55"/>
        <v>ok</v>
      </c>
      <c r="T309" s="314"/>
      <c r="U309" s="314"/>
      <c r="V309" s="314"/>
      <c r="W309" s="314"/>
      <c r="X309" s="314"/>
    </row>
    <row r="310" spans="1:24" s="313" customFormat="1" ht="16.5" customHeight="1">
      <c r="A310" s="1337" t="s">
        <v>3263</v>
      </c>
      <c r="B310" s="1711" t="s">
        <v>3264</v>
      </c>
      <c r="C310" s="1502" t="s">
        <v>52</v>
      </c>
      <c r="D310" s="1710">
        <v>5</v>
      </c>
      <c r="E310" s="1312">
        <v>62.11</v>
      </c>
      <c r="F310" s="1486">
        <f t="shared" si="56"/>
        <v>310.55</v>
      </c>
      <c r="G310" s="1049">
        <v>0</v>
      </c>
      <c r="H310" s="306">
        <v>0</v>
      </c>
      <c r="I310" s="307">
        <v>0</v>
      </c>
      <c r="J310" s="1046"/>
      <c r="K310" s="306">
        <f t="shared" si="47"/>
        <v>0</v>
      </c>
      <c r="L310" s="307">
        <f t="shared" si="48"/>
        <v>0</v>
      </c>
      <c r="M310" s="1047">
        <f t="shared" si="49"/>
        <v>0</v>
      </c>
      <c r="N310" s="306">
        <f t="shared" si="50"/>
        <v>0</v>
      </c>
      <c r="O310" s="307">
        <f t="shared" si="51"/>
        <v>0</v>
      </c>
      <c r="P310" s="1047">
        <f t="shared" si="52"/>
        <v>5</v>
      </c>
      <c r="Q310" s="306">
        <f t="shared" si="53"/>
        <v>310.55</v>
      </c>
      <c r="R310" s="307">
        <f t="shared" si="54"/>
        <v>1</v>
      </c>
      <c r="S310" s="314" t="str">
        <f t="shared" si="55"/>
        <v>ok</v>
      </c>
      <c r="T310" s="314"/>
      <c r="U310" s="314"/>
      <c r="V310" s="314"/>
      <c r="W310" s="314"/>
      <c r="X310" s="314"/>
    </row>
    <row r="311" spans="1:24" s="313" customFormat="1" ht="16.5" customHeight="1">
      <c r="A311" s="1337" t="s">
        <v>3265</v>
      </c>
      <c r="B311" s="1711" t="s">
        <v>3266</v>
      </c>
      <c r="C311" s="1502" t="s">
        <v>52</v>
      </c>
      <c r="D311" s="1710">
        <v>5</v>
      </c>
      <c r="E311" s="1312">
        <v>60.11</v>
      </c>
      <c r="F311" s="1486">
        <f t="shared" si="56"/>
        <v>300.55</v>
      </c>
      <c r="G311" s="1049">
        <v>0</v>
      </c>
      <c r="H311" s="306">
        <v>0</v>
      </c>
      <c r="I311" s="307">
        <v>0</v>
      </c>
      <c r="J311" s="1046"/>
      <c r="K311" s="306">
        <f t="shared" si="47"/>
        <v>0</v>
      </c>
      <c r="L311" s="307">
        <f t="shared" si="48"/>
        <v>0</v>
      </c>
      <c r="M311" s="1047">
        <f t="shared" si="49"/>
        <v>0</v>
      </c>
      <c r="N311" s="306">
        <f t="shared" si="50"/>
        <v>0</v>
      </c>
      <c r="O311" s="307">
        <f t="shared" si="51"/>
        <v>0</v>
      </c>
      <c r="P311" s="1047">
        <f t="shared" si="52"/>
        <v>5</v>
      </c>
      <c r="Q311" s="306">
        <f t="shared" si="53"/>
        <v>300.55</v>
      </c>
      <c r="R311" s="307">
        <f t="shared" si="54"/>
        <v>1</v>
      </c>
      <c r="S311" s="314" t="str">
        <f t="shared" si="55"/>
        <v>ok</v>
      </c>
      <c r="T311" s="314"/>
      <c r="U311" s="314"/>
      <c r="V311" s="314"/>
      <c r="W311" s="314"/>
      <c r="X311" s="314"/>
    </row>
    <row r="312" spans="1:24" s="313" customFormat="1" ht="16.5" customHeight="1">
      <c r="A312" s="1337" t="s">
        <v>3267</v>
      </c>
      <c r="B312" s="1711" t="s">
        <v>3268</v>
      </c>
      <c r="C312" s="1502" t="s">
        <v>52</v>
      </c>
      <c r="D312" s="1710">
        <v>5</v>
      </c>
      <c r="E312" s="1312">
        <v>67.11</v>
      </c>
      <c r="F312" s="1486">
        <f t="shared" si="56"/>
        <v>335.55</v>
      </c>
      <c r="G312" s="1049">
        <v>0</v>
      </c>
      <c r="H312" s="306">
        <v>0</v>
      </c>
      <c r="I312" s="307">
        <v>0</v>
      </c>
      <c r="J312" s="1046"/>
      <c r="K312" s="306">
        <f t="shared" si="47"/>
        <v>0</v>
      </c>
      <c r="L312" s="307">
        <f t="shared" si="48"/>
        <v>0</v>
      </c>
      <c r="M312" s="1047">
        <f t="shared" si="49"/>
        <v>0</v>
      </c>
      <c r="N312" s="306">
        <f t="shared" si="50"/>
        <v>0</v>
      </c>
      <c r="O312" s="307">
        <f t="shared" si="51"/>
        <v>0</v>
      </c>
      <c r="P312" s="1047">
        <f t="shared" si="52"/>
        <v>5</v>
      </c>
      <c r="Q312" s="306">
        <f t="shared" si="53"/>
        <v>335.55</v>
      </c>
      <c r="R312" s="307">
        <f t="shared" si="54"/>
        <v>1</v>
      </c>
      <c r="S312" s="314" t="str">
        <f t="shared" si="55"/>
        <v>ok</v>
      </c>
      <c r="T312" s="314"/>
      <c r="U312" s="314"/>
      <c r="V312" s="314"/>
      <c r="W312" s="314"/>
      <c r="X312" s="314"/>
    </row>
    <row r="313" spans="1:24" s="313" customFormat="1" ht="16.5" customHeight="1">
      <c r="A313" s="1337" t="s">
        <v>3269</v>
      </c>
      <c r="B313" s="1711" t="s">
        <v>3270</v>
      </c>
      <c r="C313" s="1502" t="s">
        <v>52</v>
      </c>
      <c r="D313" s="1710">
        <v>5</v>
      </c>
      <c r="E313" s="1312">
        <v>64.11</v>
      </c>
      <c r="F313" s="1486">
        <f t="shared" si="56"/>
        <v>320.55</v>
      </c>
      <c r="G313" s="1049">
        <v>0</v>
      </c>
      <c r="H313" s="306">
        <v>0</v>
      </c>
      <c r="I313" s="307">
        <v>0</v>
      </c>
      <c r="J313" s="1046"/>
      <c r="K313" s="306">
        <f t="shared" si="47"/>
        <v>0</v>
      </c>
      <c r="L313" s="307">
        <f t="shared" si="48"/>
        <v>0</v>
      </c>
      <c r="M313" s="1047">
        <f t="shared" si="49"/>
        <v>0</v>
      </c>
      <c r="N313" s="306">
        <f t="shared" si="50"/>
        <v>0</v>
      </c>
      <c r="O313" s="307">
        <f t="shared" si="51"/>
        <v>0</v>
      </c>
      <c r="P313" s="1047">
        <f t="shared" si="52"/>
        <v>5</v>
      </c>
      <c r="Q313" s="306">
        <f t="shared" si="53"/>
        <v>320.55</v>
      </c>
      <c r="R313" s="307">
        <f t="shared" si="54"/>
        <v>1</v>
      </c>
      <c r="S313" s="314" t="str">
        <f t="shared" si="55"/>
        <v>ok</v>
      </c>
      <c r="T313" s="314"/>
      <c r="U313" s="314"/>
      <c r="V313" s="314"/>
      <c r="W313" s="314"/>
      <c r="X313" s="314"/>
    </row>
    <row r="314" spans="1:24" s="313" customFormat="1" ht="16.5" customHeight="1">
      <c r="A314" s="1337" t="s">
        <v>3271</v>
      </c>
      <c r="B314" s="1711" t="s">
        <v>3272</v>
      </c>
      <c r="C314" s="1502" t="s">
        <v>52</v>
      </c>
      <c r="D314" s="1710">
        <v>18</v>
      </c>
      <c r="E314" s="1312">
        <v>61.11</v>
      </c>
      <c r="F314" s="1486">
        <f t="shared" si="56"/>
        <v>1099.98</v>
      </c>
      <c r="G314" s="1049">
        <v>0</v>
      </c>
      <c r="H314" s="306">
        <v>0</v>
      </c>
      <c r="I314" s="307">
        <v>0</v>
      </c>
      <c r="J314" s="1046"/>
      <c r="K314" s="306">
        <f t="shared" si="47"/>
        <v>0</v>
      </c>
      <c r="L314" s="307">
        <f t="shared" si="48"/>
        <v>0</v>
      </c>
      <c r="M314" s="1047">
        <f t="shared" si="49"/>
        <v>0</v>
      </c>
      <c r="N314" s="306">
        <f t="shared" si="50"/>
        <v>0</v>
      </c>
      <c r="O314" s="307">
        <f t="shared" si="51"/>
        <v>0</v>
      </c>
      <c r="P314" s="1047">
        <f t="shared" si="52"/>
        <v>18</v>
      </c>
      <c r="Q314" s="306">
        <f t="shared" si="53"/>
        <v>1099.98</v>
      </c>
      <c r="R314" s="307">
        <f t="shared" si="54"/>
        <v>1</v>
      </c>
      <c r="S314" s="314" t="str">
        <f t="shared" si="55"/>
        <v>ok</v>
      </c>
      <c r="T314" s="314"/>
      <c r="U314" s="314"/>
      <c r="V314" s="314"/>
      <c r="W314" s="314"/>
      <c r="X314" s="314"/>
    </row>
    <row r="315" spans="1:24" s="313" customFormat="1" ht="16.5" customHeight="1">
      <c r="A315" s="1337" t="s">
        <v>3273</v>
      </c>
      <c r="B315" s="1711" t="s">
        <v>3274</v>
      </c>
      <c r="C315" s="1502" t="s">
        <v>52</v>
      </c>
      <c r="D315" s="1710">
        <v>5</v>
      </c>
      <c r="E315" s="1312">
        <v>62.76</v>
      </c>
      <c r="F315" s="1486">
        <f t="shared" si="56"/>
        <v>313.8</v>
      </c>
      <c r="G315" s="1049">
        <v>0</v>
      </c>
      <c r="H315" s="306">
        <v>0</v>
      </c>
      <c r="I315" s="307">
        <v>0</v>
      </c>
      <c r="J315" s="1046"/>
      <c r="K315" s="306">
        <f t="shared" si="47"/>
        <v>0</v>
      </c>
      <c r="L315" s="307">
        <f t="shared" si="48"/>
        <v>0</v>
      </c>
      <c r="M315" s="1047">
        <f t="shared" si="49"/>
        <v>0</v>
      </c>
      <c r="N315" s="306">
        <f t="shared" si="50"/>
        <v>0</v>
      </c>
      <c r="O315" s="307">
        <f t="shared" si="51"/>
        <v>0</v>
      </c>
      <c r="P315" s="1047">
        <f t="shared" si="52"/>
        <v>5</v>
      </c>
      <c r="Q315" s="306">
        <f t="shared" si="53"/>
        <v>313.8</v>
      </c>
      <c r="R315" s="307">
        <f t="shared" si="54"/>
        <v>1</v>
      </c>
      <c r="S315" s="314" t="str">
        <f t="shared" si="55"/>
        <v>ok</v>
      </c>
      <c r="T315" s="314"/>
      <c r="U315" s="314"/>
      <c r="V315" s="314"/>
      <c r="W315" s="314"/>
      <c r="X315" s="314"/>
    </row>
    <row r="316" spans="1:24" s="313" customFormat="1" ht="16.5" customHeight="1">
      <c r="A316" s="1337" t="s">
        <v>3275</v>
      </c>
      <c r="B316" s="1711" t="s">
        <v>3276</v>
      </c>
      <c r="C316" s="1502" t="s">
        <v>52</v>
      </c>
      <c r="D316" s="1710">
        <v>5</v>
      </c>
      <c r="E316" s="1312">
        <v>58.76</v>
      </c>
      <c r="F316" s="1486">
        <f t="shared" si="56"/>
        <v>293.8</v>
      </c>
      <c r="G316" s="1049">
        <v>0</v>
      </c>
      <c r="H316" s="306">
        <v>0</v>
      </c>
      <c r="I316" s="307">
        <v>0</v>
      </c>
      <c r="J316" s="1046"/>
      <c r="K316" s="306">
        <f t="shared" si="47"/>
        <v>0</v>
      </c>
      <c r="L316" s="307">
        <f t="shared" si="48"/>
        <v>0</v>
      </c>
      <c r="M316" s="1047">
        <f t="shared" si="49"/>
        <v>0</v>
      </c>
      <c r="N316" s="306">
        <f t="shared" si="50"/>
        <v>0</v>
      </c>
      <c r="O316" s="307">
        <f t="shared" si="51"/>
        <v>0</v>
      </c>
      <c r="P316" s="1047">
        <f t="shared" si="52"/>
        <v>5</v>
      </c>
      <c r="Q316" s="306">
        <f t="shared" si="53"/>
        <v>293.8</v>
      </c>
      <c r="R316" s="307">
        <f t="shared" si="54"/>
        <v>1</v>
      </c>
      <c r="S316" s="314" t="str">
        <f t="shared" si="55"/>
        <v>ok</v>
      </c>
      <c r="T316" s="314"/>
      <c r="U316" s="314"/>
      <c r="V316" s="314"/>
      <c r="W316" s="314"/>
      <c r="X316" s="314"/>
    </row>
    <row r="317" spans="1:24" s="313" customFormat="1" ht="16.5" customHeight="1">
      <c r="A317" s="1337" t="s">
        <v>3277</v>
      </c>
      <c r="B317" s="1711" t="s">
        <v>3278</v>
      </c>
      <c r="C317" s="1502" t="s">
        <v>52</v>
      </c>
      <c r="D317" s="1710">
        <v>5</v>
      </c>
      <c r="E317" s="1312">
        <v>62.76</v>
      </c>
      <c r="F317" s="1486">
        <f t="shared" si="56"/>
        <v>313.8</v>
      </c>
      <c r="G317" s="1049">
        <v>0</v>
      </c>
      <c r="H317" s="306">
        <v>0</v>
      </c>
      <c r="I317" s="307">
        <v>0</v>
      </c>
      <c r="J317" s="1046"/>
      <c r="K317" s="306">
        <f t="shared" si="47"/>
        <v>0</v>
      </c>
      <c r="L317" s="307">
        <f t="shared" si="48"/>
        <v>0</v>
      </c>
      <c r="M317" s="1047">
        <f t="shared" si="49"/>
        <v>0</v>
      </c>
      <c r="N317" s="306">
        <f t="shared" si="50"/>
        <v>0</v>
      </c>
      <c r="O317" s="307">
        <f t="shared" si="51"/>
        <v>0</v>
      </c>
      <c r="P317" s="1047">
        <f t="shared" si="52"/>
        <v>5</v>
      </c>
      <c r="Q317" s="306">
        <f t="shared" si="53"/>
        <v>313.8</v>
      </c>
      <c r="R317" s="307">
        <f t="shared" si="54"/>
        <v>1</v>
      </c>
      <c r="S317" s="314" t="str">
        <f t="shared" si="55"/>
        <v>ok</v>
      </c>
      <c r="T317" s="314"/>
      <c r="U317" s="314"/>
      <c r="V317" s="314"/>
      <c r="W317" s="314"/>
      <c r="X317" s="314"/>
    </row>
    <row r="318" spans="1:24" s="313" customFormat="1" ht="16.5" customHeight="1">
      <c r="A318" s="1337" t="s">
        <v>3279</v>
      </c>
      <c r="B318" s="1711" t="s">
        <v>3280</v>
      </c>
      <c r="C318" s="1502" t="s">
        <v>52</v>
      </c>
      <c r="D318" s="1710">
        <v>5</v>
      </c>
      <c r="E318" s="1312">
        <v>57.53</v>
      </c>
      <c r="F318" s="1486">
        <f t="shared" si="56"/>
        <v>287.64999999999998</v>
      </c>
      <c r="G318" s="1049">
        <v>0</v>
      </c>
      <c r="H318" s="306">
        <v>0</v>
      </c>
      <c r="I318" s="307">
        <v>0</v>
      </c>
      <c r="J318" s="1046"/>
      <c r="K318" s="306">
        <f t="shared" si="47"/>
        <v>0</v>
      </c>
      <c r="L318" s="307">
        <f t="shared" si="48"/>
        <v>0</v>
      </c>
      <c r="M318" s="1047">
        <f t="shared" si="49"/>
        <v>0</v>
      </c>
      <c r="N318" s="306">
        <f t="shared" si="50"/>
        <v>0</v>
      </c>
      <c r="O318" s="307">
        <f t="shared" si="51"/>
        <v>0</v>
      </c>
      <c r="P318" s="1047">
        <f t="shared" si="52"/>
        <v>5</v>
      </c>
      <c r="Q318" s="306">
        <f t="shared" si="53"/>
        <v>287.64999999999998</v>
      </c>
      <c r="R318" s="307">
        <f t="shared" si="54"/>
        <v>1</v>
      </c>
      <c r="S318" s="314" t="str">
        <f t="shared" si="55"/>
        <v>ok</v>
      </c>
      <c r="T318" s="314"/>
      <c r="U318" s="314"/>
      <c r="V318" s="314"/>
      <c r="W318" s="314"/>
      <c r="X318" s="314"/>
    </row>
    <row r="319" spans="1:24" s="313" customFormat="1" ht="16.5" customHeight="1">
      <c r="A319" s="1337" t="s">
        <v>3279</v>
      </c>
      <c r="B319" s="1711" t="s">
        <v>3281</v>
      </c>
      <c r="C319" s="1502" t="s">
        <v>52</v>
      </c>
      <c r="D319" s="1710">
        <v>1</v>
      </c>
      <c r="E319" s="1312">
        <v>336.62</v>
      </c>
      <c r="F319" s="1486">
        <f t="shared" si="56"/>
        <v>336.62</v>
      </c>
      <c r="G319" s="1049">
        <v>0</v>
      </c>
      <c r="H319" s="306">
        <v>0</v>
      </c>
      <c r="I319" s="307">
        <v>0</v>
      </c>
      <c r="J319" s="1046"/>
      <c r="K319" s="306">
        <f t="shared" ref="K319:K382" si="57">J319*E319</f>
        <v>0</v>
      </c>
      <c r="L319" s="307">
        <f t="shared" ref="L319:L382" si="58">+K319/$F319</f>
        <v>0</v>
      </c>
      <c r="M319" s="1047">
        <f t="shared" ref="M319:M382" si="59">+G319+J319</f>
        <v>0</v>
      </c>
      <c r="N319" s="306">
        <f t="shared" ref="N319:N382" si="60">ROUND(+M319*E319,2)</f>
        <v>0</v>
      </c>
      <c r="O319" s="307">
        <f t="shared" ref="O319:O382" si="61">+N319/$F319</f>
        <v>0</v>
      </c>
      <c r="P319" s="1047">
        <f t="shared" ref="P319:P382" si="62">D319-M319</f>
        <v>1</v>
      </c>
      <c r="Q319" s="306">
        <f t="shared" ref="Q319:Q382" si="63">F319-N319</f>
        <v>336.62</v>
      </c>
      <c r="R319" s="307">
        <f t="shared" ref="R319:R382" si="64">+Q319/$F319</f>
        <v>1</v>
      </c>
      <c r="S319" s="314" t="str">
        <f t="shared" si="55"/>
        <v>ok</v>
      </c>
      <c r="T319" s="314"/>
      <c r="U319" s="314"/>
      <c r="V319" s="314"/>
      <c r="W319" s="314"/>
      <c r="X319" s="314"/>
    </row>
    <row r="320" spans="1:24" s="313" customFormat="1" ht="16.5" customHeight="1">
      <c r="A320" s="1337" t="s">
        <v>3279</v>
      </c>
      <c r="B320" s="1711" t="s">
        <v>3282</v>
      </c>
      <c r="C320" s="1502" t="s">
        <v>52</v>
      </c>
      <c r="D320" s="1710">
        <v>1</v>
      </c>
      <c r="E320" s="1312">
        <v>1759.62</v>
      </c>
      <c r="F320" s="1486">
        <f t="shared" si="56"/>
        <v>1759.62</v>
      </c>
      <c r="G320" s="1049">
        <v>0</v>
      </c>
      <c r="H320" s="306">
        <v>0</v>
      </c>
      <c r="I320" s="307">
        <v>0</v>
      </c>
      <c r="J320" s="1046"/>
      <c r="K320" s="306">
        <f t="shared" si="57"/>
        <v>0</v>
      </c>
      <c r="L320" s="307">
        <f t="shared" si="58"/>
        <v>0</v>
      </c>
      <c r="M320" s="1047">
        <f t="shared" si="59"/>
        <v>0</v>
      </c>
      <c r="N320" s="306">
        <f t="shared" si="60"/>
        <v>0</v>
      </c>
      <c r="O320" s="307">
        <f t="shared" si="61"/>
        <v>0</v>
      </c>
      <c r="P320" s="1047">
        <f t="shared" si="62"/>
        <v>1</v>
      </c>
      <c r="Q320" s="306">
        <f t="shared" si="63"/>
        <v>1759.62</v>
      </c>
      <c r="R320" s="307">
        <f t="shared" si="64"/>
        <v>1</v>
      </c>
      <c r="S320" s="314" t="str">
        <f t="shared" si="55"/>
        <v>ok</v>
      </c>
      <c r="T320" s="314"/>
      <c r="U320" s="314"/>
      <c r="V320" s="314"/>
      <c r="W320" s="314"/>
      <c r="X320" s="314"/>
    </row>
    <row r="321" spans="1:24" s="313" customFormat="1" ht="16.5" customHeight="1">
      <c r="A321" s="1337" t="s">
        <v>3279</v>
      </c>
      <c r="B321" s="1711" t="s">
        <v>3283</v>
      </c>
      <c r="C321" s="1502" t="s">
        <v>52</v>
      </c>
      <c r="D321" s="1710">
        <v>1</v>
      </c>
      <c r="E321" s="1312">
        <v>1159.1199999999999</v>
      </c>
      <c r="F321" s="1486">
        <f t="shared" si="56"/>
        <v>1159.1199999999999</v>
      </c>
      <c r="G321" s="1049">
        <v>0</v>
      </c>
      <c r="H321" s="306">
        <v>0</v>
      </c>
      <c r="I321" s="307">
        <v>0</v>
      </c>
      <c r="J321" s="1046"/>
      <c r="K321" s="306">
        <f t="shared" si="57"/>
        <v>0</v>
      </c>
      <c r="L321" s="307">
        <f t="shared" si="58"/>
        <v>0</v>
      </c>
      <c r="M321" s="1047">
        <f t="shared" si="59"/>
        <v>0</v>
      </c>
      <c r="N321" s="306">
        <f t="shared" si="60"/>
        <v>0</v>
      </c>
      <c r="O321" s="307">
        <f t="shared" si="61"/>
        <v>0</v>
      </c>
      <c r="P321" s="1047">
        <f t="shared" si="62"/>
        <v>1</v>
      </c>
      <c r="Q321" s="306">
        <f t="shared" si="63"/>
        <v>1159.1199999999999</v>
      </c>
      <c r="R321" s="307">
        <f t="shared" si="64"/>
        <v>1</v>
      </c>
      <c r="S321" s="314" t="str">
        <f t="shared" si="55"/>
        <v>ok</v>
      </c>
      <c r="T321" s="314"/>
      <c r="U321" s="314"/>
      <c r="V321" s="314"/>
      <c r="W321" s="314"/>
      <c r="X321" s="314"/>
    </row>
    <row r="322" spans="1:24" s="313" customFormat="1" ht="16.5" customHeight="1">
      <c r="A322" s="1337" t="s">
        <v>3279</v>
      </c>
      <c r="B322" s="1711" t="s">
        <v>3284</v>
      </c>
      <c r="C322" s="1502" t="s">
        <v>52</v>
      </c>
      <c r="D322" s="1710">
        <v>1</v>
      </c>
      <c r="E322" s="1312">
        <v>189.12</v>
      </c>
      <c r="F322" s="1486">
        <f t="shared" si="56"/>
        <v>189.12</v>
      </c>
      <c r="G322" s="1049">
        <v>0</v>
      </c>
      <c r="H322" s="306">
        <v>0</v>
      </c>
      <c r="I322" s="307">
        <v>0</v>
      </c>
      <c r="J322" s="1046"/>
      <c r="K322" s="306">
        <f t="shared" si="57"/>
        <v>0</v>
      </c>
      <c r="L322" s="307">
        <f t="shared" si="58"/>
        <v>0</v>
      </c>
      <c r="M322" s="1047">
        <f t="shared" si="59"/>
        <v>0</v>
      </c>
      <c r="N322" s="306">
        <f t="shared" si="60"/>
        <v>0</v>
      </c>
      <c r="O322" s="307">
        <f t="shared" si="61"/>
        <v>0</v>
      </c>
      <c r="P322" s="1047">
        <f t="shared" si="62"/>
        <v>1</v>
      </c>
      <c r="Q322" s="306">
        <f t="shared" si="63"/>
        <v>189.12</v>
      </c>
      <c r="R322" s="307">
        <f t="shared" si="64"/>
        <v>1</v>
      </c>
      <c r="S322" s="314" t="str">
        <f t="shared" si="55"/>
        <v>ok</v>
      </c>
      <c r="T322" s="314"/>
      <c r="U322" s="314"/>
      <c r="V322" s="314"/>
      <c r="W322" s="314"/>
      <c r="X322" s="314"/>
    </row>
    <row r="323" spans="1:24" s="313" customFormat="1" ht="16.5" customHeight="1">
      <c r="A323" s="1337" t="s">
        <v>3279</v>
      </c>
      <c r="B323" s="1711" t="s">
        <v>3285</v>
      </c>
      <c r="C323" s="1502" t="s">
        <v>52</v>
      </c>
      <c r="D323" s="1710">
        <v>1</v>
      </c>
      <c r="E323" s="1312">
        <v>241.62</v>
      </c>
      <c r="F323" s="1486">
        <f t="shared" si="56"/>
        <v>241.62</v>
      </c>
      <c r="G323" s="1049">
        <v>0</v>
      </c>
      <c r="H323" s="306">
        <v>0</v>
      </c>
      <c r="I323" s="307">
        <v>0</v>
      </c>
      <c r="J323" s="1046"/>
      <c r="K323" s="306">
        <f t="shared" si="57"/>
        <v>0</v>
      </c>
      <c r="L323" s="307">
        <f t="shared" si="58"/>
        <v>0</v>
      </c>
      <c r="M323" s="1047">
        <f t="shared" si="59"/>
        <v>0</v>
      </c>
      <c r="N323" s="306">
        <f t="shared" si="60"/>
        <v>0</v>
      </c>
      <c r="O323" s="307">
        <f t="shared" si="61"/>
        <v>0</v>
      </c>
      <c r="P323" s="1047">
        <f t="shared" si="62"/>
        <v>1</v>
      </c>
      <c r="Q323" s="306">
        <f t="shared" si="63"/>
        <v>241.62</v>
      </c>
      <c r="R323" s="307">
        <f t="shared" si="64"/>
        <v>1</v>
      </c>
      <c r="S323" s="314" t="str">
        <f t="shared" si="55"/>
        <v>ok</v>
      </c>
      <c r="T323" s="314"/>
      <c r="U323" s="314"/>
      <c r="V323" s="314"/>
      <c r="W323" s="314"/>
      <c r="X323" s="314"/>
    </row>
    <row r="324" spans="1:24" s="313" customFormat="1" ht="16.5" customHeight="1">
      <c r="A324" s="1337" t="s">
        <v>3279</v>
      </c>
      <c r="B324" s="1711" t="s">
        <v>3286</v>
      </c>
      <c r="C324" s="1502" t="s">
        <v>52</v>
      </c>
      <c r="D324" s="1710">
        <v>1</v>
      </c>
      <c r="E324" s="1312">
        <v>719.12</v>
      </c>
      <c r="F324" s="1486">
        <f t="shared" si="56"/>
        <v>719.12</v>
      </c>
      <c r="G324" s="1049">
        <v>0</v>
      </c>
      <c r="H324" s="306">
        <v>0</v>
      </c>
      <c r="I324" s="307">
        <v>0</v>
      </c>
      <c r="J324" s="1046"/>
      <c r="K324" s="306">
        <f t="shared" si="57"/>
        <v>0</v>
      </c>
      <c r="L324" s="307">
        <f t="shared" si="58"/>
        <v>0</v>
      </c>
      <c r="M324" s="1047">
        <f t="shared" si="59"/>
        <v>0</v>
      </c>
      <c r="N324" s="306">
        <f t="shared" si="60"/>
        <v>0</v>
      </c>
      <c r="O324" s="307">
        <f t="shared" si="61"/>
        <v>0</v>
      </c>
      <c r="P324" s="1047">
        <f t="shared" si="62"/>
        <v>1</v>
      </c>
      <c r="Q324" s="306">
        <f t="shared" si="63"/>
        <v>719.12</v>
      </c>
      <c r="R324" s="307">
        <f t="shared" si="64"/>
        <v>1</v>
      </c>
      <c r="S324" s="314" t="str">
        <f t="shared" si="55"/>
        <v>ok</v>
      </c>
      <c r="T324" s="314"/>
      <c r="U324" s="314"/>
      <c r="V324" s="314"/>
      <c r="W324" s="314"/>
      <c r="X324" s="314"/>
    </row>
    <row r="325" spans="1:24" s="313" customFormat="1" ht="16.5" customHeight="1">
      <c r="A325" s="1709" t="s">
        <v>3287</v>
      </c>
      <c r="B325" s="1709" t="s">
        <v>3288</v>
      </c>
      <c r="C325" s="1502"/>
      <c r="D325" s="1710"/>
      <c r="E325" s="1312"/>
      <c r="F325" s="1486"/>
      <c r="G325" s="1049"/>
      <c r="H325" s="306"/>
      <c r="I325" s="307"/>
      <c r="J325" s="1046"/>
      <c r="K325" s="306"/>
      <c r="L325" s="307"/>
      <c r="M325" s="1047"/>
      <c r="N325" s="306"/>
      <c r="O325" s="307"/>
      <c r="P325" s="1047"/>
      <c r="Q325" s="306"/>
      <c r="R325" s="307"/>
      <c r="S325" s="314" t="str">
        <f t="shared" si="55"/>
        <v>ok</v>
      </c>
      <c r="T325" s="314"/>
      <c r="U325" s="314"/>
      <c r="V325" s="314"/>
      <c r="W325" s="314"/>
      <c r="X325" s="314"/>
    </row>
    <row r="326" spans="1:24" s="313" customFormat="1" ht="16.5" customHeight="1">
      <c r="A326" s="1337" t="s">
        <v>3289</v>
      </c>
      <c r="B326" s="1711" t="s">
        <v>3290</v>
      </c>
      <c r="C326" s="1502" t="s">
        <v>52</v>
      </c>
      <c r="D326" s="1710">
        <v>14</v>
      </c>
      <c r="E326" s="1312">
        <v>2177.85</v>
      </c>
      <c r="F326" s="1486">
        <f t="shared" si="56"/>
        <v>30489.899999999998</v>
      </c>
      <c r="G326" s="1049">
        <v>0</v>
      </c>
      <c r="H326" s="306">
        <v>0</v>
      </c>
      <c r="I326" s="307">
        <v>0</v>
      </c>
      <c r="J326" s="1046"/>
      <c r="K326" s="306">
        <f t="shared" si="57"/>
        <v>0</v>
      </c>
      <c r="L326" s="307">
        <f t="shared" si="58"/>
        <v>0</v>
      </c>
      <c r="M326" s="1047">
        <f t="shared" si="59"/>
        <v>0</v>
      </c>
      <c r="N326" s="306">
        <f t="shared" si="60"/>
        <v>0</v>
      </c>
      <c r="O326" s="307">
        <f t="shared" si="61"/>
        <v>0</v>
      </c>
      <c r="P326" s="1047">
        <f t="shared" si="62"/>
        <v>14</v>
      </c>
      <c r="Q326" s="306">
        <f t="shared" si="63"/>
        <v>30489.899999999998</v>
      </c>
      <c r="R326" s="307">
        <f t="shared" si="64"/>
        <v>1</v>
      </c>
      <c r="S326" s="314" t="str">
        <f t="shared" si="55"/>
        <v>ok</v>
      </c>
      <c r="T326" s="314"/>
      <c r="U326" s="314"/>
      <c r="V326" s="314"/>
      <c r="W326" s="314"/>
      <c r="X326" s="314"/>
    </row>
    <row r="327" spans="1:24" s="313" customFormat="1" ht="16.5" customHeight="1">
      <c r="A327" s="1709" t="s">
        <v>3291</v>
      </c>
      <c r="B327" s="1709" t="s">
        <v>3292</v>
      </c>
      <c r="C327" s="1502"/>
      <c r="D327" s="1710"/>
      <c r="E327" s="1312"/>
      <c r="F327" s="1486"/>
      <c r="G327" s="1049"/>
      <c r="H327" s="306"/>
      <c r="I327" s="307"/>
      <c r="J327" s="1046"/>
      <c r="K327" s="306"/>
      <c r="L327" s="307"/>
      <c r="M327" s="1047"/>
      <c r="N327" s="306"/>
      <c r="O327" s="307"/>
      <c r="P327" s="1047"/>
      <c r="Q327" s="306"/>
      <c r="R327" s="307"/>
      <c r="S327" s="314" t="str">
        <f t="shared" si="55"/>
        <v>ok</v>
      </c>
      <c r="T327" s="314"/>
      <c r="U327" s="314"/>
      <c r="V327" s="314"/>
      <c r="W327" s="314"/>
      <c r="X327" s="314"/>
    </row>
    <row r="328" spans="1:24" s="313" customFormat="1" ht="16.5" customHeight="1">
      <c r="A328" s="1337" t="s">
        <v>3293</v>
      </c>
      <c r="B328" s="1711" t="s">
        <v>3294</v>
      </c>
      <c r="C328" s="1502" t="s">
        <v>52</v>
      </c>
      <c r="D328" s="1710">
        <v>14</v>
      </c>
      <c r="E328" s="1312">
        <v>209.16</v>
      </c>
      <c r="F328" s="1486">
        <f t="shared" si="56"/>
        <v>2928.24</v>
      </c>
      <c r="G328" s="1049">
        <v>0</v>
      </c>
      <c r="H328" s="306">
        <v>0</v>
      </c>
      <c r="I328" s="307">
        <v>0</v>
      </c>
      <c r="J328" s="1046"/>
      <c r="K328" s="306">
        <f t="shared" si="57"/>
        <v>0</v>
      </c>
      <c r="L328" s="307">
        <f t="shared" si="58"/>
        <v>0</v>
      </c>
      <c r="M328" s="1047">
        <f t="shared" si="59"/>
        <v>0</v>
      </c>
      <c r="N328" s="306">
        <f t="shared" si="60"/>
        <v>0</v>
      </c>
      <c r="O328" s="307">
        <f t="shared" si="61"/>
        <v>0</v>
      </c>
      <c r="P328" s="1047">
        <f t="shared" si="62"/>
        <v>14</v>
      </c>
      <c r="Q328" s="306">
        <f t="shared" si="63"/>
        <v>2928.24</v>
      </c>
      <c r="R328" s="307">
        <f t="shared" si="64"/>
        <v>1</v>
      </c>
      <c r="S328" s="314" t="str">
        <f t="shared" si="55"/>
        <v>ok</v>
      </c>
      <c r="T328" s="314"/>
      <c r="U328" s="314"/>
      <c r="V328" s="314"/>
      <c r="W328" s="314"/>
      <c r="X328" s="314"/>
    </row>
    <row r="329" spans="1:24" s="313" customFormat="1" ht="16.5" customHeight="1">
      <c r="A329" s="1337" t="s">
        <v>3295</v>
      </c>
      <c r="B329" s="1711" t="s">
        <v>3296</v>
      </c>
      <c r="C329" s="1502" t="s">
        <v>52</v>
      </c>
      <c r="D329" s="1710">
        <v>1</v>
      </c>
      <c r="E329" s="1312">
        <v>139.16</v>
      </c>
      <c r="F329" s="1486">
        <f t="shared" si="56"/>
        <v>139.16</v>
      </c>
      <c r="G329" s="1049">
        <v>0</v>
      </c>
      <c r="H329" s="306">
        <v>0</v>
      </c>
      <c r="I329" s="307">
        <v>0</v>
      </c>
      <c r="J329" s="1046"/>
      <c r="K329" s="306">
        <f t="shared" si="57"/>
        <v>0</v>
      </c>
      <c r="L329" s="307">
        <f t="shared" si="58"/>
        <v>0</v>
      </c>
      <c r="M329" s="1047">
        <f t="shared" si="59"/>
        <v>0</v>
      </c>
      <c r="N329" s="306">
        <f t="shared" si="60"/>
        <v>0</v>
      </c>
      <c r="O329" s="307">
        <f t="shared" si="61"/>
        <v>0</v>
      </c>
      <c r="P329" s="1047">
        <f t="shared" si="62"/>
        <v>1</v>
      </c>
      <c r="Q329" s="306">
        <f t="shared" si="63"/>
        <v>139.16</v>
      </c>
      <c r="R329" s="307">
        <f t="shared" si="64"/>
        <v>1</v>
      </c>
      <c r="S329" s="314" t="str">
        <f t="shared" si="55"/>
        <v>ok</v>
      </c>
      <c r="T329" s="314"/>
      <c r="U329" s="314"/>
      <c r="V329" s="314"/>
      <c r="W329" s="314"/>
      <c r="X329" s="314"/>
    </row>
    <row r="330" spans="1:24" s="313" customFormat="1" ht="16.5" customHeight="1">
      <c r="A330" s="1337" t="s">
        <v>3297</v>
      </c>
      <c r="B330" s="1711" t="s">
        <v>3298</v>
      </c>
      <c r="C330" s="1502" t="s">
        <v>52</v>
      </c>
      <c r="D330" s="1710">
        <v>1</v>
      </c>
      <c r="E330" s="1312">
        <v>134.16</v>
      </c>
      <c r="F330" s="1486">
        <f t="shared" si="56"/>
        <v>134.16</v>
      </c>
      <c r="G330" s="1049">
        <v>0</v>
      </c>
      <c r="H330" s="306">
        <v>0</v>
      </c>
      <c r="I330" s="307">
        <v>0</v>
      </c>
      <c r="J330" s="1046"/>
      <c r="K330" s="306">
        <f t="shared" si="57"/>
        <v>0</v>
      </c>
      <c r="L330" s="307">
        <f t="shared" si="58"/>
        <v>0</v>
      </c>
      <c r="M330" s="1047">
        <f t="shared" si="59"/>
        <v>0</v>
      </c>
      <c r="N330" s="306">
        <f t="shared" si="60"/>
        <v>0</v>
      </c>
      <c r="O330" s="307">
        <f t="shared" si="61"/>
        <v>0</v>
      </c>
      <c r="P330" s="1047">
        <f t="shared" si="62"/>
        <v>1</v>
      </c>
      <c r="Q330" s="306">
        <f t="shared" si="63"/>
        <v>134.16</v>
      </c>
      <c r="R330" s="307">
        <f t="shared" si="64"/>
        <v>1</v>
      </c>
      <c r="S330" s="314" t="str">
        <f t="shared" si="55"/>
        <v>ok</v>
      </c>
      <c r="T330" s="314"/>
      <c r="U330" s="314"/>
      <c r="V330" s="314"/>
      <c r="W330" s="314"/>
      <c r="X330" s="314"/>
    </row>
    <row r="331" spans="1:24" s="313" customFormat="1" ht="16.5" customHeight="1">
      <c r="A331" s="1337" t="s">
        <v>3299</v>
      </c>
      <c r="B331" s="1711" t="s">
        <v>3300</v>
      </c>
      <c r="C331" s="1502" t="s">
        <v>52</v>
      </c>
      <c r="D331" s="1710">
        <v>1</v>
      </c>
      <c r="E331" s="1312">
        <v>179.16</v>
      </c>
      <c r="F331" s="1486">
        <f t="shared" si="56"/>
        <v>179.16</v>
      </c>
      <c r="G331" s="1049">
        <v>0</v>
      </c>
      <c r="H331" s="306">
        <v>0</v>
      </c>
      <c r="I331" s="307">
        <v>0</v>
      </c>
      <c r="J331" s="1046"/>
      <c r="K331" s="306">
        <f t="shared" si="57"/>
        <v>0</v>
      </c>
      <c r="L331" s="307">
        <f t="shared" si="58"/>
        <v>0</v>
      </c>
      <c r="M331" s="1047">
        <f t="shared" si="59"/>
        <v>0</v>
      </c>
      <c r="N331" s="306">
        <f t="shared" si="60"/>
        <v>0</v>
      </c>
      <c r="O331" s="307">
        <f t="shared" si="61"/>
        <v>0</v>
      </c>
      <c r="P331" s="1047">
        <f t="shared" si="62"/>
        <v>1</v>
      </c>
      <c r="Q331" s="306">
        <f t="shared" si="63"/>
        <v>179.16</v>
      </c>
      <c r="R331" s="307">
        <f t="shared" si="64"/>
        <v>1</v>
      </c>
      <c r="S331" s="314" t="str">
        <f t="shared" si="55"/>
        <v>ok</v>
      </c>
      <c r="T331" s="314"/>
      <c r="U331" s="314"/>
      <c r="V331" s="314"/>
      <c r="W331" s="314"/>
      <c r="X331" s="314"/>
    </row>
    <row r="332" spans="1:24" s="313" customFormat="1" ht="16.5" customHeight="1">
      <c r="A332" s="1337" t="s">
        <v>3301</v>
      </c>
      <c r="B332" s="1711" t="s">
        <v>3302</v>
      </c>
      <c r="C332" s="1502" t="s">
        <v>52</v>
      </c>
      <c r="D332" s="1710">
        <v>1</v>
      </c>
      <c r="E332" s="1312">
        <v>289.16000000000003</v>
      </c>
      <c r="F332" s="1486">
        <f t="shared" si="56"/>
        <v>289.16000000000003</v>
      </c>
      <c r="G332" s="1049">
        <v>0</v>
      </c>
      <c r="H332" s="306">
        <v>0</v>
      </c>
      <c r="I332" s="307">
        <v>0</v>
      </c>
      <c r="J332" s="1046"/>
      <c r="K332" s="306">
        <f t="shared" si="57"/>
        <v>0</v>
      </c>
      <c r="L332" s="307">
        <f t="shared" si="58"/>
        <v>0</v>
      </c>
      <c r="M332" s="1047">
        <f t="shared" si="59"/>
        <v>0</v>
      </c>
      <c r="N332" s="306">
        <f t="shared" si="60"/>
        <v>0</v>
      </c>
      <c r="O332" s="307">
        <f t="shared" si="61"/>
        <v>0</v>
      </c>
      <c r="P332" s="1047">
        <f t="shared" si="62"/>
        <v>1</v>
      </c>
      <c r="Q332" s="306">
        <f t="shared" si="63"/>
        <v>289.16000000000003</v>
      </c>
      <c r="R332" s="307">
        <f t="shared" si="64"/>
        <v>1</v>
      </c>
      <c r="S332" s="314" t="str">
        <f t="shared" si="55"/>
        <v>ok</v>
      </c>
      <c r="T332" s="314"/>
      <c r="U332" s="314"/>
      <c r="V332" s="314"/>
      <c r="W332" s="314"/>
      <c r="X332" s="314"/>
    </row>
    <row r="333" spans="1:24" s="313" customFormat="1" ht="16.5" customHeight="1">
      <c r="A333" s="1709" t="s">
        <v>3303</v>
      </c>
      <c r="B333" s="1709" t="s">
        <v>3304</v>
      </c>
      <c r="C333" s="1502"/>
      <c r="D333" s="1710"/>
      <c r="E333" s="1312"/>
      <c r="F333" s="1486"/>
      <c r="G333" s="1049"/>
      <c r="H333" s="306"/>
      <c r="I333" s="307"/>
      <c r="J333" s="1046"/>
      <c r="K333" s="306"/>
      <c r="L333" s="307"/>
      <c r="M333" s="1047"/>
      <c r="N333" s="306"/>
      <c r="O333" s="307"/>
      <c r="P333" s="1047"/>
      <c r="Q333" s="306"/>
      <c r="R333" s="307"/>
      <c r="S333" s="314" t="str">
        <f t="shared" si="55"/>
        <v>ok</v>
      </c>
      <c r="T333" s="314"/>
      <c r="U333" s="314"/>
      <c r="V333" s="314"/>
      <c r="W333" s="314"/>
      <c r="X333" s="314"/>
    </row>
    <row r="334" spans="1:24" s="313" customFormat="1" ht="16.5" customHeight="1">
      <c r="A334" s="1337" t="s">
        <v>3305</v>
      </c>
      <c r="B334" s="1711" t="s">
        <v>3306</v>
      </c>
      <c r="C334" s="1502" t="s">
        <v>52</v>
      </c>
      <c r="D334" s="1710">
        <v>1</v>
      </c>
      <c r="E334" s="1312">
        <v>80440.5</v>
      </c>
      <c r="F334" s="1486">
        <f t="shared" si="56"/>
        <v>80440.5</v>
      </c>
      <c r="G334" s="1049">
        <v>0</v>
      </c>
      <c r="H334" s="306">
        <v>0</v>
      </c>
      <c r="I334" s="307">
        <v>0</v>
      </c>
      <c r="J334" s="1046"/>
      <c r="K334" s="306">
        <f t="shared" si="57"/>
        <v>0</v>
      </c>
      <c r="L334" s="307">
        <f t="shared" si="58"/>
        <v>0</v>
      </c>
      <c r="M334" s="1047">
        <f t="shared" si="59"/>
        <v>0</v>
      </c>
      <c r="N334" s="306">
        <f t="shared" si="60"/>
        <v>0</v>
      </c>
      <c r="O334" s="307">
        <f t="shared" si="61"/>
        <v>0</v>
      </c>
      <c r="P334" s="1047">
        <f t="shared" si="62"/>
        <v>1</v>
      </c>
      <c r="Q334" s="306">
        <f t="shared" si="63"/>
        <v>80440.5</v>
      </c>
      <c r="R334" s="307">
        <f t="shared" si="64"/>
        <v>1</v>
      </c>
      <c r="S334" s="314" t="str">
        <f t="shared" si="55"/>
        <v>ok</v>
      </c>
      <c r="T334" s="314"/>
      <c r="U334" s="314"/>
      <c r="V334" s="314"/>
      <c r="W334" s="314"/>
      <c r="X334" s="314"/>
    </row>
    <row r="335" spans="1:24" s="313" customFormat="1" ht="16.5" customHeight="1">
      <c r="A335" s="1337" t="s">
        <v>3307</v>
      </c>
      <c r="B335" s="1711" t="s">
        <v>3308</v>
      </c>
      <c r="C335" s="1502" t="s">
        <v>52</v>
      </c>
      <c r="D335" s="1710">
        <v>1</v>
      </c>
      <c r="E335" s="1312">
        <v>56000</v>
      </c>
      <c r="F335" s="1486">
        <f t="shared" si="56"/>
        <v>56000</v>
      </c>
      <c r="G335" s="1049">
        <v>0</v>
      </c>
      <c r="H335" s="306">
        <v>0</v>
      </c>
      <c r="I335" s="307">
        <v>0</v>
      </c>
      <c r="J335" s="1046"/>
      <c r="K335" s="306">
        <f t="shared" si="57"/>
        <v>0</v>
      </c>
      <c r="L335" s="307">
        <f t="shared" si="58"/>
        <v>0</v>
      </c>
      <c r="M335" s="1047">
        <f t="shared" si="59"/>
        <v>0</v>
      </c>
      <c r="N335" s="306">
        <f t="shared" si="60"/>
        <v>0</v>
      </c>
      <c r="O335" s="307">
        <f t="shared" si="61"/>
        <v>0</v>
      </c>
      <c r="P335" s="1047">
        <f t="shared" si="62"/>
        <v>1</v>
      </c>
      <c r="Q335" s="306">
        <f t="shared" si="63"/>
        <v>56000</v>
      </c>
      <c r="R335" s="307">
        <f t="shared" si="64"/>
        <v>1</v>
      </c>
      <c r="S335" s="314" t="str">
        <f t="shared" si="55"/>
        <v>ok</v>
      </c>
      <c r="T335" s="314"/>
      <c r="U335" s="314"/>
      <c r="V335" s="314"/>
      <c r="W335" s="314"/>
      <c r="X335" s="314"/>
    </row>
    <row r="336" spans="1:24" s="313" customFormat="1" ht="16.5" customHeight="1">
      <c r="A336" s="1709" t="s">
        <v>3309</v>
      </c>
      <c r="B336" s="1709" t="s">
        <v>3310</v>
      </c>
      <c r="C336" s="1502"/>
      <c r="D336" s="1710"/>
      <c r="E336" s="1312"/>
      <c r="F336" s="1486"/>
      <c r="G336" s="1049"/>
      <c r="H336" s="306"/>
      <c r="I336" s="307"/>
      <c r="J336" s="1046"/>
      <c r="K336" s="306"/>
      <c r="L336" s="307"/>
      <c r="M336" s="1047"/>
      <c r="N336" s="306"/>
      <c r="O336" s="307"/>
      <c r="P336" s="1047"/>
      <c r="Q336" s="306"/>
      <c r="R336" s="307"/>
      <c r="S336" s="314" t="str">
        <f t="shared" si="55"/>
        <v>ok</v>
      </c>
      <c r="T336" s="314"/>
      <c r="U336" s="314"/>
      <c r="V336" s="314"/>
      <c r="W336" s="314"/>
      <c r="X336" s="314"/>
    </row>
    <row r="337" spans="1:24" s="313" customFormat="1" ht="16.5" customHeight="1">
      <c r="A337" s="1337" t="s">
        <v>3311</v>
      </c>
      <c r="B337" s="1711" t="s">
        <v>3312</v>
      </c>
      <c r="C337" s="1502" t="s">
        <v>52</v>
      </c>
      <c r="D337" s="1710">
        <v>1</v>
      </c>
      <c r="E337" s="1312">
        <v>1582.3600000000001</v>
      </c>
      <c r="F337" s="1486">
        <f t="shared" si="56"/>
        <v>1582.3600000000001</v>
      </c>
      <c r="G337" s="1049">
        <v>0</v>
      </c>
      <c r="H337" s="306">
        <v>0</v>
      </c>
      <c r="I337" s="307">
        <v>0</v>
      </c>
      <c r="J337" s="1046"/>
      <c r="K337" s="306">
        <f t="shared" si="57"/>
        <v>0</v>
      </c>
      <c r="L337" s="307">
        <f t="shared" si="58"/>
        <v>0</v>
      </c>
      <c r="M337" s="1047">
        <f t="shared" si="59"/>
        <v>0</v>
      </c>
      <c r="N337" s="306">
        <f t="shared" si="60"/>
        <v>0</v>
      </c>
      <c r="O337" s="307">
        <f t="shared" si="61"/>
        <v>0</v>
      </c>
      <c r="P337" s="1047">
        <f t="shared" si="62"/>
        <v>1</v>
      </c>
      <c r="Q337" s="306">
        <f t="shared" si="63"/>
        <v>1582.3600000000001</v>
      </c>
      <c r="R337" s="307">
        <f t="shared" si="64"/>
        <v>1</v>
      </c>
      <c r="S337" s="314" t="str">
        <f t="shared" si="55"/>
        <v>ok</v>
      </c>
      <c r="T337" s="314"/>
      <c r="U337" s="314"/>
      <c r="V337" s="314"/>
      <c r="W337" s="314"/>
      <c r="X337" s="314"/>
    </row>
    <row r="338" spans="1:24" s="313" customFormat="1" ht="16.5" customHeight="1">
      <c r="A338" s="1709" t="s">
        <v>3313</v>
      </c>
      <c r="B338" s="1709" t="s">
        <v>3314</v>
      </c>
      <c r="C338" s="1502"/>
      <c r="D338" s="1710"/>
      <c r="E338" s="1312"/>
      <c r="F338" s="1486"/>
      <c r="G338" s="1049"/>
      <c r="H338" s="306"/>
      <c r="I338" s="307"/>
      <c r="J338" s="1046"/>
      <c r="K338" s="306"/>
      <c r="L338" s="307"/>
      <c r="M338" s="1047"/>
      <c r="N338" s="306"/>
      <c r="O338" s="307"/>
      <c r="P338" s="1047"/>
      <c r="Q338" s="306"/>
      <c r="R338" s="307"/>
      <c r="S338" s="314" t="str">
        <f t="shared" si="55"/>
        <v>ok</v>
      </c>
      <c r="T338" s="314"/>
      <c r="U338" s="314"/>
      <c r="V338" s="314"/>
      <c r="W338" s="314"/>
      <c r="X338" s="314"/>
    </row>
    <row r="339" spans="1:24" s="313" customFormat="1" ht="16.5" customHeight="1">
      <c r="A339" s="1337" t="s">
        <v>3315</v>
      </c>
      <c r="B339" s="1711" t="s">
        <v>3316</v>
      </c>
      <c r="C339" s="1502" t="s">
        <v>52</v>
      </c>
      <c r="D339" s="1710">
        <v>2</v>
      </c>
      <c r="E339" s="1312">
        <v>3405.85</v>
      </c>
      <c r="F339" s="1486">
        <f t="shared" si="56"/>
        <v>6811.7</v>
      </c>
      <c r="G339" s="1049">
        <v>0</v>
      </c>
      <c r="H339" s="306">
        <v>0</v>
      </c>
      <c r="I339" s="307">
        <v>0</v>
      </c>
      <c r="J339" s="1046"/>
      <c r="K339" s="306">
        <f t="shared" si="57"/>
        <v>0</v>
      </c>
      <c r="L339" s="307">
        <f t="shared" si="58"/>
        <v>0</v>
      </c>
      <c r="M339" s="1047">
        <f t="shared" si="59"/>
        <v>0</v>
      </c>
      <c r="N339" s="306">
        <f t="shared" si="60"/>
        <v>0</v>
      </c>
      <c r="O339" s="307">
        <f t="shared" si="61"/>
        <v>0</v>
      </c>
      <c r="P339" s="1047">
        <f t="shared" si="62"/>
        <v>2</v>
      </c>
      <c r="Q339" s="306">
        <f t="shared" si="63"/>
        <v>6811.7</v>
      </c>
      <c r="R339" s="307">
        <f t="shared" si="64"/>
        <v>1</v>
      </c>
      <c r="S339" s="314" t="str">
        <f t="shared" si="55"/>
        <v>ok</v>
      </c>
      <c r="T339" s="314"/>
      <c r="U339" s="314"/>
      <c r="V339" s="314"/>
      <c r="W339" s="314"/>
      <c r="X339" s="314"/>
    </row>
    <row r="340" spans="1:24" s="313" customFormat="1" ht="16.5" customHeight="1">
      <c r="A340" s="1706" t="s">
        <v>36</v>
      </c>
      <c r="B340" s="1707" t="s">
        <v>1885</v>
      </c>
      <c r="C340" s="1502"/>
      <c r="D340" s="1710"/>
      <c r="E340" s="1312"/>
      <c r="F340" s="1716"/>
      <c r="G340" s="1049"/>
      <c r="H340" s="306"/>
      <c r="I340" s="307"/>
      <c r="J340" s="1046"/>
      <c r="K340" s="306"/>
      <c r="L340" s="307"/>
      <c r="M340" s="1047"/>
      <c r="N340" s="306"/>
      <c r="O340" s="307"/>
      <c r="P340" s="1047"/>
      <c r="Q340" s="306"/>
      <c r="R340" s="307"/>
      <c r="S340" s="314" t="str">
        <f t="shared" si="55"/>
        <v>ok</v>
      </c>
      <c r="T340" s="314"/>
      <c r="U340" s="314"/>
      <c r="V340" s="314"/>
      <c r="W340" s="314"/>
      <c r="X340" s="314"/>
    </row>
    <row r="341" spans="1:24" s="313" customFormat="1" ht="16.5" customHeight="1">
      <c r="A341" s="1648" t="s">
        <v>3317</v>
      </c>
      <c r="B341" s="1648" t="s">
        <v>3318</v>
      </c>
      <c r="C341" s="1502"/>
      <c r="D341" s="1710"/>
      <c r="E341" s="1312"/>
      <c r="F341" s="1486"/>
      <c r="G341" s="1049"/>
      <c r="H341" s="306"/>
      <c r="I341" s="307"/>
      <c r="J341" s="1046"/>
      <c r="K341" s="306"/>
      <c r="L341" s="307"/>
      <c r="M341" s="1047"/>
      <c r="N341" s="306"/>
      <c r="O341" s="307"/>
      <c r="P341" s="1047"/>
      <c r="Q341" s="306"/>
      <c r="R341" s="307"/>
      <c r="S341" s="314" t="str">
        <f t="shared" si="55"/>
        <v>ok</v>
      </c>
      <c r="T341" s="314"/>
      <c r="U341" s="314"/>
      <c r="V341" s="314"/>
      <c r="W341" s="314"/>
      <c r="X341" s="314"/>
    </row>
    <row r="342" spans="1:24" s="313" customFormat="1" ht="16.5" customHeight="1">
      <c r="A342" s="1337" t="s">
        <v>117</v>
      </c>
      <c r="B342" s="1711" t="s">
        <v>3319</v>
      </c>
      <c r="C342" s="1502" t="s">
        <v>52</v>
      </c>
      <c r="D342" s="1710">
        <v>1</v>
      </c>
      <c r="E342" s="1312">
        <v>12468.99</v>
      </c>
      <c r="F342" s="1486">
        <f t="shared" si="56"/>
        <v>12468.99</v>
      </c>
      <c r="G342" s="1049">
        <v>1</v>
      </c>
      <c r="H342" s="306">
        <v>12468.99</v>
      </c>
      <c r="I342" s="307">
        <v>1</v>
      </c>
      <c r="J342" s="1046"/>
      <c r="K342" s="306">
        <f t="shared" si="57"/>
        <v>0</v>
      </c>
      <c r="L342" s="307">
        <f t="shared" si="58"/>
        <v>0</v>
      </c>
      <c r="M342" s="1047">
        <f t="shared" si="59"/>
        <v>1</v>
      </c>
      <c r="N342" s="306">
        <f t="shared" si="60"/>
        <v>12468.99</v>
      </c>
      <c r="O342" s="307">
        <f t="shared" si="61"/>
        <v>1</v>
      </c>
      <c r="P342" s="1047">
        <f t="shared" si="62"/>
        <v>0</v>
      </c>
      <c r="Q342" s="306">
        <f t="shared" si="63"/>
        <v>0</v>
      </c>
      <c r="R342" s="307">
        <f t="shared" si="64"/>
        <v>0</v>
      </c>
      <c r="S342" s="314" t="str">
        <f t="shared" si="55"/>
        <v>ok</v>
      </c>
      <c r="T342" s="314"/>
      <c r="U342" s="314"/>
      <c r="V342" s="314"/>
      <c r="W342" s="314"/>
      <c r="X342" s="314"/>
    </row>
    <row r="343" spans="1:24" s="313" customFormat="1" ht="16.5" customHeight="1">
      <c r="A343" s="1648" t="s">
        <v>3320</v>
      </c>
      <c r="B343" s="1648" t="s">
        <v>3321</v>
      </c>
      <c r="C343" s="1502"/>
      <c r="D343" s="1710"/>
      <c r="E343" s="1312"/>
      <c r="F343" s="1486"/>
      <c r="G343" s="1049"/>
      <c r="H343" s="306"/>
      <c r="I343" s="307"/>
      <c r="J343" s="1046"/>
      <c r="K343" s="306"/>
      <c r="L343" s="307"/>
      <c r="M343" s="1047"/>
      <c r="N343" s="306"/>
      <c r="O343" s="307"/>
      <c r="P343" s="1047"/>
      <c r="Q343" s="306"/>
      <c r="R343" s="307"/>
      <c r="S343" s="314" t="str">
        <f t="shared" ref="S343:S406" si="65">IF(M343&gt;D343,"mayormetrado","ok")</f>
        <v>ok</v>
      </c>
      <c r="T343" s="314"/>
      <c r="U343" s="314"/>
      <c r="V343" s="314"/>
      <c r="W343" s="314"/>
      <c r="X343" s="314"/>
    </row>
    <row r="344" spans="1:24" s="313" customFormat="1" ht="16.5" customHeight="1">
      <c r="A344" s="1337" t="s">
        <v>3322</v>
      </c>
      <c r="B344" s="1711" t="s">
        <v>3323</v>
      </c>
      <c r="C344" s="1502" t="s">
        <v>50</v>
      </c>
      <c r="D344" s="1710">
        <v>45</v>
      </c>
      <c r="E344" s="1312">
        <v>45.62</v>
      </c>
      <c r="F344" s="1486">
        <f t="shared" si="56"/>
        <v>2052.9</v>
      </c>
      <c r="G344" s="1049">
        <v>45</v>
      </c>
      <c r="H344" s="306">
        <v>2052.9</v>
      </c>
      <c r="I344" s="307">
        <v>1</v>
      </c>
      <c r="J344" s="1046"/>
      <c r="K344" s="306">
        <f t="shared" si="57"/>
        <v>0</v>
      </c>
      <c r="L344" s="307">
        <f t="shared" si="58"/>
        <v>0</v>
      </c>
      <c r="M344" s="1047">
        <f t="shared" si="59"/>
        <v>45</v>
      </c>
      <c r="N344" s="306">
        <f t="shared" si="60"/>
        <v>2052.9</v>
      </c>
      <c r="O344" s="307">
        <f t="shared" si="61"/>
        <v>1</v>
      </c>
      <c r="P344" s="1047">
        <f t="shared" si="62"/>
        <v>0</v>
      </c>
      <c r="Q344" s="306">
        <f t="shared" si="63"/>
        <v>0</v>
      </c>
      <c r="R344" s="307">
        <f t="shared" si="64"/>
        <v>0</v>
      </c>
      <c r="S344" s="314" t="str">
        <f t="shared" si="65"/>
        <v>ok</v>
      </c>
      <c r="T344" s="314"/>
      <c r="U344" s="314"/>
      <c r="V344" s="314"/>
      <c r="W344" s="314"/>
      <c r="X344" s="314"/>
    </row>
    <row r="345" spans="1:24" s="313" customFormat="1" ht="16.5" customHeight="1">
      <c r="A345" s="1337" t="s">
        <v>3324</v>
      </c>
      <c r="B345" s="1711" t="s">
        <v>3325</v>
      </c>
      <c r="C345" s="1502" t="s">
        <v>52</v>
      </c>
      <c r="D345" s="1710">
        <v>15</v>
      </c>
      <c r="E345" s="1312">
        <v>1926.0900000000001</v>
      </c>
      <c r="F345" s="1486">
        <f t="shared" si="56"/>
        <v>28891.350000000002</v>
      </c>
      <c r="G345" s="1049">
        <v>15</v>
      </c>
      <c r="H345" s="306">
        <v>28891.35</v>
      </c>
      <c r="I345" s="307">
        <v>0.99999999999999989</v>
      </c>
      <c r="J345" s="1046"/>
      <c r="K345" s="306">
        <f t="shared" si="57"/>
        <v>0</v>
      </c>
      <c r="L345" s="307">
        <f t="shared" si="58"/>
        <v>0</v>
      </c>
      <c r="M345" s="1047">
        <f t="shared" si="59"/>
        <v>15</v>
      </c>
      <c r="N345" s="306">
        <f t="shared" si="60"/>
        <v>28891.35</v>
      </c>
      <c r="O345" s="307">
        <f t="shared" si="61"/>
        <v>0.99999999999999989</v>
      </c>
      <c r="P345" s="1047">
        <f t="shared" si="62"/>
        <v>0</v>
      </c>
      <c r="Q345" s="306">
        <f t="shared" si="63"/>
        <v>0</v>
      </c>
      <c r="R345" s="307">
        <f t="shared" si="64"/>
        <v>0</v>
      </c>
      <c r="S345" s="314" t="str">
        <f t="shared" si="65"/>
        <v>ok</v>
      </c>
      <c r="T345" s="314"/>
      <c r="U345" s="314"/>
      <c r="V345" s="314"/>
      <c r="W345" s="314"/>
      <c r="X345" s="314"/>
    </row>
    <row r="346" spans="1:24" s="313" customFormat="1" ht="16.5" customHeight="1">
      <c r="A346" s="1648" t="s">
        <v>3326</v>
      </c>
      <c r="B346" s="1648" t="s">
        <v>3327</v>
      </c>
      <c r="C346" s="1502"/>
      <c r="D346" s="1710"/>
      <c r="E346" s="1312"/>
      <c r="F346" s="1486"/>
      <c r="G346" s="1049"/>
      <c r="H346" s="306"/>
      <c r="I346" s="307"/>
      <c r="J346" s="1049"/>
      <c r="K346" s="306"/>
      <c r="L346" s="307"/>
      <c r="M346" s="1047"/>
      <c r="N346" s="306"/>
      <c r="O346" s="307"/>
      <c r="P346" s="1047"/>
      <c r="Q346" s="306"/>
      <c r="R346" s="307"/>
      <c r="S346" s="314" t="str">
        <f t="shared" si="65"/>
        <v>ok</v>
      </c>
      <c r="T346" s="314"/>
      <c r="U346" s="314"/>
      <c r="V346" s="314"/>
      <c r="W346" s="314"/>
      <c r="X346" s="314"/>
    </row>
    <row r="347" spans="1:24" s="313" customFormat="1" ht="16.5" customHeight="1">
      <c r="A347" s="1709" t="s">
        <v>3328</v>
      </c>
      <c r="B347" s="1709" t="s">
        <v>3329</v>
      </c>
      <c r="C347" s="1502"/>
      <c r="D347" s="1710"/>
      <c r="E347" s="1312"/>
      <c r="F347" s="1486"/>
      <c r="G347" s="1049"/>
      <c r="H347" s="306"/>
      <c r="I347" s="307"/>
      <c r="J347" s="1049"/>
      <c r="K347" s="306"/>
      <c r="L347" s="307"/>
      <c r="M347" s="1049"/>
      <c r="N347" s="306"/>
      <c r="O347" s="307"/>
      <c r="P347" s="1049"/>
      <c r="Q347" s="306"/>
      <c r="R347" s="307"/>
      <c r="S347" s="314" t="str">
        <f t="shared" si="65"/>
        <v>ok</v>
      </c>
      <c r="T347" s="314"/>
      <c r="U347" s="314"/>
      <c r="V347" s="314"/>
      <c r="W347" s="314"/>
      <c r="X347" s="314"/>
    </row>
    <row r="348" spans="1:24" s="1427" customFormat="1" ht="16.5" customHeight="1">
      <c r="A348" s="1880" t="s">
        <v>3330</v>
      </c>
      <c r="B348" s="1881" t="s">
        <v>3331</v>
      </c>
      <c r="C348" s="1858" t="s">
        <v>52</v>
      </c>
      <c r="D348" s="1859">
        <v>1</v>
      </c>
      <c r="E348" s="1854">
        <v>1840.88</v>
      </c>
      <c r="F348" s="1855">
        <f t="shared" si="56"/>
        <v>1840.88</v>
      </c>
      <c r="G348" s="1049">
        <v>0</v>
      </c>
      <c r="H348" s="1425">
        <v>0</v>
      </c>
      <c r="I348" s="305">
        <v>0</v>
      </c>
      <c r="J348" s="1049"/>
      <c r="K348" s="1425">
        <f t="shared" si="57"/>
        <v>0</v>
      </c>
      <c r="L348" s="305">
        <f t="shared" si="58"/>
        <v>0</v>
      </c>
      <c r="M348" s="1049">
        <f t="shared" si="59"/>
        <v>0</v>
      </c>
      <c r="N348" s="1425">
        <f t="shared" si="60"/>
        <v>0</v>
      </c>
      <c r="O348" s="305">
        <f t="shared" si="61"/>
        <v>0</v>
      </c>
      <c r="P348" s="1049">
        <f t="shared" si="62"/>
        <v>1</v>
      </c>
      <c r="Q348" s="1425">
        <f t="shared" si="63"/>
        <v>1840.88</v>
      </c>
      <c r="R348" s="305">
        <f t="shared" si="64"/>
        <v>1</v>
      </c>
      <c r="S348" s="1426" t="str">
        <f t="shared" si="65"/>
        <v>ok</v>
      </c>
      <c r="T348" s="1426"/>
      <c r="U348" s="1426"/>
      <c r="V348" s="1426"/>
      <c r="W348" s="1426"/>
      <c r="X348" s="1426"/>
    </row>
    <row r="349" spans="1:24" s="1427" customFormat="1" ht="16.5" customHeight="1">
      <c r="A349" s="1880" t="s">
        <v>3332</v>
      </c>
      <c r="B349" s="1881" t="s">
        <v>3333</v>
      </c>
      <c r="C349" s="1858" t="s">
        <v>52</v>
      </c>
      <c r="D349" s="1859">
        <v>1</v>
      </c>
      <c r="E349" s="1854">
        <v>3270.88</v>
      </c>
      <c r="F349" s="1855">
        <f t="shared" si="56"/>
        <v>3270.88</v>
      </c>
      <c r="G349" s="1049">
        <v>1</v>
      </c>
      <c r="H349" s="1425">
        <v>3270.88</v>
      </c>
      <c r="I349" s="305">
        <v>1</v>
      </c>
      <c r="J349" s="1049"/>
      <c r="K349" s="1425">
        <f t="shared" si="57"/>
        <v>0</v>
      </c>
      <c r="L349" s="305">
        <f t="shared" si="58"/>
        <v>0</v>
      </c>
      <c r="M349" s="1049">
        <f t="shared" si="59"/>
        <v>1</v>
      </c>
      <c r="N349" s="1425">
        <f t="shared" si="60"/>
        <v>3270.88</v>
      </c>
      <c r="O349" s="305">
        <f t="shared" si="61"/>
        <v>1</v>
      </c>
      <c r="P349" s="1049">
        <f t="shared" si="62"/>
        <v>0</v>
      </c>
      <c r="Q349" s="1425">
        <f t="shared" si="63"/>
        <v>0</v>
      </c>
      <c r="R349" s="305">
        <f t="shared" si="64"/>
        <v>0</v>
      </c>
      <c r="S349" s="1426" t="str">
        <f t="shared" si="65"/>
        <v>ok</v>
      </c>
      <c r="T349" s="1426"/>
      <c r="U349" s="1426"/>
      <c r="V349" s="1426"/>
      <c r="W349" s="1426"/>
      <c r="X349" s="1426"/>
    </row>
    <row r="350" spans="1:24" s="1427" customFormat="1" ht="16.5" customHeight="1">
      <c r="A350" s="1880" t="s">
        <v>3334</v>
      </c>
      <c r="B350" s="1881" t="s">
        <v>3335</v>
      </c>
      <c r="C350" s="1858" t="s">
        <v>52</v>
      </c>
      <c r="D350" s="1859">
        <v>1</v>
      </c>
      <c r="E350" s="1854">
        <v>1840.88</v>
      </c>
      <c r="F350" s="1855">
        <f t="shared" si="56"/>
        <v>1840.88</v>
      </c>
      <c r="G350" s="1049">
        <v>1</v>
      </c>
      <c r="H350" s="1425">
        <v>1840.88</v>
      </c>
      <c r="I350" s="305">
        <v>1</v>
      </c>
      <c r="J350" s="1049"/>
      <c r="K350" s="1425">
        <f t="shared" si="57"/>
        <v>0</v>
      </c>
      <c r="L350" s="305">
        <f t="shared" si="58"/>
        <v>0</v>
      </c>
      <c r="M350" s="1049">
        <f t="shared" si="59"/>
        <v>1</v>
      </c>
      <c r="N350" s="1425">
        <f t="shared" si="60"/>
        <v>1840.88</v>
      </c>
      <c r="O350" s="305">
        <f t="shared" si="61"/>
        <v>1</v>
      </c>
      <c r="P350" s="1049">
        <f t="shared" si="62"/>
        <v>0</v>
      </c>
      <c r="Q350" s="1425">
        <f t="shared" si="63"/>
        <v>0</v>
      </c>
      <c r="R350" s="305">
        <f t="shared" si="64"/>
        <v>0</v>
      </c>
      <c r="S350" s="1426" t="str">
        <f t="shared" si="65"/>
        <v>ok</v>
      </c>
      <c r="T350" s="1426"/>
      <c r="U350" s="1426"/>
      <c r="V350" s="1426"/>
      <c r="W350" s="1426"/>
      <c r="X350" s="1426"/>
    </row>
    <row r="351" spans="1:24" s="1427" customFormat="1" ht="16.5" customHeight="1">
      <c r="A351" s="1880" t="s">
        <v>3336</v>
      </c>
      <c r="B351" s="1881" t="s">
        <v>3337</v>
      </c>
      <c r="C351" s="1858" t="s">
        <v>52</v>
      </c>
      <c r="D351" s="1859">
        <v>1</v>
      </c>
      <c r="E351" s="1854">
        <v>1840.88</v>
      </c>
      <c r="F351" s="1855">
        <f t="shared" si="56"/>
        <v>1840.88</v>
      </c>
      <c r="G351" s="1049">
        <v>1</v>
      </c>
      <c r="H351" s="1425">
        <v>1840.88</v>
      </c>
      <c r="I351" s="305">
        <v>1</v>
      </c>
      <c r="J351" s="1049"/>
      <c r="K351" s="1425">
        <f t="shared" si="57"/>
        <v>0</v>
      </c>
      <c r="L351" s="305">
        <f t="shared" si="58"/>
        <v>0</v>
      </c>
      <c r="M351" s="1049">
        <f t="shared" si="59"/>
        <v>1</v>
      </c>
      <c r="N351" s="1425">
        <f t="shared" si="60"/>
        <v>1840.88</v>
      </c>
      <c r="O351" s="305">
        <f t="shared" si="61"/>
        <v>1</v>
      </c>
      <c r="P351" s="1049">
        <f t="shared" si="62"/>
        <v>0</v>
      </c>
      <c r="Q351" s="1425">
        <f t="shared" si="63"/>
        <v>0</v>
      </c>
      <c r="R351" s="305">
        <f t="shared" si="64"/>
        <v>0</v>
      </c>
      <c r="S351" s="1426" t="str">
        <f t="shared" si="65"/>
        <v>ok</v>
      </c>
      <c r="T351" s="1426"/>
      <c r="U351" s="1426"/>
      <c r="V351" s="1426"/>
      <c r="W351" s="1426"/>
      <c r="X351" s="1426"/>
    </row>
    <row r="352" spans="1:24" s="313" customFormat="1" ht="16.5" customHeight="1">
      <c r="A352" s="1337" t="s">
        <v>3338</v>
      </c>
      <c r="B352" s="1711" t="s">
        <v>3339</v>
      </c>
      <c r="C352" s="1502" t="s">
        <v>52</v>
      </c>
      <c r="D352" s="1710">
        <v>1</v>
      </c>
      <c r="E352" s="1312">
        <v>1840.88</v>
      </c>
      <c r="F352" s="1486">
        <f t="shared" si="56"/>
        <v>1840.88</v>
      </c>
      <c r="G352" s="1049">
        <v>1</v>
      </c>
      <c r="H352" s="306">
        <v>1840.88</v>
      </c>
      <c r="I352" s="307">
        <v>1</v>
      </c>
      <c r="J352" s="1049"/>
      <c r="K352" s="306">
        <f t="shared" si="57"/>
        <v>0</v>
      </c>
      <c r="L352" s="307">
        <f t="shared" si="58"/>
        <v>0</v>
      </c>
      <c r="M352" s="1049">
        <f t="shared" si="59"/>
        <v>1</v>
      </c>
      <c r="N352" s="306">
        <f t="shared" si="60"/>
        <v>1840.88</v>
      </c>
      <c r="O352" s="307">
        <f t="shared" si="61"/>
        <v>1</v>
      </c>
      <c r="P352" s="1049">
        <f t="shared" si="62"/>
        <v>0</v>
      </c>
      <c r="Q352" s="306">
        <f t="shared" si="63"/>
        <v>0</v>
      </c>
      <c r="R352" s="307">
        <f t="shared" si="64"/>
        <v>0</v>
      </c>
      <c r="S352" s="314" t="str">
        <f t="shared" si="65"/>
        <v>ok</v>
      </c>
      <c r="T352" s="314"/>
      <c r="U352" s="314"/>
      <c r="V352" s="314"/>
      <c r="W352" s="314"/>
      <c r="X352" s="314"/>
    </row>
    <row r="353" spans="1:24" s="313" customFormat="1" ht="16.5" customHeight="1">
      <c r="A353" s="1337" t="s">
        <v>3340</v>
      </c>
      <c r="B353" s="1711" t="s">
        <v>3341</v>
      </c>
      <c r="C353" s="1502" t="s">
        <v>52</v>
      </c>
      <c r="D353" s="1710">
        <v>1</v>
      </c>
      <c r="E353" s="1312">
        <v>1840.88</v>
      </c>
      <c r="F353" s="1486">
        <f t="shared" si="56"/>
        <v>1840.88</v>
      </c>
      <c r="G353" s="1049">
        <v>1</v>
      </c>
      <c r="H353" s="306">
        <v>1840.88</v>
      </c>
      <c r="I353" s="307">
        <v>1</v>
      </c>
      <c r="J353" s="1046"/>
      <c r="K353" s="306">
        <f t="shared" si="57"/>
        <v>0</v>
      </c>
      <c r="L353" s="307">
        <f t="shared" si="58"/>
        <v>0</v>
      </c>
      <c r="M353" s="1049">
        <f t="shared" si="59"/>
        <v>1</v>
      </c>
      <c r="N353" s="306">
        <f t="shared" si="60"/>
        <v>1840.88</v>
      </c>
      <c r="O353" s="307">
        <f t="shared" si="61"/>
        <v>1</v>
      </c>
      <c r="P353" s="1049">
        <f t="shared" si="62"/>
        <v>0</v>
      </c>
      <c r="Q353" s="306">
        <f t="shared" si="63"/>
        <v>0</v>
      </c>
      <c r="R353" s="307">
        <f t="shared" si="64"/>
        <v>0</v>
      </c>
      <c r="S353" s="314" t="str">
        <f t="shared" si="65"/>
        <v>ok</v>
      </c>
      <c r="T353" s="314"/>
      <c r="U353" s="314"/>
      <c r="V353" s="314"/>
      <c r="W353" s="314"/>
      <c r="X353" s="314"/>
    </row>
    <row r="354" spans="1:24" s="313" customFormat="1" ht="16.5" customHeight="1">
      <c r="A354" s="1337" t="s">
        <v>3342</v>
      </c>
      <c r="B354" s="1711" t="s">
        <v>3343</v>
      </c>
      <c r="C354" s="1502" t="s">
        <v>52</v>
      </c>
      <c r="D354" s="1710">
        <v>1</v>
      </c>
      <c r="E354" s="1312">
        <v>1840.88</v>
      </c>
      <c r="F354" s="1486">
        <f t="shared" si="56"/>
        <v>1840.88</v>
      </c>
      <c r="G354" s="1049">
        <v>1</v>
      </c>
      <c r="H354" s="306">
        <v>1840.88</v>
      </c>
      <c r="I354" s="307">
        <v>1</v>
      </c>
      <c r="J354" s="1046"/>
      <c r="K354" s="306">
        <f t="shared" si="57"/>
        <v>0</v>
      </c>
      <c r="L354" s="307">
        <f t="shared" si="58"/>
        <v>0</v>
      </c>
      <c r="M354" s="1047">
        <f t="shared" si="59"/>
        <v>1</v>
      </c>
      <c r="N354" s="306">
        <f t="shared" si="60"/>
        <v>1840.88</v>
      </c>
      <c r="O354" s="307">
        <f t="shared" si="61"/>
        <v>1</v>
      </c>
      <c r="P354" s="1047">
        <f t="shared" si="62"/>
        <v>0</v>
      </c>
      <c r="Q354" s="306">
        <f t="shared" si="63"/>
        <v>0</v>
      </c>
      <c r="R354" s="307">
        <f t="shared" si="64"/>
        <v>0</v>
      </c>
      <c r="S354" s="314" t="str">
        <f t="shared" si="65"/>
        <v>ok</v>
      </c>
      <c r="T354" s="314"/>
      <c r="U354" s="314"/>
      <c r="V354" s="314"/>
      <c r="W354" s="314"/>
      <c r="X354" s="314"/>
    </row>
    <row r="355" spans="1:24" s="313" customFormat="1" ht="16.5" customHeight="1">
      <c r="A355" s="1337" t="s">
        <v>3344</v>
      </c>
      <c r="B355" s="1711" t="s">
        <v>3345</v>
      </c>
      <c r="C355" s="1502" t="s">
        <v>52</v>
      </c>
      <c r="D355" s="1710">
        <v>2</v>
      </c>
      <c r="E355" s="1312">
        <v>2354.33</v>
      </c>
      <c r="F355" s="1486">
        <f t="shared" ref="F355:F417" si="66">E355*D355</f>
        <v>4708.66</v>
      </c>
      <c r="G355" s="1049">
        <v>1</v>
      </c>
      <c r="H355" s="306">
        <v>2354.33</v>
      </c>
      <c r="I355" s="307">
        <v>0.5</v>
      </c>
      <c r="J355" s="1046"/>
      <c r="K355" s="306">
        <f t="shared" si="57"/>
        <v>0</v>
      </c>
      <c r="L355" s="307">
        <f t="shared" si="58"/>
        <v>0</v>
      </c>
      <c r="M355" s="1047">
        <f t="shared" si="59"/>
        <v>1</v>
      </c>
      <c r="N355" s="306">
        <f t="shared" si="60"/>
        <v>2354.33</v>
      </c>
      <c r="O355" s="307">
        <f t="shared" si="61"/>
        <v>0.5</v>
      </c>
      <c r="P355" s="1047">
        <f t="shared" si="62"/>
        <v>1</v>
      </c>
      <c r="Q355" s="306">
        <f t="shared" si="63"/>
        <v>2354.33</v>
      </c>
      <c r="R355" s="307">
        <f t="shared" si="64"/>
        <v>0.5</v>
      </c>
      <c r="S355" s="314" t="str">
        <f t="shared" si="65"/>
        <v>ok</v>
      </c>
      <c r="T355" s="314"/>
      <c r="U355" s="314"/>
      <c r="V355" s="314"/>
      <c r="W355" s="314"/>
      <c r="X355" s="314"/>
    </row>
    <row r="356" spans="1:24" s="313" customFormat="1" ht="16.5" customHeight="1">
      <c r="A356" s="1337" t="s">
        <v>3346</v>
      </c>
      <c r="B356" s="1711" t="s">
        <v>3347</v>
      </c>
      <c r="C356" s="1502" t="s">
        <v>52</v>
      </c>
      <c r="D356" s="1710">
        <v>1</v>
      </c>
      <c r="E356" s="1312">
        <v>9189.27</v>
      </c>
      <c r="F356" s="1486">
        <f t="shared" si="66"/>
        <v>9189.27</v>
      </c>
      <c r="G356" s="1049">
        <v>0</v>
      </c>
      <c r="H356" s="306">
        <v>0</v>
      </c>
      <c r="I356" s="307">
        <v>0</v>
      </c>
      <c r="J356" s="1046"/>
      <c r="K356" s="306">
        <f t="shared" si="57"/>
        <v>0</v>
      </c>
      <c r="L356" s="307">
        <f t="shared" si="58"/>
        <v>0</v>
      </c>
      <c r="M356" s="1047">
        <f t="shared" si="59"/>
        <v>0</v>
      </c>
      <c r="N356" s="306">
        <f t="shared" si="60"/>
        <v>0</v>
      </c>
      <c r="O356" s="307">
        <f t="shared" si="61"/>
        <v>0</v>
      </c>
      <c r="P356" s="1047">
        <f t="shared" si="62"/>
        <v>1</v>
      </c>
      <c r="Q356" s="306">
        <f t="shared" si="63"/>
        <v>9189.27</v>
      </c>
      <c r="R356" s="307">
        <f t="shared" si="64"/>
        <v>1</v>
      </c>
      <c r="S356" s="314" t="str">
        <f t="shared" si="65"/>
        <v>ok</v>
      </c>
      <c r="T356" s="314"/>
      <c r="U356" s="314"/>
      <c r="V356" s="314"/>
      <c r="W356" s="314"/>
      <c r="X356" s="314"/>
    </row>
    <row r="357" spans="1:24" s="313" customFormat="1" ht="16.5" customHeight="1">
      <c r="A357" s="1337" t="s">
        <v>3348</v>
      </c>
      <c r="B357" s="1711" t="s">
        <v>3349</v>
      </c>
      <c r="C357" s="1502" t="s">
        <v>52</v>
      </c>
      <c r="D357" s="1710">
        <v>1</v>
      </c>
      <c r="E357" s="1312">
        <v>2189.27</v>
      </c>
      <c r="F357" s="1486">
        <f t="shared" si="66"/>
        <v>2189.27</v>
      </c>
      <c r="G357" s="1049">
        <v>0</v>
      </c>
      <c r="H357" s="306">
        <v>0</v>
      </c>
      <c r="I357" s="307">
        <v>0</v>
      </c>
      <c r="J357" s="1046"/>
      <c r="K357" s="306">
        <f t="shared" si="57"/>
        <v>0</v>
      </c>
      <c r="L357" s="307">
        <f t="shared" si="58"/>
        <v>0</v>
      </c>
      <c r="M357" s="1047">
        <f t="shared" si="59"/>
        <v>0</v>
      </c>
      <c r="N357" s="306">
        <f t="shared" si="60"/>
        <v>0</v>
      </c>
      <c r="O357" s="307">
        <f t="shared" si="61"/>
        <v>0</v>
      </c>
      <c r="P357" s="1047">
        <f t="shared" si="62"/>
        <v>1</v>
      </c>
      <c r="Q357" s="306">
        <f t="shared" si="63"/>
        <v>2189.27</v>
      </c>
      <c r="R357" s="307">
        <f t="shared" si="64"/>
        <v>1</v>
      </c>
      <c r="S357" s="314" t="str">
        <f t="shared" si="65"/>
        <v>ok</v>
      </c>
      <c r="T357" s="314"/>
      <c r="U357" s="314"/>
      <c r="V357" s="314"/>
      <c r="W357" s="314"/>
      <c r="X357" s="314"/>
    </row>
    <row r="358" spans="1:24" s="313" customFormat="1" ht="16.5" customHeight="1">
      <c r="A358" s="1337" t="s">
        <v>3350</v>
      </c>
      <c r="B358" s="1711" t="s">
        <v>3351</v>
      </c>
      <c r="C358" s="1502" t="s">
        <v>52</v>
      </c>
      <c r="D358" s="1710">
        <v>3</v>
      </c>
      <c r="E358" s="1312">
        <v>217.93</v>
      </c>
      <c r="F358" s="1486">
        <f t="shared" si="66"/>
        <v>653.79</v>
      </c>
      <c r="G358" s="1049">
        <v>3</v>
      </c>
      <c r="H358" s="306">
        <v>653.79</v>
      </c>
      <c r="I358" s="307">
        <v>1</v>
      </c>
      <c r="J358" s="1046"/>
      <c r="K358" s="306">
        <f t="shared" si="57"/>
        <v>0</v>
      </c>
      <c r="L358" s="307">
        <f t="shared" si="58"/>
        <v>0</v>
      </c>
      <c r="M358" s="1047">
        <f t="shared" si="59"/>
        <v>3</v>
      </c>
      <c r="N358" s="306">
        <f t="shared" si="60"/>
        <v>653.79</v>
      </c>
      <c r="O358" s="307">
        <f t="shared" si="61"/>
        <v>1</v>
      </c>
      <c r="P358" s="1047">
        <f t="shared" si="62"/>
        <v>0</v>
      </c>
      <c r="Q358" s="306">
        <f t="shared" si="63"/>
        <v>0</v>
      </c>
      <c r="R358" s="307">
        <f t="shared" si="64"/>
        <v>0</v>
      </c>
      <c r="S358" s="314" t="str">
        <f t="shared" si="65"/>
        <v>ok</v>
      </c>
      <c r="T358" s="314"/>
      <c r="U358" s="314"/>
      <c r="V358" s="314"/>
      <c r="W358" s="314"/>
      <c r="X358" s="314"/>
    </row>
    <row r="359" spans="1:24" s="313" customFormat="1" ht="16.5" customHeight="1">
      <c r="A359" s="1709" t="s">
        <v>3352</v>
      </c>
      <c r="B359" s="1709" t="s">
        <v>3353</v>
      </c>
      <c r="C359" s="1502"/>
      <c r="D359" s="1710"/>
      <c r="E359" s="1312"/>
      <c r="F359" s="1486"/>
      <c r="G359" s="1049"/>
      <c r="H359" s="306"/>
      <c r="I359" s="307"/>
      <c r="J359" s="1046"/>
      <c r="K359" s="306"/>
      <c r="L359" s="307"/>
      <c r="M359" s="1047"/>
      <c r="N359" s="306"/>
      <c r="O359" s="307"/>
      <c r="P359" s="1047"/>
      <c r="Q359" s="306"/>
      <c r="R359" s="307"/>
      <c r="S359" s="314" t="str">
        <f t="shared" si="65"/>
        <v>ok</v>
      </c>
      <c r="T359" s="314"/>
      <c r="U359" s="314"/>
      <c r="V359" s="314"/>
      <c r="W359" s="314"/>
      <c r="X359" s="314"/>
    </row>
    <row r="360" spans="1:24" s="313" customFormat="1" ht="16.5" customHeight="1">
      <c r="A360" s="1337" t="s">
        <v>3354</v>
      </c>
      <c r="B360" s="1711" t="s">
        <v>3355</v>
      </c>
      <c r="C360" s="1502" t="s">
        <v>52</v>
      </c>
      <c r="D360" s="1710">
        <v>1</v>
      </c>
      <c r="E360" s="1312">
        <v>156.68</v>
      </c>
      <c r="F360" s="1486">
        <f t="shared" si="66"/>
        <v>156.68</v>
      </c>
      <c r="G360" s="1049">
        <v>1</v>
      </c>
      <c r="H360" s="306">
        <v>156.68</v>
      </c>
      <c r="I360" s="307">
        <v>1</v>
      </c>
      <c r="J360" s="1046"/>
      <c r="K360" s="306">
        <f t="shared" si="57"/>
        <v>0</v>
      </c>
      <c r="L360" s="307">
        <f t="shared" si="58"/>
        <v>0</v>
      </c>
      <c r="M360" s="1047">
        <f t="shared" si="59"/>
        <v>1</v>
      </c>
      <c r="N360" s="306">
        <f t="shared" si="60"/>
        <v>156.68</v>
      </c>
      <c r="O360" s="307">
        <f t="shared" si="61"/>
        <v>1</v>
      </c>
      <c r="P360" s="1047">
        <f t="shared" si="62"/>
        <v>0</v>
      </c>
      <c r="Q360" s="306">
        <f t="shared" si="63"/>
        <v>0</v>
      </c>
      <c r="R360" s="307">
        <f t="shared" si="64"/>
        <v>0</v>
      </c>
      <c r="S360" s="314" t="str">
        <f t="shared" si="65"/>
        <v>ok</v>
      </c>
      <c r="T360" s="314"/>
      <c r="U360" s="314"/>
      <c r="V360" s="314"/>
      <c r="W360" s="314"/>
      <c r="X360" s="314"/>
    </row>
    <row r="361" spans="1:24" s="313" customFormat="1" ht="16.5" customHeight="1">
      <c r="A361" s="1337" t="s">
        <v>3356</v>
      </c>
      <c r="B361" s="1711" t="s">
        <v>3357</v>
      </c>
      <c r="C361" s="1502" t="s">
        <v>52</v>
      </c>
      <c r="D361" s="1710">
        <v>3</v>
      </c>
      <c r="E361" s="1312">
        <v>556.68000000000006</v>
      </c>
      <c r="F361" s="1486">
        <f t="shared" si="66"/>
        <v>1670.0400000000002</v>
      </c>
      <c r="G361" s="1049">
        <v>3</v>
      </c>
      <c r="H361" s="306">
        <v>1670.04</v>
      </c>
      <c r="I361" s="307">
        <v>0.99999999999999989</v>
      </c>
      <c r="J361" s="1046"/>
      <c r="K361" s="306">
        <f t="shared" si="57"/>
        <v>0</v>
      </c>
      <c r="L361" s="307">
        <f t="shared" si="58"/>
        <v>0</v>
      </c>
      <c r="M361" s="1047">
        <f t="shared" si="59"/>
        <v>3</v>
      </c>
      <c r="N361" s="306">
        <f t="shared" si="60"/>
        <v>1670.04</v>
      </c>
      <c r="O361" s="307">
        <f t="shared" si="61"/>
        <v>0.99999999999999989</v>
      </c>
      <c r="P361" s="1047">
        <f t="shared" si="62"/>
        <v>0</v>
      </c>
      <c r="Q361" s="306">
        <f t="shared" si="63"/>
        <v>0</v>
      </c>
      <c r="R361" s="307">
        <f t="shared" si="64"/>
        <v>0</v>
      </c>
      <c r="S361" s="314" t="str">
        <f t="shared" si="65"/>
        <v>ok</v>
      </c>
      <c r="T361" s="314"/>
      <c r="U361" s="314"/>
      <c r="V361" s="314"/>
      <c r="W361" s="314"/>
      <c r="X361" s="314"/>
    </row>
    <row r="362" spans="1:24" s="313" customFormat="1" ht="16.5" customHeight="1">
      <c r="A362" s="1337" t="s">
        <v>3358</v>
      </c>
      <c r="B362" s="1711" t="s">
        <v>3359</v>
      </c>
      <c r="C362" s="1502" t="s">
        <v>52</v>
      </c>
      <c r="D362" s="1710">
        <v>1</v>
      </c>
      <c r="E362" s="1312">
        <v>236.68</v>
      </c>
      <c r="F362" s="1486">
        <f t="shared" si="66"/>
        <v>236.68</v>
      </c>
      <c r="G362" s="1049">
        <v>1</v>
      </c>
      <c r="H362" s="306">
        <v>236.68</v>
      </c>
      <c r="I362" s="307">
        <v>1</v>
      </c>
      <c r="J362" s="1046"/>
      <c r="K362" s="306">
        <f t="shared" si="57"/>
        <v>0</v>
      </c>
      <c r="L362" s="307">
        <f t="shared" si="58"/>
        <v>0</v>
      </c>
      <c r="M362" s="1047">
        <f t="shared" si="59"/>
        <v>1</v>
      </c>
      <c r="N362" s="306">
        <f t="shared" si="60"/>
        <v>236.68</v>
      </c>
      <c r="O362" s="307">
        <f t="shared" si="61"/>
        <v>1</v>
      </c>
      <c r="P362" s="1047">
        <f t="shared" si="62"/>
        <v>0</v>
      </c>
      <c r="Q362" s="306">
        <f t="shared" si="63"/>
        <v>0</v>
      </c>
      <c r="R362" s="307">
        <f t="shared" si="64"/>
        <v>0</v>
      </c>
      <c r="S362" s="314" t="str">
        <f t="shared" si="65"/>
        <v>ok</v>
      </c>
      <c r="T362" s="314"/>
      <c r="U362" s="314"/>
      <c r="V362" s="314"/>
      <c r="W362" s="314"/>
      <c r="X362" s="314"/>
    </row>
    <row r="363" spans="1:24" s="313" customFormat="1" ht="16.5" customHeight="1">
      <c r="A363" s="1337" t="s">
        <v>3360</v>
      </c>
      <c r="B363" s="1711" t="s">
        <v>3361</v>
      </c>
      <c r="C363" s="1502" t="s">
        <v>52</v>
      </c>
      <c r="D363" s="1710">
        <v>2</v>
      </c>
      <c r="E363" s="1312">
        <v>226.68</v>
      </c>
      <c r="F363" s="1486">
        <f t="shared" si="66"/>
        <v>453.36</v>
      </c>
      <c r="G363" s="1049">
        <v>2</v>
      </c>
      <c r="H363" s="306">
        <v>453.36</v>
      </c>
      <c r="I363" s="307">
        <v>1</v>
      </c>
      <c r="J363" s="1046"/>
      <c r="K363" s="306">
        <f t="shared" si="57"/>
        <v>0</v>
      </c>
      <c r="L363" s="307">
        <f t="shared" si="58"/>
        <v>0</v>
      </c>
      <c r="M363" s="1047">
        <f t="shared" si="59"/>
        <v>2</v>
      </c>
      <c r="N363" s="306">
        <f t="shared" si="60"/>
        <v>453.36</v>
      </c>
      <c r="O363" s="307">
        <f t="shared" si="61"/>
        <v>1</v>
      </c>
      <c r="P363" s="1047">
        <f t="shared" si="62"/>
        <v>0</v>
      </c>
      <c r="Q363" s="306">
        <f t="shared" si="63"/>
        <v>0</v>
      </c>
      <c r="R363" s="307">
        <f t="shared" si="64"/>
        <v>0</v>
      </c>
      <c r="S363" s="314" t="str">
        <f t="shared" si="65"/>
        <v>ok</v>
      </c>
      <c r="T363" s="314"/>
      <c r="U363" s="314"/>
      <c r="V363" s="314"/>
      <c r="W363" s="314"/>
      <c r="X363" s="314"/>
    </row>
    <row r="364" spans="1:24" s="313" customFormat="1" ht="16.5" customHeight="1">
      <c r="A364" s="1337" t="s">
        <v>3362</v>
      </c>
      <c r="B364" s="1711" t="s">
        <v>3363</v>
      </c>
      <c r="C364" s="1502" t="s">
        <v>52</v>
      </c>
      <c r="D364" s="1710">
        <v>5</v>
      </c>
      <c r="E364" s="1312">
        <v>101.68</v>
      </c>
      <c r="F364" s="1486">
        <f t="shared" si="66"/>
        <v>508.40000000000003</v>
      </c>
      <c r="G364" s="1049">
        <v>5</v>
      </c>
      <c r="H364" s="306">
        <v>508.4</v>
      </c>
      <c r="I364" s="307">
        <v>0.99999999999999989</v>
      </c>
      <c r="J364" s="1046"/>
      <c r="K364" s="306">
        <f t="shared" si="57"/>
        <v>0</v>
      </c>
      <c r="L364" s="307">
        <f t="shared" si="58"/>
        <v>0</v>
      </c>
      <c r="M364" s="1047">
        <f t="shared" si="59"/>
        <v>5</v>
      </c>
      <c r="N364" s="306">
        <f t="shared" si="60"/>
        <v>508.4</v>
      </c>
      <c r="O364" s="307">
        <f t="shared" si="61"/>
        <v>0.99999999999999989</v>
      </c>
      <c r="P364" s="1047">
        <f t="shared" si="62"/>
        <v>0</v>
      </c>
      <c r="Q364" s="306">
        <f t="shared" si="63"/>
        <v>0</v>
      </c>
      <c r="R364" s="307">
        <f t="shared" si="64"/>
        <v>0</v>
      </c>
      <c r="S364" s="314" t="str">
        <f t="shared" si="65"/>
        <v>ok</v>
      </c>
      <c r="T364" s="314"/>
      <c r="U364" s="314"/>
      <c r="V364" s="314"/>
      <c r="W364" s="314"/>
      <c r="X364" s="314"/>
    </row>
    <row r="365" spans="1:24" s="313" customFormat="1" ht="16.5" customHeight="1">
      <c r="A365" s="1337" t="s">
        <v>3364</v>
      </c>
      <c r="B365" s="1711" t="s">
        <v>3365</v>
      </c>
      <c r="C365" s="1502" t="s">
        <v>52</v>
      </c>
      <c r="D365" s="1710">
        <v>5</v>
      </c>
      <c r="E365" s="1312">
        <v>96.68</v>
      </c>
      <c r="F365" s="1486">
        <f t="shared" si="66"/>
        <v>483.40000000000003</v>
      </c>
      <c r="G365" s="1049">
        <v>5</v>
      </c>
      <c r="H365" s="306">
        <v>483.4</v>
      </c>
      <c r="I365" s="307">
        <v>0.99999999999999989</v>
      </c>
      <c r="J365" s="1046"/>
      <c r="K365" s="306">
        <f t="shared" si="57"/>
        <v>0</v>
      </c>
      <c r="L365" s="307">
        <f t="shared" si="58"/>
        <v>0</v>
      </c>
      <c r="M365" s="1047">
        <f t="shared" si="59"/>
        <v>5</v>
      </c>
      <c r="N365" s="306">
        <f t="shared" si="60"/>
        <v>483.4</v>
      </c>
      <c r="O365" s="307">
        <f t="shared" si="61"/>
        <v>0.99999999999999989</v>
      </c>
      <c r="P365" s="1047">
        <f t="shared" si="62"/>
        <v>0</v>
      </c>
      <c r="Q365" s="306">
        <f t="shared" si="63"/>
        <v>0</v>
      </c>
      <c r="R365" s="307">
        <f t="shared" si="64"/>
        <v>0</v>
      </c>
      <c r="S365" s="314" t="str">
        <f t="shared" si="65"/>
        <v>ok</v>
      </c>
      <c r="T365" s="314"/>
      <c r="U365" s="314"/>
      <c r="V365" s="314"/>
      <c r="W365" s="314"/>
      <c r="X365" s="314"/>
    </row>
    <row r="366" spans="1:24" s="313" customFormat="1" ht="16.5" customHeight="1">
      <c r="A366" s="1709" t="s">
        <v>3366</v>
      </c>
      <c r="B366" s="1709" t="s">
        <v>3367</v>
      </c>
      <c r="C366" s="1502"/>
      <c r="D366" s="1710"/>
      <c r="E366" s="1312"/>
      <c r="F366" s="1486"/>
      <c r="G366" s="1049"/>
      <c r="H366" s="306"/>
      <c r="I366" s="307"/>
      <c r="J366" s="1046"/>
      <c r="K366" s="306"/>
      <c r="L366" s="307"/>
      <c r="M366" s="1047"/>
      <c r="N366" s="306"/>
      <c r="O366" s="307"/>
      <c r="P366" s="1047"/>
      <c r="Q366" s="306"/>
      <c r="R366" s="307"/>
      <c r="S366" s="314" t="str">
        <f t="shared" si="65"/>
        <v>ok</v>
      </c>
      <c r="T366" s="314"/>
      <c r="U366" s="314"/>
      <c r="V366" s="314"/>
      <c r="W366" s="314"/>
      <c r="X366" s="314"/>
    </row>
    <row r="367" spans="1:24" s="313" customFormat="1" ht="16.5" customHeight="1">
      <c r="A367" s="1337" t="s">
        <v>3368</v>
      </c>
      <c r="B367" s="1711" t="s">
        <v>3369</v>
      </c>
      <c r="C367" s="1502" t="s">
        <v>51</v>
      </c>
      <c r="D367" s="1710">
        <v>150</v>
      </c>
      <c r="E367" s="1312">
        <v>26.14</v>
      </c>
      <c r="F367" s="1486">
        <f t="shared" si="66"/>
        <v>3921</v>
      </c>
      <c r="G367" s="1049">
        <v>150</v>
      </c>
      <c r="H367" s="306">
        <v>3921</v>
      </c>
      <c r="I367" s="307">
        <v>1</v>
      </c>
      <c r="J367" s="1046"/>
      <c r="K367" s="306">
        <f t="shared" si="57"/>
        <v>0</v>
      </c>
      <c r="L367" s="307">
        <f t="shared" si="58"/>
        <v>0</v>
      </c>
      <c r="M367" s="1047">
        <f t="shared" si="59"/>
        <v>150</v>
      </c>
      <c r="N367" s="306">
        <f t="shared" si="60"/>
        <v>3921</v>
      </c>
      <c r="O367" s="307">
        <f t="shared" si="61"/>
        <v>1</v>
      </c>
      <c r="P367" s="1047">
        <f t="shared" si="62"/>
        <v>0</v>
      </c>
      <c r="Q367" s="306">
        <f t="shared" si="63"/>
        <v>0</v>
      </c>
      <c r="R367" s="307">
        <f t="shared" si="64"/>
        <v>0</v>
      </c>
      <c r="S367" s="314" t="str">
        <f t="shared" si="65"/>
        <v>ok</v>
      </c>
      <c r="T367" s="314"/>
      <c r="U367" s="314"/>
      <c r="V367" s="314"/>
      <c r="W367" s="314"/>
      <c r="X367" s="314"/>
    </row>
    <row r="368" spans="1:24" s="313" customFormat="1" ht="16.5" customHeight="1">
      <c r="A368" s="1337" t="s">
        <v>3370</v>
      </c>
      <c r="B368" s="1711" t="s">
        <v>3371</v>
      </c>
      <c r="C368" s="1502" t="s">
        <v>52</v>
      </c>
      <c r="D368" s="1710">
        <v>150</v>
      </c>
      <c r="E368" s="1312">
        <v>19.47</v>
      </c>
      <c r="F368" s="1486">
        <f t="shared" si="66"/>
        <v>2920.5</v>
      </c>
      <c r="G368" s="1049">
        <v>150</v>
      </c>
      <c r="H368" s="306">
        <v>2920.5</v>
      </c>
      <c r="I368" s="307">
        <v>1</v>
      </c>
      <c r="J368" s="1046"/>
      <c r="K368" s="306">
        <f t="shared" si="57"/>
        <v>0</v>
      </c>
      <c r="L368" s="307">
        <f t="shared" si="58"/>
        <v>0</v>
      </c>
      <c r="M368" s="1047">
        <f t="shared" si="59"/>
        <v>150</v>
      </c>
      <c r="N368" s="306">
        <f t="shared" si="60"/>
        <v>2920.5</v>
      </c>
      <c r="O368" s="307">
        <f t="shared" si="61"/>
        <v>1</v>
      </c>
      <c r="P368" s="1047">
        <f t="shared" si="62"/>
        <v>0</v>
      </c>
      <c r="Q368" s="306">
        <f t="shared" si="63"/>
        <v>0</v>
      </c>
      <c r="R368" s="307">
        <f t="shared" si="64"/>
        <v>0</v>
      </c>
      <c r="S368" s="314" t="str">
        <f t="shared" si="65"/>
        <v>ok</v>
      </c>
      <c r="T368" s="314"/>
      <c r="U368" s="314"/>
      <c r="V368" s="314"/>
      <c r="W368" s="314"/>
      <c r="X368" s="314"/>
    </row>
    <row r="369" spans="1:24" s="313" customFormat="1" ht="16.5" customHeight="1">
      <c r="A369" s="1337" t="s">
        <v>3372</v>
      </c>
      <c r="B369" s="1711" t="s">
        <v>3373</v>
      </c>
      <c r="C369" s="1502" t="s">
        <v>52</v>
      </c>
      <c r="D369" s="1710">
        <v>50</v>
      </c>
      <c r="E369" s="1312">
        <v>16.97</v>
      </c>
      <c r="F369" s="1486">
        <f t="shared" si="66"/>
        <v>848.5</v>
      </c>
      <c r="G369" s="1049">
        <v>50</v>
      </c>
      <c r="H369" s="306">
        <v>848.5</v>
      </c>
      <c r="I369" s="307">
        <v>1</v>
      </c>
      <c r="J369" s="1046"/>
      <c r="K369" s="306">
        <f t="shared" si="57"/>
        <v>0</v>
      </c>
      <c r="L369" s="307">
        <f t="shared" si="58"/>
        <v>0</v>
      </c>
      <c r="M369" s="1047">
        <f t="shared" si="59"/>
        <v>50</v>
      </c>
      <c r="N369" s="306">
        <f t="shared" si="60"/>
        <v>848.5</v>
      </c>
      <c r="O369" s="307">
        <f t="shared" si="61"/>
        <v>1</v>
      </c>
      <c r="P369" s="1047">
        <f t="shared" si="62"/>
        <v>0</v>
      </c>
      <c r="Q369" s="306">
        <f t="shared" si="63"/>
        <v>0</v>
      </c>
      <c r="R369" s="307">
        <f t="shared" si="64"/>
        <v>0</v>
      </c>
      <c r="S369" s="314" t="str">
        <f t="shared" si="65"/>
        <v>ok</v>
      </c>
      <c r="T369" s="314"/>
      <c r="U369" s="314"/>
      <c r="V369" s="314"/>
      <c r="W369" s="314"/>
      <c r="X369" s="314"/>
    </row>
    <row r="370" spans="1:24" s="313" customFormat="1" ht="16.5" customHeight="1">
      <c r="A370" s="1337" t="s">
        <v>3374</v>
      </c>
      <c r="B370" s="1711" t="s">
        <v>3375</v>
      </c>
      <c r="C370" s="1502" t="s">
        <v>52</v>
      </c>
      <c r="D370" s="1710">
        <v>130</v>
      </c>
      <c r="E370" s="1312">
        <v>15.02</v>
      </c>
      <c r="F370" s="1486">
        <f t="shared" si="66"/>
        <v>1952.6</v>
      </c>
      <c r="G370" s="1049">
        <v>130</v>
      </c>
      <c r="H370" s="306">
        <v>1952.6</v>
      </c>
      <c r="I370" s="307">
        <v>1</v>
      </c>
      <c r="J370" s="1046"/>
      <c r="K370" s="306">
        <f t="shared" si="57"/>
        <v>0</v>
      </c>
      <c r="L370" s="307">
        <f t="shared" si="58"/>
        <v>0</v>
      </c>
      <c r="M370" s="1047">
        <f t="shared" si="59"/>
        <v>130</v>
      </c>
      <c r="N370" s="306">
        <f t="shared" si="60"/>
        <v>1952.6</v>
      </c>
      <c r="O370" s="307">
        <f t="shared" si="61"/>
        <v>1</v>
      </c>
      <c r="P370" s="1047">
        <f t="shared" si="62"/>
        <v>0</v>
      </c>
      <c r="Q370" s="306">
        <f t="shared" si="63"/>
        <v>0</v>
      </c>
      <c r="R370" s="307">
        <f t="shared" si="64"/>
        <v>0</v>
      </c>
      <c r="S370" s="314" t="str">
        <f t="shared" si="65"/>
        <v>ok</v>
      </c>
      <c r="T370" s="314"/>
      <c r="U370" s="314"/>
      <c r="V370" s="314"/>
      <c r="W370" s="314"/>
      <c r="X370" s="314"/>
    </row>
    <row r="371" spans="1:24" s="313" customFormat="1" ht="16.5" customHeight="1">
      <c r="A371" s="1709" t="s">
        <v>3376</v>
      </c>
      <c r="B371" s="1913" t="s">
        <v>3377</v>
      </c>
      <c r="C371" s="1502"/>
      <c r="D371" s="1710"/>
      <c r="E371" s="1312"/>
      <c r="F371" s="1486"/>
      <c r="G371" s="1049"/>
      <c r="H371" s="306"/>
      <c r="I371" s="307"/>
      <c r="J371" s="1046"/>
      <c r="K371" s="306"/>
      <c r="L371" s="307"/>
      <c r="M371" s="1047"/>
      <c r="N371" s="306"/>
      <c r="O371" s="307"/>
      <c r="P371" s="1047"/>
      <c r="Q371" s="306"/>
      <c r="R371" s="307"/>
      <c r="S371" s="314" t="str">
        <f t="shared" si="65"/>
        <v>ok</v>
      </c>
      <c r="T371" s="314"/>
      <c r="U371" s="314"/>
      <c r="V371" s="314"/>
      <c r="W371" s="314"/>
      <c r="X371" s="314"/>
    </row>
    <row r="372" spans="1:24" s="313" customFormat="1" ht="16.5" customHeight="1">
      <c r="A372" s="1337" t="s">
        <v>3378</v>
      </c>
      <c r="B372" s="1711" t="s">
        <v>3379</v>
      </c>
      <c r="C372" s="1502" t="s">
        <v>52</v>
      </c>
      <c r="D372" s="1710">
        <v>12</v>
      </c>
      <c r="E372" s="1312">
        <v>21.98</v>
      </c>
      <c r="F372" s="1486">
        <f t="shared" si="66"/>
        <v>263.76</v>
      </c>
      <c r="G372" s="1049">
        <v>0</v>
      </c>
      <c r="H372" s="306">
        <v>0</v>
      </c>
      <c r="I372" s="307">
        <v>0</v>
      </c>
      <c r="J372" s="1046"/>
      <c r="K372" s="306">
        <f t="shared" si="57"/>
        <v>0</v>
      </c>
      <c r="L372" s="307">
        <f t="shared" si="58"/>
        <v>0</v>
      </c>
      <c r="M372" s="1047">
        <f t="shared" si="59"/>
        <v>0</v>
      </c>
      <c r="N372" s="306">
        <f t="shared" si="60"/>
        <v>0</v>
      </c>
      <c r="O372" s="307">
        <f t="shared" si="61"/>
        <v>0</v>
      </c>
      <c r="P372" s="1047">
        <f t="shared" si="62"/>
        <v>12</v>
      </c>
      <c r="Q372" s="306">
        <f t="shared" si="63"/>
        <v>263.76</v>
      </c>
      <c r="R372" s="307">
        <f t="shared" si="64"/>
        <v>1</v>
      </c>
      <c r="S372" s="314" t="str">
        <f t="shared" si="65"/>
        <v>ok</v>
      </c>
      <c r="T372" s="314"/>
      <c r="U372" s="314"/>
      <c r="V372" s="314"/>
      <c r="W372" s="314"/>
      <c r="X372" s="314"/>
    </row>
    <row r="373" spans="1:24" s="313" customFormat="1" ht="16.5" customHeight="1">
      <c r="A373" s="1337" t="s">
        <v>3380</v>
      </c>
      <c r="B373" s="1711" t="s">
        <v>3381</v>
      </c>
      <c r="C373" s="1502" t="s">
        <v>52</v>
      </c>
      <c r="D373" s="1710">
        <v>64</v>
      </c>
      <c r="E373" s="1312">
        <v>33.480000000000004</v>
      </c>
      <c r="F373" s="1486">
        <f t="shared" si="66"/>
        <v>2142.7200000000003</v>
      </c>
      <c r="G373" s="1049">
        <v>15</v>
      </c>
      <c r="H373" s="306">
        <v>502.2</v>
      </c>
      <c r="I373" s="307">
        <v>0.23437499999999997</v>
      </c>
      <c r="J373" s="1046"/>
      <c r="K373" s="306">
        <f t="shared" si="57"/>
        <v>0</v>
      </c>
      <c r="L373" s="307">
        <f t="shared" si="58"/>
        <v>0</v>
      </c>
      <c r="M373" s="1047">
        <f t="shared" si="59"/>
        <v>15</v>
      </c>
      <c r="N373" s="306">
        <f t="shared" si="60"/>
        <v>502.2</v>
      </c>
      <c r="O373" s="307">
        <f t="shared" si="61"/>
        <v>0.23437499999999997</v>
      </c>
      <c r="P373" s="1047">
        <f t="shared" si="62"/>
        <v>49</v>
      </c>
      <c r="Q373" s="306">
        <f t="shared" si="63"/>
        <v>1640.5200000000002</v>
      </c>
      <c r="R373" s="307">
        <f t="shared" si="64"/>
        <v>0.765625</v>
      </c>
      <c r="S373" s="314" t="str">
        <f t="shared" si="65"/>
        <v>ok</v>
      </c>
      <c r="T373" s="314"/>
      <c r="U373" s="314"/>
      <c r="V373" s="314"/>
      <c r="W373" s="314"/>
      <c r="X373" s="314"/>
    </row>
    <row r="374" spans="1:24" s="313" customFormat="1" ht="16.5" customHeight="1">
      <c r="A374" s="1337" t="s">
        <v>3382</v>
      </c>
      <c r="B374" s="1711" t="s">
        <v>3383</v>
      </c>
      <c r="C374" s="1502" t="s">
        <v>52</v>
      </c>
      <c r="D374" s="1710">
        <v>5</v>
      </c>
      <c r="E374" s="1312">
        <v>39.480000000000004</v>
      </c>
      <c r="F374" s="1486">
        <f t="shared" si="66"/>
        <v>197.40000000000003</v>
      </c>
      <c r="G374" s="1049">
        <v>0</v>
      </c>
      <c r="H374" s="306">
        <v>0</v>
      </c>
      <c r="I374" s="307">
        <v>0</v>
      </c>
      <c r="J374" s="1046"/>
      <c r="K374" s="306">
        <f t="shared" si="57"/>
        <v>0</v>
      </c>
      <c r="L374" s="307">
        <f t="shared" si="58"/>
        <v>0</v>
      </c>
      <c r="M374" s="1047">
        <f t="shared" si="59"/>
        <v>0</v>
      </c>
      <c r="N374" s="306">
        <f t="shared" si="60"/>
        <v>0</v>
      </c>
      <c r="O374" s="307">
        <f t="shared" si="61"/>
        <v>0</v>
      </c>
      <c r="P374" s="1047">
        <f t="shared" si="62"/>
        <v>5</v>
      </c>
      <c r="Q374" s="306">
        <f t="shared" si="63"/>
        <v>197.40000000000003</v>
      </c>
      <c r="R374" s="307">
        <f t="shared" si="64"/>
        <v>1</v>
      </c>
      <c r="S374" s="314" t="str">
        <f t="shared" si="65"/>
        <v>ok</v>
      </c>
      <c r="T374" s="314"/>
      <c r="U374" s="314"/>
      <c r="V374" s="314"/>
      <c r="W374" s="314"/>
      <c r="X374" s="314"/>
    </row>
    <row r="375" spans="1:24" s="313" customFormat="1" ht="16.5" customHeight="1">
      <c r="A375" s="1337" t="s">
        <v>3384</v>
      </c>
      <c r="B375" s="1711" t="s">
        <v>3385</v>
      </c>
      <c r="C375" s="1502" t="s">
        <v>52</v>
      </c>
      <c r="D375" s="1710">
        <v>4</v>
      </c>
      <c r="E375" s="1312">
        <v>99.48</v>
      </c>
      <c r="F375" s="1486">
        <f t="shared" si="66"/>
        <v>397.92</v>
      </c>
      <c r="G375" s="1049">
        <v>0</v>
      </c>
      <c r="H375" s="306">
        <v>0</v>
      </c>
      <c r="I375" s="307">
        <v>0</v>
      </c>
      <c r="J375" s="1046"/>
      <c r="K375" s="306">
        <f t="shared" si="57"/>
        <v>0</v>
      </c>
      <c r="L375" s="307">
        <f t="shared" si="58"/>
        <v>0</v>
      </c>
      <c r="M375" s="1047">
        <f t="shared" si="59"/>
        <v>0</v>
      </c>
      <c r="N375" s="306">
        <f t="shared" si="60"/>
        <v>0</v>
      </c>
      <c r="O375" s="307">
        <f t="shared" si="61"/>
        <v>0</v>
      </c>
      <c r="P375" s="1047">
        <f t="shared" si="62"/>
        <v>4</v>
      </c>
      <c r="Q375" s="306">
        <f t="shared" si="63"/>
        <v>397.92</v>
      </c>
      <c r="R375" s="307">
        <f t="shared" si="64"/>
        <v>1</v>
      </c>
      <c r="S375" s="314" t="str">
        <f t="shared" si="65"/>
        <v>ok</v>
      </c>
      <c r="T375" s="314"/>
      <c r="U375" s="314"/>
      <c r="V375" s="314"/>
      <c r="W375" s="314"/>
      <c r="X375" s="314"/>
    </row>
    <row r="376" spans="1:24" s="313" customFormat="1" ht="16.5" customHeight="1">
      <c r="A376" s="1709" t="s">
        <v>3386</v>
      </c>
      <c r="B376" s="1709" t="s">
        <v>3387</v>
      </c>
      <c r="C376" s="1502"/>
      <c r="D376" s="1710"/>
      <c r="E376" s="1312"/>
      <c r="F376" s="1486"/>
      <c r="G376" s="1049"/>
      <c r="H376" s="306"/>
      <c r="I376" s="307"/>
      <c r="J376" s="1046"/>
      <c r="K376" s="306"/>
      <c r="L376" s="307"/>
      <c r="M376" s="1047"/>
      <c r="N376" s="306"/>
      <c r="O376" s="307"/>
      <c r="P376" s="1047"/>
      <c r="Q376" s="306"/>
      <c r="R376" s="307"/>
      <c r="S376" s="314" t="str">
        <f t="shared" si="65"/>
        <v>ok</v>
      </c>
      <c r="T376" s="314"/>
      <c r="U376" s="314"/>
      <c r="V376" s="314"/>
      <c r="W376" s="314"/>
      <c r="X376" s="314"/>
    </row>
    <row r="377" spans="1:24" s="313" customFormat="1" ht="16.5" customHeight="1">
      <c r="A377" s="1337" t="s">
        <v>3388</v>
      </c>
      <c r="B377" s="1711" t="s">
        <v>3389</v>
      </c>
      <c r="C377" s="1502" t="s">
        <v>51</v>
      </c>
      <c r="D377" s="1710">
        <v>50</v>
      </c>
      <c r="E377" s="1312">
        <v>30.560000000000002</v>
      </c>
      <c r="F377" s="1486">
        <f t="shared" si="66"/>
        <v>1528</v>
      </c>
      <c r="G377" s="1049">
        <v>50</v>
      </c>
      <c r="H377" s="306">
        <v>1528</v>
      </c>
      <c r="I377" s="307">
        <v>1</v>
      </c>
      <c r="J377" s="1046"/>
      <c r="K377" s="306">
        <f t="shared" si="57"/>
        <v>0</v>
      </c>
      <c r="L377" s="307">
        <f t="shared" si="58"/>
        <v>0</v>
      </c>
      <c r="M377" s="1047">
        <f t="shared" si="59"/>
        <v>50</v>
      </c>
      <c r="N377" s="306">
        <f t="shared" si="60"/>
        <v>1528</v>
      </c>
      <c r="O377" s="307">
        <f t="shared" si="61"/>
        <v>1</v>
      </c>
      <c r="P377" s="1047">
        <f t="shared" si="62"/>
        <v>0</v>
      </c>
      <c r="Q377" s="306">
        <f t="shared" si="63"/>
        <v>0</v>
      </c>
      <c r="R377" s="307">
        <f t="shared" si="64"/>
        <v>0</v>
      </c>
      <c r="S377" s="314" t="str">
        <f t="shared" si="65"/>
        <v>ok</v>
      </c>
      <c r="T377" s="314"/>
      <c r="U377" s="314"/>
      <c r="V377" s="314"/>
      <c r="W377" s="314"/>
      <c r="X377" s="314"/>
    </row>
    <row r="378" spans="1:24" s="313" customFormat="1" ht="16.5" customHeight="1">
      <c r="A378" s="1337" t="s">
        <v>3390</v>
      </c>
      <c r="B378" s="1711" t="s">
        <v>3391</v>
      </c>
      <c r="C378" s="1502" t="s">
        <v>51</v>
      </c>
      <c r="D378" s="1710">
        <v>60</v>
      </c>
      <c r="E378" s="1312">
        <v>273.54000000000002</v>
      </c>
      <c r="F378" s="1486">
        <f t="shared" si="66"/>
        <v>16412.400000000001</v>
      </c>
      <c r="G378" s="1049">
        <v>0</v>
      </c>
      <c r="H378" s="306">
        <v>0</v>
      </c>
      <c r="I378" s="307">
        <v>0</v>
      </c>
      <c r="J378" s="1046"/>
      <c r="K378" s="306">
        <f t="shared" si="57"/>
        <v>0</v>
      </c>
      <c r="L378" s="307">
        <f t="shared" si="58"/>
        <v>0</v>
      </c>
      <c r="M378" s="1047">
        <f t="shared" si="59"/>
        <v>0</v>
      </c>
      <c r="N378" s="306">
        <f t="shared" si="60"/>
        <v>0</v>
      </c>
      <c r="O378" s="307">
        <f t="shared" si="61"/>
        <v>0</v>
      </c>
      <c r="P378" s="1047">
        <f t="shared" si="62"/>
        <v>60</v>
      </c>
      <c r="Q378" s="306">
        <f t="shared" si="63"/>
        <v>16412.400000000001</v>
      </c>
      <c r="R378" s="307">
        <f t="shared" si="64"/>
        <v>1</v>
      </c>
      <c r="S378" s="314" t="str">
        <f t="shared" si="65"/>
        <v>ok</v>
      </c>
      <c r="T378" s="314"/>
      <c r="U378" s="314"/>
      <c r="V378" s="314"/>
      <c r="W378" s="314"/>
      <c r="X378" s="314"/>
    </row>
    <row r="379" spans="1:24" s="313" customFormat="1" ht="16.5" customHeight="1">
      <c r="A379" s="1337" t="s">
        <v>3392</v>
      </c>
      <c r="B379" s="1711" t="s">
        <v>3393</v>
      </c>
      <c r="C379" s="1502" t="s">
        <v>51</v>
      </c>
      <c r="D379" s="1710">
        <v>50</v>
      </c>
      <c r="E379" s="1312">
        <v>184.29</v>
      </c>
      <c r="F379" s="1486">
        <f t="shared" si="66"/>
        <v>9214.5</v>
      </c>
      <c r="G379" s="1049">
        <v>50</v>
      </c>
      <c r="H379" s="306">
        <v>9214.5</v>
      </c>
      <c r="I379" s="307">
        <v>1</v>
      </c>
      <c r="J379" s="1046"/>
      <c r="K379" s="306">
        <f t="shared" si="57"/>
        <v>0</v>
      </c>
      <c r="L379" s="307">
        <f t="shared" si="58"/>
        <v>0</v>
      </c>
      <c r="M379" s="1047">
        <f t="shared" si="59"/>
        <v>50</v>
      </c>
      <c r="N379" s="306">
        <f t="shared" si="60"/>
        <v>9214.5</v>
      </c>
      <c r="O379" s="307">
        <f t="shared" si="61"/>
        <v>1</v>
      </c>
      <c r="P379" s="1047">
        <f t="shared" si="62"/>
        <v>0</v>
      </c>
      <c r="Q379" s="306">
        <f t="shared" si="63"/>
        <v>0</v>
      </c>
      <c r="R379" s="307">
        <f t="shared" si="64"/>
        <v>0</v>
      </c>
      <c r="S379" s="314" t="str">
        <f t="shared" si="65"/>
        <v>ok</v>
      </c>
      <c r="T379" s="314"/>
      <c r="U379" s="314"/>
      <c r="V379" s="314"/>
      <c r="W379" s="314"/>
      <c r="X379" s="314"/>
    </row>
    <row r="380" spans="1:24" s="313" customFormat="1" ht="16.5" customHeight="1">
      <c r="A380" s="1337" t="s">
        <v>3394</v>
      </c>
      <c r="B380" s="1711" t="s">
        <v>3395</v>
      </c>
      <c r="C380" s="1502" t="s">
        <v>51</v>
      </c>
      <c r="D380" s="1710">
        <v>100</v>
      </c>
      <c r="E380" s="1312">
        <v>68.790000000000006</v>
      </c>
      <c r="F380" s="1486">
        <f t="shared" si="66"/>
        <v>6879.0000000000009</v>
      </c>
      <c r="G380" s="1049">
        <v>100</v>
      </c>
      <c r="H380" s="306">
        <v>6879</v>
      </c>
      <c r="I380" s="307">
        <v>0.99999999999999989</v>
      </c>
      <c r="J380" s="1046"/>
      <c r="K380" s="306">
        <f t="shared" si="57"/>
        <v>0</v>
      </c>
      <c r="L380" s="307">
        <f t="shared" si="58"/>
        <v>0</v>
      </c>
      <c r="M380" s="1047">
        <f t="shared" si="59"/>
        <v>100</v>
      </c>
      <c r="N380" s="306">
        <f t="shared" si="60"/>
        <v>6879</v>
      </c>
      <c r="O380" s="307">
        <f t="shared" si="61"/>
        <v>0.99999999999999989</v>
      </c>
      <c r="P380" s="1047">
        <f t="shared" si="62"/>
        <v>0</v>
      </c>
      <c r="Q380" s="306">
        <f t="shared" si="63"/>
        <v>0</v>
      </c>
      <c r="R380" s="307">
        <f t="shared" si="64"/>
        <v>0</v>
      </c>
      <c r="S380" s="314" t="str">
        <f t="shared" si="65"/>
        <v>ok</v>
      </c>
      <c r="T380" s="314"/>
      <c r="U380" s="314"/>
      <c r="V380" s="314"/>
      <c r="W380" s="314"/>
      <c r="X380" s="314"/>
    </row>
    <row r="381" spans="1:24" s="313" customFormat="1" ht="16.5" customHeight="1">
      <c r="A381" s="1337" t="s">
        <v>3396</v>
      </c>
      <c r="B381" s="1711" t="s">
        <v>3397</v>
      </c>
      <c r="C381" s="1502" t="s">
        <v>51</v>
      </c>
      <c r="D381" s="1710">
        <v>500</v>
      </c>
      <c r="E381" s="1312">
        <v>63.54</v>
      </c>
      <c r="F381" s="1486">
        <f t="shared" si="66"/>
        <v>31770</v>
      </c>
      <c r="G381" s="1049">
        <v>500</v>
      </c>
      <c r="H381" s="306">
        <v>31770</v>
      </c>
      <c r="I381" s="307">
        <v>1</v>
      </c>
      <c r="J381" s="1046"/>
      <c r="K381" s="306">
        <f t="shared" si="57"/>
        <v>0</v>
      </c>
      <c r="L381" s="307">
        <f t="shared" si="58"/>
        <v>0</v>
      </c>
      <c r="M381" s="1047">
        <f t="shared" si="59"/>
        <v>500</v>
      </c>
      <c r="N381" s="306">
        <f t="shared" si="60"/>
        <v>31770</v>
      </c>
      <c r="O381" s="307">
        <f t="shared" si="61"/>
        <v>1</v>
      </c>
      <c r="P381" s="1047">
        <f t="shared" si="62"/>
        <v>0</v>
      </c>
      <c r="Q381" s="306">
        <f t="shared" si="63"/>
        <v>0</v>
      </c>
      <c r="R381" s="307">
        <f t="shared" si="64"/>
        <v>0</v>
      </c>
      <c r="S381" s="314" t="str">
        <f t="shared" si="65"/>
        <v>ok</v>
      </c>
      <c r="T381" s="314"/>
      <c r="U381" s="314"/>
      <c r="V381" s="314"/>
      <c r="W381" s="314"/>
      <c r="X381" s="314"/>
    </row>
    <row r="382" spans="1:24" s="313" customFormat="1" ht="16.5" customHeight="1">
      <c r="A382" s="1337" t="s">
        <v>3398</v>
      </c>
      <c r="B382" s="1711" t="s">
        <v>3399</v>
      </c>
      <c r="C382" s="1502" t="s">
        <v>51</v>
      </c>
      <c r="D382" s="1710">
        <v>100</v>
      </c>
      <c r="E382" s="1312">
        <v>32.04</v>
      </c>
      <c r="F382" s="1486">
        <f t="shared" si="66"/>
        <v>3204</v>
      </c>
      <c r="G382" s="1049">
        <v>50</v>
      </c>
      <c r="H382" s="306">
        <v>1602</v>
      </c>
      <c r="I382" s="307">
        <v>0.5</v>
      </c>
      <c r="J382" s="1046"/>
      <c r="K382" s="306">
        <f t="shared" si="57"/>
        <v>0</v>
      </c>
      <c r="L382" s="307">
        <f t="shared" si="58"/>
        <v>0</v>
      </c>
      <c r="M382" s="1047">
        <f t="shared" si="59"/>
        <v>50</v>
      </c>
      <c r="N382" s="306">
        <f t="shared" si="60"/>
        <v>1602</v>
      </c>
      <c r="O382" s="307">
        <f t="shared" si="61"/>
        <v>0.5</v>
      </c>
      <c r="P382" s="1047">
        <f t="shared" si="62"/>
        <v>50</v>
      </c>
      <c r="Q382" s="306">
        <f t="shared" si="63"/>
        <v>1602</v>
      </c>
      <c r="R382" s="307">
        <f t="shared" si="64"/>
        <v>0.5</v>
      </c>
      <c r="S382" s="314" t="str">
        <f t="shared" si="65"/>
        <v>ok</v>
      </c>
      <c r="T382" s="314"/>
      <c r="U382" s="314"/>
      <c r="V382" s="314"/>
      <c r="W382" s="314"/>
      <c r="X382" s="314"/>
    </row>
    <row r="383" spans="1:24" s="313" customFormat="1" ht="16.5" customHeight="1">
      <c r="A383" s="1337" t="s">
        <v>3400</v>
      </c>
      <c r="B383" s="1711" t="s">
        <v>3401</v>
      </c>
      <c r="C383" s="1502" t="s">
        <v>51</v>
      </c>
      <c r="D383" s="1710">
        <v>900</v>
      </c>
      <c r="E383" s="1312">
        <v>4.74</v>
      </c>
      <c r="F383" s="1486">
        <f t="shared" si="66"/>
        <v>4266</v>
      </c>
      <c r="G383" s="1049">
        <v>900</v>
      </c>
      <c r="H383" s="306">
        <v>4266</v>
      </c>
      <c r="I383" s="307">
        <v>1</v>
      </c>
      <c r="J383" s="1046"/>
      <c r="K383" s="306">
        <f t="shared" ref="K383:K445" si="67">J383*E383</f>
        <v>0</v>
      </c>
      <c r="L383" s="307">
        <f t="shared" ref="L383:L445" si="68">+K383/$F383</f>
        <v>0</v>
      </c>
      <c r="M383" s="1047">
        <f t="shared" ref="M383:M445" si="69">+G383+J383</f>
        <v>900</v>
      </c>
      <c r="N383" s="306">
        <f t="shared" ref="N383:N445" si="70">ROUND(+M383*E383,2)</f>
        <v>4266</v>
      </c>
      <c r="O383" s="307">
        <f t="shared" ref="O383:O445" si="71">+N383/$F383</f>
        <v>1</v>
      </c>
      <c r="P383" s="1047">
        <f t="shared" ref="P383:P445" si="72">D383-M383</f>
        <v>0</v>
      </c>
      <c r="Q383" s="306">
        <f t="shared" ref="Q383:Q445" si="73">F383-N383</f>
        <v>0</v>
      </c>
      <c r="R383" s="307">
        <f t="shared" ref="R383:R445" si="74">+Q383/$F383</f>
        <v>0</v>
      </c>
      <c r="S383" s="314" t="str">
        <f t="shared" si="65"/>
        <v>ok</v>
      </c>
      <c r="T383" s="314"/>
      <c r="U383" s="314"/>
      <c r="V383" s="314"/>
      <c r="W383" s="314"/>
      <c r="X383" s="314"/>
    </row>
    <row r="384" spans="1:24" s="313" customFormat="1" ht="16.5" customHeight="1">
      <c r="A384" s="1337" t="s">
        <v>3402</v>
      </c>
      <c r="B384" s="1711" t="s">
        <v>3403</v>
      </c>
      <c r="C384" s="1502" t="s">
        <v>51</v>
      </c>
      <c r="D384" s="1710">
        <v>1600</v>
      </c>
      <c r="E384" s="1312">
        <v>3.9</v>
      </c>
      <c r="F384" s="1486">
        <f t="shared" si="66"/>
        <v>6240</v>
      </c>
      <c r="G384" s="1049">
        <v>1600</v>
      </c>
      <c r="H384" s="306">
        <v>6240</v>
      </c>
      <c r="I384" s="307">
        <v>1</v>
      </c>
      <c r="J384" s="1049"/>
      <c r="K384" s="306">
        <f t="shared" si="67"/>
        <v>0</v>
      </c>
      <c r="L384" s="307">
        <f t="shared" si="68"/>
        <v>0</v>
      </c>
      <c r="M384" s="1049">
        <f t="shared" si="69"/>
        <v>1600</v>
      </c>
      <c r="N384" s="306">
        <f t="shared" si="70"/>
        <v>6240</v>
      </c>
      <c r="O384" s="307">
        <f t="shared" si="71"/>
        <v>1</v>
      </c>
      <c r="P384" s="1049">
        <f t="shared" si="72"/>
        <v>0</v>
      </c>
      <c r="Q384" s="306">
        <f t="shared" si="73"/>
        <v>0</v>
      </c>
      <c r="R384" s="307">
        <f t="shared" si="74"/>
        <v>0</v>
      </c>
      <c r="S384" s="314" t="str">
        <f t="shared" si="65"/>
        <v>ok</v>
      </c>
      <c r="T384" s="314"/>
      <c r="U384" s="314"/>
      <c r="V384" s="314"/>
      <c r="W384" s="314"/>
      <c r="X384" s="314"/>
    </row>
    <row r="385" spans="1:24" s="313" customFormat="1" ht="16.149999999999999" customHeight="1">
      <c r="A385" s="1337" t="s">
        <v>3404</v>
      </c>
      <c r="B385" s="1711" t="s">
        <v>3405</v>
      </c>
      <c r="C385" s="1502" t="s">
        <v>51</v>
      </c>
      <c r="D385" s="1710">
        <v>800</v>
      </c>
      <c r="E385" s="1312">
        <v>4.74</v>
      </c>
      <c r="F385" s="1486">
        <f t="shared" si="66"/>
        <v>3792</v>
      </c>
      <c r="G385" s="1049">
        <v>800</v>
      </c>
      <c r="H385" s="306">
        <v>3792</v>
      </c>
      <c r="I385" s="307">
        <v>1</v>
      </c>
      <c r="J385" s="1049"/>
      <c r="K385" s="306">
        <f t="shared" si="67"/>
        <v>0</v>
      </c>
      <c r="L385" s="307">
        <f t="shared" si="68"/>
        <v>0</v>
      </c>
      <c r="M385" s="1049">
        <f t="shared" si="69"/>
        <v>800</v>
      </c>
      <c r="N385" s="306">
        <f t="shared" si="70"/>
        <v>3792</v>
      </c>
      <c r="O385" s="307">
        <f t="shared" si="71"/>
        <v>1</v>
      </c>
      <c r="P385" s="1049">
        <f t="shared" si="72"/>
        <v>0</v>
      </c>
      <c r="Q385" s="306">
        <f t="shared" si="73"/>
        <v>0</v>
      </c>
      <c r="R385" s="307">
        <f t="shared" si="74"/>
        <v>0</v>
      </c>
      <c r="S385" s="314" t="str">
        <f t="shared" si="65"/>
        <v>ok</v>
      </c>
      <c r="T385" s="314"/>
      <c r="U385" s="314"/>
      <c r="V385" s="314"/>
      <c r="W385" s="314"/>
      <c r="X385" s="314"/>
    </row>
    <row r="386" spans="1:24" s="2086" customFormat="1" ht="16.5" customHeight="1">
      <c r="A386" s="2087" t="s">
        <v>3406</v>
      </c>
      <c r="B386" s="2087" t="s">
        <v>3407</v>
      </c>
      <c r="C386" s="2088"/>
      <c r="D386" s="2089"/>
      <c r="E386" s="2090"/>
      <c r="F386" s="2091"/>
      <c r="G386" s="1966"/>
      <c r="H386" s="1967"/>
      <c r="I386" s="1968"/>
      <c r="J386" s="1966"/>
      <c r="K386" s="1967"/>
      <c r="L386" s="1968"/>
      <c r="M386" s="1966"/>
      <c r="N386" s="1967"/>
      <c r="O386" s="1968"/>
      <c r="P386" s="1966"/>
      <c r="Q386" s="1967"/>
      <c r="R386" s="1968"/>
      <c r="S386" s="1971" t="str">
        <f t="shared" si="65"/>
        <v>ok</v>
      </c>
      <c r="T386" s="1971"/>
      <c r="U386" s="1971" t="s">
        <v>4299</v>
      </c>
      <c r="V386" s="1971"/>
      <c r="W386" s="1971"/>
      <c r="X386" s="1971"/>
    </row>
    <row r="387" spans="1:24" s="1427" customFormat="1" ht="16.5" customHeight="1">
      <c r="A387" s="1880" t="s">
        <v>3408</v>
      </c>
      <c r="B387" s="1881" t="s">
        <v>3409</v>
      </c>
      <c r="C387" s="1858" t="s">
        <v>52</v>
      </c>
      <c r="D387" s="1859">
        <v>86</v>
      </c>
      <c r="E387" s="1854">
        <v>120.01</v>
      </c>
      <c r="F387" s="1855">
        <f t="shared" si="66"/>
        <v>10320.86</v>
      </c>
      <c r="G387" s="1049">
        <v>74</v>
      </c>
      <c r="H387" s="1425">
        <v>8880.74</v>
      </c>
      <c r="I387" s="305">
        <v>0.86046511627906974</v>
      </c>
      <c r="J387" s="1049"/>
      <c r="K387" s="1425">
        <f t="shared" si="67"/>
        <v>0</v>
      </c>
      <c r="L387" s="305">
        <f t="shared" si="68"/>
        <v>0</v>
      </c>
      <c r="M387" s="1049">
        <f t="shared" si="69"/>
        <v>74</v>
      </c>
      <c r="N387" s="1425">
        <f t="shared" si="70"/>
        <v>8880.74</v>
      </c>
      <c r="O387" s="305">
        <f t="shared" si="71"/>
        <v>0.86046511627906974</v>
      </c>
      <c r="P387" s="1049">
        <f t="shared" si="72"/>
        <v>12</v>
      </c>
      <c r="Q387" s="1425">
        <f t="shared" si="73"/>
        <v>1440.1200000000008</v>
      </c>
      <c r="R387" s="305">
        <f t="shared" si="74"/>
        <v>0.13953488372093031</v>
      </c>
      <c r="S387" s="1426" t="str">
        <f t="shared" si="65"/>
        <v>ok</v>
      </c>
      <c r="T387" s="1426">
        <v>80</v>
      </c>
      <c r="U387" s="1426">
        <v>56</v>
      </c>
      <c r="V387" s="1426"/>
      <c r="W387" s="1426"/>
      <c r="X387" s="1426"/>
    </row>
    <row r="388" spans="1:24" s="1427" customFormat="1" ht="16.5" customHeight="1">
      <c r="A388" s="1880" t="s">
        <v>3410</v>
      </c>
      <c r="B388" s="1881" t="s">
        <v>3411</v>
      </c>
      <c r="C388" s="1858" t="s">
        <v>52</v>
      </c>
      <c r="D388" s="1859">
        <v>50</v>
      </c>
      <c r="E388" s="1854">
        <v>135.18</v>
      </c>
      <c r="F388" s="1855">
        <f t="shared" si="66"/>
        <v>6759</v>
      </c>
      <c r="G388" s="1049">
        <v>25</v>
      </c>
      <c r="H388" s="1425">
        <v>3379.5</v>
      </c>
      <c r="I388" s="305">
        <v>0.5</v>
      </c>
      <c r="J388" s="1049"/>
      <c r="K388" s="1425">
        <f t="shared" si="67"/>
        <v>0</v>
      </c>
      <c r="L388" s="305">
        <f t="shared" si="68"/>
        <v>0</v>
      </c>
      <c r="M388" s="1049">
        <f t="shared" si="69"/>
        <v>25</v>
      </c>
      <c r="N388" s="1425">
        <f t="shared" si="70"/>
        <v>3379.5</v>
      </c>
      <c r="O388" s="305">
        <f t="shared" si="71"/>
        <v>0.5</v>
      </c>
      <c r="P388" s="1049">
        <f t="shared" si="72"/>
        <v>25</v>
      </c>
      <c r="Q388" s="1425">
        <f t="shared" si="73"/>
        <v>3379.5</v>
      </c>
      <c r="R388" s="305">
        <f t="shared" si="74"/>
        <v>0.5</v>
      </c>
      <c r="S388" s="1426" t="str">
        <f t="shared" si="65"/>
        <v>ok</v>
      </c>
      <c r="T388" s="1426">
        <v>20</v>
      </c>
      <c r="U388" s="1426">
        <v>18</v>
      </c>
      <c r="V388" s="1426">
        <f>4+4+10</f>
        <v>18</v>
      </c>
      <c r="W388" s="1426"/>
      <c r="X388" s="1426"/>
    </row>
    <row r="389" spans="1:24" s="1427" customFormat="1" ht="16.5" customHeight="1">
      <c r="A389" s="1880" t="s">
        <v>3412</v>
      </c>
      <c r="B389" s="1881" t="s">
        <v>3413</v>
      </c>
      <c r="C389" s="1858" t="s">
        <v>52</v>
      </c>
      <c r="D389" s="1859">
        <v>116</v>
      </c>
      <c r="E389" s="1854">
        <v>125.18</v>
      </c>
      <c r="F389" s="1855">
        <f t="shared" si="66"/>
        <v>14520.880000000001</v>
      </c>
      <c r="G389" s="1049">
        <v>116</v>
      </c>
      <c r="H389" s="1425">
        <v>14520.88</v>
      </c>
      <c r="I389" s="305">
        <v>0.99999999999999989</v>
      </c>
      <c r="J389" s="1049"/>
      <c r="K389" s="1425">
        <f t="shared" si="67"/>
        <v>0</v>
      </c>
      <c r="L389" s="305">
        <f t="shared" si="68"/>
        <v>0</v>
      </c>
      <c r="M389" s="1049">
        <f t="shared" si="69"/>
        <v>116</v>
      </c>
      <c r="N389" s="1425">
        <f t="shared" si="70"/>
        <v>14520.88</v>
      </c>
      <c r="O389" s="305">
        <f t="shared" si="71"/>
        <v>0.99999999999999989</v>
      </c>
      <c r="P389" s="1049">
        <f t="shared" si="72"/>
        <v>0</v>
      </c>
      <c r="Q389" s="1425">
        <f t="shared" si="73"/>
        <v>0</v>
      </c>
      <c r="R389" s="305">
        <f t="shared" si="74"/>
        <v>0</v>
      </c>
      <c r="S389" s="1426" t="str">
        <f t="shared" si="65"/>
        <v>ok</v>
      </c>
      <c r="T389" s="1426">
        <v>108</v>
      </c>
      <c r="U389" s="1426">
        <v>98</v>
      </c>
      <c r="V389" s="1426"/>
      <c r="W389" s="1426"/>
      <c r="X389" s="1426"/>
    </row>
    <row r="390" spans="1:24" s="1427" customFormat="1" ht="16.5" customHeight="1">
      <c r="A390" s="1880" t="s">
        <v>3414</v>
      </c>
      <c r="B390" s="1881" t="s">
        <v>3415</v>
      </c>
      <c r="C390" s="1858" t="s">
        <v>52</v>
      </c>
      <c r="D390" s="1859">
        <v>65</v>
      </c>
      <c r="E390" s="1854">
        <v>125.18</v>
      </c>
      <c r="F390" s="1855">
        <f t="shared" si="66"/>
        <v>8136.7000000000007</v>
      </c>
      <c r="G390" s="1049">
        <v>57</v>
      </c>
      <c r="H390" s="1425">
        <v>7135.26</v>
      </c>
      <c r="I390" s="305">
        <v>0.87692307692307692</v>
      </c>
      <c r="J390" s="1049"/>
      <c r="K390" s="1425">
        <f t="shared" si="67"/>
        <v>0</v>
      </c>
      <c r="L390" s="305">
        <f t="shared" si="68"/>
        <v>0</v>
      </c>
      <c r="M390" s="1049">
        <f t="shared" si="69"/>
        <v>57</v>
      </c>
      <c r="N390" s="1425">
        <f t="shared" si="70"/>
        <v>7135.26</v>
      </c>
      <c r="O390" s="305">
        <f t="shared" si="71"/>
        <v>0.87692307692307692</v>
      </c>
      <c r="P390" s="1049">
        <f t="shared" si="72"/>
        <v>8</v>
      </c>
      <c r="Q390" s="1425">
        <f t="shared" si="73"/>
        <v>1001.4400000000005</v>
      </c>
      <c r="R390" s="305">
        <f t="shared" si="74"/>
        <v>0.12307692307692313</v>
      </c>
      <c r="S390" s="1426" t="str">
        <f t="shared" si="65"/>
        <v>ok</v>
      </c>
      <c r="T390" s="1426">
        <v>65</v>
      </c>
      <c r="U390" s="1426">
        <v>61</v>
      </c>
      <c r="V390" s="1426"/>
      <c r="W390" s="1426"/>
      <c r="X390" s="1426"/>
    </row>
    <row r="391" spans="1:24" s="1427" customFormat="1" ht="16.5" customHeight="1">
      <c r="A391" s="1880" t="s">
        <v>3416</v>
      </c>
      <c r="B391" s="1881" t="s">
        <v>3417</v>
      </c>
      <c r="C391" s="1858" t="s">
        <v>52</v>
      </c>
      <c r="D391" s="1859">
        <v>35</v>
      </c>
      <c r="E391" s="1854">
        <v>125.18</v>
      </c>
      <c r="F391" s="1855">
        <f t="shared" si="66"/>
        <v>4381.3</v>
      </c>
      <c r="G391" s="1049">
        <v>23</v>
      </c>
      <c r="H391" s="1425">
        <v>2879.14</v>
      </c>
      <c r="I391" s="305">
        <v>0.65714285714285714</v>
      </c>
      <c r="J391" s="1049"/>
      <c r="K391" s="1425">
        <f t="shared" si="67"/>
        <v>0</v>
      </c>
      <c r="L391" s="305">
        <f t="shared" si="68"/>
        <v>0</v>
      </c>
      <c r="M391" s="1049">
        <f t="shared" si="69"/>
        <v>23</v>
      </c>
      <c r="N391" s="1425">
        <f t="shared" si="70"/>
        <v>2879.14</v>
      </c>
      <c r="O391" s="305">
        <f t="shared" si="71"/>
        <v>0.65714285714285714</v>
      </c>
      <c r="P391" s="1049">
        <f t="shared" si="72"/>
        <v>12</v>
      </c>
      <c r="Q391" s="1425">
        <f t="shared" si="73"/>
        <v>1502.1600000000003</v>
      </c>
      <c r="R391" s="305">
        <f t="shared" si="74"/>
        <v>0.34285714285714292</v>
      </c>
      <c r="S391" s="1426" t="str">
        <f t="shared" si="65"/>
        <v>ok</v>
      </c>
      <c r="T391" s="1426">
        <v>35</v>
      </c>
      <c r="U391" s="1426">
        <v>23</v>
      </c>
      <c r="V391" s="1426"/>
      <c r="W391" s="1426"/>
      <c r="X391" s="1426"/>
    </row>
    <row r="392" spans="1:24" s="2102" customFormat="1" ht="16.5" customHeight="1">
      <c r="A392" s="2092" t="s">
        <v>3418</v>
      </c>
      <c r="B392" s="2093" t="s">
        <v>3419</v>
      </c>
      <c r="C392" s="2094" t="s">
        <v>52</v>
      </c>
      <c r="D392" s="2095">
        <v>15</v>
      </c>
      <c r="E392" s="2096">
        <v>150.01</v>
      </c>
      <c r="F392" s="2097">
        <f t="shared" si="66"/>
        <v>2250.1499999999996</v>
      </c>
      <c r="G392" s="2098">
        <v>15</v>
      </c>
      <c r="H392" s="2099">
        <v>2250.15</v>
      </c>
      <c r="I392" s="2100">
        <v>1.0000000000000002</v>
      </c>
      <c r="J392" s="2098"/>
      <c r="K392" s="2099">
        <f t="shared" si="67"/>
        <v>0</v>
      </c>
      <c r="L392" s="2100">
        <f t="shared" si="68"/>
        <v>0</v>
      </c>
      <c r="M392" s="2098">
        <f t="shared" si="69"/>
        <v>15</v>
      </c>
      <c r="N392" s="2099">
        <f t="shared" si="70"/>
        <v>2250.15</v>
      </c>
      <c r="O392" s="2100">
        <f t="shared" si="71"/>
        <v>1.0000000000000002</v>
      </c>
      <c r="P392" s="2098">
        <f t="shared" si="72"/>
        <v>0</v>
      </c>
      <c r="Q392" s="2099">
        <f t="shared" si="73"/>
        <v>0</v>
      </c>
      <c r="R392" s="2100">
        <f t="shared" si="74"/>
        <v>0</v>
      </c>
      <c r="S392" s="2101" t="str">
        <f t="shared" si="65"/>
        <v>ok</v>
      </c>
      <c r="T392" s="2101">
        <v>12</v>
      </c>
      <c r="U392" s="2101">
        <v>12</v>
      </c>
      <c r="V392" s="2101"/>
      <c r="W392" s="2101"/>
      <c r="X392" s="2101"/>
    </row>
    <row r="393" spans="1:24" s="1427" customFormat="1" ht="16.5" customHeight="1">
      <c r="A393" s="1880" t="s">
        <v>3420</v>
      </c>
      <c r="B393" s="1881" t="s">
        <v>3421</v>
      </c>
      <c r="C393" s="1858" t="s">
        <v>52</v>
      </c>
      <c r="D393" s="1859">
        <v>32</v>
      </c>
      <c r="E393" s="1854">
        <v>735.01</v>
      </c>
      <c r="F393" s="1855">
        <f t="shared" si="66"/>
        <v>23520.32</v>
      </c>
      <c r="G393" s="1049">
        <v>4</v>
      </c>
      <c r="H393" s="1425">
        <v>2940.04</v>
      </c>
      <c r="I393" s="305">
        <v>0.125</v>
      </c>
      <c r="J393" s="1049"/>
      <c r="K393" s="1425">
        <f t="shared" si="67"/>
        <v>0</v>
      </c>
      <c r="L393" s="305">
        <f t="shared" si="68"/>
        <v>0</v>
      </c>
      <c r="M393" s="1049">
        <f t="shared" si="69"/>
        <v>4</v>
      </c>
      <c r="N393" s="1425">
        <f t="shared" si="70"/>
        <v>2940.04</v>
      </c>
      <c r="O393" s="305">
        <f t="shared" si="71"/>
        <v>0.125</v>
      </c>
      <c r="P393" s="1049">
        <f t="shared" si="72"/>
        <v>28</v>
      </c>
      <c r="Q393" s="1425">
        <f t="shared" si="73"/>
        <v>20580.28</v>
      </c>
      <c r="R393" s="305">
        <f t="shared" si="74"/>
        <v>0.875</v>
      </c>
      <c r="S393" s="1426" t="str">
        <f t="shared" si="65"/>
        <v>ok</v>
      </c>
      <c r="T393" s="1426">
        <v>4</v>
      </c>
      <c r="U393" s="1426">
        <v>3</v>
      </c>
      <c r="V393" s="1426"/>
      <c r="W393" s="1426"/>
      <c r="X393" s="1426"/>
    </row>
    <row r="394" spans="1:24" s="1427" customFormat="1" ht="16.5" customHeight="1">
      <c r="A394" s="1880" t="s">
        <v>3422</v>
      </c>
      <c r="B394" s="1881" t="s">
        <v>3423</v>
      </c>
      <c r="C394" s="1858" t="s">
        <v>52</v>
      </c>
      <c r="D394" s="1859">
        <v>4</v>
      </c>
      <c r="E394" s="1854">
        <v>405.01</v>
      </c>
      <c r="F394" s="1855">
        <f t="shared" si="66"/>
        <v>1620.04</v>
      </c>
      <c r="G394" s="1049">
        <v>0</v>
      </c>
      <c r="H394" s="1425">
        <v>0</v>
      </c>
      <c r="I394" s="305">
        <v>0</v>
      </c>
      <c r="J394" s="1049"/>
      <c r="K394" s="1425">
        <f t="shared" si="67"/>
        <v>0</v>
      </c>
      <c r="L394" s="305">
        <f t="shared" si="68"/>
        <v>0</v>
      </c>
      <c r="M394" s="1049">
        <f t="shared" si="69"/>
        <v>0</v>
      </c>
      <c r="N394" s="1425">
        <f t="shared" si="70"/>
        <v>0</v>
      </c>
      <c r="O394" s="305">
        <f t="shared" si="71"/>
        <v>0</v>
      </c>
      <c r="P394" s="1049">
        <f t="shared" si="72"/>
        <v>4</v>
      </c>
      <c r="Q394" s="1425">
        <f t="shared" si="73"/>
        <v>1620.04</v>
      </c>
      <c r="R394" s="305">
        <f t="shared" si="74"/>
        <v>1</v>
      </c>
      <c r="S394" s="1426" t="str">
        <f t="shared" si="65"/>
        <v>ok</v>
      </c>
      <c r="T394" s="1426"/>
      <c r="U394" s="1426"/>
      <c r="V394" s="1426"/>
      <c r="W394" s="1426"/>
      <c r="X394" s="1426"/>
    </row>
    <row r="395" spans="1:24" s="1427" customFormat="1" ht="16.5" customHeight="1">
      <c r="A395" s="1880" t="s">
        <v>3424</v>
      </c>
      <c r="B395" s="1881" t="s">
        <v>3425</v>
      </c>
      <c r="C395" s="1858" t="s">
        <v>52</v>
      </c>
      <c r="D395" s="1859">
        <v>6</v>
      </c>
      <c r="E395" s="1854">
        <v>73.150000000000006</v>
      </c>
      <c r="F395" s="1855">
        <f t="shared" si="66"/>
        <v>438.90000000000003</v>
      </c>
      <c r="G395" s="1049">
        <v>0</v>
      </c>
      <c r="H395" s="1425">
        <v>0</v>
      </c>
      <c r="I395" s="305">
        <v>0</v>
      </c>
      <c r="J395" s="1049"/>
      <c r="K395" s="1425">
        <f t="shared" si="67"/>
        <v>0</v>
      </c>
      <c r="L395" s="305">
        <f t="shared" si="68"/>
        <v>0</v>
      </c>
      <c r="M395" s="1049">
        <f t="shared" si="69"/>
        <v>0</v>
      </c>
      <c r="N395" s="1425">
        <f t="shared" si="70"/>
        <v>0</v>
      </c>
      <c r="O395" s="305">
        <f t="shared" si="71"/>
        <v>0</v>
      </c>
      <c r="P395" s="1049">
        <f t="shared" si="72"/>
        <v>6</v>
      </c>
      <c r="Q395" s="1425">
        <f t="shared" si="73"/>
        <v>438.90000000000003</v>
      </c>
      <c r="R395" s="305">
        <f t="shared" si="74"/>
        <v>1</v>
      </c>
      <c r="S395" s="1426" t="str">
        <f t="shared" si="65"/>
        <v>ok</v>
      </c>
      <c r="T395" s="1426"/>
      <c r="U395" s="1426"/>
      <c r="V395" s="1426"/>
      <c r="W395" s="1426"/>
      <c r="X395" s="1426"/>
    </row>
    <row r="396" spans="1:24" s="1427" customFormat="1" ht="16.5" customHeight="1">
      <c r="A396" s="1880" t="s">
        <v>3426</v>
      </c>
      <c r="B396" s="1881" t="s">
        <v>3427</v>
      </c>
      <c r="C396" s="1858" t="s">
        <v>52</v>
      </c>
      <c r="D396" s="1859">
        <v>8</v>
      </c>
      <c r="E396" s="1854">
        <v>73.150000000000006</v>
      </c>
      <c r="F396" s="1855">
        <f t="shared" si="66"/>
        <v>585.20000000000005</v>
      </c>
      <c r="G396" s="1049">
        <v>0</v>
      </c>
      <c r="H396" s="1425">
        <v>0</v>
      </c>
      <c r="I396" s="305">
        <v>0</v>
      </c>
      <c r="J396" s="1049"/>
      <c r="K396" s="1425">
        <f t="shared" si="67"/>
        <v>0</v>
      </c>
      <c r="L396" s="305">
        <f t="shared" si="68"/>
        <v>0</v>
      </c>
      <c r="M396" s="1049">
        <f t="shared" si="69"/>
        <v>0</v>
      </c>
      <c r="N396" s="1425">
        <f t="shared" si="70"/>
        <v>0</v>
      </c>
      <c r="O396" s="305">
        <f t="shared" si="71"/>
        <v>0</v>
      </c>
      <c r="P396" s="1049">
        <f t="shared" si="72"/>
        <v>8</v>
      </c>
      <c r="Q396" s="1425">
        <f t="shared" si="73"/>
        <v>585.20000000000005</v>
      </c>
      <c r="R396" s="305">
        <f t="shared" si="74"/>
        <v>1</v>
      </c>
      <c r="S396" s="1426" t="str">
        <f t="shared" si="65"/>
        <v>ok</v>
      </c>
      <c r="T396" s="1426"/>
      <c r="U396" s="1426"/>
      <c r="V396" s="1426"/>
      <c r="W396" s="1426"/>
      <c r="X396" s="1426"/>
    </row>
    <row r="397" spans="1:24" s="1427" customFormat="1" ht="16.5" customHeight="1">
      <c r="A397" s="1880" t="s">
        <v>3428</v>
      </c>
      <c r="B397" s="1881" t="s">
        <v>3429</v>
      </c>
      <c r="C397" s="1858" t="s">
        <v>52</v>
      </c>
      <c r="D397" s="1859">
        <v>24</v>
      </c>
      <c r="E397" s="1854">
        <v>115.18</v>
      </c>
      <c r="F397" s="1855">
        <f t="shared" si="66"/>
        <v>2764.32</v>
      </c>
      <c r="G397" s="1049">
        <v>24</v>
      </c>
      <c r="H397" s="1425">
        <v>2764.32</v>
      </c>
      <c r="I397" s="305">
        <v>1</v>
      </c>
      <c r="J397" s="1049"/>
      <c r="K397" s="1425">
        <f t="shared" si="67"/>
        <v>0</v>
      </c>
      <c r="L397" s="305">
        <f t="shared" si="68"/>
        <v>0</v>
      </c>
      <c r="M397" s="1049">
        <f t="shared" si="69"/>
        <v>24</v>
      </c>
      <c r="N397" s="1425">
        <f t="shared" si="70"/>
        <v>2764.32</v>
      </c>
      <c r="O397" s="305">
        <f t="shared" si="71"/>
        <v>1</v>
      </c>
      <c r="P397" s="1049">
        <f t="shared" si="72"/>
        <v>0</v>
      </c>
      <c r="Q397" s="1425">
        <f t="shared" si="73"/>
        <v>0</v>
      </c>
      <c r="R397" s="305">
        <f t="shared" si="74"/>
        <v>0</v>
      </c>
      <c r="S397" s="1426" t="str">
        <f t="shared" si="65"/>
        <v>ok</v>
      </c>
      <c r="T397" s="1426">
        <v>24</v>
      </c>
      <c r="U397" s="1426">
        <v>24</v>
      </c>
      <c r="V397" s="1426"/>
      <c r="W397" s="1426"/>
      <c r="X397" s="1426"/>
    </row>
    <row r="398" spans="1:24" s="1427" customFormat="1" ht="16.5" customHeight="1">
      <c r="A398" s="1880" t="s">
        <v>3430</v>
      </c>
      <c r="B398" s="1881" t="s">
        <v>3431</v>
      </c>
      <c r="C398" s="1858" t="s">
        <v>52</v>
      </c>
      <c r="D398" s="1859">
        <v>5</v>
      </c>
      <c r="E398" s="1854">
        <v>110.11</v>
      </c>
      <c r="F398" s="1855">
        <f t="shared" si="66"/>
        <v>550.54999999999995</v>
      </c>
      <c r="G398" s="1049">
        <v>0</v>
      </c>
      <c r="H398" s="1425">
        <v>0</v>
      </c>
      <c r="I398" s="305">
        <v>0</v>
      </c>
      <c r="J398" s="1049"/>
      <c r="K398" s="1425">
        <f t="shared" si="67"/>
        <v>0</v>
      </c>
      <c r="L398" s="305">
        <f t="shared" si="68"/>
        <v>0</v>
      </c>
      <c r="M398" s="1049">
        <f t="shared" si="69"/>
        <v>0</v>
      </c>
      <c r="N398" s="1425">
        <f t="shared" si="70"/>
        <v>0</v>
      </c>
      <c r="O398" s="305">
        <f t="shared" si="71"/>
        <v>0</v>
      </c>
      <c r="P398" s="1049">
        <f t="shared" si="72"/>
        <v>5</v>
      </c>
      <c r="Q398" s="1425">
        <f t="shared" si="73"/>
        <v>550.54999999999995</v>
      </c>
      <c r="R398" s="305">
        <f t="shared" si="74"/>
        <v>1</v>
      </c>
      <c r="S398" s="1426" t="str">
        <f t="shared" si="65"/>
        <v>ok</v>
      </c>
      <c r="T398" s="1426" t="s">
        <v>4298</v>
      </c>
      <c r="U398" s="1426"/>
      <c r="V398" s="1426"/>
      <c r="W398" s="1426"/>
      <c r="X398" s="1426"/>
    </row>
    <row r="399" spans="1:24" s="1427" customFormat="1" ht="16.5" customHeight="1">
      <c r="A399" s="1880" t="s">
        <v>3432</v>
      </c>
      <c r="B399" s="1881" t="s">
        <v>3433</v>
      </c>
      <c r="C399" s="1858" t="s">
        <v>52</v>
      </c>
      <c r="D399" s="1859">
        <v>28</v>
      </c>
      <c r="E399" s="1854">
        <v>155.18</v>
      </c>
      <c r="F399" s="1855">
        <f t="shared" si="66"/>
        <v>4345.04</v>
      </c>
      <c r="G399" s="1049">
        <v>6</v>
      </c>
      <c r="H399" s="1425">
        <v>931.08</v>
      </c>
      <c r="I399" s="305">
        <v>0.2142857142857143</v>
      </c>
      <c r="J399" s="1049"/>
      <c r="K399" s="1425">
        <f t="shared" si="67"/>
        <v>0</v>
      </c>
      <c r="L399" s="305">
        <f t="shared" si="68"/>
        <v>0</v>
      </c>
      <c r="M399" s="1049">
        <f t="shared" si="69"/>
        <v>6</v>
      </c>
      <c r="N399" s="1425">
        <f t="shared" si="70"/>
        <v>931.08</v>
      </c>
      <c r="O399" s="305">
        <f t="shared" si="71"/>
        <v>0.2142857142857143</v>
      </c>
      <c r="P399" s="1049">
        <f t="shared" si="72"/>
        <v>22</v>
      </c>
      <c r="Q399" s="1425">
        <f t="shared" si="73"/>
        <v>3413.96</v>
      </c>
      <c r="R399" s="305">
        <f t="shared" si="74"/>
        <v>0.7857142857142857</v>
      </c>
      <c r="S399" s="1426" t="str">
        <f t="shared" si="65"/>
        <v>ok</v>
      </c>
      <c r="T399" s="1426">
        <v>41</v>
      </c>
      <c r="U399" s="1426">
        <v>41</v>
      </c>
      <c r="V399" s="1426"/>
      <c r="W399" s="1426"/>
      <c r="X399" s="1426"/>
    </row>
    <row r="400" spans="1:24" s="1427" customFormat="1" ht="16.5" customHeight="1">
      <c r="A400" s="1880" t="s">
        <v>3434</v>
      </c>
      <c r="B400" s="1881" t="s">
        <v>3435</v>
      </c>
      <c r="C400" s="1858" t="s">
        <v>52</v>
      </c>
      <c r="D400" s="1859">
        <v>3</v>
      </c>
      <c r="E400" s="1854">
        <v>425.01</v>
      </c>
      <c r="F400" s="1855">
        <f t="shared" si="66"/>
        <v>1275.03</v>
      </c>
      <c r="G400" s="1049">
        <v>0</v>
      </c>
      <c r="H400" s="1425">
        <v>0</v>
      </c>
      <c r="I400" s="305">
        <v>0</v>
      </c>
      <c r="J400" s="1049"/>
      <c r="K400" s="1425">
        <f t="shared" si="67"/>
        <v>0</v>
      </c>
      <c r="L400" s="305">
        <f t="shared" si="68"/>
        <v>0</v>
      </c>
      <c r="M400" s="1049">
        <f t="shared" si="69"/>
        <v>0</v>
      </c>
      <c r="N400" s="1425">
        <f t="shared" si="70"/>
        <v>0</v>
      </c>
      <c r="O400" s="305">
        <f t="shared" si="71"/>
        <v>0</v>
      </c>
      <c r="P400" s="1049">
        <f t="shared" si="72"/>
        <v>3</v>
      </c>
      <c r="Q400" s="1425">
        <f t="shared" si="73"/>
        <v>1275.03</v>
      </c>
      <c r="R400" s="305">
        <f t="shared" si="74"/>
        <v>1</v>
      </c>
      <c r="S400" s="1426" t="str">
        <f t="shared" si="65"/>
        <v>ok</v>
      </c>
      <c r="T400" s="1426"/>
      <c r="U400" s="1426"/>
      <c r="V400" s="1426"/>
      <c r="W400" s="1426"/>
      <c r="X400" s="1426"/>
    </row>
    <row r="401" spans="1:24" s="1427" customFormat="1" ht="16.5" customHeight="1">
      <c r="A401" s="1887" t="s">
        <v>3436</v>
      </c>
      <c r="B401" s="1887" t="s">
        <v>3437</v>
      </c>
      <c r="C401" s="1858"/>
      <c r="D401" s="1859"/>
      <c r="E401" s="1854"/>
      <c r="F401" s="1855"/>
      <c r="G401" s="1049"/>
      <c r="H401" s="1425"/>
      <c r="I401" s="305"/>
      <c r="J401" s="1049"/>
      <c r="K401" s="1425"/>
      <c r="L401" s="305"/>
      <c r="M401" s="1049"/>
      <c r="N401" s="1425"/>
      <c r="O401" s="305"/>
      <c r="P401" s="1049"/>
      <c r="Q401" s="1425"/>
      <c r="R401" s="305"/>
      <c r="S401" s="1426" t="str">
        <f t="shared" si="65"/>
        <v>ok</v>
      </c>
      <c r="T401" s="1426"/>
      <c r="U401" s="1426"/>
      <c r="V401" s="1426"/>
      <c r="W401" s="1426"/>
      <c r="X401" s="1426"/>
    </row>
    <row r="402" spans="1:24" s="1427" customFormat="1" ht="16.5" customHeight="1">
      <c r="A402" s="1880" t="s">
        <v>3438</v>
      </c>
      <c r="B402" s="1881" t="s">
        <v>3439</v>
      </c>
      <c r="C402" s="1858" t="s">
        <v>52</v>
      </c>
      <c r="D402" s="1859">
        <v>1</v>
      </c>
      <c r="E402" s="1854">
        <v>200213.88</v>
      </c>
      <c r="F402" s="1855">
        <f t="shared" si="66"/>
        <v>200213.88</v>
      </c>
      <c r="G402" s="1049">
        <v>0</v>
      </c>
      <c r="H402" s="1425">
        <v>0</v>
      </c>
      <c r="I402" s="305">
        <v>0</v>
      </c>
      <c r="J402" s="1049"/>
      <c r="K402" s="1425">
        <f t="shared" si="67"/>
        <v>0</v>
      </c>
      <c r="L402" s="305">
        <f t="shared" si="68"/>
        <v>0</v>
      </c>
      <c r="M402" s="1049">
        <f t="shared" si="69"/>
        <v>0</v>
      </c>
      <c r="N402" s="1425">
        <f t="shared" si="70"/>
        <v>0</v>
      </c>
      <c r="O402" s="305">
        <f t="shared" si="71"/>
        <v>0</v>
      </c>
      <c r="P402" s="1049">
        <f t="shared" si="72"/>
        <v>1</v>
      </c>
      <c r="Q402" s="1425">
        <f t="shared" si="73"/>
        <v>200213.88</v>
      </c>
      <c r="R402" s="305">
        <f t="shared" si="74"/>
        <v>1</v>
      </c>
      <c r="S402" s="1426" t="str">
        <f t="shared" si="65"/>
        <v>ok</v>
      </c>
      <c r="T402" s="1426"/>
      <c r="U402" s="1426"/>
      <c r="V402" s="1426"/>
      <c r="W402" s="1426"/>
      <c r="X402" s="1426"/>
    </row>
    <row r="403" spans="1:24" s="313" customFormat="1" ht="16.5" customHeight="1">
      <c r="A403" s="1337" t="s">
        <v>3440</v>
      </c>
      <c r="B403" s="1711" t="s">
        <v>3441</v>
      </c>
      <c r="C403" s="1502" t="s">
        <v>52</v>
      </c>
      <c r="D403" s="1710">
        <v>2</v>
      </c>
      <c r="E403" s="1312">
        <v>125213.88</v>
      </c>
      <c r="F403" s="1486">
        <f t="shared" si="66"/>
        <v>250427.76</v>
      </c>
      <c r="G403" s="1049">
        <v>0</v>
      </c>
      <c r="H403" s="306">
        <v>0</v>
      </c>
      <c r="I403" s="307">
        <v>0</v>
      </c>
      <c r="J403" s="1049"/>
      <c r="K403" s="306">
        <f t="shared" si="67"/>
        <v>0</v>
      </c>
      <c r="L403" s="307">
        <f t="shared" si="68"/>
        <v>0</v>
      </c>
      <c r="M403" s="1049">
        <f t="shared" si="69"/>
        <v>0</v>
      </c>
      <c r="N403" s="306">
        <f t="shared" si="70"/>
        <v>0</v>
      </c>
      <c r="O403" s="307">
        <f t="shared" si="71"/>
        <v>0</v>
      </c>
      <c r="P403" s="1049">
        <f t="shared" si="72"/>
        <v>2</v>
      </c>
      <c r="Q403" s="306">
        <f t="shared" si="73"/>
        <v>250427.76</v>
      </c>
      <c r="R403" s="307">
        <f t="shared" si="74"/>
        <v>1</v>
      </c>
      <c r="S403" s="314" t="str">
        <f t="shared" si="65"/>
        <v>ok</v>
      </c>
      <c r="T403" s="314"/>
      <c r="U403" s="314"/>
      <c r="V403" s="314"/>
      <c r="W403" s="314"/>
      <c r="X403" s="314"/>
    </row>
    <row r="404" spans="1:24" s="313" customFormat="1" ht="16.5" customHeight="1">
      <c r="A404" s="1648" t="s">
        <v>3442</v>
      </c>
      <c r="B404" s="1648" t="s">
        <v>3443</v>
      </c>
      <c r="C404" s="1502"/>
      <c r="D404" s="1710"/>
      <c r="E404" s="1312"/>
      <c r="F404" s="1486"/>
      <c r="G404" s="1049"/>
      <c r="H404" s="306"/>
      <c r="I404" s="307"/>
      <c r="J404" s="1046"/>
      <c r="K404" s="306"/>
      <c r="L404" s="307"/>
      <c r="M404" s="1047"/>
      <c r="N404" s="306"/>
      <c r="O404" s="307"/>
      <c r="P404" s="1047"/>
      <c r="Q404" s="306"/>
      <c r="R404" s="307"/>
      <c r="S404" s="314" t="str">
        <f t="shared" si="65"/>
        <v>ok</v>
      </c>
      <c r="T404" s="314"/>
      <c r="U404" s="314"/>
      <c r="V404" s="314"/>
      <c r="W404" s="314"/>
      <c r="X404" s="314"/>
    </row>
    <row r="405" spans="1:24" s="313" customFormat="1" ht="16.5" customHeight="1">
      <c r="A405" s="1337" t="s">
        <v>3444</v>
      </c>
      <c r="B405" s="1711" t="s">
        <v>3445</v>
      </c>
      <c r="C405" s="1502" t="s">
        <v>51</v>
      </c>
      <c r="D405" s="1710">
        <v>15</v>
      </c>
      <c r="E405" s="1312">
        <v>328.95</v>
      </c>
      <c r="F405" s="1486">
        <f t="shared" si="66"/>
        <v>4934.25</v>
      </c>
      <c r="G405" s="1049">
        <v>0</v>
      </c>
      <c r="H405" s="306">
        <v>0</v>
      </c>
      <c r="I405" s="307">
        <v>0</v>
      </c>
      <c r="J405" s="1046"/>
      <c r="K405" s="306">
        <f t="shared" si="67"/>
        <v>0</v>
      </c>
      <c r="L405" s="307">
        <f t="shared" si="68"/>
        <v>0</v>
      </c>
      <c r="M405" s="1047">
        <f t="shared" si="69"/>
        <v>0</v>
      </c>
      <c r="N405" s="306">
        <f t="shared" si="70"/>
        <v>0</v>
      </c>
      <c r="O405" s="307">
        <f t="shared" si="71"/>
        <v>0</v>
      </c>
      <c r="P405" s="1047">
        <f t="shared" si="72"/>
        <v>15</v>
      </c>
      <c r="Q405" s="306">
        <f t="shared" si="73"/>
        <v>4934.25</v>
      </c>
      <c r="R405" s="307">
        <f t="shared" si="74"/>
        <v>1</v>
      </c>
      <c r="S405" s="314" t="str">
        <f t="shared" si="65"/>
        <v>ok</v>
      </c>
      <c r="T405" s="314"/>
      <c r="U405" s="314"/>
      <c r="V405" s="314"/>
      <c r="W405" s="314"/>
      <c r="X405" s="314"/>
    </row>
    <row r="406" spans="1:24" s="313" customFormat="1" ht="16.5" customHeight="1">
      <c r="A406" s="1648" t="s">
        <v>3446</v>
      </c>
      <c r="B406" s="1648" t="s">
        <v>3447</v>
      </c>
      <c r="C406" s="1502"/>
      <c r="D406" s="1710"/>
      <c r="E406" s="1312"/>
      <c r="F406" s="1486"/>
      <c r="G406" s="1049"/>
      <c r="H406" s="306"/>
      <c r="I406" s="307"/>
      <c r="J406" s="1046"/>
      <c r="K406" s="306"/>
      <c r="L406" s="307"/>
      <c r="M406" s="1047"/>
      <c r="N406" s="306"/>
      <c r="O406" s="307"/>
      <c r="P406" s="1047"/>
      <c r="Q406" s="306"/>
      <c r="R406" s="307"/>
      <c r="S406" s="314" t="str">
        <f t="shared" si="65"/>
        <v>ok</v>
      </c>
      <c r="T406" s="314"/>
      <c r="U406" s="314"/>
      <c r="V406" s="314"/>
      <c r="W406" s="314"/>
      <c r="X406" s="314"/>
    </row>
    <row r="407" spans="1:24" s="313" customFormat="1" ht="16.5" customHeight="1">
      <c r="A407" s="1709" t="s">
        <v>3448</v>
      </c>
      <c r="B407" s="1709" t="s">
        <v>3449</v>
      </c>
      <c r="C407" s="1502"/>
      <c r="D407" s="1710"/>
      <c r="E407" s="1312"/>
      <c r="F407" s="1486"/>
      <c r="G407" s="1049"/>
      <c r="H407" s="306"/>
      <c r="I407" s="307"/>
      <c r="J407" s="1046"/>
      <c r="K407" s="306"/>
      <c r="L407" s="307"/>
      <c r="M407" s="1047"/>
      <c r="N407" s="306"/>
      <c r="O407" s="307"/>
      <c r="P407" s="1047"/>
      <c r="Q407" s="306"/>
      <c r="R407" s="307"/>
      <c r="S407" s="314" t="str">
        <f t="shared" ref="S407:S470" si="75">IF(M407&gt;D407,"mayormetrado","ok")</f>
        <v>ok</v>
      </c>
      <c r="T407" s="314"/>
      <c r="U407" s="314"/>
      <c r="V407" s="314"/>
      <c r="W407" s="314"/>
      <c r="X407" s="314"/>
    </row>
    <row r="408" spans="1:24" s="313" customFormat="1" ht="16.5" customHeight="1">
      <c r="A408" s="1337" t="s">
        <v>3450</v>
      </c>
      <c r="B408" s="1711" t="s">
        <v>3451</v>
      </c>
      <c r="C408" s="1502" t="s">
        <v>52</v>
      </c>
      <c r="D408" s="1710">
        <v>1</v>
      </c>
      <c r="E408" s="1312">
        <v>15278.65</v>
      </c>
      <c r="F408" s="1486">
        <f t="shared" si="66"/>
        <v>15278.65</v>
      </c>
      <c r="G408" s="1049">
        <v>0</v>
      </c>
      <c r="H408" s="306">
        <v>0</v>
      </c>
      <c r="I408" s="307">
        <v>0</v>
      </c>
      <c r="J408" s="1046"/>
      <c r="K408" s="306">
        <f t="shared" si="67"/>
        <v>0</v>
      </c>
      <c r="L408" s="307">
        <f t="shared" si="68"/>
        <v>0</v>
      </c>
      <c r="M408" s="1047">
        <f t="shared" si="69"/>
        <v>0</v>
      </c>
      <c r="N408" s="306">
        <f t="shared" si="70"/>
        <v>0</v>
      </c>
      <c r="O408" s="307">
        <f t="shared" si="71"/>
        <v>0</v>
      </c>
      <c r="P408" s="1047">
        <f t="shared" si="72"/>
        <v>1</v>
      </c>
      <c r="Q408" s="306">
        <f t="shared" si="73"/>
        <v>15278.65</v>
      </c>
      <c r="R408" s="307">
        <f t="shared" si="74"/>
        <v>1</v>
      </c>
      <c r="S408" s="314" t="str">
        <f t="shared" si="75"/>
        <v>ok</v>
      </c>
      <c r="T408" s="314"/>
      <c r="U408" s="314"/>
      <c r="V408" s="314"/>
      <c r="W408" s="314"/>
      <c r="X408" s="314"/>
    </row>
    <row r="409" spans="1:24" s="313" customFormat="1" ht="16.5" customHeight="1">
      <c r="A409" s="1337" t="s">
        <v>3452</v>
      </c>
      <c r="B409" s="1711" t="s">
        <v>3453</v>
      </c>
      <c r="C409" s="1502" t="s">
        <v>52</v>
      </c>
      <c r="D409" s="1710">
        <v>1</v>
      </c>
      <c r="E409" s="1312">
        <v>365.57</v>
      </c>
      <c r="F409" s="1486">
        <f t="shared" si="66"/>
        <v>365.57</v>
      </c>
      <c r="G409" s="1049">
        <v>0</v>
      </c>
      <c r="H409" s="306">
        <v>0</v>
      </c>
      <c r="I409" s="307">
        <v>0</v>
      </c>
      <c r="J409" s="1046"/>
      <c r="K409" s="306">
        <f t="shared" si="67"/>
        <v>0</v>
      </c>
      <c r="L409" s="307">
        <f t="shared" si="68"/>
        <v>0</v>
      </c>
      <c r="M409" s="1047">
        <f t="shared" si="69"/>
        <v>0</v>
      </c>
      <c r="N409" s="306">
        <f t="shared" si="70"/>
        <v>0</v>
      </c>
      <c r="O409" s="307">
        <f t="shared" si="71"/>
        <v>0</v>
      </c>
      <c r="P409" s="1047">
        <f t="shared" si="72"/>
        <v>1</v>
      </c>
      <c r="Q409" s="306">
        <f t="shared" si="73"/>
        <v>365.57</v>
      </c>
      <c r="R409" s="307">
        <f t="shared" si="74"/>
        <v>1</v>
      </c>
      <c r="S409" s="314" t="str">
        <f t="shared" si="75"/>
        <v>ok</v>
      </c>
      <c r="T409" s="314"/>
      <c r="U409" s="314"/>
      <c r="V409" s="314"/>
      <c r="W409" s="314"/>
      <c r="X409" s="314"/>
    </row>
    <row r="410" spans="1:24" s="313" customFormat="1" ht="16.5" customHeight="1">
      <c r="A410" s="1337" t="s">
        <v>3454</v>
      </c>
      <c r="B410" s="1711" t="s">
        <v>3455</v>
      </c>
      <c r="C410" s="1502" t="s">
        <v>52</v>
      </c>
      <c r="D410" s="1710">
        <v>1</v>
      </c>
      <c r="E410" s="1312">
        <v>34510.85</v>
      </c>
      <c r="F410" s="1486">
        <f t="shared" si="66"/>
        <v>34510.85</v>
      </c>
      <c r="G410" s="1049">
        <v>0</v>
      </c>
      <c r="H410" s="306">
        <v>0</v>
      </c>
      <c r="I410" s="307">
        <v>0</v>
      </c>
      <c r="J410" s="1046"/>
      <c r="K410" s="306">
        <f t="shared" si="67"/>
        <v>0</v>
      </c>
      <c r="L410" s="307">
        <f t="shared" si="68"/>
        <v>0</v>
      </c>
      <c r="M410" s="1047">
        <f t="shared" si="69"/>
        <v>0</v>
      </c>
      <c r="N410" s="306">
        <f t="shared" si="70"/>
        <v>0</v>
      </c>
      <c r="O410" s="307">
        <f t="shared" si="71"/>
        <v>0</v>
      </c>
      <c r="P410" s="1047">
        <f t="shared" si="72"/>
        <v>1</v>
      </c>
      <c r="Q410" s="306">
        <f t="shared" si="73"/>
        <v>34510.85</v>
      </c>
      <c r="R410" s="307">
        <f t="shared" si="74"/>
        <v>1</v>
      </c>
      <c r="S410" s="314" t="str">
        <f t="shared" si="75"/>
        <v>ok</v>
      </c>
      <c r="T410" s="314"/>
      <c r="U410" s="314"/>
      <c r="V410" s="314"/>
      <c r="W410" s="314"/>
      <c r="X410" s="314"/>
    </row>
    <row r="411" spans="1:24" s="313" customFormat="1" ht="16.5" customHeight="1">
      <c r="A411" s="1337" t="s">
        <v>3456</v>
      </c>
      <c r="B411" s="1711" t="s">
        <v>3457</v>
      </c>
      <c r="C411" s="1502" t="s">
        <v>52</v>
      </c>
      <c r="D411" s="1710">
        <v>1</v>
      </c>
      <c r="E411" s="1312">
        <v>33564.730000000003</v>
      </c>
      <c r="F411" s="1486">
        <f t="shared" si="66"/>
        <v>33564.730000000003</v>
      </c>
      <c r="G411" s="1049">
        <v>0</v>
      </c>
      <c r="H411" s="306">
        <v>0</v>
      </c>
      <c r="I411" s="307">
        <v>0</v>
      </c>
      <c r="J411" s="1046"/>
      <c r="K411" s="306">
        <f t="shared" si="67"/>
        <v>0</v>
      </c>
      <c r="L411" s="307">
        <f t="shared" si="68"/>
        <v>0</v>
      </c>
      <c r="M411" s="1047">
        <f t="shared" si="69"/>
        <v>0</v>
      </c>
      <c r="N411" s="306">
        <f t="shared" si="70"/>
        <v>0</v>
      </c>
      <c r="O411" s="307">
        <f t="shared" si="71"/>
        <v>0</v>
      </c>
      <c r="P411" s="1047">
        <f t="shared" si="72"/>
        <v>1</v>
      </c>
      <c r="Q411" s="306">
        <f t="shared" si="73"/>
        <v>33564.730000000003</v>
      </c>
      <c r="R411" s="307">
        <f t="shared" si="74"/>
        <v>1</v>
      </c>
      <c r="S411" s="314" t="str">
        <f t="shared" si="75"/>
        <v>ok</v>
      </c>
      <c r="T411" s="314"/>
      <c r="U411" s="314"/>
      <c r="V411" s="314"/>
      <c r="W411" s="314"/>
      <c r="X411" s="314"/>
    </row>
    <row r="412" spans="1:24" s="313" customFormat="1" ht="16.5" customHeight="1">
      <c r="A412" s="1337" t="s">
        <v>3458</v>
      </c>
      <c r="B412" s="1711" t="s">
        <v>3459</v>
      </c>
      <c r="C412" s="1502" t="s">
        <v>52</v>
      </c>
      <c r="D412" s="1710">
        <v>1</v>
      </c>
      <c r="E412" s="1312">
        <v>3942.12</v>
      </c>
      <c r="F412" s="1486">
        <f t="shared" si="66"/>
        <v>3942.12</v>
      </c>
      <c r="G412" s="1049">
        <v>0</v>
      </c>
      <c r="H412" s="306">
        <v>0</v>
      </c>
      <c r="I412" s="307">
        <v>0</v>
      </c>
      <c r="J412" s="1046"/>
      <c r="K412" s="306">
        <f t="shared" si="67"/>
        <v>0</v>
      </c>
      <c r="L412" s="307">
        <f t="shared" si="68"/>
        <v>0</v>
      </c>
      <c r="M412" s="1047">
        <f t="shared" si="69"/>
        <v>0</v>
      </c>
      <c r="N412" s="306">
        <f t="shared" si="70"/>
        <v>0</v>
      </c>
      <c r="O412" s="307">
        <f t="shared" si="71"/>
        <v>0</v>
      </c>
      <c r="P412" s="1047">
        <f t="shared" si="72"/>
        <v>1</v>
      </c>
      <c r="Q412" s="306">
        <f t="shared" si="73"/>
        <v>3942.12</v>
      </c>
      <c r="R412" s="307">
        <f t="shared" si="74"/>
        <v>1</v>
      </c>
      <c r="S412" s="314" t="str">
        <f t="shared" si="75"/>
        <v>ok</v>
      </c>
      <c r="T412" s="314"/>
      <c r="U412" s="314"/>
      <c r="V412" s="314"/>
      <c r="W412" s="314"/>
      <c r="X412" s="314"/>
    </row>
    <row r="413" spans="1:24" s="313" customFormat="1" ht="16.5" customHeight="1">
      <c r="A413" s="1337" t="s">
        <v>3460</v>
      </c>
      <c r="B413" s="1711" t="s">
        <v>3461</v>
      </c>
      <c r="C413" s="1502" t="s">
        <v>52</v>
      </c>
      <c r="D413" s="1710">
        <v>1</v>
      </c>
      <c r="E413" s="1312">
        <v>9507</v>
      </c>
      <c r="F413" s="1486">
        <f t="shared" si="66"/>
        <v>9507</v>
      </c>
      <c r="G413" s="1049">
        <v>0</v>
      </c>
      <c r="H413" s="306">
        <v>0</v>
      </c>
      <c r="I413" s="307">
        <v>0</v>
      </c>
      <c r="J413" s="1046"/>
      <c r="K413" s="306">
        <f t="shared" si="67"/>
        <v>0</v>
      </c>
      <c r="L413" s="307">
        <f t="shared" si="68"/>
        <v>0</v>
      </c>
      <c r="M413" s="1047">
        <f t="shared" si="69"/>
        <v>0</v>
      </c>
      <c r="N413" s="306">
        <f t="shared" si="70"/>
        <v>0</v>
      </c>
      <c r="O413" s="307">
        <f t="shared" si="71"/>
        <v>0</v>
      </c>
      <c r="P413" s="1047">
        <f t="shared" si="72"/>
        <v>1</v>
      </c>
      <c r="Q413" s="306">
        <f t="shared" si="73"/>
        <v>9507</v>
      </c>
      <c r="R413" s="307">
        <f t="shared" si="74"/>
        <v>1</v>
      </c>
      <c r="S413" s="314" t="str">
        <f t="shared" si="75"/>
        <v>ok</v>
      </c>
      <c r="T413" s="314"/>
      <c r="U413" s="314"/>
      <c r="V413" s="314"/>
      <c r="W413" s="314"/>
      <c r="X413" s="314"/>
    </row>
    <row r="414" spans="1:24" s="313" customFormat="1" ht="16.5" customHeight="1">
      <c r="A414" s="1337" t="s">
        <v>3462</v>
      </c>
      <c r="B414" s="1711" t="s">
        <v>3463</v>
      </c>
      <c r="C414" s="1502" t="s">
        <v>52</v>
      </c>
      <c r="D414" s="1710">
        <v>1</v>
      </c>
      <c r="E414" s="1312">
        <v>97568.72</v>
      </c>
      <c r="F414" s="1486">
        <f t="shared" si="66"/>
        <v>97568.72</v>
      </c>
      <c r="G414" s="1049">
        <v>0</v>
      </c>
      <c r="H414" s="306">
        <v>0</v>
      </c>
      <c r="I414" s="307">
        <v>0</v>
      </c>
      <c r="J414" s="1046"/>
      <c r="K414" s="306">
        <f t="shared" si="67"/>
        <v>0</v>
      </c>
      <c r="L414" s="307">
        <f t="shared" si="68"/>
        <v>0</v>
      </c>
      <c r="M414" s="1047">
        <f t="shared" si="69"/>
        <v>0</v>
      </c>
      <c r="N414" s="306">
        <f t="shared" si="70"/>
        <v>0</v>
      </c>
      <c r="O414" s="307">
        <f t="shared" si="71"/>
        <v>0</v>
      </c>
      <c r="P414" s="1047">
        <f t="shared" si="72"/>
        <v>1</v>
      </c>
      <c r="Q414" s="306">
        <f t="shared" si="73"/>
        <v>97568.72</v>
      </c>
      <c r="R414" s="307">
        <f t="shared" si="74"/>
        <v>1</v>
      </c>
      <c r="S414" s="314" t="str">
        <f t="shared" si="75"/>
        <v>ok</v>
      </c>
      <c r="T414" s="314"/>
      <c r="U414" s="314"/>
      <c r="V414" s="314"/>
      <c r="W414" s="314"/>
      <c r="X414" s="314"/>
    </row>
    <row r="415" spans="1:24" s="313" customFormat="1" ht="16.5" customHeight="1">
      <c r="A415" s="1337" t="s">
        <v>3464</v>
      </c>
      <c r="B415" s="1711" t="s">
        <v>3465</v>
      </c>
      <c r="C415" s="1502" t="s">
        <v>268</v>
      </c>
      <c r="D415" s="1710">
        <v>1</v>
      </c>
      <c r="E415" s="1312">
        <v>42480</v>
      </c>
      <c r="F415" s="1486">
        <f t="shared" si="66"/>
        <v>42480</v>
      </c>
      <c r="G415" s="1049">
        <v>0</v>
      </c>
      <c r="H415" s="306">
        <v>0</v>
      </c>
      <c r="I415" s="307">
        <v>0</v>
      </c>
      <c r="J415" s="1046"/>
      <c r="K415" s="306">
        <f t="shared" si="67"/>
        <v>0</v>
      </c>
      <c r="L415" s="307">
        <f t="shared" si="68"/>
        <v>0</v>
      </c>
      <c r="M415" s="1047">
        <f t="shared" si="69"/>
        <v>0</v>
      </c>
      <c r="N415" s="306">
        <f t="shared" si="70"/>
        <v>0</v>
      </c>
      <c r="O415" s="307">
        <f t="shared" si="71"/>
        <v>0</v>
      </c>
      <c r="P415" s="1047">
        <f t="shared" si="72"/>
        <v>1</v>
      </c>
      <c r="Q415" s="306">
        <f t="shared" si="73"/>
        <v>42480</v>
      </c>
      <c r="R415" s="307">
        <f t="shared" si="74"/>
        <v>1</v>
      </c>
      <c r="S415" s="314" t="str">
        <f t="shared" si="75"/>
        <v>ok</v>
      </c>
      <c r="T415" s="314"/>
      <c r="U415" s="314"/>
      <c r="V415" s="314"/>
      <c r="W415" s="314"/>
      <c r="X415" s="314"/>
    </row>
    <row r="416" spans="1:24" s="313" customFormat="1" ht="16.5" customHeight="1">
      <c r="A416" s="1337" t="s">
        <v>3466</v>
      </c>
      <c r="B416" s="1711" t="s">
        <v>3467</v>
      </c>
      <c r="C416" s="1502" t="s">
        <v>268</v>
      </c>
      <c r="D416" s="1710">
        <v>1</v>
      </c>
      <c r="E416" s="1312">
        <v>5610.62</v>
      </c>
      <c r="F416" s="1486">
        <f t="shared" si="66"/>
        <v>5610.62</v>
      </c>
      <c r="G416" s="1049">
        <v>0</v>
      </c>
      <c r="H416" s="306">
        <v>0</v>
      </c>
      <c r="I416" s="307">
        <v>0</v>
      </c>
      <c r="J416" s="1046"/>
      <c r="K416" s="306">
        <f t="shared" si="67"/>
        <v>0</v>
      </c>
      <c r="L416" s="307">
        <f t="shared" si="68"/>
        <v>0</v>
      </c>
      <c r="M416" s="1047">
        <f t="shared" si="69"/>
        <v>0</v>
      </c>
      <c r="N416" s="306">
        <f t="shared" si="70"/>
        <v>0</v>
      </c>
      <c r="O416" s="307">
        <f t="shared" si="71"/>
        <v>0</v>
      </c>
      <c r="P416" s="1047">
        <f t="shared" si="72"/>
        <v>1</v>
      </c>
      <c r="Q416" s="306">
        <f t="shared" si="73"/>
        <v>5610.62</v>
      </c>
      <c r="R416" s="307">
        <f t="shared" si="74"/>
        <v>1</v>
      </c>
      <c r="S416" s="314" t="str">
        <f t="shared" si="75"/>
        <v>ok</v>
      </c>
      <c r="T416" s="314"/>
      <c r="U416" s="314"/>
      <c r="V416" s="314"/>
      <c r="W416" s="314"/>
      <c r="X416" s="314"/>
    </row>
    <row r="417" spans="1:24" s="313" customFormat="1" ht="16.5" customHeight="1">
      <c r="A417" s="1337" t="s">
        <v>3468</v>
      </c>
      <c r="B417" s="1711" t="s">
        <v>3469</v>
      </c>
      <c r="C417" s="1502" t="s">
        <v>268</v>
      </c>
      <c r="D417" s="1710">
        <v>1</v>
      </c>
      <c r="E417" s="1312">
        <v>5155</v>
      </c>
      <c r="F417" s="1486">
        <f t="shared" si="66"/>
        <v>5155</v>
      </c>
      <c r="G417" s="1049">
        <v>0</v>
      </c>
      <c r="H417" s="306">
        <v>0</v>
      </c>
      <c r="I417" s="307">
        <v>0</v>
      </c>
      <c r="J417" s="1046"/>
      <c r="K417" s="306">
        <f t="shared" si="67"/>
        <v>0</v>
      </c>
      <c r="L417" s="307">
        <f t="shared" si="68"/>
        <v>0</v>
      </c>
      <c r="M417" s="1047">
        <f t="shared" si="69"/>
        <v>0</v>
      </c>
      <c r="N417" s="306">
        <f t="shared" si="70"/>
        <v>0</v>
      </c>
      <c r="O417" s="307">
        <f t="shared" si="71"/>
        <v>0</v>
      </c>
      <c r="P417" s="1047">
        <f t="shared" si="72"/>
        <v>1</v>
      </c>
      <c r="Q417" s="306">
        <f t="shared" si="73"/>
        <v>5155</v>
      </c>
      <c r="R417" s="307">
        <f t="shared" si="74"/>
        <v>1</v>
      </c>
      <c r="S417" s="314" t="str">
        <f t="shared" si="75"/>
        <v>ok</v>
      </c>
      <c r="T417" s="314"/>
      <c r="U417" s="314"/>
      <c r="V417" s="314"/>
      <c r="W417" s="314"/>
      <c r="X417" s="314"/>
    </row>
    <row r="418" spans="1:24" s="313" customFormat="1" ht="16.5" customHeight="1">
      <c r="A418" s="1709" t="s">
        <v>3470</v>
      </c>
      <c r="B418" s="1709" t="s">
        <v>3471</v>
      </c>
      <c r="C418" s="1502"/>
      <c r="D418" s="1710"/>
      <c r="E418" s="1312"/>
      <c r="F418" s="1486"/>
      <c r="G418" s="1049"/>
      <c r="H418" s="306"/>
      <c r="I418" s="307"/>
      <c r="J418" s="1046"/>
      <c r="K418" s="306"/>
      <c r="L418" s="307"/>
      <c r="M418" s="1047"/>
      <c r="N418" s="306"/>
      <c r="O418" s="307"/>
      <c r="P418" s="1047"/>
      <c r="Q418" s="306"/>
      <c r="R418" s="307"/>
      <c r="S418" s="314" t="str">
        <f t="shared" si="75"/>
        <v>ok</v>
      </c>
      <c r="T418" s="314"/>
      <c r="U418" s="314"/>
      <c r="V418" s="314"/>
      <c r="W418" s="314"/>
      <c r="X418" s="314"/>
    </row>
    <row r="419" spans="1:24" s="313" customFormat="1" ht="16.5" customHeight="1">
      <c r="A419" s="1713" t="s">
        <v>3472</v>
      </c>
      <c r="B419" s="1713" t="s">
        <v>3451</v>
      </c>
      <c r="C419" s="1502"/>
      <c r="D419" s="1710"/>
      <c r="E419" s="1312"/>
      <c r="F419" s="1486"/>
      <c r="G419" s="1049"/>
      <c r="H419" s="306"/>
      <c r="I419" s="307"/>
      <c r="J419" s="1046"/>
      <c r="K419" s="306"/>
      <c r="L419" s="307"/>
      <c r="M419" s="1047"/>
      <c r="N419" s="306"/>
      <c r="O419" s="307"/>
      <c r="P419" s="1047"/>
      <c r="Q419" s="306"/>
      <c r="R419" s="307"/>
      <c r="S419" s="314" t="str">
        <f t="shared" si="75"/>
        <v>ok</v>
      </c>
      <c r="T419" s="314"/>
      <c r="U419" s="314"/>
      <c r="V419" s="314"/>
      <c r="W419" s="314"/>
      <c r="X419" s="314"/>
    </row>
    <row r="420" spans="1:24" s="313" customFormat="1" ht="16.5" customHeight="1">
      <c r="A420" s="1337" t="s">
        <v>3473</v>
      </c>
      <c r="B420" s="1711" t="s">
        <v>3474</v>
      </c>
      <c r="C420" s="1502" t="s">
        <v>2145</v>
      </c>
      <c r="D420" s="1710">
        <v>7</v>
      </c>
      <c r="E420" s="1312">
        <v>619</v>
      </c>
      <c r="F420" s="1486">
        <f t="shared" ref="F420:F482" si="76">E420*D420</f>
        <v>4333</v>
      </c>
      <c r="G420" s="1049">
        <v>0</v>
      </c>
      <c r="H420" s="306">
        <v>0</v>
      </c>
      <c r="I420" s="307">
        <v>0</v>
      </c>
      <c r="J420" s="1046"/>
      <c r="K420" s="306">
        <f t="shared" si="67"/>
        <v>0</v>
      </c>
      <c r="L420" s="307">
        <f t="shared" si="68"/>
        <v>0</v>
      </c>
      <c r="M420" s="1047">
        <f t="shared" si="69"/>
        <v>0</v>
      </c>
      <c r="N420" s="306">
        <f t="shared" si="70"/>
        <v>0</v>
      </c>
      <c r="O420" s="307">
        <f t="shared" si="71"/>
        <v>0</v>
      </c>
      <c r="P420" s="1047">
        <f t="shared" si="72"/>
        <v>7</v>
      </c>
      <c r="Q420" s="306">
        <f t="shared" si="73"/>
        <v>4333</v>
      </c>
      <c r="R420" s="307">
        <f t="shared" si="74"/>
        <v>1</v>
      </c>
      <c r="S420" s="314" t="str">
        <f t="shared" si="75"/>
        <v>ok</v>
      </c>
      <c r="T420" s="314"/>
      <c r="U420" s="314"/>
      <c r="V420" s="314"/>
      <c r="W420" s="314"/>
      <c r="X420" s="314"/>
    </row>
    <row r="421" spans="1:24" s="313" customFormat="1" ht="16.5" customHeight="1">
      <c r="A421" s="1713" t="s">
        <v>3475</v>
      </c>
      <c r="B421" s="1713" t="s">
        <v>3453</v>
      </c>
      <c r="C421" s="1502"/>
      <c r="D421" s="1710"/>
      <c r="E421" s="1312"/>
      <c r="F421" s="1486"/>
      <c r="G421" s="1049"/>
      <c r="H421" s="306"/>
      <c r="I421" s="307"/>
      <c r="J421" s="1046"/>
      <c r="K421" s="306"/>
      <c r="L421" s="307"/>
      <c r="M421" s="1047"/>
      <c r="N421" s="306"/>
      <c r="O421" s="307"/>
      <c r="P421" s="1047"/>
      <c r="Q421" s="306"/>
      <c r="R421" s="307"/>
      <c r="S421" s="314" t="str">
        <f t="shared" si="75"/>
        <v>ok</v>
      </c>
      <c r="T421" s="314"/>
      <c r="U421" s="314"/>
      <c r="V421" s="314"/>
      <c r="W421" s="314"/>
      <c r="X421" s="314"/>
    </row>
    <row r="422" spans="1:24" s="313" customFormat="1" ht="16.5" customHeight="1">
      <c r="A422" s="1337" t="s">
        <v>3476</v>
      </c>
      <c r="B422" s="1711" t="s">
        <v>3477</v>
      </c>
      <c r="C422" s="1502" t="s">
        <v>52</v>
      </c>
      <c r="D422" s="1710">
        <v>3</v>
      </c>
      <c r="E422" s="1312">
        <v>36.410000000000004</v>
      </c>
      <c r="F422" s="1486">
        <f t="shared" si="76"/>
        <v>109.23000000000002</v>
      </c>
      <c r="G422" s="1049">
        <v>0</v>
      </c>
      <c r="H422" s="306">
        <v>0</v>
      </c>
      <c r="I422" s="307">
        <v>0</v>
      </c>
      <c r="J422" s="1046"/>
      <c r="K422" s="306">
        <f t="shared" si="67"/>
        <v>0</v>
      </c>
      <c r="L422" s="307">
        <f t="shared" si="68"/>
        <v>0</v>
      </c>
      <c r="M422" s="1047">
        <f t="shared" si="69"/>
        <v>0</v>
      </c>
      <c r="N422" s="306">
        <f t="shared" si="70"/>
        <v>0</v>
      </c>
      <c r="O422" s="307">
        <f t="shared" si="71"/>
        <v>0</v>
      </c>
      <c r="P422" s="1047">
        <f t="shared" si="72"/>
        <v>3</v>
      </c>
      <c r="Q422" s="306">
        <f t="shared" si="73"/>
        <v>109.23000000000002</v>
      </c>
      <c r="R422" s="307">
        <f t="shared" si="74"/>
        <v>1</v>
      </c>
      <c r="S422" s="314" t="str">
        <f t="shared" si="75"/>
        <v>ok</v>
      </c>
      <c r="T422" s="314"/>
      <c r="U422" s="314"/>
      <c r="V422" s="314"/>
      <c r="W422" s="314"/>
      <c r="X422" s="314"/>
    </row>
    <row r="423" spans="1:24" s="313" customFormat="1" ht="16.5" customHeight="1">
      <c r="A423" s="1337" t="s">
        <v>3478</v>
      </c>
      <c r="B423" s="1711" t="s">
        <v>3479</v>
      </c>
      <c r="C423" s="1502" t="s">
        <v>52</v>
      </c>
      <c r="D423" s="1710">
        <v>1</v>
      </c>
      <c r="E423" s="1312">
        <v>36.410000000000004</v>
      </c>
      <c r="F423" s="1486">
        <f t="shared" si="76"/>
        <v>36.410000000000004</v>
      </c>
      <c r="G423" s="1049">
        <v>0</v>
      </c>
      <c r="H423" s="306">
        <v>0</v>
      </c>
      <c r="I423" s="307">
        <v>0</v>
      </c>
      <c r="J423" s="1046"/>
      <c r="K423" s="306">
        <f t="shared" si="67"/>
        <v>0</v>
      </c>
      <c r="L423" s="307">
        <f t="shared" si="68"/>
        <v>0</v>
      </c>
      <c r="M423" s="1047">
        <f t="shared" si="69"/>
        <v>0</v>
      </c>
      <c r="N423" s="306">
        <f t="shared" si="70"/>
        <v>0</v>
      </c>
      <c r="O423" s="307">
        <f t="shared" si="71"/>
        <v>0</v>
      </c>
      <c r="P423" s="1047">
        <f t="shared" si="72"/>
        <v>1</v>
      </c>
      <c r="Q423" s="306">
        <f t="shared" si="73"/>
        <v>36.410000000000004</v>
      </c>
      <c r="R423" s="307">
        <f t="shared" si="74"/>
        <v>1</v>
      </c>
      <c r="S423" s="314" t="str">
        <f t="shared" si="75"/>
        <v>ok</v>
      </c>
      <c r="T423" s="314"/>
      <c r="U423" s="314"/>
      <c r="V423" s="314"/>
      <c r="W423" s="314"/>
      <c r="X423" s="314"/>
    </row>
    <row r="424" spans="1:24" s="313" customFormat="1" ht="16.5" customHeight="1">
      <c r="A424" s="1713" t="s">
        <v>3480</v>
      </c>
      <c r="B424" s="1713" t="s">
        <v>3481</v>
      </c>
      <c r="C424" s="1502"/>
      <c r="D424" s="1710"/>
      <c r="E424" s="1312"/>
      <c r="F424" s="1486"/>
      <c r="G424" s="1049"/>
      <c r="H424" s="306"/>
      <c r="I424" s="307"/>
      <c r="J424" s="1046"/>
      <c r="K424" s="306"/>
      <c r="L424" s="307"/>
      <c r="M424" s="1047"/>
      <c r="N424" s="306"/>
      <c r="O424" s="307"/>
      <c r="P424" s="1047"/>
      <c r="Q424" s="306"/>
      <c r="R424" s="307"/>
      <c r="S424" s="314" t="str">
        <f t="shared" si="75"/>
        <v>ok</v>
      </c>
      <c r="T424" s="314"/>
      <c r="U424" s="314"/>
      <c r="V424" s="314"/>
      <c r="W424" s="314"/>
      <c r="X424" s="314"/>
    </row>
    <row r="425" spans="1:24" s="313" customFormat="1" ht="16.5" customHeight="1">
      <c r="A425" s="1337" t="s">
        <v>3482</v>
      </c>
      <c r="B425" s="1711" t="s">
        <v>3483</v>
      </c>
      <c r="C425" s="1502" t="s">
        <v>51</v>
      </c>
      <c r="D425" s="1710">
        <v>38.520000000000003</v>
      </c>
      <c r="E425" s="1312">
        <v>3.7</v>
      </c>
      <c r="F425" s="1486">
        <f t="shared" si="76"/>
        <v>142.52400000000003</v>
      </c>
      <c r="G425" s="1049">
        <v>0</v>
      </c>
      <c r="H425" s="306">
        <v>0</v>
      </c>
      <c r="I425" s="307">
        <v>0</v>
      </c>
      <c r="J425" s="1046"/>
      <c r="K425" s="306">
        <f t="shared" si="67"/>
        <v>0</v>
      </c>
      <c r="L425" s="307">
        <f t="shared" si="68"/>
        <v>0</v>
      </c>
      <c r="M425" s="1047">
        <f t="shared" si="69"/>
        <v>0</v>
      </c>
      <c r="N425" s="306">
        <f t="shared" si="70"/>
        <v>0</v>
      </c>
      <c r="O425" s="307">
        <f t="shared" si="71"/>
        <v>0</v>
      </c>
      <c r="P425" s="1047">
        <f t="shared" si="72"/>
        <v>38.520000000000003</v>
      </c>
      <c r="Q425" s="306">
        <f t="shared" si="73"/>
        <v>142.52400000000003</v>
      </c>
      <c r="R425" s="307">
        <f t="shared" si="74"/>
        <v>1</v>
      </c>
      <c r="S425" s="314" t="str">
        <f t="shared" si="75"/>
        <v>ok</v>
      </c>
      <c r="T425" s="314"/>
      <c r="U425" s="314"/>
      <c r="V425" s="314"/>
      <c r="W425" s="314"/>
      <c r="X425" s="314"/>
    </row>
    <row r="426" spans="1:24" s="313" customFormat="1" ht="16.5" customHeight="1">
      <c r="A426" s="1337" t="s">
        <v>3484</v>
      </c>
      <c r="B426" s="1711" t="s">
        <v>3485</v>
      </c>
      <c r="C426" s="1502" t="s">
        <v>51</v>
      </c>
      <c r="D426" s="1710">
        <v>171.36</v>
      </c>
      <c r="E426" s="1312">
        <v>9.48</v>
      </c>
      <c r="F426" s="1486">
        <f t="shared" si="76"/>
        <v>1624.4928000000002</v>
      </c>
      <c r="G426" s="1049">
        <v>0</v>
      </c>
      <c r="H426" s="306">
        <v>0</v>
      </c>
      <c r="I426" s="307">
        <v>0</v>
      </c>
      <c r="J426" s="1046"/>
      <c r="K426" s="306">
        <f t="shared" si="67"/>
        <v>0</v>
      </c>
      <c r="L426" s="307">
        <f t="shared" si="68"/>
        <v>0</v>
      </c>
      <c r="M426" s="1047">
        <f t="shared" si="69"/>
        <v>0</v>
      </c>
      <c r="N426" s="306">
        <f t="shared" si="70"/>
        <v>0</v>
      </c>
      <c r="O426" s="307">
        <f t="shared" si="71"/>
        <v>0</v>
      </c>
      <c r="P426" s="1047">
        <f t="shared" si="72"/>
        <v>171.36</v>
      </c>
      <c r="Q426" s="306">
        <f t="shared" si="73"/>
        <v>1624.4928000000002</v>
      </c>
      <c r="R426" s="307">
        <f t="shared" si="74"/>
        <v>1</v>
      </c>
      <c r="S426" s="314" t="str">
        <f t="shared" si="75"/>
        <v>ok</v>
      </c>
      <c r="T426" s="314"/>
      <c r="U426" s="314"/>
      <c r="V426" s="314"/>
      <c r="W426" s="314"/>
      <c r="X426" s="314"/>
    </row>
    <row r="427" spans="1:24" s="313" customFormat="1" ht="16.5" customHeight="1">
      <c r="A427" s="1337" t="s">
        <v>3486</v>
      </c>
      <c r="B427" s="1711" t="s">
        <v>3487</v>
      </c>
      <c r="C427" s="1502" t="s">
        <v>51</v>
      </c>
      <c r="D427" s="1710">
        <v>132</v>
      </c>
      <c r="E427" s="1312">
        <v>9.8800000000000008</v>
      </c>
      <c r="F427" s="1486">
        <f t="shared" si="76"/>
        <v>1304.1600000000001</v>
      </c>
      <c r="G427" s="1049">
        <v>0</v>
      </c>
      <c r="H427" s="306">
        <v>0</v>
      </c>
      <c r="I427" s="307">
        <v>0</v>
      </c>
      <c r="J427" s="1046"/>
      <c r="K427" s="306">
        <f t="shared" si="67"/>
        <v>0</v>
      </c>
      <c r="L427" s="307">
        <f t="shared" si="68"/>
        <v>0</v>
      </c>
      <c r="M427" s="1047">
        <f t="shared" si="69"/>
        <v>0</v>
      </c>
      <c r="N427" s="306">
        <f t="shared" si="70"/>
        <v>0</v>
      </c>
      <c r="O427" s="307">
        <f t="shared" si="71"/>
        <v>0</v>
      </c>
      <c r="P427" s="1047">
        <f t="shared" si="72"/>
        <v>132</v>
      </c>
      <c r="Q427" s="306">
        <f t="shared" si="73"/>
        <v>1304.1600000000001</v>
      </c>
      <c r="R427" s="307">
        <f t="shared" si="74"/>
        <v>1</v>
      </c>
      <c r="S427" s="314" t="str">
        <f t="shared" si="75"/>
        <v>ok</v>
      </c>
      <c r="T427" s="314"/>
      <c r="U427" s="314"/>
      <c r="V427" s="314"/>
      <c r="W427" s="314"/>
      <c r="X427" s="314"/>
    </row>
    <row r="428" spans="1:24" s="313" customFormat="1" ht="16.5" customHeight="1">
      <c r="A428" s="1337" t="s">
        <v>3488</v>
      </c>
      <c r="B428" s="1711" t="s">
        <v>3489</v>
      </c>
      <c r="C428" s="1502" t="s">
        <v>51</v>
      </c>
      <c r="D428" s="1710">
        <v>16.3</v>
      </c>
      <c r="E428" s="1312">
        <v>7.95</v>
      </c>
      <c r="F428" s="1486">
        <f t="shared" si="76"/>
        <v>129.58500000000001</v>
      </c>
      <c r="G428" s="1049">
        <v>0</v>
      </c>
      <c r="H428" s="306">
        <v>0</v>
      </c>
      <c r="I428" s="307">
        <v>0</v>
      </c>
      <c r="J428" s="1046"/>
      <c r="K428" s="306">
        <f t="shared" si="67"/>
        <v>0</v>
      </c>
      <c r="L428" s="307">
        <f t="shared" si="68"/>
        <v>0</v>
      </c>
      <c r="M428" s="1047">
        <f t="shared" si="69"/>
        <v>0</v>
      </c>
      <c r="N428" s="306">
        <f t="shared" si="70"/>
        <v>0</v>
      </c>
      <c r="O428" s="307">
        <f t="shared" si="71"/>
        <v>0</v>
      </c>
      <c r="P428" s="1047">
        <f t="shared" si="72"/>
        <v>16.3</v>
      </c>
      <c r="Q428" s="306">
        <f t="shared" si="73"/>
        <v>129.58500000000001</v>
      </c>
      <c r="R428" s="307">
        <f t="shared" si="74"/>
        <v>1</v>
      </c>
      <c r="S428" s="314" t="str">
        <f t="shared" si="75"/>
        <v>ok</v>
      </c>
      <c r="T428" s="314"/>
      <c r="U428" s="314"/>
      <c r="V428" s="314"/>
      <c r="W428" s="314"/>
      <c r="X428" s="314"/>
    </row>
    <row r="429" spans="1:24" s="313" customFormat="1" ht="16.5" customHeight="1">
      <c r="A429" s="1337" t="s">
        <v>3490</v>
      </c>
      <c r="B429" s="1711" t="s">
        <v>3491</v>
      </c>
      <c r="C429" s="1502" t="s">
        <v>3492</v>
      </c>
      <c r="D429" s="1710">
        <v>8</v>
      </c>
      <c r="E429" s="1312">
        <v>484.90000000000003</v>
      </c>
      <c r="F429" s="1486">
        <f t="shared" si="76"/>
        <v>3879.2000000000003</v>
      </c>
      <c r="G429" s="1049">
        <v>0</v>
      </c>
      <c r="H429" s="306">
        <v>0</v>
      </c>
      <c r="I429" s="307">
        <v>0</v>
      </c>
      <c r="J429" s="1046"/>
      <c r="K429" s="306">
        <f t="shared" si="67"/>
        <v>0</v>
      </c>
      <c r="L429" s="307">
        <f t="shared" si="68"/>
        <v>0</v>
      </c>
      <c r="M429" s="1047">
        <f t="shared" si="69"/>
        <v>0</v>
      </c>
      <c r="N429" s="306">
        <f t="shared" si="70"/>
        <v>0</v>
      </c>
      <c r="O429" s="307">
        <f t="shared" si="71"/>
        <v>0</v>
      </c>
      <c r="P429" s="1047">
        <f t="shared" si="72"/>
        <v>8</v>
      </c>
      <c r="Q429" s="306">
        <f t="shared" si="73"/>
        <v>3879.2000000000003</v>
      </c>
      <c r="R429" s="307">
        <f t="shared" si="74"/>
        <v>1</v>
      </c>
      <c r="S429" s="314" t="str">
        <f t="shared" si="75"/>
        <v>ok</v>
      </c>
      <c r="T429" s="314"/>
      <c r="U429" s="314"/>
      <c r="V429" s="314"/>
      <c r="W429" s="314"/>
      <c r="X429" s="314"/>
    </row>
    <row r="430" spans="1:24" s="313" customFormat="1" ht="16.5" customHeight="1">
      <c r="A430" s="1337" t="s">
        <v>3493</v>
      </c>
      <c r="B430" s="1711" t="s">
        <v>3494</v>
      </c>
      <c r="C430" s="1502" t="s">
        <v>51</v>
      </c>
      <c r="D430" s="1710">
        <v>117</v>
      </c>
      <c r="E430" s="1312">
        <v>6.63</v>
      </c>
      <c r="F430" s="1486">
        <f t="shared" si="76"/>
        <v>775.71</v>
      </c>
      <c r="G430" s="1049">
        <v>0</v>
      </c>
      <c r="H430" s="306">
        <v>0</v>
      </c>
      <c r="I430" s="307">
        <v>0</v>
      </c>
      <c r="J430" s="1046"/>
      <c r="K430" s="306">
        <f t="shared" si="67"/>
        <v>0</v>
      </c>
      <c r="L430" s="307">
        <f t="shared" si="68"/>
        <v>0</v>
      </c>
      <c r="M430" s="1047">
        <f t="shared" si="69"/>
        <v>0</v>
      </c>
      <c r="N430" s="306">
        <f t="shared" si="70"/>
        <v>0</v>
      </c>
      <c r="O430" s="307">
        <f t="shared" si="71"/>
        <v>0</v>
      </c>
      <c r="P430" s="1047">
        <f t="shared" si="72"/>
        <v>117</v>
      </c>
      <c r="Q430" s="306">
        <f t="shared" si="73"/>
        <v>775.71</v>
      </c>
      <c r="R430" s="307">
        <f t="shared" si="74"/>
        <v>1</v>
      </c>
      <c r="S430" s="314" t="str">
        <f t="shared" si="75"/>
        <v>ok</v>
      </c>
      <c r="T430" s="314"/>
      <c r="U430" s="314"/>
      <c r="V430" s="314"/>
      <c r="W430" s="314"/>
      <c r="X430" s="314"/>
    </row>
    <row r="431" spans="1:24" s="313" customFormat="1" ht="16.5" customHeight="1">
      <c r="A431" s="1713" t="s">
        <v>3495</v>
      </c>
      <c r="B431" s="1713" t="s">
        <v>3496</v>
      </c>
      <c r="C431" s="1502"/>
      <c r="D431" s="1710"/>
      <c r="E431" s="1312"/>
      <c r="F431" s="1486"/>
      <c r="G431" s="1049"/>
      <c r="H431" s="306"/>
      <c r="I431" s="307"/>
      <c r="J431" s="1046"/>
      <c r="K431" s="306"/>
      <c r="L431" s="307"/>
      <c r="M431" s="1047"/>
      <c r="N431" s="306"/>
      <c r="O431" s="307"/>
      <c r="P431" s="1047"/>
      <c r="Q431" s="306"/>
      <c r="R431" s="307"/>
      <c r="S431" s="314" t="str">
        <f t="shared" si="75"/>
        <v>ok</v>
      </c>
      <c r="T431" s="314"/>
      <c r="U431" s="314"/>
      <c r="V431" s="314"/>
      <c r="W431" s="314"/>
      <c r="X431" s="314"/>
    </row>
    <row r="432" spans="1:24" s="313" customFormat="1" ht="16.5" customHeight="1">
      <c r="A432" s="1337" t="s">
        <v>3497</v>
      </c>
      <c r="B432" s="1711" t="s">
        <v>3498</v>
      </c>
      <c r="C432" s="1502" t="s">
        <v>3499</v>
      </c>
      <c r="D432" s="1710">
        <v>1</v>
      </c>
      <c r="E432" s="1312">
        <v>146.01</v>
      </c>
      <c r="F432" s="1486">
        <f t="shared" si="76"/>
        <v>146.01</v>
      </c>
      <c r="G432" s="1049">
        <v>0</v>
      </c>
      <c r="H432" s="306">
        <v>0</v>
      </c>
      <c r="I432" s="307">
        <v>0</v>
      </c>
      <c r="J432" s="1046"/>
      <c r="K432" s="306">
        <f t="shared" si="67"/>
        <v>0</v>
      </c>
      <c r="L432" s="307">
        <f t="shared" si="68"/>
        <v>0</v>
      </c>
      <c r="M432" s="1047">
        <f t="shared" si="69"/>
        <v>0</v>
      </c>
      <c r="N432" s="306">
        <f t="shared" si="70"/>
        <v>0</v>
      </c>
      <c r="O432" s="307">
        <f t="shared" si="71"/>
        <v>0</v>
      </c>
      <c r="P432" s="1047">
        <f t="shared" si="72"/>
        <v>1</v>
      </c>
      <c r="Q432" s="306">
        <f t="shared" si="73"/>
        <v>146.01</v>
      </c>
      <c r="R432" s="307">
        <f t="shared" si="74"/>
        <v>1</v>
      </c>
      <c r="S432" s="314" t="str">
        <f t="shared" si="75"/>
        <v>ok</v>
      </c>
      <c r="T432" s="314"/>
      <c r="U432" s="314"/>
      <c r="V432" s="314"/>
      <c r="W432" s="314"/>
      <c r="X432" s="314"/>
    </row>
    <row r="433" spans="1:24" s="313" customFormat="1" ht="16.5" customHeight="1">
      <c r="A433" s="1337" t="s">
        <v>3500</v>
      </c>
      <c r="B433" s="1711" t="s">
        <v>3501</v>
      </c>
      <c r="C433" s="1502" t="s">
        <v>3499</v>
      </c>
      <c r="D433" s="1710">
        <v>1</v>
      </c>
      <c r="E433" s="1312">
        <v>255.97</v>
      </c>
      <c r="F433" s="1486">
        <f t="shared" si="76"/>
        <v>255.97</v>
      </c>
      <c r="G433" s="1049">
        <v>0</v>
      </c>
      <c r="H433" s="306">
        <v>0</v>
      </c>
      <c r="I433" s="307">
        <v>0</v>
      </c>
      <c r="J433" s="1046"/>
      <c r="K433" s="306">
        <f t="shared" si="67"/>
        <v>0</v>
      </c>
      <c r="L433" s="307">
        <f t="shared" si="68"/>
        <v>0</v>
      </c>
      <c r="M433" s="1047">
        <f t="shared" si="69"/>
        <v>0</v>
      </c>
      <c r="N433" s="306">
        <f t="shared" si="70"/>
        <v>0</v>
      </c>
      <c r="O433" s="307">
        <f t="shared" si="71"/>
        <v>0</v>
      </c>
      <c r="P433" s="1047">
        <f t="shared" si="72"/>
        <v>1</v>
      </c>
      <c r="Q433" s="306">
        <f t="shared" si="73"/>
        <v>255.97</v>
      </c>
      <c r="R433" s="307">
        <f t="shared" si="74"/>
        <v>1</v>
      </c>
      <c r="S433" s="314" t="str">
        <f t="shared" si="75"/>
        <v>ok</v>
      </c>
      <c r="T433" s="314"/>
      <c r="U433" s="314"/>
      <c r="V433" s="314"/>
      <c r="W433" s="314"/>
      <c r="X433" s="314"/>
    </row>
    <row r="434" spans="1:24" s="313" customFormat="1" ht="16.5" customHeight="1">
      <c r="A434" s="1337" t="s">
        <v>3502</v>
      </c>
      <c r="B434" s="1711" t="s">
        <v>3503</v>
      </c>
      <c r="C434" s="1502" t="s">
        <v>3499</v>
      </c>
      <c r="D434" s="1710">
        <v>2</v>
      </c>
      <c r="E434" s="1312">
        <v>88.23</v>
      </c>
      <c r="F434" s="1486">
        <f t="shared" si="76"/>
        <v>176.46</v>
      </c>
      <c r="G434" s="1049">
        <v>0</v>
      </c>
      <c r="H434" s="306">
        <v>0</v>
      </c>
      <c r="I434" s="307">
        <v>0</v>
      </c>
      <c r="J434" s="1046"/>
      <c r="K434" s="306">
        <f t="shared" si="67"/>
        <v>0</v>
      </c>
      <c r="L434" s="307">
        <f t="shared" si="68"/>
        <v>0</v>
      </c>
      <c r="M434" s="1047">
        <f t="shared" si="69"/>
        <v>0</v>
      </c>
      <c r="N434" s="306">
        <f t="shared" si="70"/>
        <v>0</v>
      </c>
      <c r="O434" s="307">
        <f t="shared" si="71"/>
        <v>0</v>
      </c>
      <c r="P434" s="1047">
        <f t="shared" si="72"/>
        <v>2</v>
      </c>
      <c r="Q434" s="306">
        <f t="shared" si="73"/>
        <v>176.46</v>
      </c>
      <c r="R434" s="307">
        <f t="shared" si="74"/>
        <v>1</v>
      </c>
      <c r="S434" s="314" t="str">
        <f t="shared" si="75"/>
        <v>ok</v>
      </c>
      <c r="T434" s="314"/>
      <c r="U434" s="314"/>
      <c r="V434" s="314"/>
      <c r="W434" s="314"/>
      <c r="X434" s="314"/>
    </row>
    <row r="435" spans="1:24" s="313" customFormat="1" ht="16.5" customHeight="1">
      <c r="A435" s="1337" t="s">
        <v>3504</v>
      </c>
      <c r="B435" s="1711" t="s">
        <v>3505</v>
      </c>
      <c r="C435" s="1502" t="s">
        <v>3499</v>
      </c>
      <c r="D435" s="1710">
        <v>4</v>
      </c>
      <c r="E435" s="1312">
        <v>98.04</v>
      </c>
      <c r="F435" s="1486">
        <f t="shared" si="76"/>
        <v>392.16</v>
      </c>
      <c r="G435" s="1049">
        <v>0</v>
      </c>
      <c r="H435" s="306">
        <v>0</v>
      </c>
      <c r="I435" s="307">
        <v>0</v>
      </c>
      <c r="J435" s="1046"/>
      <c r="K435" s="306">
        <f t="shared" si="67"/>
        <v>0</v>
      </c>
      <c r="L435" s="307">
        <f t="shared" si="68"/>
        <v>0</v>
      </c>
      <c r="M435" s="1047">
        <f t="shared" si="69"/>
        <v>0</v>
      </c>
      <c r="N435" s="306">
        <f t="shared" si="70"/>
        <v>0</v>
      </c>
      <c r="O435" s="307">
        <f t="shared" si="71"/>
        <v>0</v>
      </c>
      <c r="P435" s="1047">
        <f t="shared" si="72"/>
        <v>4</v>
      </c>
      <c r="Q435" s="306">
        <f t="shared" si="73"/>
        <v>392.16</v>
      </c>
      <c r="R435" s="307">
        <f t="shared" si="74"/>
        <v>1</v>
      </c>
      <c r="S435" s="314" t="str">
        <f t="shared" si="75"/>
        <v>ok</v>
      </c>
      <c r="T435" s="314"/>
      <c r="U435" s="314"/>
      <c r="V435" s="314"/>
      <c r="W435" s="314"/>
      <c r="X435" s="314"/>
    </row>
    <row r="436" spans="1:24" s="313" customFormat="1" ht="16.5" customHeight="1">
      <c r="A436" s="1337" t="s">
        <v>3506</v>
      </c>
      <c r="B436" s="1711" t="s">
        <v>3507</v>
      </c>
      <c r="C436" s="1502" t="s">
        <v>3499</v>
      </c>
      <c r="D436" s="1710">
        <v>1</v>
      </c>
      <c r="E436" s="1312">
        <v>310.12</v>
      </c>
      <c r="F436" s="1486">
        <f t="shared" si="76"/>
        <v>310.12</v>
      </c>
      <c r="G436" s="1049">
        <v>0</v>
      </c>
      <c r="H436" s="306">
        <v>0</v>
      </c>
      <c r="I436" s="307">
        <v>0</v>
      </c>
      <c r="J436" s="1046"/>
      <c r="K436" s="306">
        <f t="shared" si="67"/>
        <v>0</v>
      </c>
      <c r="L436" s="307">
        <f t="shared" si="68"/>
        <v>0</v>
      </c>
      <c r="M436" s="1047">
        <f t="shared" si="69"/>
        <v>0</v>
      </c>
      <c r="N436" s="306">
        <f t="shared" si="70"/>
        <v>0</v>
      </c>
      <c r="O436" s="307">
        <f t="shared" si="71"/>
        <v>0</v>
      </c>
      <c r="P436" s="1047">
        <f t="shared" si="72"/>
        <v>1</v>
      </c>
      <c r="Q436" s="306">
        <f t="shared" si="73"/>
        <v>310.12</v>
      </c>
      <c r="R436" s="307">
        <f t="shared" si="74"/>
        <v>1</v>
      </c>
      <c r="S436" s="314" t="str">
        <f t="shared" si="75"/>
        <v>ok</v>
      </c>
      <c r="T436" s="314"/>
      <c r="U436" s="314"/>
      <c r="V436" s="314"/>
      <c r="W436" s="314"/>
      <c r="X436" s="314"/>
    </row>
    <row r="437" spans="1:24" s="313" customFormat="1" ht="16.5" customHeight="1">
      <c r="A437" s="1713" t="s">
        <v>3508</v>
      </c>
      <c r="B437" s="1713" t="s">
        <v>3509</v>
      </c>
      <c r="C437" s="1502"/>
      <c r="D437" s="1710"/>
      <c r="E437" s="1312"/>
      <c r="F437" s="1486"/>
      <c r="G437" s="1049"/>
      <c r="H437" s="306"/>
      <c r="I437" s="307"/>
      <c r="J437" s="1046"/>
      <c r="K437" s="306"/>
      <c r="L437" s="307"/>
      <c r="M437" s="1047"/>
      <c r="N437" s="306"/>
      <c r="O437" s="307"/>
      <c r="P437" s="1047"/>
      <c r="Q437" s="306"/>
      <c r="R437" s="307"/>
      <c r="S437" s="314" t="str">
        <f t="shared" si="75"/>
        <v>ok</v>
      </c>
      <c r="T437" s="314"/>
      <c r="U437" s="314"/>
      <c r="V437" s="314"/>
      <c r="W437" s="314"/>
      <c r="X437" s="314"/>
    </row>
    <row r="438" spans="1:24" s="313" customFormat="1" ht="16.5" customHeight="1">
      <c r="A438" s="1337" t="s">
        <v>3510</v>
      </c>
      <c r="B438" s="1711" t="s">
        <v>3511</v>
      </c>
      <c r="C438" s="1502" t="s">
        <v>3499</v>
      </c>
      <c r="D438" s="1710">
        <v>6</v>
      </c>
      <c r="E438" s="1312">
        <v>481.68</v>
      </c>
      <c r="F438" s="1486">
        <f t="shared" si="76"/>
        <v>2890.08</v>
      </c>
      <c r="G438" s="1049">
        <v>0</v>
      </c>
      <c r="H438" s="306">
        <v>0</v>
      </c>
      <c r="I438" s="307">
        <v>0</v>
      </c>
      <c r="J438" s="1046"/>
      <c r="K438" s="306">
        <f t="shared" si="67"/>
        <v>0</v>
      </c>
      <c r="L438" s="307">
        <f t="shared" si="68"/>
        <v>0</v>
      </c>
      <c r="M438" s="1047">
        <f t="shared" si="69"/>
        <v>0</v>
      </c>
      <c r="N438" s="306">
        <f t="shared" si="70"/>
        <v>0</v>
      </c>
      <c r="O438" s="307">
        <f t="shared" si="71"/>
        <v>0</v>
      </c>
      <c r="P438" s="1047">
        <f t="shared" si="72"/>
        <v>6</v>
      </c>
      <c r="Q438" s="306">
        <f t="shared" si="73"/>
        <v>2890.08</v>
      </c>
      <c r="R438" s="307">
        <f t="shared" si="74"/>
        <v>1</v>
      </c>
      <c r="S438" s="314" t="str">
        <f t="shared" si="75"/>
        <v>ok</v>
      </c>
      <c r="T438" s="314"/>
      <c r="U438" s="314"/>
      <c r="V438" s="314"/>
      <c r="W438" s="314"/>
      <c r="X438" s="314"/>
    </row>
    <row r="439" spans="1:24" s="313" customFormat="1" ht="16.5" customHeight="1">
      <c r="A439" s="1713" t="s">
        <v>3512</v>
      </c>
      <c r="B439" s="1713" t="s">
        <v>3513</v>
      </c>
      <c r="C439" s="1502"/>
      <c r="D439" s="1710"/>
      <c r="E439" s="1312"/>
      <c r="F439" s="1486"/>
      <c r="G439" s="1049"/>
      <c r="H439" s="306"/>
      <c r="I439" s="307"/>
      <c r="J439" s="1046"/>
      <c r="K439" s="306"/>
      <c r="L439" s="307"/>
      <c r="M439" s="1047"/>
      <c r="N439" s="306"/>
      <c r="O439" s="307"/>
      <c r="P439" s="1047"/>
      <c r="Q439" s="306"/>
      <c r="R439" s="307"/>
      <c r="S439" s="314" t="str">
        <f t="shared" si="75"/>
        <v>ok</v>
      </c>
      <c r="T439" s="314"/>
      <c r="U439" s="314"/>
      <c r="V439" s="314"/>
      <c r="W439" s="314"/>
      <c r="X439" s="314"/>
    </row>
    <row r="440" spans="1:24" s="313" customFormat="1" ht="16.5" customHeight="1">
      <c r="A440" s="1337" t="s">
        <v>3514</v>
      </c>
      <c r="B440" s="1711" t="s">
        <v>3515</v>
      </c>
      <c r="C440" s="1502" t="s">
        <v>3499</v>
      </c>
      <c r="D440" s="1710">
        <v>6</v>
      </c>
      <c r="E440" s="1312">
        <v>501.19</v>
      </c>
      <c r="F440" s="1486">
        <f t="shared" si="76"/>
        <v>3007.14</v>
      </c>
      <c r="G440" s="1049">
        <v>0</v>
      </c>
      <c r="H440" s="306">
        <v>0</v>
      </c>
      <c r="I440" s="307">
        <v>0</v>
      </c>
      <c r="J440" s="1046"/>
      <c r="K440" s="306">
        <f t="shared" si="67"/>
        <v>0</v>
      </c>
      <c r="L440" s="307">
        <f t="shared" si="68"/>
        <v>0</v>
      </c>
      <c r="M440" s="1047">
        <f t="shared" si="69"/>
        <v>0</v>
      </c>
      <c r="N440" s="306">
        <f t="shared" si="70"/>
        <v>0</v>
      </c>
      <c r="O440" s="307">
        <f t="shared" si="71"/>
        <v>0</v>
      </c>
      <c r="P440" s="1047">
        <f t="shared" si="72"/>
        <v>6</v>
      </c>
      <c r="Q440" s="306">
        <f t="shared" si="73"/>
        <v>3007.14</v>
      </c>
      <c r="R440" s="307">
        <f t="shared" si="74"/>
        <v>1</v>
      </c>
      <c r="S440" s="314" t="str">
        <f t="shared" si="75"/>
        <v>ok</v>
      </c>
      <c r="T440" s="314"/>
      <c r="U440" s="314"/>
      <c r="V440" s="314"/>
      <c r="W440" s="314"/>
      <c r="X440" s="314"/>
    </row>
    <row r="441" spans="1:24" s="313" customFormat="1" ht="16.5" customHeight="1">
      <c r="A441" s="1713" t="s">
        <v>3516</v>
      </c>
      <c r="B441" s="1713" t="s">
        <v>3517</v>
      </c>
      <c r="C441" s="1502"/>
      <c r="D441" s="1710"/>
      <c r="E441" s="1312"/>
      <c r="F441" s="1486"/>
      <c r="G441" s="1049"/>
      <c r="H441" s="306"/>
      <c r="I441" s="307"/>
      <c r="J441" s="1046"/>
      <c r="K441" s="306"/>
      <c r="L441" s="307"/>
      <c r="M441" s="1047"/>
      <c r="N441" s="306"/>
      <c r="O441" s="307"/>
      <c r="P441" s="1047"/>
      <c r="Q441" s="306"/>
      <c r="R441" s="307"/>
      <c r="S441" s="314" t="str">
        <f t="shared" si="75"/>
        <v>ok</v>
      </c>
      <c r="T441" s="314"/>
      <c r="U441" s="314"/>
      <c r="V441" s="314"/>
      <c r="W441" s="314"/>
      <c r="X441" s="314"/>
    </row>
    <row r="442" spans="1:24" s="313" customFormat="1" ht="16.5" customHeight="1">
      <c r="A442" s="1337" t="s">
        <v>3518</v>
      </c>
      <c r="B442" s="1711" t="s">
        <v>3519</v>
      </c>
      <c r="C442" s="1502" t="s">
        <v>3520</v>
      </c>
      <c r="D442" s="1710">
        <v>1</v>
      </c>
      <c r="E442" s="1312">
        <v>2833.4700000000003</v>
      </c>
      <c r="F442" s="1486">
        <f t="shared" si="76"/>
        <v>2833.4700000000003</v>
      </c>
      <c r="G442" s="1049">
        <v>0</v>
      </c>
      <c r="H442" s="306">
        <v>0</v>
      </c>
      <c r="I442" s="307">
        <v>0</v>
      </c>
      <c r="J442" s="1046"/>
      <c r="K442" s="306">
        <f t="shared" si="67"/>
        <v>0</v>
      </c>
      <c r="L442" s="307">
        <f t="shared" si="68"/>
        <v>0</v>
      </c>
      <c r="M442" s="1047">
        <f t="shared" si="69"/>
        <v>0</v>
      </c>
      <c r="N442" s="306">
        <f t="shared" si="70"/>
        <v>0</v>
      </c>
      <c r="O442" s="307">
        <f t="shared" si="71"/>
        <v>0</v>
      </c>
      <c r="P442" s="1047">
        <f t="shared" si="72"/>
        <v>1</v>
      </c>
      <c r="Q442" s="306">
        <f t="shared" si="73"/>
        <v>2833.4700000000003</v>
      </c>
      <c r="R442" s="307">
        <f t="shared" si="74"/>
        <v>1</v>
      </c>
      <c r="S442" s="314" t="str">
        <f t="shared" si="75"/>
        <v>ok</v>
      </c>
      <c r="T442" s="314"/>
      <c r="U442" s="314"/>
      <c r="V442" s="314"/>
      <c r="W442" s="314"/>
      <c r="X442" s="314"/>
    </row>
    <row r="443" spans="1:24" s="313" customFormat="1" ht="16.5" customHeight="1">
      <c r="A443" s="1337" t="s">
        <v>3521</v>
      </c>
      <c r="B443" s="1711" t="s">
        <v>3522</v>
      </c>
      <c r="C443" s="1502" t="s">
        <v>3520</v>
      </c>
      <c r="D443" s="1710">
        <v>1</v>
      </c>
      <c r="E443" s="1312">
        <v>671.7</v>
      </c>
      <c r="F443" s="1486">
        <f t="shared" si="76"/>
        <v>671.7</v>
      </c>
      <c r="G443" s="1049">
        <v>0</v>
      </c>
      <c r="H443" s="306">
        <v>0</v>
      </c>
      <c r="I443" s="307">
        <v>0</v>
      </c>
      <c r="J443" s="1046"/>
      <c r="K443" s="306">
        <f t="shared" si="67"/>
        <v>0</v>
      </c>
      <c r="L443" s="307">
        <f t="shared" si="68"/>
        <v>0</v>
      </c>
      <c r="M443" s="1047">
        <f t="shared" si="69"/>
        <v>0</v>
      </c>
      <c r="N443" s="306">
        <f t="shared" si="70"/>
        <v>0</v>
      </c>
      <c r="O443" s="307">
        <f t="shared" si="71"/>
        <v>0</v>
      </c>
      <c r="P443" s="1047">
        <f t="shared" si="72"/>
        <v>1</v>
      </c>
      <c r="Q443" s="306">
        <f t="shared" si="73"/>
        <v>671.7</v>
      </c>
      <c r="R443" s="307">
        <f t="shared" si="74"/>
        <v>1</v>
      </c>
      <c r="S443" s="314" t="str">
        <f t="shared" si="75"/>
        <v>ok</v>
      </c>
      <c r="T443" s="314"/>
      <c r="U443" s="314"/>
      <c r="V443" s="314"/>
      <c r="W443" s="314"/>
      <c r="X443" s="314"/>
    </row>
    <row r="444" spans="1:24" s="313" customFormat="1" ht="16.5" customHeight="1">
      <c r="A444" s="1713" t="s">
        <v>3523</v>
      </c>
      <c r="B444" s="1713" t="s">
        <v>3524</v>
      </c>
      <c r="C444" s="1502"/>
      <c r="D444" s="1710"/>
      <c r="E444" s="1312"/>
      <c r="F444" s="1486"/>
      <c r="G444" s="1049"/>
      <c r="H444" s="306"/>
      <c r="I444" s="307"/>
      <c r="J444" s="1046"/>
      <c r="K444" s="306"/>
      <c r="L444" s="307"/>
      <c r="M444" s="1047"/>
      <c r="N444" s="306"/>
      <c r="O444" s="307"/>
      <c r="P444" s="1047"/>
      <c r="Q444" s="306"/>
      <c r="R444" s="307"/>
      <c r="S444" s="314" t="str">
        <f t="shared" si="75"/>
        <v>ok</v>
      </c>
      <c r="T444" s="314"/>
      <c r="U444" s="314"/>
      <c r="V444" s="314"/>
      <c r="W444" s="314"/>
      <c r="X444" s="314"/>
    </row>
    <row r="445" spans="1:24" s="313" customFormat="1" ht="16.5" customHeight="1">
      <c r="A445" s="1337" t="s">
        <v>3525</v>
      </c>
      <c r="B445" s="1711" t="s">
        <v>3526</v>
      </c>
      <c r="C445" s="1502" t="s">
        <v>3520</v>
      </c>
      <c r="D445" s="1710">
        <v>1</v>
      </c>
      <c r="E445" s="1312">
        <v>2417.4700000000003</v>
      </c>
      <c r="F445" s="1486">
        <f t="shared" si="76"/>
        <v>2417.4700000000003</v>
      </c>
      <c r="G445" s="1049">
        <v>0</v>
      </c>
      <c r="H445" s="306">
        <v>0</v>
      </c>
      <c r="I445" s="307">
        <v>0</v>
      </c>
      <c r="J445" s="1046"/>
      <c r="K445" s="306">
        <f t="shared" si="67"/>
        <v>0</v>
      </c>
      <c r="L445" s="307">
        <f t="shared" si="68"/>
        <v>0</v>
      </c>
      <c r="M445" s="1047">
        <f t="shared" si="69"/>
        <v>0</v>
      </c>
      <c r="N445" s="306">
        <f t="shared" si="70"/>
        <v>0</v>
      </c>
      <c r="O445" s="307">
        <f t="shared" si="71"/>
        <v>0</v>
      </c>
      <c r="P445" s="1047">
        <f t="shared" si="72"/>
        <v>1</v>
      </c>
      <c r="Q445" s="306">
        <f t="shared" si="73"/>
        <v>2417.4700000000003</v>
      </c>
      <c r="R445" s="307">
        <f t="shared" si="74"/>
        <v>1</v>
      </c>
      <c r="S445" s="314" t="str">
        <f t="shared" si="75"/>
        <v>ok</v>
      </c>
      <c r="T445" s="314"/>
      <c r="U445" s="314"/>
      <c r="V445" s="314"/>
      <c r="W445" s="314"/>
      <c r="X445" s="314"/>
    </row>
    <row r="446" spans="1:24" s="313" customFormat="1" ht="16.5" customHeight="1">
      <c r="A446" s="1713" t="s">
        <v>3527</v>
      </c>
      <c r="B446" s="1713" t="s">
        <v>3528</v>
      </c>
      <c r="C446" s="1502"/>
      <c r="D446" s="1710"/>
      <c r="E446" s="1312"/>
      <c r="F446" s="1486"/>
      <c r="G446" s="1049"/>
      <c r="H446" s="306"/>
      <c r="I446" s="307"/>
      <c r="J446" s="1046"/>
      <c r="K446" s="306"/>
      <c r="L446" s="307"/>
      <c r="M446" s="1047"/>
      <c r="N446" s="306"/>
      <c r="O446" s="307"/>
      <c r="P446" s="1047"/>
      <c r="Q446" s="306"/>
      <c r="R446" s="307"/>
      <c r="S446" s="314" t="str">
        <f t="shared" si="75"/>
        <v>ok</v>
      </c>
      <c r="T446" s="314"/>
      <c r="U446" s="314"/>
      <c r="V446" s="314"/>
      <c r="W446" s="314"/>
      <c r="X446" s="314"/>
    </row>
    <row r="447" spans="1:24" s="313" customFormat="1" ht="16.5" customHeight="1">
      <c r="A447" s="1337" t="s">
        <v>3529</v>
      </c>
      <c r="B447" s="1711" t="s">
        <v>3530</v>
      </c>
      <c r="C447" s="1502" t="s">
        <v>51</v>
      </c>
      <c r="D447" s="1710">
        <v>12</v>
      </c>
      <c r="E447" s="1312">
        <v>53.800000000000004</v>
      </c>
      <c r="F447" s="1486">
        <f t="shared" si="76"/>
        <v>645.6</v>
      </c>
      <c r="G447" s="1049">
        <v>0</v>
      </c>
      <c r="H447" s="306">
        <v>0</v>
      </c>
      <c r="I447" s="307">
        <v>0</v>
      </c>
      <c r="J447" s="1046"/>
      <c r="K447" s="306">
        <f t="shared" ref="K447:K510" si="77">J447*E447</f>
        <v>0</v>
      </c>
      <c r="L447" s="307">
        <f t="shared" ref="L447:L510" si="78">+K447/$F447</f>
        <v>0</v>
      </c>
      <c r="M447" s="1047">
        <f t="shared" ref="M447:M510" si="79">+G447+J447</f>
        <v>0</v>
      </c>
      <c r="N447" s="306">
        <f t="shared" ref="N447:N510" si="80">ROUND(+M447*E447,2)</f>
        <v>0</v>
      </c>
      <c r="O447" s="307">
        <f t="shared" ref="O447:O510" si="81">+N447/$F447</f>
        <v>0</v>
      </c>
      <c r="P447" s="1047">
        <f t="shared" ref="P447:P510" si="82">D447-M447</f>
        <v>12</v>
      </c>
      <c r="Q447" s="306">
        <f t="shared" ref="Q447:Q510" si="83">F447-N447</f>
        <v>645.6</v>
      </c>
      <c r="R447" s="307">
        <f t="shared" ref="R447:R510" si="84">+Q447/$F447</f>
        <v>1</v>
      </c>
      <c r="S447" s="314" t="str">
        <f t="shared" si="75"/>
        <v>ok</v>
      </c>
      <c r="T447" s="314"/>
      <c r="U447" s="314"/>
      <c r="V447" s="314"/>
      <c r="W447" s="314"/>
      <c r="X447" s="314"/>
    </row>
    <row r="448" spans="1:24" s="313" customFormat="1" ht="16.5" customHeight="1">
      <c r="A448" s="1337" t="s">
        <v>3531</v>
      </c>
      <c r="B448" s="1711" t="s">
        <v>3532</v>
      </c>
      <c r="C448" s="1502" t="s">
        <v>50</v>
      </c>
      <c r="D448" s="1710">
        <v>25</v>
      </c>
      <c r="E448" s="1312">
        <v>234.45000000000002</v>
      </c>
      <c r="F448" s="1486">
        <f t="shared" si="76"/>
        <v>5861.25</v>
      </c>
      <c r="G448" s="1049">
        <v>0</v>
      </c>
      <c r="H448" s="306">
        <v>0</v>
      </c>
      <c r="I448" s="307">
        <v>0</v>
      </c>
      <c r="J448" s="1046"/>
      <c r="K448" s="306">
        <f t="shared" si="77"/>
        <v>0</v>
      </c>
      <c r="L448" s="307">
        <f t="shared" si="78"/>
        <v>0</v>
      </c>
      <c r="M448" s="1047">
        <f t="shared" si="79"/>
        <v>0</v>
      </c>
      <c r="N448" s="306">
        <f t="shared" si="80"/>
        <v>0</v>
      </c>
      <c r="O448" s="307">
        <f t="shared" si="81"/>
        <v>0</v>
      </c>
      <c r="P448" s="1047">
        <f t="shared" si="82"/>
        <v>25</v>
      </c>
      <c r="Q448" s="306">
        <f t="shared" si="83"/>
        <v>5861.25</v>
      </c>
      <c r="R448" s="307">
        <f t="shared" si="84"/>
        <v>1</v>
      </c>
      <c r="S448" s="314" t="str">
        <f t="shared" si="75"/>
        <v>ok</v>
      </c>
      <c r="T448" s="314"/>
      <c r="U448" s="314"/>
      <c r="V448" s="314"/>
      <c r="W448" s="314"/>
      <c r="X448" s="314"/>
    </row>
    <row r="449" spans="1:24" s="313" customFormat="1" ht="16.5" customHeight="1">
      <c r="A449" s="1713" t="s">
        <v>3533</v>
      </c>
      <c r="B449" s="1713" t="s">
        <v>3534</v>
      </c>
      <c r="C449" s="1502"/>
      <c r="D449" s="1710"/>
      <c r="E449" s="1312"/>
      <c r="F449" s="1486"/>
      <c r="G449" s="1049"/>
      <c r="H449" s="306"/>
      <c r="I449" s="307"/>
      <c r="J449" s="1046"/>
      <c r="K449" s="306"/>
      <c r="L449" s="307"/>
      <c r="M449" s="1047"/>
      <c r="N449" s="306"/>
      <c r="O449" s="307"/>
      <c r="P449" s="1047"/>
      <c r="Q449" s="306"/>
      <c r="R449" s="307"/>
      <c r="S449" s="314" t="str">
        <f t="shared" si="75"/>
        <v>ok</v>
      </c>
      <c r="T449" s="314"/>
      <c r="U449" s="314"/>
      <c r="V449" s="314"/>
      <c r="W449" s="314"/>
      <c r="X449" s="314"/>
    </row>
    <row r="450" spans="1:24" s="313" customFormat="1" ht="16.5" customHeight="1">
      <c r="A450" s="1337" t="s">
        <v>3535</v>
      </c>
      <c r="B450" s="1711" t="s">
        <v>3536</v>
      </c>
      <c r="C450" s="1502" t="s">
        <v>2145</v>
      </c>
      <c r="D450" s="1710">
        <v>6</v>
      </c>
      <c r="E450" s="1312">
        <v>39.869999999999997</v>
      </c>
      <c r="F450" s="1486">
        <f t="shared" si="76"/>
        <v>239.21999999999997</v>
      </c>
      <c r="G450" s="1049">
        <v>0</v>
      </c>
      <c r="H450" s="306">
        <v>0</v>
      </c>
      <c r="I450" s="307">
        <v>0</v>
      </c>
      <c r="J450" s="1046"/>
      <c r="K450" s="306">
        <f t="shared" si="77"/>
        <v>0</v>
      </c>
      <c r="L450" s="307">
        <f t="shared" si="78"/>
        <v>0</v>
      </c>
      <c r="M450" s="1047">
        <f t="shared" si="79"/>
        <v>0</v>
      </c>
      <c r="N450" s="306">
        <f t="shared" si="80"/>
        <v>0</v>
      </c>
      <c r="O450" s="307">
        <f t="shared" si="81"/>
        <v>0</v>
      </c>
      <c r="P450" s="1047">
        <f t="shared" si="82"/>
        <v>6</v>
      </c>
      <c r="Q450" s="306">
        <f t="shared" si="83"/>
        <v>239.21999999999997</v>
      </c>
      <c r="R450" s="307">
        <f t="shared" si="84"/>
        <v>1</v>
      </c>
      <c r="S450" s="314" t="str">
        <f t="shared" si="75"/>
        <v>ok</v>
      </c>
      <c r="T450" s="314"/>
      <c r="U450" s="314"/>
      <c r="V450" s="314"/>
      <c r="W450" s="314"/>
      <c r="X450" s="314"/>
    </row>
    <row r="451" spans="1:24" s="313" customFormat="1" ht="16.5" customHeight="1">
      <c r="A451" s="1337" t="s">
        <v>3537</v>
      </c>
      <c r="B451" s="1711" t="s">
        <v>3538</v>
      </c>
      <c r="C451" s="1502" t="s">
        <v>2145</v>
      </c>
      <c r="D451" s="1710">
        <v>6</v>
      </c>
      <c r="E451" s="1312">
        <v>39.869999999999997</v>
      </c>
      <c r="F451" s="1486">
        <f t="shared" si="76"/>
        <v>239.21999999999997</v>
      </c>
      <c r="G451" s="1049">
        <v>0</v>
      </c>
      <c r="H451" s="306">
        <v>0</v>
      </c>
      <c r="I451" s="307">
        <v>0</v>
      </c>
      <c r="J451" s="1046"/>
      <c r="K451" s="306">
        <f t="shared" si="77"/>
        <v>0</v>
      </c>
      <c r="L451" s="307">
        <f t="shared" si="78"/>
        <v>0</v>
      </c>
      <c r="M451" s="1047">
        <f t="shared" si="79"/>
        <v>0</v>
      </c>
      <c r="N451" s="306">
        <f t="shared" si="80"/>
        <v>0</v>
      </c>
      <c r="O451" s="307">
        <f t="shared" si="81"/>
        <v>0</v>
      </c>
      <c r="P451" s="1047">
        <f t="shared" si="82"/>
        <v>6</v>
      </c>
      <c r="Q451" s="306">
        <f t="shared" si="83"/>
        <v>239.21999999999997</v>
      </c>
      <c r="R451" s="307">
        <f t="shared" si="84"/>
        <v>1</v>
      </c>
      <c r="S451" s="314" t="str">
        <f t="shared" si="75"/>
        <v>ok</v>
      </c>
      <c r="T451" s="314"/>
      <c r="U451" s="314"/>
      <c r="V451" s="314"/>
      <c r="W451" s="314"/>
      <c r="X451" s="314"/>
    </row>
    <row r="452" spans="1:24" s="313" customFormat="1" ht="16.5" customHeight="1">
      <c r="A452" s="1713" t="s">
        <v>3539</v>
      </c>
      <c r="B452" s="1713" t="s">
        <v>3540</v>
      </c>
      <c r="C452" s="1502"/>
      <c r="D452" s="1710"/>
      <c r="E452" s="1312"/>
      <c r="F452" s="1486"/>
      <c r="G452" s="1049"/>
      <c r="H452" s="306"/>
      <c r="I452" s="307"/>
      <c r="J452" s="1046"/>
      <c r="K452" s="306"/>
      <c r="L452" s="307"/>
      <c r="M452" s="1047"/>
      <c r="N452" s="306"/>
      <c r="O452" s="307"/>
      <c r="P452" s="1047"/>
      <c r="Q452" s="306"/>
      <c r="R452" s="307"/>
      <c r="S452" s="314" t="str">
        <f t="shared" si="75"/>
        <v>ok</v>
      </c>
      <c r="T452" s="314"/>
      <c r="U452" s="314"/>
      <c r="V452" s="314"/>
      <c r="W452" s="314"/>
      <c r="X452" s="314"/>
    </row>
    <row r="453" spans="1:24" s="313" customFormat="1" ht="16.5" customHeight="1">
      <c r="A453" s="1718" t="s">
        <v>3541</v>
      </c>
      <c r="B453" s="1718" t="s">
        <v>3542</v>
      </c>
      <c r="C453" s="1502"/>
      <c r="D453" s="1710"/>
      <c r="E453" s="1312"/>
      <c r="F453" s="1486"/>
      <c r="G453" s="1049"/>
      <c r="H453" s="306"/>
      <c r="I453" s="307"/>
      <c r="J453" s="1046"/>
      <c r="K453" s="306"/>
      <c r="L453" s="307"/>
      <c r="M453" s="1047"/>
      <c r="N453" s="306"/>
      <c r="O453" s="307"/>
      <c r="P453" s="1047"/>
      <c r="Q453" s="306"/>
      <c r="R453" s="307"/>
      <c r="S453" s="314" t="str">
        <f t="shared" si="75"/>
        <v>ok</v>
      </c>
      <c r="T453" s="314"/>
      <c r="U453" s="314"/>
      <c r="V453" s="314"/>
      <c r="W453" s="314"/>
      <c r="X453" s="314"/>
    </row>
    <row r="454" spans="1:24" s="313" customFormat="1" ht="16.5" customHeight="1">
      <c r="A454" s="1337" t="s">
        <v>3543</v>
      </c>
      <c r="B454" s="1711" t="s">
        <v>3544</v>
      </c>
      <c r="C454" s="1502" t="s">
        <v>50</v>
      </c>
      <c r="D454" s="1710">
        <v>10.8</v>
      </c>
      <c r="E454" s="1312">
        <v>13.5</v>
      </c>
      <c r="F454" s="1486">
        <f t="shared" si="76"/>
        <v>145.80000000000001</v>
      </c>
      <c r="G454" s="1049">
        <v>0</v>
      </c>
      <c r="H454" s="306">
        <v>0</v>
      </c>
      <c r="I454" s="307">
        <v>0</v>
      </c>
      <c r="J454" s="1046"/>
      <c r="K454" s="306">
        <f t="shared" si="77"/>
        <v>0</v>
      </c>
      <c r="L454" s="307">
        <f t="shared" si="78"/>
        <v>0</v>
      </c>
      <c r="M454" s="1047">
        <f t="shared" si="79"/>
        <v>0</v>
      </c>
      <c r="N454" s="306">
        <f t="shared" si="80"/>
        <v>0</v>
      </c>
      <c r="O454" s="307">
        <f t="shared" si="81"/>
        <v>0</v>
      </c>
      <c r="P454" s="1047">
        <f t="shared" si="82"/>
        <v>10.8</v>
      </c>
      <c r="Q454" s="306">
        <f t="shared" si="83"/>
        <v>145.80000000000001</v>
      </c>
      <c r="R454" s="307">
        <f t="shared" si="84"/>
        <v>1</v>
      </c>
      <c r="S454" s="314" t="str">
        <f t="shared" si="75"/>
        <v>ok</v>
      </c>
      <c r="T454" s="314"/>
      <c r="U454" s="314"/>
      <c r="V454" s="314"/>
      <c r="W454" s="314"/>
      <c r="X454" s="314"/>
    </row>
    <row r="455" spans="1:24" s="313" customFormat="1" ht="16.5" customHeight="1">
      <c r="A455" s="1337" t="s">
        <v>3545</v>
      </c>
      <c r="B455" s="1711" t="s">
        <v>3546</v>
      </c>
      <c r="C455" s="1502" t="s">
        <v>49</v>
      </c>
      <c r="D455" s="1710">
        <v>52.2</v>
      </c>
      <c r="E455" s="1312">
        <v>1.86</v>
      </c>
      <c r="F455" s="1486">
        <f t="shared" si="76"/>
        <v>97.092000000000013</v>
      </c>
      <c r="G455" s="1049">
        <v>0</v>
      </c>
      <c r="H455" s="306">
        <v>0</v>
      </c>
      <c r="I455" s="307">
        <v>0</v>
      </c>
      <c r="J455" s="1046"/>
      <c r="K455" s="306">
        <f t="shared" si="77"/>
        <v>0</v>
      </c>
      <c r="L455" s="307">
        <f t="shared" si="78"/>
        <v>0</v>
      </c>
      <c r="M455" s="1047">
        <f t="shared" si="79"/>
        <v>0</v>
      </c>
      <c r="N455" s="306">
        <f t="shared" si="80"/>
        <v>0</v>
      </c>
      <c r="O455" s="307">
        <f t="shared" si="81"/>
        <v>0</v>
      </c>
      <c r="P455" s="1047">
        <f t="shared" si="82"/>
        <v>52.2</v>
      </c>
      <c r="Q455" s="306">
        <f t="shared" si="83"/>
        <v>97.092000000000013</v>
      </c>
      <c r="R455" s="307">
        <f t="shared" si="84"/>
        <v>1</v>
      </c>
      <c r="S455" s="314" t="str">
        <f t="shared" si="75"/>
        <v>ok</v>
      </c>
      <c r="T455" s="314"/>
      <c r="U455" s="314"/>
      <c r="V455" s="314"/>
      <c r="W455" s="314"/>
      <c r="X455" s="314"/>
    </row>
    <row r="456" spans="1:24" s="313" customFormat="1" ht="16.5" customHeight="1">
      <c r="A456" s="1337" t="s">
        <v>3547</v>
      </c>
      <c r="B456" s="1711" t="s">
        <v>3548</v>
      </c>
      <c r="C456" s="1502" t="s">
        <v>50</v>
      </c>
      <c r="D456" s="1710">
        <v>1.59</v>
      </c>
      <c r="E456" s="1312">
        <v>5.19</v>
      </c>
      <c r="F456" s="1486">
        <f t="shared" si="76"/>
        <v>8.2521000000000004</v>
      </c>
      <c r="G456" s="1049">
        <v>0</v>
      </c>
      <c r="H456" s="306">
        <v>0</v>
      </c>
      <c r="I456" s="307">
        <v>0</v>
      </c>
      <c r="J456" s="1046"/>
      <c r="K456" s="306">
        <f t="shared" si="77"/>
        <v>0</v>
      </c>
      <c r="L456" s="307">
        <f t="shared" si="78"/>
        <v>0</v>
      </c>
      <c r="M456" s="1047">
        <f t="shared" si="79"/>
        <v>0</v>
      </c>
      <c r="N456" s="306">
        <f t="shared" si="80"/>
        <v>0</v>
      </c>
      <c r="O456" s="307">
        <f t="shared" si="81"/>
        <v>0</v>
      </c>
      <c r="P456" s="1047">
        <f t="shared" si="82"/>
        <v>1.59</v>
      </c>
      <c r="Q456" s="306">
        <f t="shared" si="83"/>
        <v>8.2521000000000004</v>
      </c>
      <c r="R456" s="307">
        <f t="shared" si="84"/>
        <v>1</v>
      </c>
      <c r="S456" s="314" t="str">
        <f t="shared" si="75"/>
        <v>ok</v>
      </c>
      <c r="T456" s="314"/>
      <c r="U456" s="314"/>
      <c r="V456" s="314"/>
      <c r="W456" s="314"/>
      <c r="X456" s="314"/>
    </row>
    <row r="457" spans="1:24" s="313" customFormat="1" ht="16.5" customHeight="1">
      <c r="A457" s="1337" t="s">
        <v>3549</v>
      </c>
      <c r="B457" s="1711" t="s">
        <v>3550</v>
      </c>
      <c r="C457" s="1502" t="s">
        <v>50</v>
      </c>
      <c r="D457" s="1710">
        <v>10.8</v>
      </c>
      <c r="E457" s="1312">
        <v>28.23</v>
      </c>
      <c r="F457" s="1486">
        <f t="shared" si="76"/>
        <v>304.88400000000001</v>
      </c>
      <c r="G457" s="1049">
        <v>0</v>
      </c>
      <c r="H457" s="306">
        <v>0</v>
      </c>
      <c r="I457" s="307">
        <v>0</v>
      </c>
      <c r="J457" s="1046"/>
      <c r="K457" s="306">
        <f t="shared" si="77"/>
        <v>0</v>
      </c>
      <c r="L457" s="307">
        <f t="shared" si="78"/>
        <v>0</v>
      </c>
      <c r="M457" s="1047">
        <f t="shared" si="79"/>
        <v>0</v>
      </c>
      <c r="N457" s="306">
        <f t="shared" si="80"/>
        <v>0</v>
      </c>
      <c r="O457" s="307">
        <f t="shared" si="81"/>
        <v>0</v>
      </c>
      <c r="P457" s="1047">
        <f t="shared" si="82"/>
        <v>10.8</v>
      </c>
      <c r="Q457" s="306">
        <f t="shared" si="83"/>
        <v>304.88400000000001</v>
      </c>
      <c r="R457" s="307">
        <f t="shared" si="84"/>
        <v>1</v>
      </c>
      <c r="S457" s="314" t="str">
        <f t="shared" si="75"/>
        <v>ok</v>
      </c>
      <c r="T457" s="314"/>
      <c r="U457" s="314"/>
      <c r="V457" s="314"/>
      <c r="W457" s="314"/>
      <c r="X457" s="314"/>
    </row>
    <row r="458" spans="1:24" s="313" customFormat="1" ht="16.5" customHeight="1">
      <c r="A458" s="1337" t="s">
        <v>3551</v>
      </c>
      <c r="B458" s="1711" t="s">
        <v>3552</v>
      </c>
      <c r="C458" s="1502" t="s">
        <v>49</v>
      </c>
      <c r="D458" s="1710">
        <v>9</v>
      </c>
      <c r="E458" s="1312">
        <v>20.56</v>
      </c>
      <c r="F458" s="1486">
        <f t="shared" si="76"/>
        <v>185.04</v>
      </c>
      <c r="G458" s="1049">
        <v>0</v>
      </c>
      <c r="H458" s="306">
        <v>0</v>
      </c>
      <c r="I458" s="307">
        <v>0</v>
      </c>
      <c r="J458" s="1046"/>
      <c r="K458" s="306">
        <f t="shared" si="77"/>
        <v>0</v>
      </c>
      <c r="L458" s="307">
        <f t="shared" si="78"/>
        <v>0</v>
      </c>
      <c r="M458" s="1047">
        <f t="shared" si="79"/>
        <v>0</v>
      </c>
      <c r="N458" s="306">
        <f t="shared" si="80"/>
        <v>0</v>
      </c>
      <c r="O458" s="307">
        <f t="shared" si="81"/>
        <v>0</v>
      </c>
      <c r="P458" s="1047">
        <f t="shared" si="82"/>
        <v>9</v>
      </c>
      <c r="Q458" s="306">
        <f t="shared" si="83"/>
        <v>185.04</v>
      </c>
      <c r="R458" s="307">
        <f t="shared" si="84"/>
        <v>1</v>
      </c>
      <c r="S458" s="314" t="str">
        <f t="shared" si="75"/>
        <v>ok</v>
      </c>
      <c r="T458" s="314"/>
      <c r="U458" s="314"/>
      <c r="V458" s="314"/>
      <c r="W458" s="314"/>
      <c r="X458" s="314"/>
    </row>
    <row r="459" spans="1:24" s="313" customFormat="1" ht="16.5" customHeight="1">
      <c r="A459" s="1337" t="s">
        <v>3553</v>
      </c>
      <c r="B459" s="1711" t="s">
        <v>3554</v>
      </c>
      <c r="C459" s="1502" t="s">
        <v>49</v>
      </c>
      <c r="D459" s="1710">
        <v>43.2</v>
      </c>
      <c r="E459" s="1312">
        <v>59.78</v>
      </c>
      <c r="F459" s="1486">
        <f t="shared" si="76"/>
        <v>2582.4960000000001</v>
      </c>
      <c r="G459" s="1049">
        <v>0</v>
      </c>
      <c r="H459" s="306">
        <v>0</v>
      </c>
      <c r="I459" s="307">
        <v>0</v>
      </c>
      <c r="J459" s="1046"/>
      <c r="K459" s="306">
        <f t="shared" si="77"/>
        <v>0</v>
      </c>
      <c r="L459" s="307">
        <f t="shared" si="78"/>
        <v>0</v>
      </c>
      <c r="M459" s="1047">
        <f t="shared" si="79"/>
        <v>0</v>
      </c>
      <c r="N459" s="306">
        <f t="shared" si="80"/>
        <v>0</v>
      </c>
      <c r="O459" s="307">
        <f t="shared" si="81"/>
        <v>0</v>
      </c>
      <c r="P459" s="1047">
        <f t="shared" si="82"/>
        <v>43.2</v>
      </c>
      <c r="Q459" s="306">
        <f t="shared" si="83"/>
        <v>2582.4960000000001</v>
      </c>
      <c r="R459" s="307">
        <f t="shared" si="84"/>
        <v>1</v>
      </c>
      <c r="S459" s="314" t="str">
        <f t="shared" si="75"/>
        <v>ok</v>
      </c>
      <c r="T459" s="314"/>
      <c r="U459" s="314"/>
      <c r="V459" s="314"/>
      <c r="W459" s="314"/>
      <c r="X459" s="314"/>
    </row>
    <row r="460" spans="1:24" s="313" customFormat="1" ht="16.5" customHeight="1">
      <c r="A460" s="1337" t="s">
        <v>3555</v>
      </c>
      <c r="B460" s="1711" t="s">
        <v>3556</v>
      </c>
      <c r="C460" s="1502" t="s">
        <v>420</v>
      </c>
      <c r="D460" s="1710">
        <v>873</v>
      </c>
      <c r="E460" s="1312">
        <v>14.950000000000001</v>
      </c>
      <c r="F460" s="1486">
        <f t="shared" si="76"/>
        <v>13051.35</v>
      </c>
      <c r="G460" s="1049">
        <v>0</v>
      </c>
      <c r="H460" s="306">
        <v>0</v>
      </c>
      <c r="I460" s="307">
        <v>0</v>
      </c>
      <c r="J460" s="1046"/>
      <c r="K460" s="306">
        <f t="shared" si="77"/>
        <v>0</v>
      </c>
      <c r="L460" s="307">
        <f t="shared" si="78"/>
        <v>0</v>
      </c>
      <c r="M460" s="1047">
        <f t="shared" si="79"/>
        <v>0</v>
      </c>
      <c r="N460" s="306">
        <f t="shared" si="80"/>
        <v>0</v>
      </c>
      <c r="O460" s="307">
        <f t="shared" si="81"/>
        <v>0</v>
      </c>
      <c r="P460" s="1047">
        <f t="shared" si="82"/>
        <v>873</v>
      </c>
      <c r="Q460" s="306">
        <f t="shared" si="83"/>
        <v>13051.35</v>
      </c>
      <c r="R460" s="307">
        <f t="shared" si="84"/>
        <v>1</v>
      </c>
      <c r="S460" s="314" t="str">
        <f t="shared" si="75"/>
        <v>ok</v>
      </c>
      <c r="T460" s="314"/>
      <c r="U460" s="314"/>
      <c r="V460" s="314"/>
      <c r="W460" s="314"/>
      <c r="X460" s="314"/>
    </row>
    <row r="461" spans="1:24" s="313" customFormat="1" ht="16.5" customHeight="1">
      <c r="A461" s="1337" t="s">
        <v>3557</v>
      </c>
      <c r="B461" s="1711" t="s">
        <v>3558</v>
      </c>
      <c r="C461" s="1502" t="s">
        <v>50</v>
      </c>
      <c r="D461" s="1710">
        <v>4.32</v>
      </c>
      <c r="E461" s="1312">
        <v>684.15</v>
      </c>
      <c r="F461" s="1486">
        <f t="shared" si="76"/>
        <v>2955.5280000000002</v>
      </c>
      <c r="G461" s="1049">
        <v>0</v>
      </c>
      <c r="H461" s="306">
        <v>0</v>
      </c>
      <c r="I461" s="307">
        <v>0</v>
      </c>
      <c r="J461" s="1046"/>
      <c r="K461" s="306">
        <f t="shared" si="77"/>
        <v>0</v>
      </c>
      <c r="L461" s="307">
        <f t="shared" si="78"/>
        <v>0</v>
      </c>
      <c r="M461" s="1047">
        <f t="shared" si="79"/>
        <v>0</v>
      </c>
      <c r="N461" s="306">
        <f t="shared" si="80"/>
        <v>0</v>
      </c>
      <c r="O461" s="307">
        <f t="shared" si="81"/>
        <v>0</v>
      </c>
      <c r="P461" s="1047">
        <f t="shared" si="82"/>
        <v>4.32</v>
      </c>
      <c r="Q461" s="306">
        <f t="shared" si="83"/>
        <v>2955.5280000000002</v>
      </c>
      <c r="R461" s="307">
        <f t="shared" si="84"/>
        <v>1</v>
      </c>
      <c r="S461" s="314" t="str">
        <f t="shared" si="75"/>
        <v>ok</v>
      </c>
      <c r="T461" s="314"/>
      <c r="U461" s="314"/>
      <c r="V461" s="314"/>
      <c r="W461" s="314"/>
      <c r="X461" s="314"/>
    </row>
    <row r="462" spans="1:24" s="313" customFormat="1" ht="16.5" customHeight="1">
      <c r="A462" s="1337" t="s">
        <v>3559</v>
      </c>
      <c r="B462" s="1711" t="s">
        <v>3560</v>
      </c>
      <c r="C462" s="1502" t="s">
        <v>49</v>
      </c>
      <c r="D462" s="1710">
        <v>43.2</v>
      </c>
      <c r="E462" s="1312">
        <v>44.96</v>
      </c>
      <c r="F462" s="1486">
        <f t="shared" si="76"/>
        <v>1942.2720000000002</v>
      </c>
      <c r="G462" s="1049">
        <v>0</v>
      </c>
      <c r="H462" s="306">
        <v>0</v>
      </c>
      <c r="I462" s="307">
        <v>0</v>
      </c>
      <c r="J462" s="1046"/>
      <c r="K462" s="306">
        <f t="shared" si="77"/>
        <v>0</v>
      </c>
      <c r="L462" s="307">
        <f t="shared" si="78"/>
        <v>0</v>
      </c>
      <c r="M462" s="1047">
        <f t="shared" si="79"/>
        <v>0</v>
      </c>
      <c r="N462" s="306">
        <f t="shared" si="80"/>
        <v>0</v>
      </c>
      <c r="O462" s="307">
        <f t="shared" si="81"/>
        <v>0</v>
      </c>
      <c r="P462" s="1047">
        <f t="shared" si="82"/>
        <v>43.2</v>
      </c>
      <c r="Q462" s="306">
        <f t="shared" si="83"/>
        <v>1942.2720000000002</v>
      </c>
      <c r="R462" s="307">
        <f t="shared" si="84"/>
        <v>1</v>
      </c>
      <c r="S462" s="314" t="str">
        <f t="shared" si="75"/>
        <v>ok</v>
      </c>
      <c r="T462" s="314"/>
      <c r="U462" s="314"/>
      <c r="V462" s="314"/>
      <c r="W462" s="314"/>
      <c r="X462" s="314"/>
    </row>
    <row r="463" spans="1:24" s="313" customFormat="1" ht="16.5" customHeight="1">
      <c r="A463" s="1337" t="s">
        <v>3561</v>
      </c>
      <c r="B463" s="1711" t="s">
        <v>3562</v>
      </c>
      <c r="C463" s="1502" t="s">
        <v>49</v>
      </c>
      <c r="D463" s="1710">
        <v>9</v>
      </c>
      <c r="E463" s="1312">
        <v>12.21</v>
      </c>
      <c r="F463" s="1486">
        <f t="shared" si="76"/>
        <v>109.89000000000001</v>
      </c>
      <c r="G463" s="1049">
        <v>0</v>
      </c>
      <c r="H463" s="306">
        <v>0</v>
      </c>
      <c r="I463" s="307">
        <v>0</v>
      </c>
      <c r="J463" s="1046"/>
      <c r="K463" s="306">
        <f t="shared" si="77"/>
        <v>0</v>
      </c>
      <c r="L463" s="307">
        <f t="shared" si="78"/>
        <v>0</v>
      </c>
      <c r="M463" s="1047">
        <f t="shared" si="79"/>
        <v>0</v>
      </c>
      <c r="N463" s="306">
        <f t="shared" si="80"/>
        <v>0</v>
      </c>
      <c r="O463" s="307">
        <f t="shared" si="81"/>
        <v>0</v>
      </c>
      <c r="P463" s="1047">
        <f t="shared" si="82"/>
        <v>9</v>
      </c>
      <c r="Q463" s="306">
        <f t="shared" si="83"/>
        <v>109.89000000000001</v>
      </c>
      <c r="R463" s="307">
        <f t="shared" si="84"/>
        <v>1</v>
      </c>
      <c r="S463" s="314" t="str">
        <f t="shared" si="75"/>
        <v>ok</v>
      </c>
      <c r="T463" s="314"/>
      <c r="U463" s="314"/>
      <c r="V463" s="314"/>
      <c r="W463" s="314"/>
      <c r="X463" s="314"/>
    </row>
    <row r="464" spans="1:24" s="313" customFormat="1" ht="16.5" customHeight="1">
      <c r="A464" s="1337" t="s">
        <v>3563</v>
      </c>
      <c r="B464" s="1711" t="s">
        <v>3564</v>
      </c>
      <c r="C464" s="1502" t="s">
        <v>52</v>
      </c>
      <c r="D464" s="1710">
        <v>9</v>
      </c>
      <c r="E464" s="1312">
        <v>291.63</v>
      </c>
      <c r="F464" s="1486">
        <f t="shared" si="76"/>
        <v>2624.67</v>
      </c>
      <c r="G464" s="1049">
        <v>0</v>
      </c>
      <c r="H464" s="306">
        <v>0</v>
      </c>
      <c r="I464" s="307">
        <v>0</v>
      </c>
      <c r="J464" s="1046"/>
      <c r="K464" s="306">
        <f t="shared" si="77"/>
        <v>0</v>
      </c>
      <c r="L464" s="307">
        <f t="shared" si="78"/>
        <v>0</v>
      </c>
      <c r="M464" s="1047">
        <f t="shared" si="79"/>
        <v>0</v>
      </c>
      <c r="N464" s="306">
        <f t="shared" si="80"/>
        <v>0</v>
      </c>
      <c r="O464" s="307">
        <f t="shared" si="81"/>
        <v>0</v>
      </c>
      <c r="P464" s="1047">
        <f t="shared" si="82"/>
        <v>9</v>
      </c>
      <c r="Q464" s="306">
        <f t="shared" si="83"/>
        <v>2624.67</v>
      </c>
      <c r="R464" s="307">
        <f t="shared" si="84"/>
        <v>1</v>
      </c>
      <c r="S464" s="314" t="str">
        <f t="shared" si="75"/>
        <v>ok</v>
      </c>
      <c r="T464" s="314"/>
      <c r="U464" s="314"/>
      <c r="V464" s="314"/>
      <c r="W464" s="314"/>
      <c r="X464" s="314"/>
    </row>
    <row r="465" spans="1:24" s="313" customFormat="1" ht="16.5" customHeight="1">
      <c r="A465" s="1337" t="s">
        <v>3565</v>
      </c>
      <c r="B465" s="1711" t="s">
        <v>3566</v>
      </c>
      <c r="C465" s="1502" t="s">
        <v>52</v>
      </c>
      <c r="D465" s="1710">
        <v>9</v>
      </c>
      <c r="E465" s="1312">
        <v>60.52</v>
      </c>
      <c r="F465" s="1486">
        <f t="shared" si="76"/>
        <v>544.68000000000006</v>
      </c>
      <c r="G465" s="1049">
        <v>0</v>
      </c>
      <c r="H465" s="306">
        <v>0</v>
      </c>
      <c r="I465" s="307">
        <v>0</v>
      </c>
      <c r="J465" s="1046"/>
      <c r="K465" s="306">
        <f t="shared" si="77"/>
        <v>0</v>
      </c>
      <c r="L465" s="307">
        <f t="shared" si="78"/>
        <v>0</v>
      </c>
      <c r="M465" s="1047">
        <f t="shared" si="79"/>
        <v>0</v>
      </c>
      <c r="N465" s="306">
        <f t="shared" si="80"/>
        <v>0</v>
      </c>
      <c r="O465" s="307">
        <f t="shared" si="81"/>
        <v>0</v>
      </c>
      <c r="P465" s="1047">
        <f t="shared" si="82"/>
        <v>9</v>
      </c>
      <c r="Q465" s="306">
        <f t="shared" si="83"/>
        <v>544.68000000000006</v>
      </c>
      <c r="R465" s="307">
        <f t="shared" si="84"/>
        <v>1</v>
      </c>
      <c r="S465" s="314" t="str">
        <f t="shared" si="75"/>
        <v>ok</v>
      </c>
      <c r="T465" s="314"/>
      <c r="U465" s="314"/>
      <c r="V465" s="314"/>
      <c r="W465" s="314"/>
      <c r="X465" s="314"/>
    </row>
    <row r="466" spans="1:24" s="313" customFormat="1" ht="16.5" customHeight="1">
      <c r="A466" s="1337" t="s">
        <v>3567</v>
      </c>
      <c r="B466" s="1711" t="s">
        <v>3568</v>
      </c>
      <c r="C466" s="1502" t="s">
        <v>52</v>
      </c>
      <c r="D466" s="1710">
        <v>9</v>
      </c>
      <c r="E466" s="1312">
        <v>41</v>
      </c>
      <c r="F466" s="1486">
        <f t="shared" si="76"/>
        <v>369</v>
      </c>
      <c r="G466" s="1049">
        <v>0</v>
      </c>
      <c r="H466" s="306">
        <v>0</v>
      </c>
      <c r="I466" s="307">
        <v>0</v>
      </c>
      <c r="J466" s="1046"/>
      <c r="K466" s="306">
        <f t="shared" si="77"/>
        <v>0</v>
      </c>
      <c r="L466" s="307">
        <f t="shared" si="78"/>
        <v>0</v>
      </c>
      <c r="M466" s="1047">
        <f t="shared" si="79"/>
        <v>0</v>
      </c>
      <c r="N466" s="306">
        <f t="shared" si="80"/>
        <v>0</v>
      </c>
      <c r="O466" s="307">
        <f t="shared" si="81"/>
        <v>0</v>
      </c>
      <c r="P466" s="1047">
        <f t="shared" si="82"/>
        <v>9</v>
      </c>
      <c r="Q466" s="306">
        <f t="shared" si="83"/>
        <v>369</v>
      </c>
      <c r="R466" s="307">
        <f t="shared" si="84"/>
        <v>1</v>
      </c>
      <c r="S466" s="314" t="str">
        <f t="shared" si="75"/>
        <v>ok</v>
      </c>
      <c r="T466" s="314"/>
      <c r="U466" s="314"/>
      <c r="V466" s="314"/>
      <c r="W466" s="314"/>
      <c r="X466" s="314"/>
    </row>
    <row r="467" spans="1:24" s="313" customFormat="1" ht="16.5" customHeight="1">
      <c r="A467" s="1337" t="s">
        <v>3569</v>
      </c>
      <c r="B467" s="1711" t="s">
        <v>3570</v>
      </c>
      <c r="C467" s="1502" t="s">
        <v>52</v>
      </c>
      <c r="D467" s="1710">
        <v>54</v>
      </c>
      <c r="E467" s="1312">
        <v>34.730000000000004</v>
      </c>
      <c r="F467" s="1486">
        <f t="shared" si="76"/>
        <v>1875.4200000000003</v>
      </c>
      <c r="G467" s="1049">
        <v>0</v>
      </c>
      <c r="H467" s="306">
        <v>0</v>
      </c>
      <c r="I467" s="307">
        <v>0</v>
      </c>
      <c r="J467" s="1046"/>
      <c r="K467" s="306">
        <f t="shared" si="77"/>
        <v>0</v>
      </c>
      <c r="L467" s="307">
        <f t="shared" si="78"/>
        <v>0</v>
      </c>
      <c r="M467" s="1047">
        <f t="shared" si="79"/>
        <v>0</v>
      </c>
      <c r="N467" s="306">
        <f t="shared" si="80"/>
        <v>0</v>
      </c>
      <c r="O467" s="307">
        <f t="shared" si="81"/>
        <v>0</v>
      </c>
      <c r="P467" s="1047">
        <f t="shared" si="82"/>
        <v>54</v>
      </c>
      <c r="Q467" s="306">
        <f t="shared" si="83"/>
        <v>1875.4200000000003</v>
      </c>
      <c r="R467" s="307">
        <f t="shared" si="84"/>
        <v>1</v>
      </c>
      <c r="S467" s="314" t="str">
        <f t="shared" si="75"/>
        <v>ok</v>
      </c>
      <c r="T467" s="314"/>
      <c r="U467" s="314"/>
      <c r="V467" s="314"/>
      <c r="W467" s="314"/>
      <c r="X467" s="314"/>
    </row>
    <row r="468" spans="1:24" s="313" customFormat="1" ht="16.5" customHeight="1">
      <c r="A468" s="1718" t="s">
        <v>3571</v>
      </c>
      <c r="B468" s="1718" t="s">
        <v>3572</v>
      </c>
      <c r="C468" s="1502"/>
      <c r="D468" s="1710"/>
      <c r="E468" s="1312"/>
      <c r="F468" s="1486"/>
      <c r="G468" s="1049"/>
      <c r="H468" s="306"/>
      <c r="I468" s="307"/>
      <c r="J468" s="1046"/>
      <c r="K468" s="306"/>
      <c r="L468" s="307"/>
      <c r="M468" s="1047"/>
      <c r="N468" s="306"/>
      <c r="O468" s="307"/>
      <c r="P468" s="1047"/>
      <c r="Q468" s="306"/>
      <c r="R468" s="307"/>
      <c r="S468" s="314" t="str">
        <f t="shared" si="75"/>
        <v>ok</v>
      </c>
      <c r="T468" s="314"/>
      <c r="U468" s="314"/>
      <c r="V468" s="314"/>
      <c r="W468" s="314"/>
      <c r="X468" s="314"/>
    </row>
    <row r="469" spans="1:24" s="313" customFormat="1" ht="16.5" customHeight="1">
      <c r="A469" s="1337" t="s">
        <v>3573</v>
      </c>
      <c r="B469" s="1711" t="s">
        <v>3544</v>
      </c>
      <c r="C469" s="1502" t="s">
        <v>50</v>
      </c>
      <c r="D469" s="1710">
        <v>2.2000000000000002</v>
      </c>
      <c r="E469" s="1312">
        <v>13.5</v>
      </c>
      <c r="F469" s="1486">
        <f t="shared" si="76"/>
        <v>29.700000000000003</v>
      </c>
      <c r="G469" s="1049">
        <v>0</v>
      </c>
      <c r="H469" s="306">
        <v>0</v>
      </c>
      <c r="I469" s="307">
        <v>0</v>
      </c>
      <c r="J469" s="1046"/>
      <c r="K469" s="306">
        <f t="shared" si="77"/>
        <v>0</v>
      </c>
      <c r="L469" s="307">
        <f t="shared" si="78"/>
        <v>0</v>
      </c>
      <c r="M469" s="1047">
        <f t="shared" si="79"/>
        <v>0</v>
      </c>
      <c r="N469" s="306">
        <f t="shared" si="80"/>
        <v>0</v>
      </c>
      <c r="O469" s="307">
        <f t="shared" si="81"/>
        <v>0</v>
      </c>
      <c r="P469" s="1047">
        <f t="shared" si="82"/>
        <v>2.2000000000000002</v>
      </c>
      <c r="Q469" s="306">
        <f t="shared" si="83"/>
        <v>29.700000000000003</v>
      </c>
      <c r="R469" s="307">
        <f t="shared" si="84"/>
        <v>1</v>
      </c>
      <c r="S469" s="314" t="str">
        <f t="shared" si="75"/>
        <v>ok</v>
      </c>
      <c r="T469" s="314"/>
      <c r="U469" s="314"/>
      <c r="V469" s="314"/>
      <c r="W469" s="314"/>
      <c r="X469" s="314"/>
    </row>
    <row r="470" spans="1:24" s="313" customFormat="1" ht="16.5" customHeight="1">
      <c r="A470" s="1337" t="s">
        <v>3574</v>
      </c>
      <c r="B470" s="1711" t="s">
        <v>3546</v>
      </c>
      <c r="C470" s="1502" t="s">
        <v>49</v>
      </c>
      <c r="D470" s="1710">
        <v>9.8000000000000007</v>
      </c>
      <c r="E470" s="1312">
        <v>1.86</v>
      </c>
      <c r="F470" s="1486">
        <f t="shared" si="76"/>
        <v>18.228000000000002</v>
      </c>
      <c r="G470" s="1049">
        <v>0</v>
      </c>
      <c r="H470" s="306">
        <v>0</v>
      </c>
      <c r="I470" s="307">
        <v>0</v>
      </c>
      <c r="J470" s="1046"/>
      <c r="K470" s="306">
        <f t="shared" si="77"/>
        <v>0</v>
      </c>
      <c r="L470" s="307">
        <f t="shared" si="78"/>
        <v>0</v>
      </c>
      <c r="M470" s="1047">
        <f t="shared" si="79"/>
        <v>0</v>
      </c>
      <c r="N470" s="306">
        <f t="shared" si="80"/>
        <v>0</v>
      </c>
      <c r="O470" s="307">
        <f t="shared" si="81"/>
        <v>0</v>
      </c>
      <c r="P470" s="1047">
        <f t="shared" si="82"/>
        <v>9.8000000000000007</v>
      </c>
      <c r="Q470" s="306">
        <f t="shared" si="83"/>
        <v>18.228000000000002</v>
      </c>
      <c r="R470" s="307">
        <f t="shared" si="84"/>
        <v>1</v>
      </c>
      <c r="S470" s="314" t="str">
        <f t="shared" si="75"/>
        <v>ok</v>
      </c>
      <c r="T470" s="314"/>
      <c r="U470" s="314"/>
      <c r="V470" s="314"/>
      <c r="W470" s="314"/>
      <c r="X470" s="314"/>
    </row>
    <row r="471" spans="1:24" s="313" customFormat="1" ht="16.5" customHeight="1">
      <c r="A471" s="1337" t="s">
        <v>3575</v>
      </c>
      <c r="B471" s="1711" t="s">
        <v>3548</v>
      </c>
      <c r="C471" s="1502" t="s">
        <v>50</v>
      </c>
      <c r="D471" s="1710">
        <v>0.2</v>
      </c>
      <c r="E471" s="1312">
        <v>5.19</v>
      </c>
      <c r="F471" s="1486">
        <f t="shared" si="76"/>
        <v>1.038</v>
      </c>
      <c r="G471" s="1049">
        <v>0</v>
      </c>
      <c r="H471" s="306">
        <v>0</v>
      </c>
      <c r="I471" s="307">
        <v>0</v>
      </c>
      <c r="J471" s="1046"/>
      <c r="K471" s="306">
        <f t="shared" si="77"/>
        <v>0</v>
      </c>
      <c r="L471" s="307">
        <f t="shared" si="78"/>
        <v>0</v>
      </c>
      <c r="M471" s="1047">
        <f t="shared" si="79"/>
        <v>0</v>
      </c>
      <c r="N471" s="306">
        <f t="shared" si="80"/>
        <v>0</v>
      </c>
      <c r="O471" s="307">
        <f t="shared" si="81"/>
        <v>0</v>
      </c>
      <c r="P471" s="1047">
        <f t="shared" si="82"/>
        <v>0.2</v>
      </c>
      <c r="Q471" s="306">
        <f t="shared" si="83"/>
        <v>1.038</v>
      </c>
      <c r="R471" s="307">
        <f t="shared" si="84"/>
        <v>1</v>
      </c>
      <c r="S471" s="314" t="str">
        <f t="shared" ref="S471:S534" si="85">IF(M471&gt;D471,"mayormetrado","ok")</f>
        <v>ok</v>
      </c>
      <c r="T471" s="314"/>
      <c r="U471" s="314"/>
      <c r="V471" s="314"/>
      <c r="W471" s="314"/>
      <c r="X471" s="314"/>
    </row>
    <row r="472" spans="1:24" s="313" customFormat="1" ht="16.5" customHeight="1">
      <c r="A472" s="1337" t="s">
        <v>3576</v>
      </c>
      <c r="B472" s="1711" t="s">
        <v>3550</v>
      </c>
      <c r="C472" s="1502" t="s">
        <v>50</v>
      </c>
      <c r="D472" s="1710">
        <v>2.64</v>
      </c>
      <c r="E472" s="1312">
        <v>28.23</v>
      </c>
      <c r="F472" s="1486">
        <f t="shared" si="76"/>
        <v>74.527200000000008</v>
      </c>
      <c r="G472" s="1049">
        <v>0</v>
      </c>
      <c r="H472" s="306">
        <v>0</v>
      </c>
      <c r="I472" s="307">
        <v>0</v>
      </c>
      <c r="J472" s="1046"/>
      <c r="K472" s="306">
        <f t="shared" si="77"/>
        <v>0</v>
      </c>
      <c r="L472" s="307">
        <f t="shared" si="78"/>
        <v>0</v>
      </c>
      <c r="M472" s="1047">
        <f t="shared" si="79"/>
        <v>0</v>
      </c>
      <c r="N472" s="306">
        <f t="shared" si="80"/>
        <v>0</v>
      </c>
      <c r="O472" s="307">
        <f t="shared" si="81"/>
        <v>0</v>
      </c>
      <c r="P472" s="1047">
        <f t="shared" si="82"/>
        <v>2.64</v>
      </c>
      <c r="Q472" s="306">
        <f t="shared" si="83"/>
        <v>74.527200000000008</v>
      </c>
      <c r="R472" s="307">
        <f t="shared" si="84"/>
        <v>1</v>
      </c>
      <c r="S472" s="314" t="str">
        <f t="shared" si="85"/>
        <v>ok</v>
      </c>
      <c r="T472" s="314"/>
      <c r="U472" s="314"/>
      <c r="V472" s="314"/>
      <c r="W472" s="314"/>
      <c r="X472" s="314"/>
    </row>
    <row r="473" spans="1:24" s="313" customFormat="1" ht="16.5" customHeight="1">
      <c r="A473" s="1337" t="s">
        <v>3577</v>
      </c>
      <c r="B473" s="1711" t="s">
        <v>3552</v>
      </c>
      <c r="C473" s="1502" t="s">
        <v>49</v>
      </c>
      <c r="D473" s="1710">
        <v>1</v>
      </c>
      <c r="E473" s="1312">
        <v>20.56</v>
      </c>
      <c r="F473" s="1486">
        <f t="shared" si="76"/>
        <v>20.56</v>
      </c>
      <c r="G473" s="1049">
        <v>0</v>
      </c>
      <c r="H473" s="306">
        <v>0</v>
      </c>
      <c r="I473" s="307">
        <v>0</v>
      </c>
      <c r="J473" s="1046"/>
      <c r="K473" s="306">
        <f t="shared" si="77"/>
        <v>0</v>
      </c>
      <c r="L473" s="307">
        <f t="shared" si="78"/>
        <v>0</v>
      </c>
      <c r="M473" s="1047">
        <f t="shared" si="79"/>
        <v>0</v>
      </c>
      <c r="N473" s="306">
        <f t="shared" si="80"/>
        <v>0</v>
      </c>
      <c r="O473" s="307">
        <f t="shared" si="81"/>
        <v>0</v>
      </c>
      <c r="P473" s="1047">
        <f t="shared" si="82"/>
        <v>1</v>
      </c>
      <c r="Q473" s="306">
        <f t="shared" si="83"/>
        <v>20.56</v>
      </c>
      <c r="R473" s="307">
        <f t="shared" si="84"/>
        <v>1</v>
      </c>
      <c r="S473" s="314" t="str">
        <f t="shared" si="85"/>
        <v>ok</v>
      </c>
      <c r="T473" s="314"/>
      <c r="U473" s="314"/>
      <c r="V473" s="314"/>
      <c r="W473" s="314"/>
      <c r="X473" s="314"/>
    </row>
    <row r="474" spans="1:24" s="313" customFormat="1" ht="16.5" customHeight="1">
      <c r="A474" s="1337" t="s">
        <v>3578</v>
      </c>
      <c r="B474" s="1711" t="s">
        <v>3554</v>
      </c>
      <c r="C474" s="1502" t="s">
        <v>49</v>
      </c>
      <c r="D474" s="1710">
        <v>8.8000000000000007</v>
      </c>
      <c r="E474" s="1312">
        <v>59.78</v>
      </c>
      <c r="F474" s="1486">
        <f t="shared" si="76"/>
        <v>526.06400000000008</v>
      </c>
      <c r="G474" s="1049">
        <v>0</v>
      </c>
      <c r="H474" s="306">
        <v>0</v>
      </c>
      <c r="I474" s="307">
        <v>0</v>
      </c>
      <c r="J474" s="1046"/>
      <c r="K474" s="306">
        <f t="shared" si="77"/>
        <v>0</v>
      </c>
      <c r="L474" s="307">
        <f t="shared" si="78"/>
        <v>0</v>
      </c>
      <c r="M474" s="1047">
        <f t="shared" si="79"/>
        <v>0</v>
      </c>
      <c r="N474" s="306">
        <f t="shared" si="80"/>
        <v>0</v>
      </c>
      <c r="O474" s="307">
        <f t="shared" si="81"/>
        <v>0</v>
      </c>
      <c r="P474" s="1047">
        <f t="shared" si="82"/>
        <v>8.8000000000000007</v>
      </c>
      <c r="Q474" s="306">
        <f t="shared" si="83"/>
        <v>526.06400000000008</v>
      </c>
      <c r="R474" s="307">
        <f t="shared" si="84"/>
        <v>1</v>
      </c>
      <c r="S474" s="314" t="str">
        <f t="shared" si="85"/>
        <v>ok</v>
      </c>
      <c r="T474" s="314"/>
      <c r="U474" s="314"/>
      <c r="V474" s="314"/>
      <c r="W474" s="314"/>
      <c r="X474" s="314"/>
    </row>
    <row r="475" spans="1:24" s="313" customFormat="1" ht="16.5" customHeight="1">
      <c r="A475" s="1337" t="s">
        <v>3579</v>
      </c>
      <c r="B475" s="1711" t="s">
        <v>3556</v>
      </c>
      <c r="C475" s="1502" t="s">
        <v>420</v>
      </c>
      <c r="D475" s="1710">
        <v>166</v>
      </c>
      <c r="E475" s="1312">
        <v>14.950000000000001</v>
      </c>
      <c r="F475" s="1486">
        <f t="shared" si="76"/>
        <v>2481.7000000000003</v>
      </c>
      <c r="G475" s="1049">
        <v>0</v>
      </c>
      <c r="H475" s="306">
        <v>0</v>
      </c>
      <c r="I475" s="307">
        <v>0</v>
      </c>
      <c r="J475" s="1046"/>
      <c r="K475" s="306">
        <f t="shared" si="77"/>
        <v>0</v>
      </c>
      <c r="L475" s="307">
        <f t="shared" si="78"/>
        <v>0</v>
      </c>
      <c r="M475" s="1047">
        <f t="shared" si="79"/>
        <v>0</v>
      </c>
      <c r="N475" s="306">
        <f t="shared" si="80"/>
        <v>0</v>
      </c>
      <c r="O475" s="307">
        <f t="shared" si="81"/>
        <v>0</v>
      </c>
      <c r="P475" s="1047">
        <f t="shared" si="82"/>
        <v>166</v>
      </c>
      <c r="Q475" s="306">
        <f t="shared" si="83"/>
        <v>2481.7000000000003</v>
      </c>
      <c r="R475" s="307">
        <f t="shared" si="84"/>
        <v>1</v>
      </c>
      <c r="S475" s="314" t="str">
        <f t="shared" si="85"/>
        <v>ok</v>
      </c>
      <c r="T475" s="314"/>
      <c r="U475" s="314"/>
      <c r="V475" s="314"/>
      <c r="W475" s="314"/>
      <c r="X475" s="314"/>
    </row>
    <row r="476" spans="1:24" s="313" customFormat="1" ht="16.5" customHeight="1">
      <c r="A476" s="1337" t="s">
        <v>3580</v>
      </c>
      <c r="B476" s="1711" t="s">
        <v>3558</v>
      </c>
      <c r="C476" s="1502" t="s">
        <v>50</v>
      </c>
      <c r="D476" s="1710">
        <v>0.5</v>
      </c>
      <c r="E476" s="1312">
        <v>684.15</v>
      </c>
      <c r="F476" s="1486">
        <f t="shared" si="76"/>
        <v>342.07499999999999</v>
      </c>
      <c r="G476" s="1049">
        <v>0</v>
      </c>
      <c r="H476" s="306">
        <v>0</v>
      </c>
      <c r="I476" s="307">
        <v>0</v>
      </c>
      <c r="J476" s="1046"/>
      <c r="K476" s="306">
        <f t="shared" si="77"/>
        <v>0</v>
      </c>
      <c r="L476" s="307">
        <f t="shared" si="78"/>
        <v>0</v>
      </c>
      <c r="M476" s="1047">
        <f t="shared" si="79"/>
        <v>0</v>
      </c>
      <c r="N476" s="306">
        <f t="shared" si="80"/>
        <v>0</v>
      </c>
      <c r="O476" s="307">
        <f t="shared" si="81"/>
        <v>0</v>
      </c>
      <c r="P476" s="1047">
        <f t="shared" si="82"/>
        <v>0.5</v>
      </c>
      <c r="Q476" s="306">
        <f t="shared" si="83"/>
        <v>342.07499999999999</v>
      </c>
      <c r="R476" s="307">
        <f t="shared" si="84"/>
        <v>1</v>
      </c>
      <c r="S476" s="314" t="str">
        <f t="shared" si="85"/>
        <v>ok</v>
      </c>
      <c r="T476" s="314"/>
      <c r="U476" s="314"/>
      <c r="V476" s="314"/>
      <c r="W476" s="314"/>
      <c r="X476" s="314"/>
    </row>
    <row r="477" spans="1:24" s="313" customFormat="1" ht="16.5" customHeight="1">
      <c r="A477" s="1337" t="s">
        <v>3581</v>
      </c>
      <c r="B477" s="1711" t="s">
        <v>3560</v>
      </c>
      <c r="C477" s="1502" t="s">
        <v>49</v>
      </c>
      <c r="D477" s="1710">
        <v>5</v>
      </c>
      <c r="E477" s="1312">
        <v>44.96</v>
      </c>
      <c r="F477" s="1486">
        <f t="shared" si="76"/>
        <v>224.8</v>
      </c>
      <c r="G477" s="1049">
        <v>0</v>
      </c>
      <c r="H477" s="306">
        <v>0</v>
      </c>
      <c r="I477" s="307">
        <v>0</v>
      </c>
      <c r="J477" s="1046"/>
      <c r="K477" s="306">
        <f t="shared" si="77"/>
        <v>0</v>
      </c>
      <c r="L477" s="307">
        <f t="shared" si="78"/>
        <v>0</v>
      </c>
      <c r="M477" s="1047">
        <f t="shared" si="79"/>
        <v>0</v>
      </c>
      <c r="N477" s="306">
        <f t="shared" si="80"/>
        <v>0</v>
      </c>
      <c r="O477" s="307">
        <f t="shared" si="81"/>
        <v>0</v>
      </c>
      <c r="P477" s="1047">
        <f t="shared" si="82"/>
        <v>5</v>
      </c>
      <c r="Q477" s="306">
        <f t="shared" si="83"/>
        <v>224.8</v>
      </c>
      <c r="R477" s="307">
        <f t="shared" si="84"/>
        <v>1</v>
      </c>
      <c r="S477" s="314" t="str">
        <f t="shared" si="85"/>
        <v>ok</v>
      </c>
      <c r="T477" s="314"/>
      <c r="U477" s="314"/>
      <c r="V477" s="314"/>
      <c r="W477" s="314"/>
      <c r="X477" s="314"/>
    </row>
    <row r="478" spans="1:24" s="313" customFormat="1" ht="16.5" customHeight="1">
      <c r="A478" s="1337" t="s">
        <v>3582</v>
      </c>
      <c r="B478" s="1711" t="s">
        <v>3562</v>
      </c>
      <c r="C478" s="1502" t="s">
        <v>49</v>
      </c>
      <c r="D478" s="1710">
        <v>1</v>
      </c>
      <c r="E478" s="1312">
        <v>12.21</v>
      </c>
      <c r="F478" s="1486">
        <f t="shared" si="76"/>
        <v>12.21</v>
      </c>
      <c r="G478" s="1049">
        <v>0</v>
      </c>
      <c r="H478" s="306">
        <v>0</v>
      </c>
      <c r="I478" s="307">
        <v>0</v>
      </c>
      <c r="J478" s="1046"/>
      <c r="K478" s="306">
        <f t="shared" si="77"/>
        <v>0</v>
      </c>
      <c r="L478" s="307">
        <f t="shared" si="78"/>
        <v>0</v>
      </c>
      <c r="M478" s="1047">
        <f t="shared" si="79"/>
        <v>0</v>
      </c>
      <c r="N478" s="306">
        <f t="shared" si="80"/>
        <v>0</v>
      </c>
      <c r="O478" s="307">
        <f t="shared" si="81"/>
        <v>0</v>
      </c>
      <c r="P478" s="1047">
        <f t="shared" si="82"/>
        <v>1</v>
      </c>
      <c r="Q478" s="306">
        <f t="shared" si="83"/>
        <v>12.21</v>
      </c>
      <c r="R478" s="307">
        <f t="shared" si="84"/>
        <v>1</v>
      </c>
      <c r="S478" s="314" t="str">
        <f t="shared" si="85"/>
        <v>ok</v>
      </c>
      <c r="T478" s="314"/>
      <c r="U478" s="314"/>
      <c r="V478" s="314"/>
      <c r="W478" s="314"/>
      <c r="X478" s="314"/>
    </row>
    <row r="479" spans="1:24" s="313" customFormat="1" ht="16.5" customHeight="1">
      <c r="A479" s="1337" t="s">
        <v>3583</v>
      </c>
      <c r="B479" s="1711" t="s">
        <v>3564</v>
      </c>
      <c r="C479" s="1502" t="s">
        <v>52</v>
      </c>
      <c r="D479" s="1710">
        <v>1</v>
      </c>
      <c r="E479" s="1312">
        <v>291.63</v>
      </c>
      <c r="F479" s="1486">
        <f t="shared" si="76"/>
        <v>291.63</v>
      </c>
      <c r="G479" s="1049">
        <v>0</v>
      </c>
      <c r="H479" s="306">
        <v>0</v>
      </c>
      <c r="I479" s="307">
        <v>0</v>
      </c>
      <c r="J479" s="1046"/>
      <c r="K479" s="306">
        <f t="shared" si="77"/>
        <v>0</v>
      </c>
      <c r="L479" s="307">
        <f t="shared" si="78"/>
        <v>0</v>
      </c>
      <c r="M479" s="1047">
        <f t="shared" si="79"/>
        <v>0</v>
      </c>
      <c r="N479" s="306">
        <f t="shared" si="80"/>
        <v>0</v>
      </c>
      <c r="O479" s="307">
        <f t="shared" si="81"/>
        <v>0</v>
      </c>
      <c r="P479" s="1047">
        <f t="shared" si="82"/>
        <v>1</v>
      </c>
      <c r="Q479" s="306">
        <f t="shared" si="83"/>
        <v>291.63</v>
      </c>
      <c r="R479" s="307">
        <f t="shared" si="84"/>
        <v>1</v>
      </c>
      <c r="S479" s="314" t="str">
        <f t="shared" si="85"/>
        <v>ok</v>
      </c>
      <c r="T479" s="314"/>
      <c r="U479" s="314"/>
      <c r="V479" s="314"/>
      <c r="W479" s="314"/>
      <c r="X479" s="314"/>
    </row>
    <row r="480" spans="1:24" s="313" customFormat="1" ht="16.5" customHeight="1">
      <c r="A480" s="1337" t="s">
        <v>3584</v>
      </c>
      <c r="B480" s="1711" t="s">
        <v>3566</v>
      </c>
      <c r="C480" s="1502" t="s">
        <v>52</v>
      </c>
      <c r="D480" s="1710">
        <v>1</v>
      </c>
      <c r="E480" s="1312">
        <v>60.52</v>
      </c>
      <c r="F480" s="1486">
        <f t="shared" si="76"/>
        <v>60.52</v>
      </c>
      <c r="G480" s="1049">
        <v>0</v>
      </c>
      <c r="H480" s="306">
        <v>0</v>
      </c>
      <c r="I480" s="307">
        <v>0</v>
      </c>
      <c r="J480" s="1046"/>
      <c r="K480" s="306">
        <f t="shared" si="77"/>
        <v>0</v>
      </c>
      <c r="L480" s="307">
        <f t="shared" si="78"/>
        <v>0</v>
      </c>
      <c r="M480" s="1047">
        <f t="shared" si="79"/>
        <v>0</v>
      </c>
      <c r="N480" s="306">
        <f t="shared" si="80"/>
        <v>0</v>
      </c>
      <c r="O480" s="307">
        <f t="shared" si="81"/>
        <v>0</v>
      </c>
      <c r="P480" s="1047">
        <f t="shared" si="82"/>
        <v>1</v>
      </c>
      <c r="Q480" s="306">
        <f t="shared" si="83"/>
        <v>60.52</v>
      </c>
      <c r="R480" s="307">
        <f t="shared" si="84"/>
        <v>1</v>
      </c>
      <c r="S480" s="314" t="str">
        <f t="shared" si="85"/>
        <v>ok</v>
      </c>
      <c r="T480" s="314"/>
      <c r="U480" s="314"/>
      <c r="V480" s="314"/>
      <c r="W480" s="314"/>
      <c r="X480" s="314"/>
    </row>
    <row r="481" spans="1:24" s="313" customFormat="1" ht="16.5" customHeight="1">
      <c r="A481" s="1337" t="s">
        <v>3585</v>
      </c>
      <c r="B481" s="1711" t="s">
        <v>3568</v>
      </c>
      <c r="C481" s="1502" t="s">
        <v>52</v>
      </c>
      <c r="D481" s="1710">
        <v>1</v>
      </c>
      <c r="E481" s="1312">
        <v>41</v>
      </c>
      <c r="F481" s="1486">
        <f t="shared" si="76"/>
        <v>41</v>
      </c>
      <c r="G481" s="1049">
        <v>0</v>
      </c>
      <c r="H481" s="306">
        <v>0</v>
      </c>
      <c r="I481" s="307">
        <v>0</v>
      </c>
      <c r="J481" s="1046"/>
      <c r="K481" s="306">
        <f t="shared" si="77"/>
        <v>0</v>
      </c>
      <c r="L481" s="307">
        <f t="shared" si="78"/>
        <v>0</v>
      </c>
      <c r="M481" s="1047">
        <f t="shared" si="79"/>
        <v>0</v>
      </c>
      <c r="N481" s="306">
        <f t="shared" si="80"/>
        <v>0</v>
      </c>
      <c r="O481" s="307">
        <f t="shared" si="81"/>
        <v>0</v>
      </c>
      <c r="P481" s="1047">
        <f t="shared" si="82"/>
        <v>1</v>
      </c>
      <c r="Q481" s="306">
        <f t="shared" si="83"/>
        <v>41</v>
      </c>
      <c r="R481" s="307">
        <f t="shared" si="84"/>
        <v>1</v>
      </c>
      <c r="S481" s="314" t="str">
        <f t="shared" si="85"/>
        <v>ok</v>
      </c>
      <c r="T481" s="314"/>
      <c r="U481" s="314"/>
      <c r="V481" s="314"/>
      <c r="W481" s="314"/>
      <c r="X481" s="314"/>
    </row>
    <row r="482" spans="1:24" s="313" customFormat="1" ht="16.5" customHeight="1">
      <c r="A482" s="1337" t="s">
        <v>3586</v>
      </c>
      <c r="B482" s="1711" t="s">
        <v>3570</v>
      </c>
      <c r="C482" s="1502" t="s">
        <v>52</v>
      </c>
      <c r="D482" s="1710">
        <v>2</v>
      </c>
      <c r="E482" s="1312">
        <v>34.730000000000004</v>
      </c>
      <c r="F482" s="1486">
        <f t="shared" si="76"/>
        <v>69.460000000000008</v>
      </c>
      <c r="G482" s="1049">
        <v>0</v>
      </c>
      <c r="H482" s="306">
        <v>0</v>
      </c>
      <c r="I482" s="307">
        <v>0</v>
      </c>
      <c r="J482" s="1046"/>
      <c r="K482" s="306">
        <f t="shared" si="77"/>
        <v>0</v>
      </c>
      <c r="L482" s="307">
        <f t="shared" si="78"/>
        <v>0</v>
      </c>
      <c r="M482" s="1047">
        <f t="shared" si="79"/>
        <v>0</v>
      </c>
      <c r="N482" s="306">
        <f t="shared" si="80"/>
        <v>0</v>
      </c>
      <c r="O482" s="307">
        <f t="shared" si="81"/>
        <v>0</v>
      </c>
      <c r="P482" s="1047">
        <f t="shared" si="82"/>
        <v>2</v>
      </c>
      <c r="Q482" s="306">
        <f t="shared" si="83"/>
        <v>69.460000000000008</v>
      </c>
      <c r="R482" s="307">
        <f t="shared" si="84"/>
        <v>1</v>
      </c>
      <c r="S482" s="314" t="str">
        <f t="shared" si="85"/>
        <v>ok</v>
      </c>
      <c r="T482" s="314"/>
      <c r="U482" s="314"/>
      <c r="V482" s="314"/>
      <c r="W482" s="314"/>
      <c r="X482" s="314"/>
    </row>
    <row r="483" spans="1:24" s="313" customFormat="1" ht="16.5" customHeight="1">
      <c r="A483" s="1337" t="s">
        <v>3587</v>
      </c>
      <c r="B483" s="1711" t="s">
        <v>3588</v>
      </c>
      <c r="C483" s="1502" t="s">
        <v>52</v>
      </c>
      <c r="D483" s="1710">
        <v>1</v>
      </c>
      <c r="E483" s="1312">
        <v>581.08000000000004</v>
      </c>
      <c r="F483" s="1486">
        <f t="shared" ref="F483:F550" si="86">E483*D483</f>
        <v>581.08000000000004</v>
      </c>
      <c r="G483" s="1049">
        <v>0</v>
      </c>
      <c r="H483" s="306">
        <v>0</v>
      </c>
      <c r="I483" s="307">
        <v>0</v>
      </c>
      <c r="J483" s="1046"/>
      <c r="K483" s="306">
        <f t="shared" si="77"/>
        <v>0</v>
      </c>
      <c r="L483" s="307">
        <f t="shared" si="78"/>
        <v>0</v>
      </c>
      <c r="M483" s="1047">
        <f t="shared" si="79"/>
        <v>0</v>
      </c>
      <c r="N483" s="306">
        <f t="shared" si="80"/>
        <v>0</v>
      </c>
      <c r="O483" s="307">
        <f t="shared" si="81"/>
        <v>0</v>
      </c>
      <c r="P483" s="1047">
        <f t="shared" si="82"/>
        <v>1</v>
      </c>
      <c r="Q483" s="306">
        <f t="shared" si="83"/>
        <v>581.08000000000004</v>
      </c>
      <c r="R483" s="307">
        <f t="shared" si="84"/>
        <v>1</v>
      </c>
      <c r="S483" s="314" t="str">
        <f t="shared" si="85"/>
        <v>ok</v>
      </c>
      <c r="T483" s="314"/>
      <c r="U483" s="314"/>
      <c r="V483" s="314"/>
      <c r="W483" s="314"/>
      <c r="X483" s="314"/>
    </row>
    <row r="484" spans="1:24" s="313" customFormat="1" ht="16.5" customHeight="1">
      <c r="A484" s="1718" t="s">
        <v>3589</v>
      </c>
      <c r="B484" s="1718" t="s">
        <v>3590</v>
      </c>
      <c r="C484" s="1502"/>
      <c r="D484" s="1710"/>
      <c r="E484" s="1312"/>
      <c r="F484" s="1486"/>
      <c r="G484" s="1049"/>
      <c r="H484" s="306"/>
      <c r="I484" s="307"/>
      <c r="J484" s="1046"/>
      <c r="K484" s="306"/>
      <c r="L484" s="307"/>
      <c r="M484" s="1047"/>
      <c r="N484" s="306"/>
      <c r="O484" s="307"/>
      <c r="P484" s="1047"/>
      <c r="Q484" s="306"/>
      <c r="R484" s="307"/>
      <c r="S484" s="314" t="str">
        <f t="shared" si="85"/>
        <v>ok</v>
      </c>
      <c r="T484" s="314"/>
      <c r="U484" s="314"/>
      <c r="V484" s="314"/>
      <c r="W484" s="314"/>
      <c r="X484" s="314"/>
    </row>
    <row r="485" spans="1:24" s="313" customFormat="1" ht="16.5" customHeight="1">
      <c r="A485" s="1337" t="s">
        <v>3591</v>
      </c>
      <c r="B485" s="1711" t="s">
        <v>3592</v>
      </c>
      <c r="C485" s="1502" t="s">
        <v>3593</v>
      </c>
      <c r="D485" s="1710">
        <v>0.3</v>
      </c>
      <c r="E485" s="1312">
        <v>1207.08</v>
      </c>
      <c r="F485" s="1486">
        <f t="shared" si="86"/>
        <v>362.12399999999997</v>
      </c>
      <c r="G485" s="1049">
        <v>0</v>
      </c>
      <c r="H485" s="306">
        <v>0</v>
      </c>
      <c r="I485" s="307">
        <v>0</v>
      </c>
      <c r="J485" s="1046"/>
      <c r="K485" s="306">
        <f t="shared" si="77"/>
        <v>0</v>
      </c>
      <c r="L485" s="307">
        <f t="shared" si="78"/>
        <v>0</v>
      </c>
      <c r="M485" s="1047">
        <f t="shared" si="79"/>
        <v>0</v>
      </c>
      <c r="N485" s="306">
        <f t="shared" si="80"/>
        <v>0</v>
      </c>
      <c r="O485" s="307">
        <f t="shared" si="81"/>
        <v>0</v>
      </c>
      <c r="P485" s="1047">
        <f t="shared" si="82"/>
        <v>0.3</v>
      </c>
      <c r="Q485" s="306">
        <f t="shared" si="83"/>
        <v>362.12399999999997</v>
      </c>
      <c r="R485" s="307">
        <f t="shared" si="84"/>
        <v>1</v>
      </c>
      <c r="S485" s="314" t="str">
        <f t="shared" si="85"/>
        <v>ok</v>
      </c>
      <c r="T485" s="314"/>
      <c r="U485" s="314"/>
      <c r="V485" s="314"/>
      <c r="W485" s="314"/>
      <c r="X485" s="314"/>
    </row>
    <row r="486" spans="1:24" s="313" customFormat="1" ht="16.5" customHeight="1">
      <c r="A486" s="1337" t="s">
        <v>3594</v>
      </c>
      <c r="B486" s="1711" t="s">
        <v>3595</v>
      </c>
      <c r="C486" s="1502" t="s">
        <v>52</v>
      </c>
      <c r="D486" s="1710">
        <v>1</v>
      </c>
      <c r="E486" s="1312">
        <v>1157.56</v>
      </c>
      <c r="F486" s="1486">
        <f t="shared" si="86"/>
        <v>1157.56</v>
      </c>
      <c r="G486" s="1049">
        <v>0</v>
      </c>
      <c r="H486" s="306">
        <v>0</v>
      </c>
      <c r="I486" s="307">
        <v>0</v>
      </c>
      <c r="J486" s="1046"/>
      <c r="K486" s="306">
        <f t="shared" si="77"/>
        <v>0</v>
      </c>
      <c r="L486" s="307">
        <f t="shared" si="78"/>
        <v>0</v>
      </c>
      <c r="M486" s="1047">
        <f t="shared" si="79"/>
        <v>0</v>
      </c>
      <c r="N486" s="306">
        <f t="shared" si="80"/>
        <v>0</v>
      </c>
      <c r="O486" s="307">
        <f t="shared" si="81"/>
        <v>0</v>
      </c>
      <c r="P486" s="1047">
        <f t="shared" si="82"/>
        <v>1</v>
      </c>
      <c r="Q486" s="306">
        <f t="shared" si="83"/>
        <v>1157.56</v>
      </c>
      <c r="R486" s="307">
        <f t="shared" si="84"/>
        <v>1</v>
      </c>
      <c r="S486" s="314" t="str">
        <f t="shared" si="85"/>
        <v>ok</v>
      </c>
      <c r="T486" s="314"/>
      <c r="U486" s="314"/>
      <c r="V486" s="314"/>
      <c r="W486" s="314"/>
      <c r="X486" s="314"/>
    </row>
    <row r="487" spans="1:24" s="313" customFormat="1" ht="16.5" customHeight="1">
      <c r="A487" s="1337" t="s">
        <v>3596</v>
      </c>
      <c r="B487" s="1711" t="s">
        <v>3597</v>
      </c>
      <c r="C487" s="1502" t="s">
        <v>268</v>
      </c>
      <c r="D487" s="1710">
        <v>1</v>
      </c>
      <c r="E487" s="1312">
        <v>7320.1500000000005</v>
      </c>
      <c r="F487" s="1486">
        <f t="shared" si="86"/>
        <v>7320.1500000000005</v>
      </c>
      <c r="G487" s="1049">
        <v>0</v>
      </c>
      <c r="H487" s="306">
        <v>0</v>
      </c>
      <c r="I487" s="307">
        <v>0</v>
      </c>
      <c r="J487" s="1046"/>
      <c r="K487" s="306">
        <f t="shared" si="77"/>
        <v>0</v>
      </c>
      <c r="L487" s="307">
        <f t="shared" si="78"/>
        <v>0</v>
      </c>
      <c r="M487" s="1047">
        <f t="shared" si="79"/>
        <v>0</v>
      </c>
      <c r="N487" s="306">
        <f t="shared" si="80"/>
        <v>0</v>
      </c>
      <c r="O487" s="307">
        <f t="shared" si="81"/>
        <v>0</v>
      </c>
      <c r="P487" s="1047">
        <f t="shared" si="82"/>
        <v>1</v>
      </c>
      <c r="Q487" s="306">
        <f t="shared" si="83"/>
        <v>7320.1500000000005</v>
      </c>
      <c r="R487" s="307">
        <f t="shared" si="84"/>
        <v>1</v>
      </c>
      <c r="S487" s="314" t="str">
        <f t="shared" si="85"/>
        <v>ok</v>
      </c>
      <c r="T487" s="314"/>
      <c r="U487" s="314"/>
      <c r="V487" s="314"/>
      <c r="W487" s="314"/>
      <c r="X487" s="314"/>
    </row>
    <row r="488" spans="1:24" s="313" customFormat="1" ht="16.5" customHeight="1">
      <c r="A488" s="1337" t="s">
        <v>3598</v>
      </c>
      <c r="B488" s="1711" t="s">
        <v>3599</v>
      </c>
      <c r="C488" s="1502" t="s">
        <v>268</v>
      </c>
      <c r="D488" s="1710">
        <v>1</v>
      </c>
      <c r="E488" s="1312">
        <v>10626.53</v>
      </c>
      <c r="F488" s="1486">
        <f t="shared" si="86"/>
        <v>10626.53</v>
      </c>
      <c r="G488" s="1049">
        <v>0</v>
      </c>
      <c r="H488" s="306">
        <v>0</v>
      </c>
      <c r="I488" s="307">
        <v>0</v>
      </c>
      <c r="J488" s="1046"/>
      <c r="K488" s="306">
        <f t="shared" si="77"/>
        <v>0</v>
      </c>
      <c r="L488" s="307">
        <f t="shared" si="78"/>
        <v>0</v>
      </c>
      <c r="M488" s="1047">
        <f t="shared" si="79"/>
        <v>0</v>
      </c>
      <c r="N488" s="306">
        <f t="shared" si="80"/>
        <v>0</v>
      </c>
      <c r="O488" s="307">
        <f t="shared" si="81"/>
        <v>0</v>
      </c>
      <c r="P488" s="1047">
        <f t="shared" si="82"/>
        <v>1</v>
      </c>
      <c r="Q488" s="306">
        <f t="shared" si="83"/>
        <v>10626.53</v>
      </c>
      <c r="R488" s="307">
        <f t="shared" si="84"/>
        <v>1</v>
      </c>
      <c r="S488" s="314" t="str">
        <f t="shared" si="85"/>
        <v>ok</v>
      </c>
      <c r="T488" s="314"/>
      <c r="U488" s="314"/>
      <c r="V488" s="314"/>
      <c r="W488" s="314"/>
      <c r="X488" s="314"/>
    </row>
    <row r="489" spans="1:24" s="313" customFormat="1" ht="16.5" customHeight="1">
      <c r="A489" s="1337" t="s">
        <v>3600</v>
      </c>
      <c r="B489" s="1711" t="s">
        <v>3601</v>
      </c>
      <c r="C489" s="1502" t="s">
        <v>268</v>
      </c>
      <c r="D489" s="1710">
        <v>1</v>
      </c>
      <c r="E489" s="1312">
        <v>3223.31</v>
      </c>
      <c r="F489" s="1486">
        <f t="shared" si="86"/>
        <v>3223.31</v>
      </c>
      <c r="G489" s="1049">
        <v>0</v>
      </c>
      <c r="H489" s="306">
        <v>0</v>
      </c>
      <c r="I489" s="307">
        <v>0</v>
      </c>
      <c r="J489" s="1046"/>
      <c r="K489" s="306">
        <f t="shared" si="77"/>
        <v>0</v>
      </c>
      <c r="L489" s="307">
        <f t="shared" si="78"/>
        <v>0</v>
      </c>
      <c r="M489" s="1047">
        <f t="shared" si="79"/>
        <v>0</v>
      </c>
      <c r="N489" s="306">
        <f t="shared" si="80"/>
        <v>0</v>
      </c>
      <c r="O489" s="307">
        <f t="shared" si="81"/>
        <v>0</v>
      </c>
      <c r="P489" s="1047">
        <f t="shared" si="82"/>
        <v>1</v>
      </c>
      <c r="Q489" s="306">
        <f t="shared" si="83"/>
        <v>3223.31</v>
      </c>
      <c r="R489" s="307">
        <f t="shared" si="84"/>
        <v>1</v>
      </c>
      <c r="S489" s="314" t="str">
        <f t="shared" si="85"/>
        <v>ok</v>
      </c>
      <c r="T489" s="314"/>
      <c r="U489" s="314"/>
      <c r="V489" s="314"/>
      <c r="W489" s="314"/>
      <c r="X489" s="314"/>
    </row>
    <row r="490" spans="1:24" s="313" customFormat="1" ht="16.5" customHeight="1">
      <c r="A490" s="1337" t="s">
        <v>3602</v>
      </c>
      <c r="B490" s="1711" t="s">
        <v>3603</v>
      </c>
      <c r="C490" s="1502" t="s">
        <v>268</v>
      </c>
      <c r="D490" s="1710">
        <v>1</v>
      </c>
      <c r="E490" s="1312">
        <v>3523.31</v>
      </c>
      <c r="F490" s="1486">
        <f t="shared" si="86"/>
        <v>3523.31</v>
      </c>
      <c r="G490" s="1049">
        <v>0</v>
      </c>
      <c r="H490" s="306">
        <v>0</v>
      </c>
      <c r="I490" s="307">
        <v>0</v>
      </c>
      <c r="J490" s="1046"/>
      <c r="K490" s="306">
        <f t="shared" si="77"/>
        <v>0</v>
      </c>
      <c r="L490" s="307">
        <f t="shared" si="78"/>
        <v>0</v>
      </c>
      <c r="M490" s="1047">
        <f t="shared" si="79"/>
        <v>0</v>
      </c>
      <c r="N490" s="306">
        <f t="shared" si="80"/>
        <v>0</v>
      </c>
      <c r="O490" s="307">
        <f t="shared" si="81"/>
        <v>0</v>
      </c>
      <c r="P490" s="1047">
        <f t="shared" si="82"/>
        <v>1</v>
      </c>
      <c r="Q490" s="306">
        <f t="shared" si="83"/>
        <v>3523.31</v>
      </c>
      <c r="R490" s="307">
        <f t="shared" si="84"/>
        <v>1</v>
      </c>
      <c r="S490" s="314" t="str">
        <f t="shared" si="85"/>
        <v>ok</v>
      </c>
      <c r="T490" s="314"/>
      <c r="U490" s="314"/>
      <c r="V490" s="314"/>
      <c r="W490" s="314"/>
      <c r="X490" s="314"/>
    </row>
    <row r="491" spans="1:24" s="313" customFormat="1" ht="16.5" customHeight="1">
      <c r="A491" s="1718" t="s">
        <v>3604</v>
      </c>
      <c r="B491" s="1718" t="s">
        <v>3605</v>
      </c>
      <c r="C491" s="1502"/>
      <c r="D491" s="1710"/>
      <c r="E491" s="1312"/>
      <c r="F491" s="1486"/>
      <c r="G491" s="1049"/>
      <c r="H491" s="306"/>
      <c r="I491" s="307"/>
      <c r="J491" s="1046"/>
      <c r="K491" s="306"/>
      <c r="L491" s="307"/>
      <c r="M491" s="1047"/>
      <c r="N491" s="306"/>
      <c r="O491" s="307"/>
      <c r="P491" s="1047"/>
      <c r="Q491" s="306"/>
      <c r="R491" s="307"/>
      <c r="S491" s="314" t="str">
        <f t="shared" si="85"/>
        <v>ok</v>
      </c>
      <c r="T491" s="314"/>
      <c r="U491" s="314"/>
      <c r="V491" s="314"/>
      <c r="W491" s="314"/>
      <c r="X491" s="314"/>
    </row>
    <row r="492" spans="1:24" s="313" customFormat="1" ht="16.5" customHeight="1">
      <c r="A492" s="1337" t="s">
        <v>3606</v>
      </c>
      <c r="B492" s="1711" t="s">
        <v>3607</v>
      </c>
      <c r="C492" s="1502" t="s">
        <v>268</v>
      </c>
      <c r="D492" s="1710">
        <v>0.3</v>
      </c>
      <c r="E492" s="1312">
        <v>807.61</v>
      </c>
      <c r="F492" s="1486">
        <f t="shared" si="86"/>
        <v>242.28299999999999</v>
      </c>
      <c r="G492" s="1049">
        <v>0</v>
      </c>
      <c r="H492" s="306">
        <v>0</v>
      </c>
      <c r="I492" s="307">
        <v>0</v>
      </c>
      <c r="J492" s="1046"/>
      <c r="K492" s="306">
        <f t="shared" si="77"/>
        <v>0</v>
      </c>
      <c r="L492" s="307">
        <f t="shared" si="78"/>
        <v>0</v>
      </c>
      <c r="M492" s="1047">
        <f t="shared" si="79"/>
        <v>0</v>
      </c>
      <c r="N492" s="306">
        <f t="shared" si="80"/>
        <v>0</v>
      </c>
      <c r="O492" s="307">
        <f t="shared" si="81"/>
        <v>0</v>
      </c>
      <c r="P492" s="1047">
        <f t="shared" si="82"/>
        <v>0.3</v>
      </c>
      <c r="Q492" s="306">
        <f t="shared" si="83"/>
        <v>242.28299999999999</v>
      </c>
      <c r="R492" s="307">
        <f t="shared" si="84"/>
        <v>1</v>
      </c>
      <c r="S492" s="314" t="str">
        <f t="shared" si="85"/>
        <v>ok</v>
      </c>
      <c r="T492" s="314"/>
      <c r="U492" s="314"/>
      <c r="V492" s="314"/>
      <c r="W492" s="314"/>
      <c r="X492" s="314"/>
    </row>
    <row r="493" spans="1:24" s="313" customFormat="1" ht="16.5" customHeight="1">
      <c r="A493" s="1337" t="s">
        <v>3608</v>
      </c>
      <c r="B493" s="1711" t="s">
        <v>3609</v>
      </c>
      <c r="C493" s="1502" t="s">
        <v>268</v>
      </c>
      <c r="D493" s="1710">
        <v>1</v>
      </c>
      <c r="E493" s="1312">
        <v>813.45</v>
      </c>
      <c r="F493" s="1486">
        <f t="shared" si="86"/>
        <v>813.45</v>
      </c>
      <c r="G493" s="1049">
        <v>0</v>
      </c>
      <c r="H493" s="306">
        <v>0</v>
      </c>
      <c r="I493" s="307">
        <v>0</v>
      </c>
      <c r="J493" s="1046"/>
      <c r="K493" s="306">
        <f t="shared" si="77"/>
        <v>0</v>
      </c>
      <c r="L493" s="307">
        <f t="shared" si="78"/>
        <v>0</v>
      </c>
      <c r="M493" s="1047">
        <f t="shared" si="79"/>
        <v>0</v>
      </c>
      <c r="N493" s="306">
        <f t="shared" si="80"/>
        <v>0</v>
      </c>
      <c r="O493" s="307">
        <f t="shared" si="81"/>
        <v>0</v>
      </c>
      <c r="P493" s="1047">
        <f t="shared" si="82"/>
        <v>1</v>
      </c>
      <c r="Q493" s="306">
        <f t="shared" si="83"/>
        <v>813.45</v>
      </c>
      <c r="R493" s="307">
        <f t="shared" si="84"/>
        <v>1</v>
      </c>
      <c r="S493" s="314" t="str">
        <f t="shared" si="85"/>
        <v>ok</v>
      </c>
      <c r="T493" s="314"/>
      <c r="U493" s="314"/>
      <c r="V493" s="314"/>
      <c r="W493" s="314"/>
      <c r="X493" s="314"/>
    </row>
    <row r="494" spans="1:24" s="313" customFormat="1" ht="16.5" customHeight="1">
      <c r="A494" s="1337" t="s">
        <v>3610</v>
      </c>
      <c r="B494" s="1711" t="s">
        <v>3611</v>
      </c>
      <c r="C494" s="1502" t="s">
        <v>52</v>
      </c>
      <c r="D494" s="1710">
        <v>7</v>
      </c>
      <c r="E494" s="1312">
        <v>26.47</v>
      </c>
      <c r="F494" s="1486">
        <f t="shared" si="86"/>
        <v>185.29</v>
      </c>
      <c r="G494" s="1049">
        <v>0</v>
      </c>
      <c r="H494" s="306">
        <v>0</v>
      </c>
      <c r="I494" s="307">
        <v>0</v>
      </c>
      <c r="J494" s="1046"/>
      <c r="K494" s="306">
        <f t="shared" si="77"/>
        <v>0</v>
      </c>
      <c r="L494" s="307">
        <f t="shared" si="78"/>
        <v>0</v>
      </c>
      <c r="M494" s="1047">
        <f t="shared" si="79"/>
        <v>0</v>
      </c>
      <c r="N494" s="306">
        <f t="shared" si="80"/>
        <v>0</v>
      </c>
      <c r="O494" s="307">
        <f t="shared" si="81"/>
        <v>0</v>
      </c>
      <c r="P494" s="1047">
        <f t="shared" si="82"/>
        <v>7</v>
      </c>
      <c r="Q494" s="306">
        <f t="shared" si="83"/>
        <v>185.29</v>
      </c>
      <c r="R494" s="307">
        <f t="shared" si="84"/>
        <v>1</v>
      </c>
      <c r="S494" s="314" t="str">
        <f t="shared" si="85"/>
        <v>ok</v>
      </c>
      <c r="T494" s="314"/>
      <c r="U494" s="314"/>
      <c r="V494" s="314"/>
      <c r="W494" s="314"/>
      <c r="X494" s="314"/>
    </row>
    <row r="495" spans="1:24" s="313" customFormat="1" ht="16.5" customHeight="1">
      <c r="A495" s="1337" t="s">
        <v>3612</v>
      </c>
      <c r="B495" s="1711" t="s">
        <v>3613</v>
      </c>
      <c r="C495" s="1502" t="s">
        <v>3593</v>
      </c>
      <c r="D495" s="1710">
        <v>1</v>
      </c>
      <c r="E495" s="1312">
        <v>3510.65</v>
      </c>
      <c r="F495" s="1486">
        <f t="shared" si="86"/>
        <v>3510.65</v>
      </c>
      <c r="G495" s="1049">
        <v>0</v>
      </c>
      <c r="H495" s="306">
        <v>0</v>
      </c>
      <c r="I495" s="307">
        <v>0</v>
      </c>
      <c r="J495" s="1046"/>
      <c r="K495" s="306">
        <f t="shared" si="77"/>
        <v>0</v>
      </c>
      <c r="L495" s="307">
        <f t="shared" si="78"/>
        <v>0</v>
      </c>
      <c r="M495" s="1047">
        <f t="shared" si="79"/>
        <v>0</v>
      </c>
      <c r="N495" s="306">
        <f t="shared" si="80"/>
        <v>0</v>
      </c>
      <c r="O495" s="307">
        <f t="shared" si="81"/>
        <v>0</v>
      </c>
      <c r="P495" s="1047">
        <f t="shared" si="82"/>
        <v>1</v>
      </c>
      <c r="Q495" s="306">
        <f t="shared" si="83"/>
        <v>3510.65</v>
      </c>
      <c r="R495" s="307">
        <f t="shared" si="84"/>
        <v>1</v>
      </c>
      <c r="S495" s="314" t="str">
        <f t="shared" si="85"/>
        <v>ok</v>
      </c>
      <c r="T495" s="314"/>
      <c r="U495" s="314"/>
      <c r="V495" s="314"/>
      <c r="W495" s="314"/>
      <c r="X495" s="314"/>
    </row>
    <row r="496" spans="1:24" s="313" customFormat="1" ht="16.5" customHeight="1">
      <c r="A496" s="1337" t="s">
        <v>3614</v>
      </c>
      <c r="B496" s="1711" t="s">
        <v>3615</v>
      </c>
      <c r="C496" s="1502" t="s">
        <v>268</v>
      </c>
      <c r="D496" s="1710">
        <v>1</v>
      </c>
      <c r="E496" s="1312">
        <v>4320.67</v>
      </c>
      <c r="F496" s="1486">
        <f t="shared" si="86"/>
        <v>4320.67</v>
      </c>
      <c r="G496" s="1049">
        <v>0</v>
      </c>
      <c r="H496" s="306">
        <v>0</v>
      </c>
      <c r="I496" s="307">
        <v>0</v>
      </c>
      <c r="J496" s="1046"/>
      <c r="K496" s="306">
        <f t="shared" si="77"/>
        <v>0</v>
      </c>
      <c r="L496" s="307">
        <f t="shared" si="78"/>
        <v>0</v>
      </c>
      <c r="M496" s="1047">
        <f t="shared" si="79"/>
        <v>0</v>
      </c>
      <c r="N496" s="306">
        <f t="shared" si="80"/>
        <v>0</v>
      </c>
      <c r="O496" s="307">
        <f t="shared" si="81"/>
        <v>0</v>
      </c>
      <c r="P496" s="1047">
        <f t="shared" si="82"/>
        <v>1</v>
      </c>
      <c r="Q496" s="306">
        <f t="shared" si="83"/>
        <v>4320.67</v>
      </c>
      <c r="R496" s="307">
        <f t="shared" si="84"/>
        <v>1</v>
      </c>
      <c r="S496" s="314" t="str">
        <f t="shared" si="85"/>
        <v>ok</v>
      </c>
      <c r="T496" s="314"/>
      <c r="U496" s="314"/>
      <c r="V496" s="314"/>
      <c r="W496" s="314"/>
      <c r="X496" s="314"/>
    </row>
    <row r="497" spans="1:24" s="313" customFormat="1" ht="16.5" customHeight="1">
      <c r="A497" s="1718" t="s">
        <v>3616</v>
      </c>
      <c r="B497" s="1718" t="s">
        <v>3617</v>
      </c>
      <c r="C497" s="1502"/>
      <c r="D497" s="1710"/>
      <c r="E497" s="1312"/>
      <c r="F497" s="1486"/>
      <c r="G497" s="1049"/>
      <c r="H497" s="306"/>
      <c r="I497" s="307"/>
      <c r="J497" s="1046"/>
      <c r="K497" s="306"/>
      <c r="L497" s="307"/>
      <c r="M497" s="1047"/>
      <c r="N497" s="306"/>
      <c r="O497" s="307"/>
      <c r="P497" s="1047"/>
      <c r="Q497" s="306"/>
      <c r="R497" s="307"/>
      <c r="S497" s="314" t="str">
        <f t="shared" si="85"/>
        <v>ok</v>
      </c>
      <c r="T497" s="314"/>
      <c r="U497" s="314"/>
      <c r="V497" s="314"/>
      <c r="W497" s="314"/>
      <c r="X497" s="314"/>
    </row>
    <row r="498" spans="1:24" s="313" customFormat="1" ht="16.5" customHeight="1">
      <c r="A498" s="1337" t="s">
        <v>3618</v>
      </c>
      <c r="B498" s="1711" t="s">
        <v>3619</v>
      </c>
      <c r="C498" s="1502" t="s">
        <v>2145</v>
      </c>
      <c r="D498" s="1710">
        <v>4</v>
      </c>
      <c r="E498" s="1312">
        <v>86.2</v>
      </c>
      <c r="F498" s="1486">
        <f t="shared" si="86"/>
        <v>344.8</v>
      </c>
      <c r="G498" s="1049">
        <v>0</v>
      </c>
      <c r="H498" s="306">
        <v>0</v>
      </c>
      <c r="I498" s="307">
        <v>0</v>
      </c>
      <c r="J498" s="1046"/>
      <c r="K498" s="306">
        <f t="shared" si="77"/>
        <v>0</v>
      </c>
      <c r="L498" s="307">
        <f t="shared" si="78"/>
        <v>0</v>
      </c>
      <c r="M498" s="1047">
        <f t="shared" si="79"/>
        <v>0</v>
      </c>
      <c r="N498" s="306">
        <f t="shared" si="80"/>
        <v>0</v>
      </c>
      <c r="O498" s="307">
        <f t="shared" si="81"/>
        <v>0</v>
      </c>
      <c r="P498" s="1047">
        <f t="shared" si="82"/>
        <v>4</v>
      </c>
      <c r="Q498" s="306">
        <f t="shared" si="83"/>
        <v>344.8</v>
      </c>
      <c r="R498" s="307">
        <f t="shared" si="84"/>
        <v>1</v>
      </c>
      <c r="S498" s="314" t="str">
        <f t="shared" si="85"/>
        <v>ok</v>
      </c>
      <c r="T498" s="314"/>
      <c r="U498" s="314"/>
      <c r="V498" s="314"/>
      <c r="W498" s="314"/>
      <c r="X498" s="314"/>
    </row>
    <row r="499" spans="1:24" s="313" customFormat="1" ht="16.5" customHeight="1">
      <c r="A499" s="1337" t="s">
        <v>3620</v>
      </c>
      <c r="B499" s="1711" t="s">
        <v>3621</v>
      </c>
      <c r="C499" s="1502" t="s">
        <v>2145</v>
      </c>
      <c r="D499" s="1710">
        <v>2</v>
      </c>
      <c r="E499" s="1312">
        <v>85.08</v>
      </c>
      <c r="F499" s="1486">
        <f t="shared" si="86"/>
        <v>170.16</v>
      </c>
      <c r="G499" s="1049">
        <v>0</v>
      </c>
      <c r="H499" s="306">
        <v>0</v>
      </c>
      <c r="I499" s="307">
        <v>0</v>
      </c>
      <c r="J499" s="1046"/>
      <c r="K499" s="306">
        <f t="shared" si="77"/>
        <v>0</v>
      </c>
      <c r="L499" s="307">
        <f t="shared" si="78"/>
        <v>0</v>
      </c>
      <c r="M499" s="1047">
        <f t="shared" si="79"/>
        <v>0</v>
      </c>
      <c r="N499" s="306">
        <f t="shared" si="80"/>
        <v>0</v>
      </c>
      <c r="O499" s="307">
        <f t="shared" si="81"/>
        <v>0</v>
      </c>
      <c r="P499" s="1047">
        <f t="shared" si="82"/>
        <v>2</v>
      </c>
      <c r="Q499" s="306">
        <f t="shared" si="83"/>
        <v>170.16</v>
      </c>
      <c r="R499" s="307">
        <f t="shared" si="84"/>
        <v>1</v>
      </c>
      <c r="S499" s="314" t="str">
        <f t="shared" si="85"/>
        <v>ok</v>
      </c>
      <c r="T499" s="314"/>
      <c r="U499" s="314"/>
      <c r="V499" s="314"/>
      <c r="W499" s="314"/>
      <c r="X499" s="314"/>
    </row>
    <row r="500" spans="1:24" s="313" customFormat="1" ht="16.5" customHeight="1">
      <c r="A500" s="1337" t="s">
        <v>3622</v>
      </c>
      <c r="B500" s="1711" t="s">
        <v>3623</v>
      </c>
      <c r="C500" s="1502" t="s">
        <v>51</v>
      </c>
      <c r="D500" s="1710">
        <v>283.5</v>
      </c>
      <c r="E500" s="1312">
        <v>2.42</v>
      </c>
      <c r="F500" s="1486">
        <f t="shared" si="86"/>
        <v>686.06999999999994</v>
      </c>
      <c r="G500" s="1049">
        <v>0</v>
      </c>
      <c r="H500" s="306">
        <v>0</v>
      </c>
      <c r="I500" s="307">
        <v>0</v>
      </c>
      <c r="J500" s="1046"/>
      <c r="K500" s="306">
        <f t="shared" si="77"/>
        <v>0</v>
      </c>
      <c r="L500" s="307">
        <f t="shared" si="78"/>
        <v>0</v>
      </c>
      <c r="M500" s="1047">
        <f t="shared" si="79"/>
        <v>0</v>
      </c>
      <c r="N500" s="306">
        <f t="shared" si="80"/>
        <v>0</v>
      </c>
      <c r="O500" s="307">
        <f t="shared" si="81"/>
        <v>0</v>
      </c>
      <c r="P500" s="1047">
        <f t="shared" si="82"/>
        <v>283.5</v>
      </c>
      <c r="Q500" s="306">
        <f t="shared" si="83"/>
        <v>686.06999999999994</v>
      </c>
      <c r="R500" s="307">
        <f t="shared" si="84"/>
        <v>1</v>
      </c>
      <c r="S500" s="314" t="str">
        <f t="shared" si="85"/>
        <v>ok</v>
      </c>
      <c r="T500" s="314"/>
      <c r="U500" s="314"/>
      <c r="V500" s="314"/>
      <c r="W500" s="314"/>
      <c r="X500" s="314"/>
    </row>
    <row r="501" spans="1:24" s="313" customFormat="1" ht="16.5" customHeight="1">
      <c r="A501" s="1337" t="s">
        <v>3624</v>
      </c>
      <c r="B501" s="1711" t="s">
        <v>3625</v>
      </c>
      <c r="C501" s="1502" t="s">
        <v>52</v>
      </c>
      <c r="D501" s="1710">
        <v>2</v>
      </c>
      <c r="E501" s="1312">
        <v>82.53</v>
      </c>
      <c r="F501" s="1486">
        <f t="shared" si="86"/>
        <v>165.06</v>
      </c>
      <c r="G501" s="1049">
        <v>0</v>
      </c>
      <c r="H501" s="306">
        <v>0</v>
      </c>
      <c r="I501" s="307">
        <v>0</v>
      </c>
      <c r="J501" s="1046"/>
      <c r="K501" s="306">
        <f t="shared" si="77"/>
        <v>0</v>
      </c>
      <c r="L501" s="307">
        <f t="shared" si="78"/>
        <v>0</v>
      </c>
      <c r="M501" s="1047">
        <f t="shared" si="79"/>
        <v>0</v>
      </c>
      <c r="N501" s="306">
        <f t="shared" si="80"/>
        <v>0</v>
      </c>
      <c r="O501" s="307">
        <f t="shared" si="81"/>
        <v>0</v>
      </c>
      <c r="P501" s="1047">
        <f t="shared" si="82"/>
        <v>2</v>
      </c>
      <c r="Q501" s="306">
        <f t="shared" si="83"/>
        <v>165.06</v>
      </c>
      <c r="R501" s="307">
        <f t="shared" si="84"/>
        <v>1</v>
      </c>
      <c r="S501" s="314" t="str">
        <f t="shared" si="85"/>
        <v>ok</v>
      </c>
      <c r="T501" s="314"/>
      <c r="U501" s="314"/>
      <c r="V501" s="314"/>
      <c r="W501" s="314"/>
      <c r="X501" s="314"/>
    </row>
    <row r="502" spans="1:24" s="313" customFormat="1" ht="16.5" customHeight="1">
      <c r="A502" s="1337" t="s">
        <v>3626</v>
      </c>
      <c r="B502" s="1711" t="s">
        <v>3627</v>
      </c>
      <c r="C502" s="1502" t="s">
        <v>3499</v>
      </c>
      <c r="D502" s="1710">
        <v>4</v>
      </c>
      <c r="E502" s="1312">
        <v>57.980000000000004</v>
      </c>
      <c r="F502" s="1486">
        <f t="shared" si="86"/>
        <v>231.92000000000002</v>
      </c>
      <c r="G502" s="1049">
        <v>0</v>
      </c>
      <c r="H502" s="306">
        <v>0</v>
      </c>
      <c r="I502" s="307">
        <v>0</v>
      </c>
      <c r="J502" s="1046"/>
      <c r="K502" s="306">
        <f t="shared" si="77"/>
        <v>0</v>
      </c>
      <c r="L502" s="307">
        <f t="shared" si="78"/>
        <v>0</v>
      </c>
      <c r="M502" s="1047">
        <f t="shared" si="79"/>
        <v>0</v>
      </c>
      <c r="N502" s="306">
        <f t="shared" si="80"/>
        <v>0</v>
      </c>
      <c r="O502" s="307">
        <f t="shared" si="81"/>
        <v>0</v>
      </c>
      <c r="P502" s="1047">
        <f t="shared" si="82"/>
        <v>4</v>
      </c>
      <c r="Q502" s="306">
        <f t="shared" si="83"/>
        <v>231.92000000000002</v>
      </c>
      <c r="R502" s="307">
        <f t="shared" si="84"/>
        <v>1</v>
      </c>
      <c r="S502" s="314" t="str">
        <f t="shared" si="85"/>
        <v>ok</v>
      </c>
      <c r="T502" s="314"/>
      <c r="U502" s="314"/>
      <c r="V502" s="314"/>
      <c r="W502" s="314"/>
      <c r="X502" s="314"/>
    </row>
    <row r="503" spans="1:24" s="313" customFormat="1" ht="16.5" customHeight="1">
      <c r="A503" s="1337" t="s">
        <v>3628</v>
      </c>
      <c r="B503" s="1711" t="s">
        <v>3629</v>
      </c>
      <c r="C503" s="1502" t="s">
        <v>3499</v>
      </c>
      <c r="D503" s="1710">
        <v>4</v>
      </c>
      <c r="E503" s="1312">
        <v>29.12</v>
      </c>
      <c r="F503" s="1486">
        <f t="shared" si="86"/>
        <v>116.48</v>
      </c>
      <c r="G503" s="1049">
        <v>0</v>
      </c>
      <c r="H503" s="306">
        <v>0</v>
      </c>
      <c r="I503" s="307">
        <v>0</v>
      </c>
      <c r="J503" s="1046"/>
      <c r="K503" s="306">
        <f t="shared" si="77"/>
        <v>0</v>
      </c>
      <c r="L503" s="307">
        <f t="shared" si="78"/>
        <v>0</v>
      </c>
      <c r="M503" s="1047">
        <f t="shared" si="79"/>
        <v>0</v>
      </c>
      <c r="N503" s="306">
        <f t="shared" si="80"/>
        <v>0</v>
      </c>
      <c r="O503" s="307">
        <f t="shared" si="81"/>
        <v>0</v>
      </c>
      <c r="P503" s="1047">
        <f t="shared" si="82"/>
        <v>4</v>
      </c>
      <c r="Q503" s="306">
        <f t="shared" si="83"/>
        <v>116.48</v>
      </c>
      <c r="R503" s="307">
        <f t="shared" si="84"/>
        <v>1</v>
      </c>
      <c r="S503" s="314" t="str">
        <f t="shared" si="85"/>
        <v>ok</v>
      </c>
      <c r="T503" s="314"/>
      <c r="U503" s="314"/>
      <c r="V503" s="314"/>
      <c r="W503" s="314"/>
      <c r="X503" s="314"/>
    </row>
    <row r="504" spans="1:24" s="313" customFormat="1" ht="16.5" customHeight="1">
      <c r="A504" s="1337" t="s">
        <v>3630</v>
      </c>
      <c r="B504" s="1711" t="s">
        <v>3631</v>
      </c>
      <c r="C504" s="1502" t="s">
        <v>3499</v>
      </c>
      <c r="D504" s="1710">
        <v>17</v>
      </c>
      <c r="E504" s="1312">
        <v>20.81</v>
      </c>
      <c r="F504" s="1486">
        <f t="shared" si="86"/>
        <v>353.77</v>
      </c>
      <c r="G504" s="1049">
        <v>0</v>
      </c>
      <c r="H504" s="306">
        <v>0</v>
      </c>
      <c r="I504" s="307">
        <v>0</v>
      </c>
      <c r="J504" s="1046"/>
      <c r="K504" s="306">
        <f t="shared" si="77"/>
        <v>0</v>
      </c>
      <c r="L504" s="307">
        <f t="shared" si="78"/>
        <v>0</v>
      </c>
      <c r="M504" s="1047">
        <f t="shared" si="79"/>
        <v>0</v>
      </c>
      <c r="N504" s="306">
        <f t="shared" si="80"/>
        <v>0</v>
      </c>
      <c r="O504" s="307">
        <f t="shared" si="81"/>
        <v>0</v>
      </c>
      <c r="P504" s="1047">
        <f t="shared" si="82"/>
        <v>17</v>
      </c>
      <c r="Q504" s="306">
        <f t="shared" si="83"/>
        <v>353.77</v>
      </c>
      <c r="R504" s="307">
        <f t="shared" si="84"/>
        <v>1</v>
      </c>
      <c r="S504" s="314" t="str">
        <f t="shared" si="85"/>
        <v>ok</v>
      </c>
      <c r="T504" s="314"/>
      <c r="U504" s="314"/>
      <c r="V504" s="314"/>
      <c r="W504" s="314"/>
      <c r="X504" s="314"/>
    </row>
    <row r="505" spans="1:24" s="313" customFormat="1" ht="16.5" customHeight="1">
      <c r="A505" s="1337" t="s">
        <v>3632</v>
      </c>
      <c r="B505" s="1711" t="s">
        <v>3633</v>
      </c>
      <c r="C505" s="1502" t="s">
        <v>3499</v>
      </c>
      <c r="D505" s="1710">
        <v>3</v>
      </c>
      <c r="E505" s="1312">
        <v>36.410000000000004</v>
      </c>
      <c r="F505" s="1486">
        <f t="shared" si="86"/>
        <v>109.23000000000002</v>
      </c>
      <c r="G505" s="1049">
        <v>0</v>
      </c>
      <c r="H505" s="306">
        <v>0</v>
      </c>
      <c r="I505" s="307">
        <v>0</v>
      </c>
      <c r="J505" s="1046"/>
      <c r="K505" s="306">
        <f t="shared" si="77"/>
        <v>0</v>
      </c>
      <c r="L505" s="307">
        <f t="shared" si="78"/>
        <v>0</v>
      </c>
      <c r="M505" s="1047">
        <f t="shared" si="79"/>
        <v>0</v>
      </c>
      <c r="N505" s="306">
        <f t="shared" si="80"/>
        <v>0</v>
      </c>
      <c r="O505" s="307">
        <f t="shared" si="81"/>
        <v>0</v>
      </c>
      <c r="P505" s="1047">
        <f t="shared" si="82"/>
        <v>3</v>
      </c>
      <c r="Q505" s="306">
        <f t="shared" si="83"/>
        <v>109.23000000000002</v>
      </c>
      <c r="R505" s="307">
        <f t="shared" si="84"/>
        <v>1</v>
      </c>
      <c r="S505" s="314" t="str">
        <f t="shared" si="85"/>
        <v>ok</v>
      </c>
      <c r="T505" s="314"/>
      <c r="U505" s="314"/>
      <c r="V505" s="314"/>
      <c r="W505" s="314"/>
      <c r="X505" s="314"/>
    </row>
    <row r="506" spans="1:24" s="313" customFormat="1" ht="16.5" customHeight="1">
      <c r="A506" s="1337" t="s">
        <v>3634</v>
      </c>
      <c r="B506" s="1711" t="s">
        <v>3635</v>
      </c>
      <c r="C506" s="1502" t="s">
        <v>49</v>
      </c>
      <c r="D506" s="1710">
        <v>4.4800000000000004</v>
      </c>
      <c r="E506" s="1312">
        <v>102.48</v>
      </c>
      <c r="F506" s="1486">
        <f t="shared" si="86"/>
        <v>459.11040000000008</v>
      </c>
      <c r="G506" s="1049">
        <v>0</v>
      </c>
      <c r="H506" s="306">
        <v>0</v>
      </c>
      <c r="I506" s="307">
        <v>0</v>
      </c>
      <c r="J506" s="1046"/>
      <c r="K506" s="306">
        <f t="shared" si="77"/>
        <v>0</v>
      </c>
      <c r="L506" s="307">
        <f t="shared" si="78"/>
        <v>0</v>
      </c>
      <c r="M506" s="1047">
        <f t="shared" si="79"/>
        <v>0</v>
      </c>
      <c r="N506" s="306">
        <f t="shared" si="80"/>
        <v>0</v>
      </c>
      <c r="O506" s="307">
        <f t="shared" si="81"/>
        <v>0</v>
      </c>
      <c r="P506" s="1047">
        <f t="shared" si="82"/>
        <v>4.4800000000000004</v>
      </c>
      <c r="Q506" s="306">
        <f t="shared" si="83"/>
        <v>459.11040000000008</v>
      </c>
      <c r="R506" s="307">
        <f t="shared" si="84"/>
        <v>1</v>
      </c>
      <c r="S506" s="314" t="str">
        <f t="shared" si="85"/>
        <v>ok</v>
      </c>
      <c r="T506" s="314"/>
      <c r="U506" s="314"/>
      <c r="V506" s="314"/>
      <c r="W506" s="314"/>
      <c r="X506" s="314"/>
    </row>
    <row r="507" spans="1:24" s="313" customFormat="1" ht="16.5" customHeight="1">
      <c r="A507" s="1337" t="s">
        <v>3636</v>
      </c>
      <c r="B507" s="1711" t="s">
        <v>3637</v>
      </c>
      <c r="C507" s="1502" t="s">
        <v>49</v>
      </c>
      <c r="D507" s="1710">
        <v>17.78</v>
      </c>
      <c r="E507" s="1312">
        <v>182.78</v>
      </c>
      <c r="F507" s="1486">
        <f t="shared" si="86"/>
        <v>3249.8284000000003</v>
      </c>
      <c r="G507" s="1049">
        <v>0</v>
      </c>
      <c r="H507" s="306">
        <v>0</v>
      </c>
      <c r="I507" s="307">
        <v>0</v>
      </c>
      <c r="J507" s="1046"/>
      <c r="K507" s="306">
        <f t="shared" si="77"/>
        <v>0</v>
      </c>
      <c r="L507" s="307">
        <f t="shared" si="78"/>
        <v>0</v>
      </c>
      <c r="M507" s="1047">
        <f t="shared" si="79"/>
        <v>0</v>
      </c>
      <c r="N507" s="306">
        <f t="shared" si="80"/>
        <v>0</v>
      </c>
      <c r="O507" s="307">
        <f t="shared" si="81"/>
        <v>0</v>
      </c>
      <c r="P507" s="1047">
        <f t="shared" si="82"/>
        <v>17.78</v>
      </c>
      <c r="Q507" s="306">
        <f t="shared" si="83"/>
        <v>3249.8284000000003</v>
      </c>
      <c r="R507" s="307">
        <f t="shared" si="84"/>
        <v>1</v>
      </c>
      <c r="S507" s="314" t="str">
        <f t="shared" si="85"/>
        <v>ok</v>
      </c>
      <c r="T507" s="314"/>
      <c r="U507" s="314"/>
      <c r="V507" s="314"/>
      <c r="W507" s="314"/>
      <c r="X507" s="314"/>
    </row>
    <row r="508" spans="1:24" s="313" customFormat="1" ht="16.5" customHeight="1">
      <c r="A508" s="1706" t="s">
        <v>39</v>
      </c>
      <c r="B508" s="1707" t="s">
        <v>3638</v>
      </c>
      <c r="C508" s="1502"/>
      <c r="D508" s="1710"/>
      <c r="E508" s="1312"/>
      <c r="F508" s="1486"/>
      <c r="G508" s="1049"/>
      <c r="H508" s="306"/>
      <c r="I508" s="307"/>
      <c r="J508" s="1046"/>
      <c r="K508" s="306"/>
      <c r="L508" s="307"/>
      <c r="M508" s="1047"/>
      <c r="N508" s="306"/>
      <c r="O508" s="307"/>
      <c r="P508" s="1047"/>
      <c r="Q508" s="306"/>
      <c r="R508" s="307"/>
      <c r="S508" s="314" t="str">
        <f t="shared" si="85"/>
        <v>ok</v>
      </c>
      <c r="T508" s="314"/>
      <c r="U508" s="314"/>
      <c r="V508" s="314"/>
      <c r="W508" s="314"/>
      <c r="X508" s="314"/>
    </row>
    <row r="509" spans="1:24" s="313" customFormat="1" ht="16.5" customHeight="1">
      <c r="A509" s="1648" t="s">
        <v>3639</v>
      </c>
      <c r="B509" s="1648" t="s">
        <v>3640</v>
      </c>
      <c r="C509" s="1502"/>
      <c r="D509" s="1710"/>
      <c r="E509" s="1312"/>
      <c r="F509" s="1486"/>
      <c r="G509" s="1049"/>
      <c r="H509" s="306"/>
      <c r="I509" s="307"/>
      <c r="J509" s="1046"/>
      <c r="K509" s="306"/>
      <c r="L509" s="307"/>
      <c r="M509" s="1047"/>
      <c r="N509" s="306"/>
      <c r="O509" s="307"/>
      <c r="P509" s="1047"/>
      <c r="Q509" s="306"/>
      <c r="R509" s="307"/>
      <c r="S509" s="314" t="str">
        <f t="shared" si="85"/>
        <v>ok</v>
      </c>
      <c r="T509" s="314"/>
      <c r="U509" s="314"/>
      <c r="V509" s="314"/>
      <c r="W509" s="314"/>
      <c r="X509" s="314"/>
    </row>
    <row r="510" spans="1:24" s="313" customFormat="1" ht="16.5" customHeight="1">
      <c r="A510" s="1337" t="s">
        <v>3641</v>
      </c>
      <c r="B510" s="1711" t="s">
        <v>3642</v>
      </c>
      <c r="C510" s="1502" t="s">
        <v>52</v>
      </c>
      <c r="D510" s="1710">
        <v>102</v>
      </c>
      <c r="E510" s="1312">
        <v>41.300000000000004</v>
      </c>
      <c r="F510" s="1486">
        <f t="shared" si="86"/>
        <v>4212.6000000000004</v>
      </c>
      <c r="G510" s="1049">
        <v>102</v>
      </c>
      <c r="H510" s="306">
        <v>4212.6000000000004</v>
      </c>
      <c r="I510" s="307">
        <v>1</v>
      </c>
      <c r="J510" s="1046"/>
      <c r="K510" s="306">
        <f t="shared" si="77"/>
        <v>0</v>
      </c>
      <c r="L510" s="307">
        <f t="shared" si="78"/>
        <v>0</v>
      </c>
      <c r="M510" s="1047">
        <f t="shared" si="79"/>
        <v>102</v>
      </c>
      <c r="N510" s="306">
        <f t="shared" si="80"/>
        <v>4212.6000000000004</v>
      </c>
      <c r="O510" s="307">
        <f t="shared" si="81"/>
        <v>1</v>
      </c>
      <c r="P510" s="1047">
        <f t="shared" si="82"/>
        <v>0</v>
      </c>
      <c r="Q510" s="306">
        <f t="shared" si="83"/>
        <v>0</v>
      </c>
      <c r="R510" s="307">
        <f t="shared" si="84"/>
        <v>0</v>
      </c>
      <c r="S510" s="314" t="str">
        <f t="shared" si="85"/>
        <v>ok</v>
      </c>
      <c r="T510" s="314"/>
      <c r="U510" s="314"/>
      <c r="V510" s="314"/>
      <c r="W510" s="314"/>
      <c r="X510" s="314"/>
    </row>
    <row r="511" spans="1:24" s="313" customFormat="1" ht="16.5" customHeight="1">
      <c r="A511" s="1648" t="s">
        <v>3643</v>
      </c>
      <c r="B511" s="1648" t="s">
        <v>3644</v>
      </c>
      <c r="C511" s="1502"/>
      <c r="D511" s="1710"/>
      <c r="E511" s="1312"/>
      <c r="F511" s="1486"/>
      <c r="G511" s="1049"/>
      <c r="H511" s="306"/>
      <c r="I511" s="307"/>
      <c r="J511" s="1046"/>
      <c r="K511" s="306"/>
      <c r="L511" s="307"/>
      <c r="M511" s="1047"/>
      <c r="N511" s="306"/>
      <c r="O511" s="307"/>
      <c r="P511" s="1047"/>
      <c r="Q511" s="306"/>
      <c r="R511" s="307"/>
      <c r="S511" s="314" t="str">
        <f t="shared" si="85"/>
        <v>ok</v>
      </c>
      <c r="T511" s="314"/>
      <c r="U511" s="314"/>
      <c r="V511" s="314"/>
      <c r="W511" s="314"/>
      <c r="X511" s="314"/>
    </row>
    <row r="512" spans="1:24" s="313" customFormat="1" ht="16.5" customHeight="1">
      <c r="A512" s="1709" t="s">
        <v>3645</v>
      </c>
      <c r="B512" s="1709" t="s">
        <v>3646</v>
      </c>
      <c r="C512" s="1502"/>
      <c r="D512" s="1710"/>
      <c r="E512" s="1312"/>
      <c r="F512" s="1486"/>
      <c r="G512" s="1049"/>
      <c r="H512" s="306"/>
      <c r="I512" s="307"/>
      <c r="J512" s="1046"/>
      <c r="K512" s="306"/>
      <c r="L512" s="307"/>
      <c r="M512" s="1047"/>
      <c r="N512" s="306"/>
      <c r="O512" s="307"/>
      <c r="P512" s="1047"/>
      <c r="Q512" s="306"/>
      <c r="R512" s="307"/>
      <c r="S512" s="314" t="str">
        <f t="shared" si="85"/>
        <v>ok</v>
      </c>
      <c r="T512" s="314"/>
      <c r="U512" s="314"/>
      <c r="V512" s="314"/>
      <c r="W512" s="314"/>
      <c r="X512" s="314"/>
    </row>
    <row r="513" spans="1:24" s="313" customFormat="1" ht="16.5" customHeight="1">
      <c r="A513" s="1337" t="s">
        <v>3647</v>
      </c>
      <c r="B513" s="1711" t="s">
        <v>3648</v>
      </c>
      <c r="C513" s="1502" t="s">
        <v>51</v>
      </c>
      <c r="D513" s="1710">
        <v>90</v>
      </c>
      <c r="E513" s="1312">
        <v>9.23</v>
      </c>
      <c r="F513" s="1486">
        <f t="shared" si="86"/>
        <v>830.7</v>
      </c>
      <c r="G513" s="1049">
        <v>90</v>
      </c>
      <c r="H513" s="306">
        <v>830.7</v>
      </c>
      <c r="I513" s="307">
        <v>1</v>
      </c>
      <c r="J513" s="1046"/>
      <c r="K513" s="306">
        <f t="shared" ref="K513:K574" si="87">J513*E513</f>
        <v>0</v>
      </c>
      <c r="L513" s="307">
        <f t="shared" ref="L513:L574" si="88">+K513/$F513</f>
        <v>0</v>
      </c>
      <c r="M513" s="1047">
        <f t="shared" ref="M513:M574" si="89">+G513+J513</f>
        <v>90</v>
      </c>
      <c r="N513" s="306">
        <f t="shared" ref="N513:N574" si="90">ROUND(+M513*E513,2)</f>
        <v>830.7</v>
      </c>
      <c r="O513" s="307">
        <f t="shared" ref="O513:O574" si="91">+N513/$F513</f>
        <v>1</v>
      </c>
      <c r="P513" s="1047">
        <f t="shared" ref="P513:P574" si="92">D513-M513</f>
        <v>0</v>
      </c>
      <c r="Q513" s="306">
        <f t="shared" ref="Q513:Q574" si="93">F513-N513</f>
        <v>0</v>
      </c>
      <c r="R513" s="307">
        <f t="shared" ref="R513:R574" si="94">+Q513/$F513</f>
        <v>0</v>
      </c>
      <c r="S513" s="314" t="str">
        <f t="shared" si="85"/>
        <v>ok</v>
      </c>
      <c r="T513" s="314"/>
      <c r="U513" s="314"/>
      <c r="V513" s="314"/>
      <c r="W513" s="314"/>
      <c r="X513" s="314"/>
    </row>
    <row r="514" spans="1:24" s="313" customFormat="1" ht="16.5" customHeight="1">
      <c r="A514" s="1337" t="s">
        <v>3649</v>
      </c>
      <c r="B514" s="1711" t="s">
        <v>3650</v>
      </c>
      <c r="C514" s="1502" t="s">
        <v>51</v>
      </c>
      <c r="D514" s="1710">
        <v>915</v>
      </c>
      <c r="E514" s="1312">
        <v>11.63</v>
      </c>
      <c r="F514" s="1486">
        <f t="shared" si="86"/>
        <v>10641.45</v>
      </c>
      <c r="G514" s="1049">
        <v>915</v>
      </c>
      <c r="H514" s="306">
        <v>10641.45</v>
      </c>
      <c r="I514" s="307">
        <v>1</v>
      </c>
      <c r="J514" s="1046"/>
      <c r="K514" s="306">
        <f t="shared" si="87"/>
        <v>0</v>
      </c>
      <c r="L514" s="307">
        <f t="shared" si="88"/>
        <v>0</v>
      </c>
      <c r="M514" s="1047">
        <f t="shared" si="89"/>
        <v>915</v>
      </c>
      <c r="N514" s="306">
        <f t="shared" si="90"/>
        <v>10641.45</v>
      </c>
      <c r="O514" s="307">
        <f t="shared" si="91"/>
        <v>1</v>
      </c>
      <c r="P514" s="1047">
        <f t="shared" si="92"/>
        <v>0</v>
      </c>
      <c r="Q514" s="306">
        <f t="shared" si="93"/>
        <v>0</v>
      </c>
      <c r="R514" s="307">
        <f t="shared" si="94"/>
        <v>0</v>
      </c>
      <c r="S514" s="314" t="str">
        <f t="shared" si="85"/>
        <v>ok</v>
      </c>
      <c r="T514" s="314"/>
      <c r="U514" s="314"/>
      <c r="V514" s="314"/>
      <c r="W514" s="314"/>
      <c r="X514" s="314"/>
    </row>
    <row r="515" spans="1:24" s="313" customFormat="1" ht="16.5" customHeight="1">
      <c r="A515" s="1709" t="s">
        <v>3651</v>
      </c>
      <c r="B515" s="1709" t="s">
        <v>3652</v>
      </c>
      <c r="C515" s="1502"/>
      <c r="D515" s="1710"/>
      <c r="E515" s="1312"/>
      <c r="F515" s="1486"/>
      <c r="G515" s="1049"/>
      <c r="H515" s="306"/>
      <c r="I515" s="307"/>
      <c r="J515" s="1046"/>
      <c r="K515" s="306"/>
      <c r="L515" s="307"/>
      <c r="M515" s="1047"/>
      <c r="N515" s="306"/>
      <c r="O515" s="307"/>
      <c r="P515" s="1047"/>
      <c r="Q515" s="306"/>
      <c r="R515" s="307"/>
      <c r="S515" s="314" t="str">
        <f t="shared" si="85"/>
        <v>ok</v>
      </c>
      <c r="T515" s="314"/>
      <c r="U515" s="314"/>
      <c r="V515" s="314"/>
      <c r="W515" s="314"/>
      <c r="X515" s="314"/>
    </row>
    <row r="516" spans="1:24" s="313" customFormat="1" ht="16.5" customHeight="1">
      <c r="A516" s="1337" t="s">
        <v>3653</v>
      </c>
      <c r="B516" s="1711" t="s">
        <v>3654</v>
      </c>
      <c r="C516" s="1502" t="s">
        <v>52</v>
      </c>
      <c r="D516" s="1710">
        <v>1</v>
      </c>
      <c r="E516" s="1312">
        <v>878.53</v>
      </c>
      <c r="F516" s="1486">
        <f t="shared" ref="F516:F517" si="95">E516*D516</f>
        <v>878.53</v>
      </c>
      <c r="G516" s="1049">
        <v>0</v>
      </c>
      <c r="H516" s="306">
        <v>0</v>
      </c>
      <c r="I516" s="307">
        <v>0</v>
      </c>
      <c r="J516" s="1046"/>
      <c r="K516" s="306">
        <f t="shared" si="87"/>
        <v>0</v>
      </c>
      <c r="L516" s="307">
        <f t="shared" si="88"/>
        <v>0</v>
      </c>
      <c r="M516" s="1047">
        <f t="shared" si="89"/>
        <v>0</v>
      </c>
      <c r="N516" s="306">
        <f t="shared" si="90"/>
        <v>0</v>
      </c>
      <c r="O516" s="307">
        <f t="shared" si="91"/>
        <v>0</v>
      </c>
      <c r="P516" s="1047">
        <f t="shared" si="92"/>
        <v>1</v>
      </c>
      <c r="Q516" s="306">
        <f t="shared" si="93"/>
        <v>878.53</v>
      </c>
      <c r="R516" s="307">
        <f t="shared" si="94"/>
        <v>1</v>
      </c>
      <c r="S516" s="314" t="str">
        <f t="shared" si="85"/>
        <v>ok</v>
      </c>
      <c r="T516" s="314"/>
      <c r="U516" s="314"/>
      <c r="V516" s="314"/>
      <c r="W516" s="314"/>
      <c r="X516" s="314"/>
    </row>
    <row r="517" spans="1:24" s="313" customFormat="1" ht="16.5" customHeight="1">
      <c r="A517" s="1337" t="s">
        <v>3655</v>
      </c>
      <c r="B517" s="1711" t="s">
        <v>3656</v>
      </c>
      <c r="C517" s="1502" t="s">
        <v>52</v>
      </c>
      <c r="D517" s="1710">
        <v>1</v>
      </c>
      <c r="E517" s="1312">
        <v>11094.64</v>
      </c>
      <c r="F517" s="1486">
        <f t="shared" si="95"/>
        <v>11094.64</v>
      </c>
      <c r="G517" s="1049">
        <v>0</v>
      </c>
      <c r="H517" s="306">
        <v>0</v>
      </c>
      <c r="I517" s="307">
        <v>0</v>
      </c>
      <c r="J517" s="1046"/>
      <c r="K517" s="306">
        <f t="shared" si="87"/>
        <v>0</v>
      </c>
      <c r="L517" s="307">
        <f t="shared" si="88"/>
        <v>0</v>
      </c>
      <c r="M517" s="1047">
        <f t="shared" si="89"/>
        <v>0</v>
      </c>
      <c r="N517" s="306">
        <f t="shared" si="90"/>
        <v>0</v>
      </c>
      <c r="O517" s="307">
        <f t="shared" si="91"/>
        <v>0</v>
      </c>
      <c r="P517" s="1047">
        <f t="shared" si="92"/>
        <v>1</v>
      </c>
      <c r="Q517" s="306">
        <f t="shared" si="93"/>
        <v>11094.64</v>
      </c>
      <c r="R517" s="307">
        <f t="shared" si="94"/>
        <v>1</v>
      </c>
      <c r="S517" s="314" t="str">
        <f t="shared" si="85"/>
        <v>ok</v>
      </c>
      <c r="T517" s="314"/>
      <c r="U517" s="314"/>
      <c r="V517" s="314"/>
      <c r="W517" s="314"/>
      <c r="X517" s="314"/>
    </row>
    <row r="518" spans="1:24" s="313" customFormat="1" ht="16.5" customHeight="1">
      <c r="A518" s="1337" t="s">
        <v>3657</v>
      </c>
      <c r="B518" s="1711" t="s">
        <v>3658</v>
      </c>
      <c r="C518" s="1502" t="s">
        <v>52</v>
      </c>
      <c r="D518" s="1710">
        <v>7</v>
      </c>
      <c r="E518" s="1312">
        <v>395.93</v>
      </c>
      <c r="F518" s="1486">
        <f t="shared" si="86"/>
        <v>2771.51</v>
      </c>
      <c r="G518" s="1049">
        <v>0</v>
      </c>
      <c r="H518" s="306">
        <v>0</v>
      </c>
      <c r="I518" s="307">
        <v>0</v>
      </c>
      <c r="J518" s="1046"/>
      <c r="K518" s="306">
        <f t="shared" si="87"/>
        <v>0</v>
      </c>
      <c r="L518" s="307">
        <f t="shared" si="88"/>
        <v>0</v>
      </c>
      <c r="M518" s="1047">
        <f t="shared" si="89"/>
        <v>0</v>
      </c>
      <c r="N518" s="306">
        <f t="shared" si="90"/>
        <v>0</v>
      </c>
      <c r="O518" s="307">
        <f t="shared" si="91"/>
        <v>0</v>
      </c>
      <c r="P518" s="1047">
        <f t="shared" si="92"/>
        <v>7</v>
      </c>
      <c r="Q518" s="306">
        <f t="shared" si="93"/>
        <v>2771.51</v>
      </c>
      <c r="R518" s="307">
        <f t="shared" si="94"/>
        <v>1</v>
      </c>
      <c r="S518" s="314" t="str">
        <f t="shared" si="85"/>
        <v>ok</v>
      </c>
      <c r="T518" s="314"/>
      <c r="U518" s="314"/>
      <c r="V518" s="314"/>
      <c r="W518" s="314"/>
      <c r="X518" s="314"/>
    </row>
    <row r="519" spans="1:24" s="313" customFormat="1" ht="16.5" customHeight="1">
      <c r="A519" s="1648" t="s">
        <v>3659</v>
      </c>
      <c r="B519" s="1648" t="s">
        <v>3660</v>
      </c>
      <c r="C519" s="1502"/>
      <c r="D519" s="1710"/>
      <c r="E519" s="1312"/>
      <c r="F519" s="1486"/>
      <c r="G519" s="1049"/>
      <c r="H519" s="306"/>
      <c r="I519" s="307"/>
      <c r="J519" s="1046"/>
      <c r="K519" s="306"/>
      <c r="L519" s="307"/>
      <c r="M519" s="1047"/>
      <c r="N519" s="306"/>
      <c r="O519" s="307"/>
      <c r="P519" s="1047"/>
      <c r="Q519" s="306"/>
      <c r="R519" s="307"/>
      <c r="S519" s="314" t="str">
        <f t="shared" si="85"/>
        <v>ok</v>
      </c>
      <c r="T519" s="314"/>
      <c r="U519" s="314"/>
      <c r="V519" s="314"/>
      <c r="W519" s="314"/>
      <c r="X519" s="314"/>
    </row>
    <row r="520" spans="1:24" s="313" customFormat="1" ht="16.5" customHeight="1">
      <c r="A520" s="1709" t="s">
        <v>3661</v>
      </c>
      <c r="B520" s="1709" t="s">
        <v>3646</v>
      </c>
      <c r="C520" s="1502"/>
      <c r="D520" s="1710"/>
      <c r="E520" s="1312"/>
      <c r="F520" s="1486"/>
      <c r="G520" s="1049"/>
      <c r="H520" s="306"/>
      <c r="I520" s="307"/>
      <c r="J520" s="1046"/>
      <c r="K520" s="306"/>
      <c r="L520" s="307"/>
      <c r="M520" s="1047"/>
      <c r="N520" s="306"/>
      <c r="O520" s="307"/>
      <c r="P520" s="1047"/>
      <c r="Q520" s="306"/>
      <c r="R520" s="307"/>
      <c r="S520" s="314" t="str">
        <f t="shared" si="85"/>
        <v>ok</v>
      </c>
      <c r="T520" s="314"/>
      <c r="U520" s="314"/>
      <c r="V520" s="314"/>
      <c r="W520" s="314"/>
      <c r="X520" s="314"/>
    </row>
    <row r="521" spans="1:24" s="313" customFormat="1" ht="16.5" customHeight="1">
      <c r="A521" s="1337" t="s">
        <v>3662</v>
      </c>
      <c r="B521" s="1711" t="s">
        <v>3663</v>
      </c>
      <c r="C521" s="1502" t="s">
        <v>51</v>
      </c>
      <c r="D521" s="1710">
        <v>35</v>
      </c>
      <c r="E521" s="1312">
        <v>9.23</v>
      </c>
      <c r="F521" s="1486">
        <f t="shared" si="86"/>
        <v>323.05</v>
      </c>
      <c r="G521" s="1049">
        <v>35</v>
      </c>
      <c r="H521" s="306">
        <v>323.05</v>
      </c>
      <c r="I521" s="307">
        <v>1</v>
      </c>
      <c r="J521" s="1046"/>
      <c r="K521" s="306">
        <f t="shared" si="87"/>
        <v>0</v>
      </c>
      <c r="L521" s="307">
        <f t="shared" si="88"/>
        <v>0</v>
      </c>
      <c r="M521" s="1047">
        <f t="shared" si="89"/>
        <v>35</v>
      </c>
      <c r="N521" s="306">
        <f t="shared" si="90"/>
        <v>323.05</v>
      </c>
      <c r="O521" s="307">
        <f t="shared" si="91"/>
        <v>1</v>
      </c>
      <c r="P521" s="1047">
        <f t="shared" si="92"/>
        <v>0</v>
      </c>
      <c r="Q521" s="306">
        <f t="shared" si="93"/>
        <v>0</v>
      </c>
      <c r="R521" s="307">
        <f t="shared" si="94"/>
        <v>0</v>
      </c>
      <c r="S521" s="314" t="str">
        <f t="shared" si="85"/>
        <v>ok</v>
      </c>
      <c r="T521" s="314"/>
      <c r="U521" s="314"/>
      <c r="V521" s="314"/>
      <c r="W521" s="314"/>
      <c r="X521" s="314"/>
    </row>
    <row r="522" spans="1:24" s="313" customFormat="1" ht="16.5" customHeight="1">
      <c r="A522" s="1648" t="s">
        <v>3664</v>
      </c>
      <c r="B522" s="1648" t="s">
        <v>3665</v>
      </c>
      <c r="C522" s="1502"/>
      <c r="D522" s="1710"/>
      <c r="E522" s="1312"/>
      <c r="F522" s="1486"/>
      <c r="G522" s="1049"/>
      <c r="H522" s="306"/>
      <c r="I522" s="307"/>
      <c r="J522" s="1046"/>
      <c r="K522" s="306"/>
      <c r="L522" s="307"/>
      <c r="M522" s="1047"/>
      <c r="N522" s="306"/>
      <c r="O522" s="307"/>
      <c r="P522" s="1047"/>
      <c r="Q522" s="306"/>
      <c r="R522" s="307"/>
      <c r="S522" s="314" t="str">
        <f t="shared" si="85"/>
        <v>ok</v>
      </c>
      <c r="T522" s="314"/>
      <c r="U522" s="314"/>
      <c r="V522" s="314"/>
      <c r="W522" s="314"/>
      <c r="X522" s="314"/>
    </row>
    <row r="523" spans="1:24" s="313" customFormat="1" ht="16.5" customHeight="1">
      <c r="A523" s="1709" t="s">
        <v>3666</v>
      </c>
      <c r="B523" s="1709" t="s">
        <v>3646</v>
      </c>
      <c r="C523" s="1502"/>
      <c r="D523" s="1710"/>
      <c r="E523" s="1312"/>
      <c r="F523" s="1486"/>
      <c r="G523" s="1049"/>
      <c r="H523" s="306"/>
      <c r="I523" s="307"/>
      <c r="J523" s="1046"/>
      <c r="K523" s="306"/>
      <c r="L523" s="307"/>
      <c r="M523" s="1047"/>
      <c r="N523" s="306"/>
      <c r="O523" s="307"/>
      <c r="P523" s="1047"/>
      <c r="Q523" s="306"/>
      <c r="R523" s="307"/>
      <c r="S523" s="314" t="str">
        <f t="shared" si="85"/>
        <v>ok</v>
      </c>
      <c r="T523" s="314"/>
      <c r="U523" s="314"/>
      <c r="V523" s="314"/>
      <c r="W523" s="314"/>
      <c r="X523" s="314"/>
    </row>
    <row r="524" spans="1:24" s="313" customFormat="1" ht="16.5" customHeight="1">
      <c r="A524" s="1337">
        <v>4.46</v>
      </c>
      <c r="B524" s="1711" t="s">
        <v>3667</v>
      </c>
      <c r="C524" s="1502" t="s">
        <v>51</v>
      </c>
      <c r="D524" s="1710">
        <v>3050</v>
      </c>
      <c r="E524" s="1717">
        <v>4.46</v>
      </c>
      <c r="F524" s="1486">
        <f t="shared" si="86"/>
        <v>13603</v>
      </c>
      <c r="G524" s="1049">
        <v>3050</v>
      </c>
      <c r="H524" s="306">
        <v>13603</v>
      </c>
      <c r="I524" s="307">
        <v>1</v>
      </c>
      <c r="J524" s="1046"/>
      <c r="K524" s="306">
        <f t="shared" si="87"/>
        <v>0</v>
      </c>
      <c r="L524" s="307">
        <f t="shared" si="88"/>
        <v>0</v>
      </c>
      <c r="M524" s="1047">
        <f t="shared" si="89"/>
        <v>3050</v>
      </c>
      <c r="N524" s="306">
        <f t="shared" si="90"/>
        <v>13603</v>
      </c>
      <c r="O524" s="307">
        <f t="shared" si="91"/>
        <v>1</v>
      </c>
      <c r="P524" s="1047">
        <f t="shared" si="92"/>
        <v>0</v>
      </c>
      <c r="Q524" s="306">
        <f t="shared" si="93"/>
        <v>0</v>
      </c>
      <c r="R524" s="307">
        <f t="shared" si="94"/>
        <v>0</v>
      </c>
      <c r="S524" s="314" t="str">
        <f t="shared" si="85"/>
        <v>ok</v>
      </c>
      <c r="T524" s="314"/>
      <c r="U524" s="314"/>
      <c r="V524" s="314"/>
      <c r="W524" s="314"/>
      <c r="X524" s="314"/>
    </row>
    <row r="525" spans="1:24" s="313" customFormat="1" ht="16.5" customHeight="1">
      <c r="A525" s="1337" t="s">
        <v>3668</v>
      </c>
      <c r="B525" s="1711" t="s">
        <v>3669</v>
      </c>
      <c r="C525" s="1502" t="s">
        <v>51</v>
      </c>
      <c r="D525" s="1710">
        <v>1525</v>
      </c>
      <c r="E525" s="1312">
        <v>6.32</v>
      </c>
      <c r="F525" s="1486">
        <f t="shared" si="86"/>
        <v>9638</v>
      </c>
      <c r="G525" s="1049">
        <v>1525</v>
      </c>
      <c r="H525" s="306">
        <v>9638</v>
      </c>
      <c r="I525" s="307">
        <v>1</v>
      </c>
      <c r="J525" s="1046"/>
      <c r="K525" s="306">
        <f t="shared" si="87"/>
        <v>0</v>
      </c>
      <c r="L525" s="307">
        <f t="shared" si="88"/>
        <v>0</v>
      </c>
      <c r="M525" s="1047">
        <f t="shared" si="89"/>
        <v>1525</v>
      </c>
      <c r="N525" s="306">
        <f t="shared" si="90"/>
        <v>9638</v>
      </c>
      <c r="O525" s="307">
        <f t="shared" si="91"/>
        <v>1</v>
      </c>
      <c r="P525" s="1047">
        <f t="shared" si="92"/>
        <v>0</v>
      </c>
      <c r="Q525" s="306">
        <f t="shared" si="93"/>
        <v>0</v>
      </c>
      <c r="R525" s="307">
        <f t="shared" si="94"/>
        <v>0</v>
      </c>
      <c r="S525" s="314" t="str">
        <f t="shared" si="85"/>
        <v>ok</v>
      </c>
      <c r="T525" s="314"/>
      <c r="U525" s="314"/>
      <c r="V525" s="314"/>
      <c r="W525" s="314"/>
      <c r="X525" s="314"/>
    </row>
    <row r="526" spans="1:24" s="313" customFormat="1" ht="16.5" customHeight="1">
      <c r="A526" s="1648" t="s">
        <v>3670</v>
      </c>
      <c r="B526" s="1648" t="s">
        <v>3671</v>
      </c>
      <c r="C526" s="1502"/>
      <c r="D526" s="1710"/>
      <c r="E526" s="1312"/>
      <c r="F526" s="1486"/>
      <c r="G526" s="1049"/>
      <c r="H526" s="306"/>
      <c r="I526" s="307"/>
      <c r="J526" s="1046"/>
      <c r="K526" s="306"/>
      <c r="L526" s="307"/>
      <c r="M526" s="1047"/>
      <c r="N526" s="306"/>
      <c r="O526" s="307"/>
      <c r="P526" s="1047"/>
      <c r="Q526" s="306"/>
      <c r="R526" s="307"/>
      <c r="S526" s="314" t="str">
        <f t="shared" si="85"/>
        <v>ok</v>
      </c>
      <c r="T526" s="314"/>
      <c r="U526" s="314"/>
      <c r="V526" s="314"/>
      <c r="W526" s="314"/>
      <c r="X526" s="314"/>
    </row>
    <row r="527" spans="1:24" s="313" customFormat="1" ht="16.5" customHeight="1">
      <c r="A527" s="1337" t="s">
        <v>3672</v>
      </c>
      <c r="B527" s="1711" t="s">
        <v>3673</v>
      </c>
      <c r="C527" s="1502" t="s">
        <v>52</v>
      </c>
      <c r="D527" s="1710">
        <v>2</v>
      </c>
      <c r="E527" s="1717">
        <v>228730</v>
      </c>
      <c r="F527" s="1486">
        <f>E527*D527</f>
        <v>457460</v>
      </c>
      <c r="G527" s="1049">
        <v>0</v>
      </c>
      <c r="H527" s="306">
        <v>0</v>
      </c>
      <c r="I527" s="307">
        <v>0</v>
      </c>
      <c r="J527" s="1046"/>
      <c r="K527" s="306">
        <f t="shared" si="87"/>
        <v>0</v>
      </c>
      <c r="L527" s="307">
        <f t="shared" si="88"/>
        <v>0</v>
      </c>
      <c r="M527" s="1047">
        <f t="shared" si="89"/>
        <v>0</v>
      </c>
      <c r="N527" s="306">
        <f t="shared" si="90"/>
        <v>0</v>
      </c>
      <c r="O527" s="307">
        <f t="shared" si="91"/>
        <v>0</v>
      </c>
      <c r="P527" s="1047">
        <f t="shared" si="92"/>
        <v>2</v>
      </c>
      <c r="Q527" s="306">
        <f t="shared" si="93"/>
        <v>457460</v>
      </c>
      <c r="R527" s="307">
        <f t="shared" si="94"/>
        <v>1</v>
      </c>
      <c r="S527" s="314" t="str">
        <f t="shared" si="85"/>
        <v>ok</v>
      </c>
      <c r="T527" s="314"/>
      <c r="U527" s="314"/>
      <c r="V527" s="314"/>
      <c r="W527" s="314"/>
      <c r="X527" s="314"/>
    </row>
    <row r="528" spans="1:24" s="313" customFormat="1" ht="16.5" customHeight="1">
      <c r="A528" s="1337" t="s">
        <v>3674</v>
      </c>
      <c r="B528" s="1711" t="s">
        <v>3675</v>
      </c>
      <c r="C528" s="1502" t="s">
        <v>268</v>
      </c>
      <c r="D528" s="1710">
        <v>1</v>
      </c>
      <c r="E528" s="1719">
        <v>10000</v>
      </c>
      <c r="F528" s="1486">
        <f t="shared" si="86"/>
        <v>10000</v>
      </c>
      <c r="G528" s="1049">
        <v>0</v>
      </c>
      <c r="H528" s="306">
        <v>0</v>
      </c>
      <c r="I528" s="307">
        <v>0</v>
      </c>
      <c r="J528" s="1046"/>
      <c r="K528" s="306">
        <f t="shared" si="87"/>
        <v>0</v>
      </c>
      <c r="L528" s="307">
        <f t="shared" si="88"/>
        <v>0</v>
      </c>
      <c r="M528" s="1047">
        <f t="shared" si="89"/>
        <v>0</v>
      </c>
      <c r="N528" s="306">
        <f t="shared" si="90"/>
        <v>0</v>
      </c>
      <c r="O528" s="307">
        <f t="shared" si="91"/>
        <v>0</v>
      </c>
      <c r="P528" s="1047">
        <f t="shared" si="92"/>
        <v>1</v>
      </c>
      <c r="Q528" s="306">
        <f t="shared" si="93"/>
        <v>10000</v>
      </c>
      <c r="R528" s="307">
        <f t="shared" si="94"/>
        <v>1</v>
      </c>
      <c r="S528" s="314" t="str">
        <f t="shared" si="85"/>
        <v>ok</v>
      </c>
      <c r="T528" s="314"/>
      <c r="U528" s="314"/>
      <c r="V528" s="314"/>
      <c r="W528" s="314"/>
      <c r="X528" s="314"/>
    </row>
    <row r="529" spans="1:24" s="313" customFormat="1" ht="16.5" customHeight="1">
      <c r="A529" s="1648" t="s">
        <v>3676</v>
      </c>
      <c r="B529" s="1648" t="s">
        <v>3677</v>
      </c>
      <c r="C529" s="1502"/>
      <c r="D529" s="1710"/>
      <c r="E529" s="1312"/>
      <c r="F529" s="1486"/>
      <c r="G529" s="1049"/>
      <c r="H529" s="306"/>
      <c r="I529" s="307"/>
      <c r="J529" s="1046"/>
      <c r="K529" s="306"/>
      <c r="L529" s="307"/>
      <c r="M529" s="1047"/>
      <c r="N529" s="306"/>
      <c r="O529" s="307"/>
      <c r="P529" s="1047"/>
      <c r="Q529" s="306"/>
      <c r="R529" s="307"/>
      <c r="S529" s="314" t="str">
        <f t="shared" si="85"/>
        <v>ok</v>
      </c>
      <c r="T529" s="314"/>
      <c r="U529" s="314"/>
      <c r="V529" s="314"/>
      <c r="W529" s="314"/>
      <c r="X529" s="314"/>
    </row>
    <row r="530" spans="1:24" s="313" customFormat="1" ht="16.5" customHeight="1">
      <c r="A530" s="1337" t="s">
        <v>3678</v>
      </c>
      <c r="B530" s="1711" t="s">
        <v>3679</v>
      </c>
      <c r="C530" s="1502" t="s">
        <v>52</v>
      </c>
      <c r="D530" s="1710">
        <v>2</v>
      </c>
      <c r="E530" s="1312">
        <v>45007.23</v>
      </c>
      <c r="F530" s="1486">
        <f t="shared" si="86"/>
        <v>90014.46</v>
      </c>
      <c r="G530" s="1049">
        <v>0</v>
      </c>
      <c r="H530" s="306">
        <v>0</v>
      </c>
      <c r="I530" s="307">
        <v>0</v>
      </c>
      <c r="J530" s="1046"/>
      <c r="K530" s="306">
        <f t="shared" si="87"/>
        <v>0</v>
      </c>
      <c r="L530" s="307">
        <f t="shared" si="88"/>
        <v>0</v>
      </c>
      <c r="M530" s="1047">
        <f t="shared" si="89"/>
        <v>0</v>
      </c>
      <c r="N530" s="306">
        <f t="shared" si="90"/>
        <v>0</v>
      </c>
      <c r="O530" s="307">
        <f t="shared" si="91"/>
        <v>0</v>
      </c>
      <c r="P530" s="1047">
        <f t="shared" si="92"/>
        <v>2</v>
      </c>
      <c r="Q530" s="306">
        <f t="shared" si="93"/>
        <v>90014.46</v>
      </c>
      <c r="R530" s="307">
        <f t="shared" si="94"/>
        <v>1</v>
      </c>
      <c r="S530" s="314" t="str">
        <f t="shared" si="85"/>
        <v>ok</v>
      </c>
      <c r="T530" s="314"/>
      <c r="U530" s="314"/>
      <c r="V530" s="314"/>
      <c r="W530" s="314"/>
      <c r="X530" s="314"/>
    </row>
    <row r="531" spans="1:24" s="313" customFormat="1" ht="16.5" customHeight="1">
      <c r="A531" s="1337" t="s">
        <v>3680</v>
      </c>
      <c r="B531" s="1711" t="s">
        <v>3681</v>
      </c>
      <c r="C531" s="1502" t="s">
        <v>52</v>
      </c>
      <c r="D531" s="1710">
        <v>6</v>
      </c>
      <c r="E531" s="1312">
        <v>2966.11</v>
      </c>
      <c r="F531" s="1486">
        <f t="shared" si="86"/>
        <v>17796.66</v>
      </c>
      <c r="G531" s="1049">
        <v>0</v>
      </c>
      <c r="H531" s="306">
        <v>0</v>
      </c>
      <c r="I531" s="307">
        <v>0</v>
      </c>
      <c r="J531" s="1046"/>
      <c r="K531" s="306">
        <f t="shared" si="87"/>
        <v>0</v>
      </c>
      <c r="L531" s="307">
        <f t="shared" si="88"/>
        <v>0</v>
      </c>
      <c r="M531" s="1047">
        <f t="shared" si="89"/>
        <v>0</v>
      </c>
      <c r="N531" s="306">
        <f t="shared" si="90"/>
        <v>0</v>
      </c>
      <c r="O531" s="307">
        <f t="shared" si="91"/>
        <v>0</v>
      </c>
      <c r="P531" s="1047">
        <f t="shared" si="92"/>
        <v>6</v>
      </c>
      <c r="Q531" s="306">
        <f t="shared" si="93"/>
        <v>17796.66</v>
      </c>
      <c r="R531" s="307">
        <f t="shared" si="94"/>
        <v>1</v>
      </c>
      <c r="S531" s="314" t="str">
        <f t="shared" si="85"/>
        <v>ok</v>
      </c>
      <c r="T531" s="314"/>
      <c r="U531" s="314"/>
      <c r="V531" s="314"/>
      <c r="W531" s="314"/>
      <c r="X531" s="314"/>
    </row>
    <row r="532" spans="1:24" s="313" customFormat="1" ht="16.5" customHeight="1">
      <c r="A532" s="1337" t="s">
        <v>3682</v>
      </c>
      <c r="B532" s="1711" t="s">
        <v>3683</v>
      </c>
      <c r="C532" s="1502" t="s">
        <v>52</v>
      </c>
      <c r="D532" s="1710">
        <v>7</v>
      </c>
      <c r="E532" s="1717">
        <v>11515</v>
      </c>
      <c r="F532" s="1486">
        <f t="shared" si="86"/>
        <v>80605</v>
      </c>
      <c r="G532" s="1049">
        <v>0</v>
      </c>
      <c r="H532" s="306">
        <v>0</v>
      </c>
      <c r="I532" s="307">
        <v>0</v>
      </c>
      <c r="J532" s="1046"/>
      <c r="K532" s="306">
        <f t="shared" si="87"/>
        <v>0</v>
      </c>
      <c r="L532" s="307">
        <f t="shared" si="88"/>
        <v>0</v>
      </c>
      <c r="M532" s="1047">
        <f t="shared" si="89"/>
        <v>0</v>
      </c>
      <c r="N532" s="306">
        <f t="shared" si="90"/>
        <v>0</v>
      </c>
      <c r="O532" s="307">
        <f t="shared" si="91"/>
        <v>0</v>
      </c>
      <c r="P532" s="1047">
        <f t="shared" si="92"/>
        <v>7</v>
      </c>
      <c r="Q532" s="306">
        <f t="shared" si="93"/>
        <v>80605</v>
      </c>
      <c r="R532" s="307">
        <f t="shared" si="94"/>
        <v>1</v>
      </c>
      <c r="S532" s="314" t="str">
        <f t="shared" si="85"/>
        <v>ok</v>
      </c>
      <c r="T532" s="314"/>
      <c r="U532" s="314"/>
      <c r="V532" s="314"/>
      <c r="W532" s="314"/>
      <c r="X532" s="314"/>
    </row>
    <row r="533" spans="1:24" s="313" customFormat="1" ht="16.5" customHeight="1">
      <c r="A533" s="1337" t="s">
        <v>3684</v>
      </c>
      <c r="B533" s="1711" t="s">
        <v>3685</v>
      </c>
      <c r="C533" s="1502" t="s">
        <v>52</v>
      </c>
      <c r="D533" s="1710">
        <v>12</v>
      </c>
      <c r="E533" s="1719">
        <v>34483</v>
      </c>
      <c r="F533" s="1486">
        <f t="shared" si="86"/>
        <v>413796</v>
      </c>
      <c r="G533" s="1049">
        <v>0</v>
      </c>
      <c r="H533" s="306">
        <v>0</v>
      </c>
      <c r="I533" s="307">
        <v>0</v>
      </c>
      <c r="J533" s="1046"/>
      <c r="K533" s="306">
        <f t="shared" si="87"/>
        <v>0</v>
      </c>
      <c r="L533" s="307">
        <f t="shared" si="88"/>
        <v>0</v>
      </c>
      <c r="M533" s="1047">
        <f t="shared" si="89"/>
        <v>0</v>
      </c>
      <c r="N533" s="306">
        <f t="shared" si="90"/>
        <v>0</v>
      </c>
      <c r="O533" s="307">
        <f t="shared" si="91"/>
        <v>0</v>
      </c>
      <c r="P533" s="1047">
        <f t="shared" si="92"/>
        <v>12</v>
      </c>
      <c r="Q533" s="306">
        <f t="shared" si="93"/>
        <v>413796</v>
      </c>
      <c r="R533" s="307">
        <f t="shared" si="94"/>
        <v>1</v>
      </c>
      <c r="S533" s="314" t="str">
        <f t="shared" si="85"/>
        <v>ok</v>
      </c>
      <c r="T533" s="314"/>
      <c r="U533" s="314"/>
      <c r="V533" s="314"/>
      <c r="W533" s="314"/>
      <c r="X533" s="314"/>
    </row>
    <row r="534" spans="1:24" s="313" customFormat="1" ht="16.5" customHeight="1">
      <c r="A534" s="1648" t="s">
        <v>3686</v>
      </c>
      <c r="B534" s="1648" t="s">
        <v>3687</v>
      </c>
      <c r="C534" s="1502"/>
      <c r="D534" s="1710"/>
      <c r="E534" s="1312"/>
      <c r="F534" s="1486"/>
      <c r="G534" s="1049"/>
      <c r="H534" s="306"/>
      <c r="I534" s="307"/>
      <c r="J534" s="1046"/>
      <c r="K534" s="306"/>
      <c r="L534" s="307"/>
      <c r="M534" s="1047"/>
      <c r="N534" s="306"/>
      <c r="O534" s="307"/>
      <c r="P534" s="1047"/>
      <c r="Q534" s="306"/>
      <c r="R534" s="307"/>
      <c r="S534" s="314" t="str">
        <f t="shared" si="85"/>
        <v>ok</v>
      </c>
      <c r="T534" s="314"/>
      <c r="U534" s="314"/>
      <c r="V534" s="314"/>
      <c r="W534" s="314"/>
      <c r="X534" s="314"/>
    </row>
    <row r="535" spans="1:24" s="313" customFormat="1" ht="16.5" customHeight="1">
      <c r="A535" s="1337" t="s">
        <v>3688</v>
      </c>
      <c r="B535" s="1711" t="s">
        <v>3689</v>
      </c>
      <c r="C535" s="1502" t="s">
        <v>51</v>
      </c>
      <c r="D535" s="1710">
        <v>42</v>
      </c>
      <c r="E535" s="1312">
        <v>43.35</v>
      </c>
      <c r="F535" s="1486">
        <f t="shared" si="86"/>
        <v>1820.7</v>
      </c>
      <c r="G535" s="1049">
        <v>0</v>
      </c>
      <c r="H535" s="306">
        <v>0</v>
      </c>
      <c r="I535" s="307">
        <v>0</v>
      </c>
      <c r="J535" s="1046"/>
      <c r="K535" s="306">
        <f t="shared" si="87"/>
        <v>0</v>
      </c>
      <c r="L535" s="307">
        <f t="shared" si="88"/>
        <v>0</v>
      </c>
      <c r="M535" s="1047">
        <f t="shared" si="89"/>
        <v>0</v>
      </c>
      <c r="N535" s="306">
        <f t="shared" si="90"/>
        <v>0</v>
      </c>
      <c r="O535" s="307">
        <f t="shared" si="91"/>
        <v>0</v>
      </c>
      <c r="P535" s="1047">
        <f t="shared" si="92"/>
        <v>42</v>
      </c>
      <c r="Q535" s="306">
        <f t="shared" si="93"/>
        <v>1820.7</v>
      </c>
      <c r="R535" s="307">
        <f t="shared" si="94"/>
        <v>1</v>
      </c>
      <c r="S535" s="314" t="str">
        <f t="shared" ref="S535:S587" si="96">IF(M535&gt;D535,"mayormetrado","ok")</f>
        <v>ok</v>
      </c>
      <c r="T535" s="314"/>
      <c r="U535" s="314"/>
      <c r="V535" s="314"/>
      <c r="W535" s="314"/>
      <c r="X535" s="314"/>
    </row>
    <row r="536" spans="1:24" s="313" customFormat="1" ht="16.5" customHeight="1">
      <c r="A536" s="1648" t="s">
        <v>3690</v>
      </c>
      <c r="B536" s="1648" t="s">
        <v>3691</v>
      </c>
      <c r="C536" s="1502"/>
      <c r="D536" s="1710"/>
      <c r="E536" s="1312"/>
      <c r="F536" s="1486"/>
      <c r="G536" s="1049"/>
      <c r="H536" s="306"/>
      <c r="I536" s="307"/>
      <c r="J536" s="1046"/>
      <c r="K536" s="306"/>
      <c r="L536" s="307"/>
      <c r="M536" s="1047"/>
      <c r="N536" s="306"/>
      <c r="O536" s="307"/>
      <c r="P536" s="1047"/>
      <c r="Q536" s="306"/>
      <c r="R536" s="307"/>
      <c r="S536" s="314" t="str">
        <f t="shared" si="96"/>
        <v>ok</v>
      </c>
      <c r="T536" s="314"/>
      <c r="U536" s="314"/>
      <c r="V536" s="314"/>
      <c r="W536" s="314"/>
      <c r="X536" s="314"/>
    </row>
    <row r="537" spans="1:24" s="313" customFormat="1" ht="16.5" customHeight="1">
      <c r="A537" s="1337" t="s">
        <v>3692</v>
      </c>
      <c r="B537" s="1711" t="s">
        <v>3693</v>
      </c>
      <c r="C537" s="1502" t="s">
        <v>52</v>
      </c>
      <c r="D537" s="1710">
        <v>1</v>
      </c>
      <c r="E537" s="1312">
        <v>15000</v>
      </c>
      <c r="F537" s="1486">
        <f t="shared" si="86"/>
        <v>15000</v>
      </c>
      <c r="G537" s="1049">
        <v>0</v>
      </c>
      <c r="H537" s="306">
        <v>0</v>
      </c>
      <c r="I537" s="307">
        <v>0</v>
      </c>
      <c r="J537" s="1046"/>
      <c r="K537" s="306">
        <f t="shared" si="87"/>
        <v>0</v>
      </c>
      <c r="L537" s="307">
        <f t="shared" si="88"/>
        <v>0</v>
      </c>
      <c r="M537" s="1047">
        <f t="shared" si="89"/>
        <v>0</v>
      </c>
      <c r="N537" s="306">
        <f t="shared" si="90"/>
        <v>0</v>
      </c>
      <c r="O537" s="307">
        <f t="shared" si="91"/>
        <v>0</v>
      </c>
      <c r="P537" s="1047">
        <f t="shared" si="92"/>
        <v>1</v>
      </c>
      <c r="Q537" s="306">
        <f t="shared" si="93"/>
        <v>15000</v>
      </c>
      <c r="R537" s="307">
        <f t="shared" si="94"/>
        <v>1</v>
      </c>
      <c r="S537" s="314" t="str">
        <f t="shared" si="96"/>
        <v>ok</v>
      </c>
      <c r="T537" s="314"/>
      <c r="U537" s="314"/>
      <c r="V537" s="314"/>
      <c r="W537" s="314"/>
      <c r="X537" s="314"/>
    </row>
    <row r="538" spans="1:24" s="313" customFormat="1" ht="16.5" customHeight="1">
      <c r="A538" s="1337" t="s">
        <v>3694</v>
      </c>
      <c r="B538" s="1711" t="s">
        <v>3695</v>
      </c>
      <c r="C538" s="1502" t="s">
        <v>52</v>
      </c>
      <c r="D538" s="1710">
        <v>2</v>
      </c>
      <c r="E538" s="1312">
        <v>6130</v>
      </c>
      <c r="F538" s="1486">
        <f t="shared" si="86"/>
        <v>12260</v>
      </c>
      <c r="G538" s="1049">
        <v>0</v>
      </c>
      <c r="H538" s="306">
        <v>0</v>
      </c>
      <c r="I538" s="307">
        <v>0</v>
      </c>
      <c r="J538" s="1046"/>
      <c r="K538" s="306">
        <f t="shared" si="87"/>
        <v>0</v>
      </c>
      <c r="L538" s="307">
        <f t="shared" si="88"/>
        <v>0</v>
      </c>
      <c r="M538" s="1047">
        <f t="shared" si="89"/>
        <v>0</v>
      </c>
      <c r="N538" s="306">
        <f t="shared" si="90"/>
        <v>0</v>
      </c>
      <c r="O538" s="307">
        <f t="shared" si="91"/>
        <v>0</v>
      </c>
      <c r="P538" s="1047">
        <f t="shared" si="92"/>
        <v>2</v>
      </c>
      <c r="Q538" s="306">
        <f t="shared" si="93"/>
        <v>12260</v>
      </c>
      <c r="R538" s="307">
        <f t="shared" si="94"/>
        <v>1</v>
      </c>
      <c r="S538" s="314" t="str">
        <f t="shared" si="96"/>
        <v>ok</v>
      </c>
      <c r="T538" s="314"/>
      <c r="U538" s="314"/>
      <c r="V538" s="314"/>
      <c r="W538" s="314"/>
      <c r="X538" s="314"/>
    </row>
    <row r="539" spans="1:24" s="313" customFormat="1" ht="16.5" customHeight="1">
      <c r="A539" s="1337" t="s">
        <v>3696</v>
      </c>
      <c r="B539" s="1711" t="s">
        <v>3697</v>
      </c>
      <c r="C539" s="1502" t="s">
        <v>52</v>
      </c>
      <c r="D539" s="1710">
        <v>1</v>
      </c>
      <c r="E539" s="1312">
        <v>10940</v>
      </c>
      <c r="F539" s="1486">
        <f t="shared" si="86"/>
        <v>10940</v>
      </c>
      <c r="G539" s="1049">
        <v>0</v>
      </c>
      <c r="H539" s="306">
        <v>0</v>
      </c>
      <c r="I539" s="307">
        <v>0</v>
      </c>
      <c r="J539" s="1046"/>
      <c r="K539" s="306">
        <f t="shared" si="87"/>
        <v>0</v>
      </c>
      <c r="L539" s="307">
        <f t="shared" si="88"/>
        <v>0</v>
      </c>
      <c r="M539" s="1047">
        <f t="shared" si="89"/>
        <v>0</v>
      </c>
      <c r="N539" s="306">
        <f t="shared" si="90"/>
        <v>0</v>
      </c>
      <c r="O539" s="307">
        <f t="shared" si="91"/>
        <v>0</v>
      </c>
      <c r="P539" s="1047">
        <f t="shared" si="92"/>
        <v>1</v>
      </c>
      <c r="Q539" s="306">
        <f t="shared" si="93"/>
        <v>10940</v>
      </c>
      <c r="R539" s="307">
        <f t="shared" si="94"/>
        <v>1</v>
      </c>
      <c r="S539" s="314" t="str">
        <f t="shared" si="96"/>
        <v>ok</v>
      </c>
      <c r="T539" s="314"/>
      <c r="U539" s="314"/>
      <c r="V539" s="314"/>
      <c r="W539" s="314"/>
      <c r="X539" s="314"/>
    </row>
    <row r="540" spans="1:24" s="313" customFormat="1" ht="16.5" customHeight="1">
      <c r="A540" s="1648" t="s">
        <v>3698</v>
      </c>
      <c r="B540" s="1648" t="s">
        <v>3699</v>
      </c>
      <c r="C540" s="1502"/>
      <c r="D540" s="1710"/>
      <c r="E540" s="1312"/>
      <c r="F540" s="1486"/>
      <c r="G540" s="1049"/>
      <c r="H540" s="306"/>
      <c r="I540" s="307"/>
      <c r="J540" s="1046"/>
      <c r="K540" s="306"/>
      <c r="L540" s="307"/>
      <c r="M540" s="1047"/>
      <c r="N540" s="306"/>
      <c r="O540" s="307"/>
      <c r="P540" s="1047"/>
      <c r="Q540" s="306"/>
      <c r="R540" s="307"/>
      <c r="S540" s="314" t="str">
        <f t="shared" si="96"/>
        <v>ok</v>
      </c>
      <c r="T540" s="314"/>
      <c r="U540" s="314"/>
      <c r="V540" s="314"/>
      <c r="W540" s="314"/>
      <c r="X540" s="314"/>
    </row>
    <row r="541" spans="1:24" s="313" customFormat="1" ht="16.5" customHeight="1">
      <c r="A541" s="1709" t="s">
        <v>3700</v>
      </c>
      <c r="B541" s="1709" t="s">
        <v>3646</v>
      </c>
      <c r="C541" s="1502"/>
      <c r="D541" s="1710"/>
      <c r="E541" s="1312"/>
      <c r="F541" s="1486"/>
      <c r="G541" s="1049"/>
      <c r="H541" s="306"/>
      <c r="I541" s="307"/>
      <c r="J541" s="1046"/>
      <c r="K541" s="306"/>
      <c r="L541" s="307"/>
      <c r="M541" s="1047"/>
      <c r="N541" s="306"/>
      <c r="O541" s="307"/>
      <c r="P541" s="1047"/>
      <c r="Q541" s="306"/>
      <c r="R541" s="307"/>
      <c r="S541" s="314" t="str">
        <f t="shared" si="96"/>
        <v>ok</v>
      </c>
      <c r="T541" s="314"/>
      <c r="U541" s="314"/>
      <c r="V541" s="314"/>
      <c r="W541" s="314"/>
      <c r="X541" s="314"/>
    </row>
    <row r="542" spans="1:24" s="313" customFormat="1" ht="16.5" customHeight="1">
      <c r="A542" s="1337" t="s">
        <v>3701</v>
      </c>
      <c r="B542" s="1711" t="s">
        <v>3702</v>
      </c>
      <c r="C542" s="1502" t="s">
        <v>52</v>
      </c>
      <c r="D542" s="1710">
        <v>9395</v>
      </c>
      <c r="E542" s="1312">
        <v>9.23</v>
      </c>
      <c r="F542" s="1486">
        <f t="shared" si="86"/>
        <v>86715.85</v>
      </c>
      <c r="G542" s="1049">
        <v>9395</v>
      </c>
      <c r="H542" s="306">
        <v>86715.85</v>
      </c>
      <c r="I542" s="307">
        <v>1</v>
      </c>
      <c r="J542" s="1046"/>
      <c r="K542" s="306">
        <f t="shared" si="87"/>
        <v>0</v>
      </c>
      <c r="L542" s="307">
        <f t="shared" si="88"/>
        <v>0</v>
      </c>
      <c r="M542" s="1047">
        <f t="shared" si="89"/>
        <v>9395</v>
      </c>
      <c r="N542" s="306">
        <f t="shared" si="90"/>
        <v>86715.85</v>
      </c>
      <c r="O542" s="307">
        <f t="shared" si="91"/>
        <v>1</v>
      </c>
      <c r="P542" s="1047">
        <f t="shared" si="92"/>
        <v>0</v>
      </c>
      <c r="Q542" s="306">
        <f t="shared" si="93"/>
        <v>0</v>
      </c>
      <c r="R542" s="307">
        <f t="shared" si="94"/>
        <v>0</v>
      </c>
      <c r="S542" s="314" t="str">
        <f t="shared" si="96"/>
        <v>ok</v>
      </c>
      <c r="T542" s="314"/>
      <c r="U542" s="314"/>
      <c r="V542" s="314"/>
      <c r="W542" s="314"/>
      <c r="X542" s="314"/>
    </row>
    <row r="543" spans="1:24" s="313" customFormat="1" ht="16.5" customHeight="1">
      <c r="A543" s="1709" t="s">
        <v>3703</v>
      </c>
      <c r="B543" s="1709" t="s">
        <v>3704</v>
      </c>
      <c r="C543" s="1502"/>
      <c r="D543" s="1710"/>
      <c r="E543" s="1312"/>
      <c r="F543" s="1486"/>
      <c r="G543" s="1049"/>
      <c r="H543" s="306"/>
      <c r="I543" s="307"/>
      <c r="J543" s="1046"/>
      <c r="K543" s="306"/>
      <c r="L543" s="307"/>
      <c r="M543" s="1047"/>
      <c r="N543" s="306"/>
      <c r="O543" s="307"/>
      <c r="P543" s="1047"/>
      <c r="Q543" s="306"/>
      <c r="R543" s="307"/>
      <c r="S543" s="314" t="str">
        <f t="shared" si="96"/>
        <v>ok</v>
      </c>
      <c r="T543" s="314"/>
      <c r="U543" s="314"/>
      <c r="V543" s="314"/>
      <c r="W543" s="314"/>
      <c r="X543" s="314"/>
    </row>
    <row r="544" spans="1:24" s="313" customFormat="1" ht="16.5" customHeight="1">
      <c r="A544" s="1337" t="s">
        <v>3705</v>
      </c>
      <c r="B544" s="1711" t="s">
        <v>3706</v>
      </c>
      <c r="C544" s="1502" t="s">
        <v>52</v>
      </c>
      <c r="D544" s="1710">
        <v>2</v>
      </c>
      <c r="E544" s="1717">
        <v>38906</v>
      </c>
      <c r="F544" s="1486">
        <f t="shared" si="86"/>
        <v>77812</v>
      </c>
      <c r="G544" s="1049">
        <v>0</v>
      </c>
      <c r="H544" s="306">
        <v>0</v>
      </c>
      <c r="I544" s="307">
        <v>0</v>
      </c>
      <c r="J544" s="1046"/>
      <c r="K544" s="306">
        <f t="shared" si="87"/>
        <v>0</v>
      </c>
      <c r="L544" s="307">
        <f t="shared" si="88"/>
        <v>0</v>
      </c>
      <c r="M544" s="1047">
        <f t="shared" si="89"/>
        <v>0</v>
      </c>
      <c r="N544" s="306">
        <f t="shared" si="90"/>
        <v>0</v>
      </c>
      <c r="O544" s="307">
        <f t="shared" si="91"/>
        <v>0</v>
      </c>
      <c r="P544" s="1047">
        <f t="shared" si="92"/>
        <v>2</v>
      </c>
      <c r="Q544" s="306">
        <f t="shared" si="93"/>
        <v>77812</v>
      </c>
      <c r="R544" s="307">
        <f t="shared" si="94"/>
        <v>1</v>
      </c>
      <c r="S544" s="314" t="str">
        <f t="shared" si="96"/>
        <v>ok</v>
      </c>
      <c r="T544" s="314"/>
      <c r="U544" s="314"/>
      <c r="V544" s="314"/>
      <c r="W544" s="314"/>
      <c r="X544" s="314"/>
    </row>
    <row r="545" spans="1:24" s="313" customFormat="1" ht="16.5" customHeight="1">
      <c r="A545" s="1337" t="s">
        <v>3707</v>
      </c>
      <c r="B545" s="1711" t="s">
        <v>3708</v>
      </c>
      <c r="C545" s="1502" t="s">
        <v>52</v>
      </c>
      <c r="D545" s="1710">
        <v>7</v>
      </c>
      <c r="E545" s="1312">
        <v>24377.25</v>
      </c>
      <c r="F545" s="1486">
        <f t="shared" si="86"/>
        <v>170640.75</v>
      </c>
      <c r="G545" s="1049">
        <v>0</v>
      </c>
      <c r="H545" s="306">
        <v>0</v>
      </c>
      <c r="I545" s="307">
        <v>0</v>
      </c>
      <c r="J545" s="1046"/>
      <c r="K545" s="306">
        <f t="shared" si="87"/>
        <v>0</v>
      </c>
      <c r="L545" s="307">
        <f t="shared" si="88"/>
        <v>0</v>
      </c>
      <c r="M545" s="1047">
        <f t="shared" si="89"/>
        <v>0</v>
      </c>
      <c r="N545" s="306">
        <f t="shared" si="90"/>
        <v>0</v>
      </c>
      <c r="O545" s="307">
        <f t="shared" si="91"/>
        <v>0</v>
      </c>
      <c r="P545" s="1047">
        <f t="shared" si="92"/>
        <v>7</v>
      </c>
      <c r="Q545" s="306">
        <f t="shared" si="93"/>
        <v>170640.75</v>
      </c>
      <c r="R545" s="307">
        <f t="shared" si="94"/>
        <v>1</v>
      </c>
      <c r="S545" s="314" t="str">
        <f t="shared" si="96"/>
        <v>ok</v>
      </c>
      <c r="T545" s="314"/>
      <c r="U545" s="314"/>
      <c r="V545" s="314"/>
      <c r="W545" s="314"/>
      <c r="X545" s="314"/>
    </row>
    <row r="546" spans="1:24" s="313" customFormat="1" ht="16.5" customHeight="1">
      <c r="A546" s="1709" t="s">
        <v>3709</v>
      </c>
      <c r="B546" s="1709" t="s">
        <v>3710</v>
      </c>
      <c r="C546" s="1502"/>
      <c r="D546" s="1710"/>
      <c r="E546" s="1312"/>
      <c r="F546" s="1486"/>
      <c r="G546" s="1049"/>
      <c r="H546" s="306"/>
      <c r="I546" s="307"/>
      <c r="J546" s="1046"/>
      <c r="K546" s="306"/>
      <c r="L546" s="307"/>
      <c r="M546" s="1047"/>
      <c r="N546" s="306"/>
      <c r="O546" s="307"/>
      <c r="P546" s="1047"/>
      <c r="Q546" s="306"/>
      <c r="R546" s="307"/>
      <c r="S546" s="314" t="str">
        <f t="shared" si="96"/>
        <v>ok</v>
      </c>
      <c r="T546" s="314"/>
      <c r="U546" s="314"/>
      <c r="V546" s="314"/>
      <c r="W546" s="314"/>
      <c r="X546" s="314"/>
    </row>
    <row r="547" spans="1:24" s="313" customFormat="1" ht="16.5" customHeight="1">
      <c r="A547" s="1337" t="s">
        <v>3711</v>
      </c>
      <c r="B547" s="1711" t="s">
        <v>3712</v>
      </c>
      <c r="C547" s="1502" t="s">
        <v>52</v>
      </c>
      <c r="D547" s="1710">
        <v>30</v>
      </c>
      <c r="E547" s="1312">
        <v>69.210000000000008</v>
      </c>
      <c r="F547" s="1486">
        <f t="shared" si="86"/>
        <v>2076.3000000000002</v>
      </c>
      <c r="G547" s="1049">
        <v>30</v>
      </c>
      <c r="H547" s="306">
        <v>2076.3000000000002</v>
      </c>
      <c r="I547" s="307">
        <v>1</v>
      </c>
      <c r="J547" s="1046"/>
      <c r="K547" s="306">
        <f t="shared" si="87"/>
        <v>0</v>
      </c>
      <c r="L547" s="307">
        <f t="shared" si="88"/>
        <v>0</v>
      </c>
      <c r="M547" s="1047">
        <f t="shared" si="89"/>
        <v>30</v>
      </c>
      <c r="N547" s="306">
        <f t="shared" si="90"/>
        <v>2076.3000000000002</v>
      </c>
      <c r="O547" s="307">
        <f t="shared" si="91"/>
        <v>1</v>
      </c>
      <c r="P547" s="1047">
        <f t="shared" si="92"/>
        <v>0</v>
      </c>
      <c r="Q547" s="306">
        <f t="shared" si="93"/>
        <v>0</v>
      </c>
      <c r="R547" s="307">
        <f t="shared" si="94"/>
        <v>0</v>
      </c>
      <c r="S547" s="314" t="str">
        <f t="shared" si="96"/>
        <v>ok</v>
      </c>
      <c r="T547" s="314"/>
      <c r="U547" s="314"/>
      <c r="V547" s="314"/>
      <c r="W547" s="314"/>
      <c r="X547" s="314"/>
    </row>
    <row r="548" spans="1:24" s="313" customFormat="1" ht="16.5" customHeight="1">
      <c r="A548" s="1337" t="s">
        <v>3713</v>
      </c>
      <c r="B548" s="1711" t="s">
        <v>3714</v>
      </c>
      <c r="C548" s="1502" t="s">
        <v>52</v>
      </c>
      <c r="D548" s="1710">
        <v>1628</v>
      </c>
      <c r="E548" s="1312">
        <v>0.45</v>
      </c>
      <c r="F548" s="1486">
        <f>E548*D548</f>
        <v>732.6</v>
      </c>
      <c r="G548" s="1049">
        <v>1628</v>
      </c>
      <c r="H548" s="306">
        <v>732.6</v>
      </c>
      <c r="I548" s="307">
        <v>1</v>
      </c>
      <c r="J548" s="1046"/>
      <c r="K548" s="306">
        <f t="shared" si="87"/>
        <v>0</v>
      </c>
      <c r="L548" s="307">
        <f t="shared" si="88"/>
        <v>0</v>
      </c>
      <c r="M548" s="1047">
        <f t="shared" si="89"/>
        <v>1628</v>
      </c>
      <c r="N548" s="306">
        <f t="shared" si="90"/>
        <v>732.6</v>
      </c>
      <c r="O548" s="307">
        <f t="shared" si="91"/>
        <v>1</v>
      </c>
      <c r="P548" s="1047">
        <f t="shared" si="92"/>
        <v>0</v>
      </c>
      <c r="Q548" s="306">
        <f t="shared" si="93"/>
        <v>0</v>
      </c>
      <c r="R548" s="307">
        <f t="shared" si="94"/>
        <v>0</v>
      </c>
      <c r="S548" s="314" t="str">
        <f t="shared" si="96"/>
        <v>ok</v>
      </c>
      <c r="T548" s="314"/>
      <c r="U548" s="314"/>
      <c r="V548" s="314"/>
      <c r="W548" s="314"/>
      <c r="X548" s="314"/>
    </row>
    <row r="549" spans="1:24" s="313" customFormat="1" ht="16.5" customHeight="1">
      <c r="A549" s="1337" t="s">
        <v>3715</v>
      </c>
      <c r="B549" s="1711" t="s">
        <v>3716</v>
      </c>
      <c r="C549" s="1502" t="s">
        <v>52</v>
      </c>
      <c r="D549" s="1710">
        <v>46</v>
      </c>
      <c r="E549" s="1312">
        <v>18.22</v>
      </c>
      <c r="F549" s="1486">
        <f t="shared" si="86"/>
        <v>838.11999999999989</v>
      </c>
      <c r="G549" s="1049">
        <v>46</v>
      </c>
      <c r="H549" s="306">
        <v>838.12</v>
      </c>
      <c r="I549" s="307">
        <v>1.0000000000000002</v>
      </c>
      <c r="J549" s="1046"/>
      <c r="K549" s="306">
        <f t="shared" si="87"/>
        <v>0</v>
      </c>
      <c r="L549" s="307">
        <f t="shared" si="88"/>
        <v>0</v>
      </c>
      <c r="M549" s="1047">
        <f t="shared" si="89"/>
        <v>46</v>
      </c>
      <c r="N549" s="306">
        <f t="shared" si="90"/>
        <v>838.12</v>
      </c>
      <c r="O549" s="307">
        <f t="shared" si="91"/>
        <v>1.0000000000000002</v>
      </c>
      <c r="P549" s="1047">
        <f t="shared" si="92"/>
        <v>0</v>
      </c>
      <c r="Q549" s="306">
        <f t="shared" si="93"/>
        <v>0</v>
      </c>
      <c r="R549" s="307">
        <f t="shared" si="94"/>
        <v>0</v>
      </c>
      <c r="S549" s="314" t="str">
        <f t="shared" si="96"/>
        <v>ok</v>
      </c>
      <c r="T549" s="314"/>
      <c r="U549" s="314"/>
      <c r="V549" s="314"/>
      <c r="W549" s="314"/>
      <c r="X549" s="314"/>
    </row>
    <row r="550" spans="1:24" s="313" customFormat="1" ht="16.5" customHeight="1">
      <c r="A550" s="1337" t="s">
        <v>3717</v>
      </c>
      <c r="B550" s="1711" t="s">
        <v>3718</v>
      </c>
      <c r="C550" s="1502" t="s">
        <v>52</v>
      </c>
      <c r="D550" s="1710">
        <v>530</v>
      </c>
      <c r="E550" s="1710">
        <v>41.300000000000004</v>
      </c>
      <c r="F550" s="1486">
        <f t="shared" si="86"/>
        <v>21889.000000000004</v>
      </c>
      <c r="G550" s="1049">
        <v>530</v>
      </c>
      <c r="H550" s="306">
        <v>21889</v>
      </c>
      <c r="I550" s="307">
        <v>0.99999999999999989</v>
      </c>
      <c r="J550" s="1046"/>
      <c r="K550" s="306">
        <f t="shared" si="87"/>
        <v>0</v>
      </c>
      <c r="L550" s="307">
        <f t="shared" si="88"/>
        <v>0</v>
      </c>
      <c r="M550" s="1047">
        <f t="shared" si="89"/>
        <v>530</v>
      </c>
      <c r="N550" s="306">
        <f t="shared" si="90"/>
        <v>21889</v>
      </c>
      <c r="O550" s="307">
        <f t="shared" si="91"/>
        <v>0.99999999999999989</v>
      </c>
      <c r="P550" s="1047">
        <f t="shared" si="92"/>
        <v>0</v>
      </c>
      <c r="Q550" s="306">
        <f t="shared" si="93"/>
        <v>0</v>
      </c>
      <c r="R550" s="307">
        <f t="shared" si="94"/>
        <v>0</v>
      </c>
      <c r="S550" s="314" t="str">
        <f t="shared" si="96"/>
        <v>ok</v>
      </c>
      <c r="T550" s="314"/>
      <c r="U550" s="314"/>
      <c r="V550" s="314"/>
      <c r="W550" s="314"/>
      <c r="X550" s="314"/>
    </row>
    <row r="551" spans="1:24" s="313" customFormat="1" ht="16.5" customHeight="1">
      <c r="A551" s="1648" t="s">
        <v>3719</v>
      </c>
      <c r="B551" s="1648" t="s">
        <v>3720</v>
      </c>
      <c r="C551" s="1502"/>
      <c r="D551" s="1710"/>
      <c r="E551" s="1312"/>
      <c r="F551" s="1486"/>
      <c r="G551" s="1049"/>
      <c r="H551" s="306"/>
      <c r="I551" s="307"/>
      <c r="J551" s="1046"/>
      <c r="K551" s="306"/>
      <c r="L551" s="307"/>
      <c r="M551" s="1047"/>
      <c r="N551" s="306"/>
      <c r="O551" s="307"/>
      <c r="P551" s="1047"/>
      <c r="Q551" s="306"/>
      <c r="R551" s="307"/>
      <c r="S551" s="314" t="str">
        <f t="shared" si="96"/>
        <v>ok</v>
      </c>
      <c r="T551" s="314"/>
      <c r="U551" s="314"/>
      <c r="V551" s="314"/>
      <c r="W551" s="314"/>
      <c r="X551" s="314"/>
    </row>
    <row r="552" spans="1:24" s="313" customFormat="1" ht="16.5" customHeight="1">
      <c r="A552" s="1337" t="s">
        <v>3721</v>
      </c>
      <c r="B552" s="1711" t="s">
        <v>3722</v>
      </c>
      <c r="C552" s="1502" t="s">
        <v>52</v>
      </c>
      <c r="D552" s="1710">
        <v>42</v>
      </c>
      <c r="E552" s="1312">
        <v>654.56000000000006</v>
      </c>
      <c r="F552" s="1486">
        <f t="shared" ref="F552:F587" si="97">E552*D552</f>
        <v>27491.520000000004</v>
      </c>
      <c r="G552" s="1049">
        <v>0</v>
      </c>
      <c r="H552" s="306">
        <v>0</v>
      </c>
      <c r="I552" s="307">
        <v>0</v>
      </c>
      <c r="J552" s="1046"/>
      <c r="K552" s="306">
        <f t="shared" si="87"/>
        <v>0</v>
      </c>
      <c r="L552" s="307">
        <f t="shared" si="88"/>
        <v>0</v>
      </c>
      <c r="M552" s="1047">
        <f t="shared" si="89"/>
        <v>0</v>
      </c>
      <c r="N552" s="306">
        <f t="shared" si="90"/>
        <v>0</v>
      </c>
      <c r="O552" s="307">
        <f t="shared" si="91"/>
        <v>0</v>
      </c>
      <c r="P552" s="1047">
        <f t="shared" si="92"/>
        <v>42</v>
      </c>
      <c r="Q552" s="306">
        <f t="shared" si="93"/>
        <v>27491.520000000004</v>
      </c>
      <c r="R552" s="307">
        <f t="shared" si="94"/>
        <v>1</v>
      </c>
      <c r="S552" s="314" t="str">
        <f t="shared" si="96"/>
        <v>ok</v>
      </c>
      <c r="T552" s="314"/>
      <c r="U552" s="314"/>
      <c r="V552" s="314"/>
      <c r="W552" s="314"/>
      <c r="X552" s="314"/>
    </row>
    <row r="553" spans="1:24" s="313" customFormat="1" ht="16.5" customHeight="1">
      <c r="A553" s="1337" t="s">
        <v>3723</v>
      </c>
      <c r="B553" s="1711" t="s">
        <v>3724</v>
      </c>
      <c r="C553" s="1502" t="s">
        <v>52</v>
      </c>
      <c r="D553" s="1710">
        <v>2</v>
      </c>
      <c r="E553" s="1312">
        <v>7041.49</v>
      </c>
      <c r="F553" s="1486">
        <f t="shared" si="97"/>
        <v>14082.98</v>
      </c>
      <c r="G553" s="1049">
        <v>0</v>
      </c>
      <c r="H553" s="306">
        <v>0</v>
      </c>
      <c r="I553" s="307">
        <v>0</v>
      </c>
      <c r="J553" s="1046"/>
      <c r="K553" s="306">
        <f t="shared" si="87"/>
        <v>0</v>
      </c>
      <c r="L553" s="307">
        <f t="shared" si="88"/>
        <v>0</v>
      </c>
      <c r="M553" s="1047">
        <f t="shared" si="89"/>
        <v>0</v>
      </c>
      <c r="N553" s="306">
        <f t="shared" si="90"/>
        <v>0</v>
      </c>
      <c r="O553" s="307">
        <f t="shared" si="91"/>
        <v>0</v>
      </c>
      <c r="P553" s="1047">
        <f t="shared" si="92"/>
        <v>2</v>
      </c>
      <c r="Q553" s="306">
        <f t="shared" si="93"/>
        <v>14082.98</v>
      </c>
      <c r="R553" s="307">
        <f t="shared" si="94"/>
        <v>1</v>
      </c>
      <c r="S553" s="314" t="str">
        <f t="shared" si="96"/>
        <v>ok</v>
      </c>
      <c r="T553" s="314"/>
      <c r="U553" s="314"/>
      <c r="V553" s="314"/>
      <c r="W553" s="314"/>
      <c r="X553" s="314"/>
    </row>
    <row r="554" spans="1:24" s="313" customFormat="1" ht="16.5" customHeight="1">
      <c r="A554" s="1337" t="s">
        <v>3725</v>
      </c>
      <c r="B554" s="1711" t="s">
        <v>3726</v>
      </c>
      <c r="C554" s="1502" t="s">
        <v>52</v>
      </c>
      <c r="D554" s="1710">
        <v>1</v>
      </c>
      <c r="E554" s="1312">
        <v>16962.95</v>
      </c>
      <c r="F554" s="1486">
        <f t="shared" si="97"/>
        <v>16962.95</v>
      </c>
      <c r="G554" s="1049">
        <v>0</v>
      </c>
      <c r="H554" s="306">
        <v>0</v>
      </c>
      <c r="I554" s="307">
        <v>0</v>
      </c>
      <c r="J554" s="1046"/>
      <c r="K554" s="306">
        <f t="shared" si="87"/>
        <v>0</v>
      </c>
      <c r="L554" s="307">
        <f t="shared" si="88"/>
        <v>0</v>
      </c>
      <c r="M554" s="1047">
        <f t="shared" si="89"/>
        <v>0</v>
      </c>
      <c r="N554" s="306">
        <f t="shared" si="90"/>
        <v>0</v>
      </c>
      <c r="O554" s="307">
        <f t="shared" si="91"/>
        <v>0</v>
      </c>
      <c r="P554" s="1047">
        <f t="shared" si="92"/>
        <v>1</v>
      </c>
      <c r="Q554" s="306">
        <f t="shared" si="93"/>
        <v>16962.95</v>
      </c>
      <c r="R554" s="307">
        <f t="shared" si="94"/>
        <v>1</v>
      </c>
      <c r="S554" s="314" t="str">
        <f t="shared" si="96"/>
        <v>ok</v>
      </c>
      <c r="T554" s="314"/>
      <c r="U554" s="314"/>
      <c r="V554" s="314"/>
      <c r="W554" s="314"/>
      <c r="X554" s="314"/>
    </row>
    <row r="555" spans="1:24" s="313" customFormat="1" ht="16.5" customHeight="1">
      <c r="A555" s="1337" t="s">
        <v>3727</v>
      </c>
      <c r="B555" s="1711" t="s">
        <v>3728</v>
      </c>
      <c r="C555" s="1502" t="s">
        <v>52</v>
      </c>
      <c r="D555" s="1710">
        <v>1</v>
      </c>
      <c r="E555" s="1312">
        <v>24185.75</v>
      </c>
      <c r="F555" s="1486">
        <f t="shared" si="97"/>
        <v>24185.75</v>
      </c>
      <c r="G555" s="1049">
        <v>0</v>
      </c>
      <c r="H555" s="306">
        <v>0</v>
      </c>
      <c r="I555" s="307">
        <v>0</v>
      </c>
      <c r="J555" s="1046"/>
      <c r="K555" s="306">
        <f t="shared" si="87"/>
        <v>0</v>
      </c>
      <c r="L555" s="307">
        <f t="shared" si="88"/>
        <v>0</v>
      </c>
      <c r="M555" s="1047">
        <f t="shared" si="89"/>
        <v>0</v>
      </c>
      <c r="N555" s="306">
        <f t="shared" si="90"/>
        <v>0</v>
      </c>
      <c r="O555" s="307">
        <f t="shared" si="91"/>
        <v>0</v>
      </c>
      <c r="P555" s="1047">
        <f t="shared" si="92"/>
        <v>1</v>
      </c>
      <c r="Q555" s="306">
        <f t="shared" si="93"/>
        <v>24185.75</v>
      </c>
      <c r="R555" s="307">
        <f t="shared" si="94"/>
        <v>1</v>
      </c>
      <c r="S555" s="314" t="str">
        <f t="shared" si="96"/>
        <v>ok</v>
      </c>
      <c r="T555" s="314"/>
      <c r="U555" s="314"/>
      <c r="V555" s="314"/>
      <c r="W555" s="314"/>
      <c r="X555" s="314"/>
    </row>
    <row r="556" spans="1:24" s="313" customFormat="1" ht="16.5" customHeight="1">
      <c r="A556" s="1337" t="s">
        <v>3729</v>
      </c>
      <c r="B556" s="1711" t="s">
        <v>3730</v>
      </c>
      <c r="C556" s="1502" t="s">
        <v>52</v>
      </c>
      <c r="D556" s="1710">
        <v>2</v>
      </c>
      <c r="E556" s="1312">
        <v>12521.27</v>
      </c>
      <c r="F556" s="1486">
        <f t="shared" si="97"/>
        <v>25042.54</v>
      </c>
      <c r="G556" s="1049">
        <v>0</v>
      </c>
      <c r="H556" s="306">
        <v>0</v>
      </c>
      <c r="I556" s="307">
        <v>0</v>
      </c>
      <c r="J556" s="1046"/>
      <c r="K556" s="306">
        <f t="shared" si="87"/>
        <v>0</v>
      </c>
      <c r="L556" s="307">
        <f t="shared" si="88"/>
        <v>0</v>
      </c>
      <c r="M556" s="1047">
        <f t="shared" si="89"/>
        <v>0</v>
      </c>
      <c r="N556" s="306">
        <f t="shared" si="90"/>
        <v>0</v>
      </c>
      <c r="O556" s="307">
        <f t="shared" si="91"/>
        <v>0</v>
      </c>
      <c r="P556" s="1047">
        <f t="shared" si="92"/>
        <v>2</v>
      </c>
      <c r="Q556" s="306">
        <f t="shared" si="93"/>
        <v>25042.54</v>
      </c>
      <c r="R556" s="307">
        <f t="shared" si="94"/>
        <v>1</v>
      </c>
      <c r="S556" s="314" t="str">
        <f t="shared" si="96"/>
        <v>ok</v>
      </c>
      <c r="T556" s="314"/>
      <c r="U556" s="314"/>
      <c r="V556" s="314"/>
      <c r="W556" s="314"/>
      <c r="X556" s="314"/>
    </row>
    <row r="557" spans="1:24" s="313" customFormat="1" ht="16.5" customHeight="1">
      <c r="A557" s="1337" t="s">
        <v>3731</v>
      </c>
      <c r="B557" s="1711" t="s">
        <v>3732</v>
      </c>
      <c r="C557" s="1502" t="s">
        <v>52</v>
      </c>
      <c r="D557" s="1710">
        <v>4</v>
      </c>
      <c r="E557" s="1312">
        <v>3690.2000000000003</v>
      </c>
      <c r="F557" s="1486">
        <f t="shared" si="97"/>
        <v>14760.800000000001</v>
      </c>
      <c r="G557" s="1049">
        <v>0</v>
      </c>
      <c r="H557" s="306">
        <v>0</v>
      </c>
      <c r="I557" s="307">
        <v>0</v>
      </c>
      <c r="J557" s="1046"/>
      <c r="K557" s="306">
        <f t="shared" si="87"/>
        <v>0</v>
      </c>
      <c r="L557" s="307">
        <f t="shared" si="88"/>
        <v>0</v>
      </c>
      <c r="M557" s="1047">
        <f t="shared" si="89"/>
        <v>0</v>
      </c>
      <c r="N557" s="306">
        <f t="shared" si="90"/>
        <v>0</v>
      </c>
      <c r="O557" s="307">
        <f t="shared" si="91"/>
        <v>0</v>
      </c>
      <c r="P557" s="1047">
        <f t="shared" si="92"/>
        <v>4</v>
      </c>
      <c r="Q557" s="306">
        <f t="shared" si="93"/>
        <v>14760.800000000001</v>
      </c>
      <c r="R557" s="307">
        <f t="shared" si="94"/>
        <v>1</v>
      </c>
      <c r="S557" s="314" t="str">
        <f t="shared" si="96"/>
        <v>ok</v>
      </c>
      <c r="T557" s="314"/>
      <c r="U557" s="314"/>
      <c r="V557" s="314"/>
      <c r="W557" s="314"/>
      <c r="X557" s="314"/>
    </row>
    <row r="558" spans="1:24" s="313" customFormat="1" ht="16.5" customHeight="1">
      <c r="A558" s="1337" t="s">
        <v>3733</v>
      </c>
      <c r="B558" s="1711" t="s">
        <v>3734</v>
      </c>
      <c r="C558" s="1502" t="s">
        <v>52</v>
      </c>
      <c r="D558" s="1710">
        <v>1</v>
      </c>
      <c r="E558" s="1312">
        <v>1658.05</v>
      </c>
      <c r="F558" s="1486">
        <f t="shared" si="97"/>
        <v>1658.05</v>
      </c>
      <c r="G558" s="1049">
        <v>0</v>
      </c>
      <c r="H558" s="306">
        <v>0</v>
      </c>
      <c r="I558" s="307">
        <v>0</v>
      </c>
      <c r="J558" s="1046"/>
      <c r="K558" s="306">
        <f t="shared" si="87"/>
        <v>0</v>
      </c>
      <c r="L558" s="307">
        <f t="shared" si="88"/>
        <v>0</v>
      </c>
      <c r="M558" s="1047">
        <f t="shared" si="89"/>
        <v>0</v>
      </c>
      <c r="N558" s="306">
        <f t="shared" si="90"/>
        <v>0</v>
      </c>
      <c r="O558" s="307">
        <f t="shared" si="91"/>
        <v>0</v>
      </c>
      <c r="P558" s="1047">
        <f t="shared" si="92"/>
        <v>1</v>
      </c>
      <c r="Q558" s="306">
        <f t="shared" si="93"/>
        <v>1658.05</v>
      </c>
      <c r="R558" s="307">
        <f t="shared" si="94"/>
        <v>1</v>
      </c>
      <c r="S558" s="314" t="str">
        <f t="shared" si="96"/>
        <v>ok</v>
      </c>
      <c r="T558" s="314"/>
      <c r="U558" s="314"/>
      <c r="V558" s="314"/>
      <c r="W558" s="314"/>
      <c r="X558" s="314"/>
    </row>
    <row r="559" spans="1:24" s="313" customFormat="1" ht="16.5" customHeight="1">
      <c r="A559" s="1337" t="s">
        <v>3735</v>
      </c>
      <c r="B559" s="1711" t="s">
        <v>3736</v>
      </c>
      <c r="C559" s="1502" t="s">
        <v>52</v>
      </c>
      <c r="D559" s="1710">
        <v>1</v>
      </c>
      <c r="E559" s="1312">
        <v>8800.44</v>
      </c>
      <c r="F559" s="1486">
        <f t="shared" si="97"/>
        <v>8800.44</v>
      </c>
      <c r="G559" s="1049">
        <v>0</v>
      </c>
      <c r="H559" s="306">
        <v>0</v>
      </c>
      <c r="I559" s="307">
        <v>0</v>
      </c>
      <c r="J559" s="1046"/>
      <c r="K559" s="306">
        <f t="shared" si="87"/>
        <v>0</v>
      </c>
      <c r="L559" s="307">
        <f t="shared" si="88"/>
        <v>0</v>
      </c>
      <c r="M559" s="1047">
        <f t="shared" si="89"/>
        <v>0</v>
      </c>
      <c r="N559" s="306">
        <f t="shared" si="90"/>
        <v>0</v>
      </c>
      <c r="O559" s="307">
        <f t="shared" si="91"/>
        <v>0</v>
      </c>
      <c r="P559" s="1047">
        <f t="shared" si="92"/>
        <v>1</v>
      </c>
      <c r="Q559" s="306">
        <f t="shared" si="93"/>
        <v>8800.44</v>
      </c>
      <c r="R559" s="307">
        <f t="shared" si="94"/>
        <v>1</v>
      </c>
      <c r="S559" s="314" t="str">
        <f t="shared" si="96"/>
        <v>ok</v>
      </c>
      <c r="T559" s="314"/>
      <c r="U559" s="314"/>
      <c r="V559" s="314"/>
      <c r="W559" s="314"/>
      <c r="X559" s="314"/>
    </row>
    <row r="560" spans="1:24" s="313" customFormat="1" ht="16.5" customHeight="1">
      <c r="A560" s="1337" t="s">
        <v>3737</v>
      </c>
      <c r="B560" s="1711" t="s">
        <v>3738</v>
      </c>
      <c r="C560" s="1502" t="s">
        <v>52</v>
      </c>
      <c r="D560" s="1710">
        <v>5</v>
      </c>
      <c r="E560" s="1312">
        <v>41.93</v>
      </c>
      <c r="F560" s="1486">
        <f t="shared" si="97"/>
        <v>209.65</v>
      </c>
      <c r="G560" s="1049">
        <v>0</v>
      </c>
      <c r="H560" s="306">
        <v>0</v>
      </c>
      <c r="I560" s="307">
        <v>0</v>
      </c>
      <c r="J560" s="1046"/>
      <c r="K560" s="306">
        <f t="shared" si="87"/>
        <v>0</v>
      </c>
      <c r="L560" s="307">
        <f t="shared" si="88"/>
        <v>0</v>
      </c>
      <c r="M560" s="1047">
        <f t="shared" si="89"/>
        <v>0</v>
      </c>
      <c r="N560" s="306">
        <f t="shared" si="90"/>
        <v>0</v>
      </c>
      <c r="O560" s="307">
        <f t="shared" si="91"/>
        <v>0</v>
      </c>
      <c r="P560" s="1047">
        <f t="shared" si="92"/>
        <v>5</v>
      </c>
      <c r="Q560" s="306">
        <f t="shared" si="93"/>
        <v>209.65</v>
      </c>
      <c r="R560" s="307">
        <f t="shared" si="94"/>
        <v>1</v>
      </c>
      <c r="S560" s="314" t="str">
        <f t="shared" si="96"/>
        <v>ok</v>
      </c>
      <c r="T560" s="314"/>
      <c r="U560" s="314"/>
      <c r="V560" s="314"/>
      <c r="W560" s="314"/>
      <c r="X560" s="314"/>
    </row>
    <row r="561" spans="1:24" s="313" customFormat="1" ht="16.5" customHeight="1">
      <c r="A561" s="1337" t="s">
        <v>3739</v>
      </c>
      <c r="B561" s="1711" t="s">
        <v>3740</v>
      </c>
      <c r="C561" s="1502" t="s">
        <v>52</v>
      </c>
      <c r="D561" s="1710">
        <v>4</v>
      </c>
      <c r="E561" s="1312">
        <v>319.3</v>
      </c>
      <c r="F561" s="1486">
        <f t="shared" si="97"/>
        <v>1277.2</v>
      </c>
      <c r="G561" s="1049">
        <v>0</v>
      </c>
      <c r="H561" s="306">
        <v>0</v>
      </c>
      <c r="I561" s="307">
        <v>0</v>
      </c>
      <c r="J561" s="1046"/>
      <c r="K561" s="306">
        <f t="shared" si="87"/>
        <v>0</v>
      </c>
      <c r="L561" s="307">
        <f t="shared" si="88"/>
        <v>0</v>
      </c>
      <c r="M561" s="1047">
        <f t="shared" si="89"/>
        <v>0</v>
      </c>
      <c r="N561" s="306">
        <f t="shared" si="90"/>
        <v>0</v>
      </c>
      <c r="O561" s="307">
        <f t="shared" si="91"/>
        <v>0</v>
      </c>
      <c r="P561" s="1047">
        <f t="shared" si="92"/>
        <v>4</v>
      </c>
      <c r="Q561" s="306">
        <f t="shared" si="93"/>
        <v>1277.2</v>
      </c>
      <c r="R561" s="307">
        <f t="shared" si="94"/>
        <v>1</v>
      </c>
      <c r="S561" s="314" t="str">
        <f t="shared" si="96"/>
        <v>ok</v>
      </c>
      <c r="T561" s="314"/>
      <c r="U561" s="314"/>
      <c r="V561" s="314"/>
      <c r="W561" s="314"/>
      <c r="X561" s="314"/>
    </row>
    <row r="562" spans="1:24" s="313" customFormat="1" ht="16.5" customHeight="1">
      <c r="A562" s="1337" t="s">
        <v>3741</v>
      </c>
      <c r="B562" s="1711" t="s">
        <v>3742</v>
      </c>
      <c r="C562" s="1502" t="s">
        <v>52</v>
      </c>
      <c r="D562" s="1710">
        <v>80</v>
      </c>
      <c r="E562" s="1312">
        <v>39.93</v>
      </c>
      <c r="F562" s="1486">
        <f t="shared" si="97"/>
        <v>3194.4</v>
      </c>
      <c r="G562" s="1049">
        <v>0</v>
      </c>
      <c r="H562" s="306">
        <v>0</v>
      </c>
      <c r="I562" s="307">
        <v>0</v>
      </c>
      <c r="J562" s="1046"/>
      <c r="K562" s="306">
        <f t="shared" si="87"/>
        <v>0</v>
      </c>
      <c r="L562" s="307">
        <f t="shared" si="88"/>
        <v>0</v>
      </c>
      <c r="M562" s="1047">
        <f t="shared" si="89"/>
        <v>0</v>
      </c>
      <c r="N562" s="306">
        <f t="shared" si="90"/>
        <v>0</v>
      </c>
      <c r="O562" s="307">
        <f t="shared" si="91"/>
        <v>0</v>
      </c>
      <c r="P562" s="1047">
        <f t="shared" si="92"/>
        <v>80</v>
      </c>
      <c r="Q562" s="306">
        <f t="shared" si="93"/>
        <v>3194.4</v>
      </c>
      <c r="R562" s="307">
        <f t="shared" si="94"/>
        <v>1</v>
      </c>
      <c r="S562" s="314" t="str">
        <f t="shared" si="96"/>
        <v>ok</v>
      </c>
      <c r="T562" s="314"/>
      <c r="U562" s="314"/>
      <c r="V562" s="314"/>
      <c r="W562" s="314"/>
      <c r="X562" s="314"/>
    </row>
    <row r="563" spans="1:24" s="313" customFormat="1" ht="16.5" customHeight="1">
      <c r="A563" s="1648" t="s">
        <v>3743</v>
      </c>
      <c r="B563" s="1648" t="s">
        <v>3744</v>
      </c>
      <c r="C563" s="1502"/>
      <c r="D563" s="1710"/>
      <c r="E563" s="1312"/>
      <c r="F563" s="1486"/>
      <c r="G563" s="1049"/>
      <c r="H563" s="306"/>
      <c r="I563" s="307"/>
      <c r="J563" s="1046"/>
      <c r="K563" s="306"/>
      <c r="L563" s="307"/>
      <c r="M563" s="1047"/>
      <c r="N563" s="306"/>
      <c r="O563" s="307"/>
      <c r="P563" s="1047"/>
      <c r="Q563" s="306"/>
      <c r="R563" s="307"/>
      <c r="S563" s="314" t="str">
        <f t="shared" si="96"/>
        <v>ok</v>
      </c>
      <c r="T563" s="314"/>
      <c r="U563" s="314"/>
      <c r="V563" s="314"/>
      <c r="W563" s="314"/>
      <c r="X563" s="314"/>
    </row>
    <row r="564" spans="1:24" s="313" customFormat="1" ht="16.5" customHeight="1">
      <c r="A564" s="1337" t="s">
        <v>3745</v>
      </c>
      <c r="B564" s="1711" t="s">
        <v>3746</v>
      </c>
      <c r="C564" s="1502" t="s">
        <v>52</v>
      </c>
      <c r="D564" s="1710">
        <v>1</v>
      </c>
      <c r="E564" s="1312">
        <v>2224.33</v>
      </c>
      <c r="F564" s="1486">
        <f t="shared" si="97"/>
        <v>2224.33</v>
      </c>
      <c r="G564" s="1049">
        <v>0</v>
      </c>
      <c r="H564" s="306">
        <v>0</v>
      </c>
      <c r="I564" s="307">
        <v>0</v>
      </c>
      <c r="J564" s="1046"/>
      <c r="K564" s="306">
        <f t="shared" si="87"/>
        <v>0</v>
      </c>
      <c r="L564" s="307">
        <f t="shared" si="88"/>
        <v>0</v>
      </c>
      <c r="M564" s="1047">
        <f t="shared" si="89"/>
        <v>0</v>
      </c>
      <c r="N564" s="306">
        <f t="shared" si="90"/>
        <v>0</v>
      </c>
      <c r="O564" s="307">
        <f t="shared" si="91"/>
        <v>0</v>
      </c>
      <c r="P564" s="1047">
        <f t="shared" si="92"/>
        <v>1</v>
      </c>
      <c r="Q564" s="306">
        <f t="shared" si="93"/>
        <v>2224.33</v>
      </c>
      <c r="R564" s="307">
        <f t="shared" si="94"/>
        <v>1</v>
      </c>
      <c r="S564" s="314" t="str">
        <f t="shared" si="96"/>
        <v>ok</v>
      </c>
      <c r="T564" s="314"/>
      <c r="U564" s="314"/>
      <c r="V564" s="314"/>
      <c r="W564" s="314"/>
      <c r="X564" s="314"/>
    </row>
    <row r="565" spans="1:24" s="313" customFormat="1" ht="16.5" customHeight="1">
      <c r="A565" s="1337" t="s">
        <v>3747</v>
      </c>
      <c r="B565" s="1711" t="s">
        <v>3748</v>
      </c>
      <c r="C565" s="1502" t="s">
        <v>51</v>
      </c>
      <c r="D565" s="1710">
        <v>150</v>
      </c>
      <c r="E565" s="1312">
        <v>12.450000000000001</v>
      </c>
      <c r="F565" s="1486">
        <f t="shared" si="97"/>
        <v>1867.5000000000002</v>
      </c>
      <c r="G565" s="1049">
        <v>0</v>
      </c>
      <c r="H565" s="306">
        <v>0</v>
      </c>
      <c r="I565" s="307">
        <v>0</v>
      </c>
      <c r="J565" s="1046"/>
      <c r="K565" s="306">
        <f t="shared" si="87"/>
        <v>0</v>
      </c>
      <c r="L565" s="307">
        <f t="shared" si="88"/>
        <v>0</v>
      </c>
      <c r="M565" s="1047">
        <f t="shared" si="89"/>
        <v>0</v>
      </c>
      <c r="N565" s="306">
        <f t="shared" si="90"/>
        <v>0</v>
      </c>
      <c r="O565" s="307">
        <f t="shared" si="91"/>
        <v>0</v>
      </c>
      <c r="P565" s="1047">
        <f t="shared" si="92"/>
        <v>150</v>
      </c>
      <c r="Q565" s="306">
        <f t="shared" si="93"/>
        <v>1867.5000000000002</v>
      </c>
      <c r="R565" s="307">
        <f t="shared" si="94"/>
        <v>1</v>
      </c>
      <c r="S565" s="314" t="str">
        <f t="shared" si="96"/>
        <v>ok</v>
      </c>
      <c r="T565" s="314"/>
      <c r="U565" s="314"/>
      <c r="V565" s="314"/>
      <c r="W565" s="314"/>
      <c r="X565" s="314"/>
    </row>
    <row r="566" spans="1:24" s="313" customFormat="1" ht="16.5" customHeight="1">
      <c r="A566" s="1337" t="s">
        <v>3749</v>
      </c>
      <c r="B566" s="1711" t="s">
        <v>3750</v>
      </c>
      <c r="C566" s="1502" t="s">
        <v>51</v>
      </c>
      <c r="D566" s="1710">
        <v>100</v>
      </c>
      <c r="E566" s="1312">
        <v>10.050000000000001</v>
      </c>
      <c r="F566" s="1486">
        <f t="shared" si="97"/>
        <v>1005.0000000000001</v>
      </c>
      <c r="G566" s="1049">
        <v>0</v>
      </c>
      <c r="H566" s="306">
        <v>0</v>
      </c>
      <c r="I566" s="307">
        <v>0</v>
      </c>
      <c r="J566" s="1046"/>
      <c r="K566" s="306">
        <f t="shared" si="87"/>
        <v>0</v>
      </c>
      <c r="L566" s="307">
        <f t="shared" si="88"/>
        <v>0</v>
      </c>
      <c r="M566" s="1047">
        <f t="shared" si="89"/>
        <v>0</v>
      </c>
      <c r="N566" s="306">
        <f t="shared" si="90"/>
        <v>0</v>
      </c>
      <c r="O566" s="307">
        <f t="shared" si="91"/>
        <v>0</v>
      </c>
      <c r="P566" s="1047">
        <f t="shared" si="92"/>
        <v>100</v>
      </c>
      <c r="Q566" s="306">
        <f t="shared" si="93"/>
        <v>1005.0000000000001</v>
      </c>
      <c r="R566" s="307">
        <f t="shared" si="94"/>
        <v>1</v>
      </c>
      <c r="S566" s="314" t="str">
        <f t="shared" si="96"/>
        <v>ok</v>
      </c>
      <c r="T566" s="314"/>
      <c r="U566" s="314"/>
      <c r="V566" s="314"/>
      <c r="W566" s="314"/>
      <c r="X566" s="314"/>
    </row>
    <row r="567" spans="1:24" s="313" customFormat="1" ht="16.5" customHeight="1">
      <c r="A567" s="1337" t="s">
        <v>3751</v>
      </c>
      <c r="B567" s="1711" t="s">
        <v>3752</v>
      </c>
      <c r="C567" s="1502" t="s">
        <v>51</v>
      </c>
      <c r="D567" s="1710">
        <v>75</v>
      </c>
      <c r="E567" s="1312">
        <v>31.05</v>
      </c>
      <c r="F567" s="1486">
        <f t="shared" si="97"/>
        <v>2328.75</v>
      </c>
      <c r="G567" s="1049">
        <v>0</v>
      </c>
      <c r="H567" s="306">
        <v>0</v>
      </c>
      <c r="I567" s="307">
        <v>0</v>
      </c>
      <c r="J567" s="1046"/>
      <c r="K567" s="306">
        <f t="shared" si="87"/>
        <v>0</v>
      </c>
      <c r="L567" s="307">
        <f t="shared" si="88"/>
        <v>0</v>
      </c>
      <c r="M567" s="1047">
        <f t="shared" si="89"/>
        <v>0</v>
      </c>
      <c r="N567" s="306">
        <f t="shared" si="90"/>
        <v>0</v>
      </c>
      <c r="O567" s="307">
        <f t="shared" si="91"/>
        <v>0</v>
      </c>
      <c r="P567" s="1047">
        <f t="shared" si="92"/>
        <v>75</v>
      </c>
      <c r="Q567" s="306">
        <f t="shared" si="93"/>
        <v>2328.75</v>
      </c>
      <c r="R567" s="307">
        <f t="shared" si="94"/>
        <v>1</v>
      </c>
      <c r="S567" s="314" t="str">
        <f t="shared" si="96"/>
        <v>ok</v>
      </c>
      <c r="T567" s="314"/>
      <c r="U567" s="314"/>
      <c r="V567" s="314"/>
      <c r="W567" s="314"/>
      <c r="X567" s="314"/>
    </row>
    <row r="568" spans="1:24" s="313" customFormat="1" ht="16.5" customHeight="1">
      <c r="A568" s="1337" t="s">
        <v>3753</v>
      </c>
      <c r="B568" s="1711" t="s">
        <v>3754</v>
      </c>
      <c r="C568" s="1502" t="s">
        <v>51</v>
      </c>
      <c r="D568" s="1710">
        <v>30</v>
      </c>
      <c r="E568" s="1312">
        <v>26.05</v>
      </c>
      <c r="F568" s="1486">
        <f t="shared" si="97"/>
        <v>781.5</v>
      </c>
      <c r="G568" s="1049">
        <v>0</v>
      </c>
      <c r="H568" s="306">
        <v>0</v>
      </c>
      <c r="I568" s="307">
        <v>0</v>
      </c>
      <c r="J568" s="1046"/>
      <c r="K568" s="306">
        <f t="shared" si="87"/>
        <v>0</v>
      </c>
      <c r="L568" s="307">
        <f t="shared" si="88"/>
        <v>0</v>
      </c>
      <c r="M568" s="1047">
        <f t="shared" si="89"/>
        <v>0</v>
      </c>
      <c r="N568" s="306">
        <f t="shared" si="90"/>
        <v>0</v>
      </c>
      <c r="O568" s="307">
        <f t="shared" si="91"/>
        <v>0</v>
      </c>
      <c r="P568" s="1047">
        <f t="shared" si="92"/>
        <v>30</v>
      </c>
      <c r="Q568" s="306">
        <f t="shared" si="93"/>
        <v>781.5</v>
      </c>
      <c r="R568" s="307">
        <f t="shared" si="94"/>
        <v>1</v>
      </c>
      <c r="S568" s="314" t="str">
        <f t="shared" si="96"/>
        <v>ok</v>
      </c>
      <c r="T568" s="314"/>
      <c r="U568" s="314"/>
      <c r="V568" s="314"/>
      <c r="W568" s="314"/>
      <c r="X568" s="314"/>
    </row>
    <row r="569" spans="1:24" s="313" customFormat="1" ht="16.5" customHeight="1">
      <c r="A569" s="1337" t="s">
        <v>3755</v>
      </c>
      <c r="B569" s="1711" t="s">
        <v>3756</v>
      </c>
      <c r="C569" s="1502" t="s">
        <v>51</v>
      </c>
      <c r="D569" s="1710">
        <v>150</v>
      </c>
      <c r="E569" s="1312">
        <v>10.050000000000001</v>
      </c>
      <c r="F569" s="1486">
        <f t="shared" si="97"/>
        <v>1507.5</v>
      </c>
      <c r="G569" s="1049">
        <v>0</v>
      </c>
      <c r="H569" s="306">
        <v>0</v>
      </c>
      <c r="I569" s="307">
        <v>0</v>
      </c>
      <c r="J569" s="1046"/>
      <c r="K569" s="306">
        <f t="shared" si="87"/>
        <v>0</v>
      </c>
      <c r="L569" s="307">
        <f t="shared" si="88"/>
        <v>0</v>
      </c>
      <c r="M569" s="1047">
        <f t="shared" si="89"/>
        <v>0</v>
      </c>
      <c r="N569" s="306">
        <f t="shared" si="90"/>
        <v>0</v>
      </c>
      <c r="O569" s="307">
        <f t="shared" si="91"/>
        <v>0</v>
      </c>
      <c r="P569" s="1047">
        <f t="shared" si="92"/>
        <v>150</v>
      </c>
      <c r="Q569" s="306">
        <f t="shared" si="93"/>
        <v>1507.5</v>
      </c>
      <c r="R569" s="307">
        <f t="shared" si="94"/>
        <v>1</v>
      </c>
      <c r="S569" s="314" t="str">
        <f t="shared" si="96"/>
        <v>ok</v>
      </c>
      <c r="T569" s="314"/>
      <c r="U569" s="314"/>
      <c r="V569" s="314"/>
      <c r="W569" s="314"/>
      <c r="X569" s="314"/>
    </row>
    <row r="570" spans="1:24" s="313" customFormat="1" ht="16.5" customHeight="1">
      <c r="A570" s="1337" t="s">
        <v>3757</v>
      </c>
      <c r="B570" s="1711" t="s">
        <v>3758</v>
      </c>
      <c r="C570" s="1502" t="s">
        <v>52</v>
      </c>
      <c r="D570" s="1710">
        <v>1</v>
      </c>
      <c r="E570" s="1312">
        <v>259.47000000000003</v>
      </c>
      <c r="F570" s="1486">
        <f t="shared" si="97"/>
        <v>259.47000000000003</v>
      </c>
      <c r="G570" s="1049">
        <v>0</v>
      </c>
      <c r="H570" s="306">
        <v>0</v>
      </c>
      <c r="I570" s="307">
        <v>0</v>
      </c>
      <c r="J570" s="1046"/>
      <c r="K570" s="306">
        <f t="shared" si="87"/>
        <v>0</v>
      </c>
      <c r="L570" s="307">
        <f t="shared" si="88"/>
        <v>0</v>
      </c>
      <c r="M570" s="1047">
        <f t="shared" si="89"/>
        <v>0</v>
      </c>
      <c r="N570" s="306">
        <f t="shared" si="90"/>
        <v>0</v>
      </c>
      <c r="O570" s="307">
        <f t="shared" si="91"/>
        <v>0</v>
      </c>
      <c r="P570" s="1047">
        <f t="shared" si="92"/>
        <v>1</v>
      </c>
      <c r="Q570" s="306">
        <f t="shared" si="93"/>
        <v>259.47000000000003</v>
      </c>
      <c r="R570" s="307">
        <f t="shared" si="94"/>
        <v>1</v>
      </c>
      <c r="S570" s="314" t="str">
        <f t="shared" si="96"/>
        <v>ok</v>
      </c>
      <c r="T570" s="314"/>
      <c r="U570" s="314"/>
      <c r="V570" s="314"/>
      <c r="W570" s="314"/>
      <c r="X570" s="314"/>
    </row>
    <row r="571" spans="1:24" s="313" customFormat="1" ht="16.5" customHeight="1">
      <c r="A571" s="1337" t="s">
        <v>3759</v>
      </c>
      <c r="B571" s="1711" t="s">
        <v>3760</v>
      </c>
      <c r="C571" s="1502" t="s">
        <v>52</v>
      </c>
      <c r="D571" s="1710">
        <v>1</v>
      </c>
      <c r="E571" s="1312">
        <v>159.47</v>
      </c>
      <c r="F571" s="1486">
        <f t="shared" si="97"/>
        <v>159.47</v>
      </c>
      <c r="G571" s="1049">
        <v>0</v>
      </c>
      <c r="H571" s="306">
        <v>0</v>
      </c>
      <c r="I571" s="307">
        <v>0</v>
      </c>
      <c r="J571" s="1046"/>
      <c r="K571" s="306">
        <f t="shared" si="87"/>
        <v>0</v>
      </c>
      <c r="L571" s="307">
        <f t="shared" si="88"/>
        <v>0</v>
      </c>
      <c r="M571" s="1047">
        <f t="shared" si="89"/>
        <v>0</v>
      </c>
      <c r="N571" s="306">
        <f t="shared" si="90"/>
        <v>0</v>
      </c>
      <c r="O571" s="307">
        <f t="shared" si="91"/>
        <v>0</v>
      </c>
      <c r="P571" s="1047">
        <f t="shared" si="92"/>
        <v>1</v>
      </c>
      <c r="Q571" s="306">
        <f t="shared" si="93"/>
        <v>159.47</v>
      </c>
      <c r="R571" s="307">
        <f t="shared" si="94"/>
        <v>1</v>
      </c>
      <c r="S571" s="314" t="str">
        <f t="shared" si="96"/>
        <v>ok</v>
      </c>
      <c r="T571" s="314"/>
      <c r="U571" s="314"/>
      <c r="V571" s="314"/>
      <c r="W571" s="314"/>
      <c r="X571" s="314"/>
    </row>
    <row r="572" spans="1:24" s="313" customFormat="1" ht="16.5" customHeight="1">
      <c r="A572" s="1337" t="s">
        <v>3761</v>
      </c>
      <c r="B572" s="1711" t="s">
        <v>3762</v>
      </c>
      <c r="C572" s="1502" t="s">
        <v>52</v>
      </c>
      <c r="D572" s="1710">
        <v>2</v>
      </c>
      <c r="E572" s="1312">
        <v>74.930000000000007</v>
      </c>
      <c r="F572" s="1486">
        <f t="shared" si="97"/>
        <v>149.86000000000001</v>
      </c>
      <c r="G572" s="1049">
        <v>0</v>
      </c>
      <c r="H572" s="306">
        <v>0</v>
      </c>
      <c r="I572" s="307">
        <v>0</v>
      </c>
      <c r="J572" s="1046"/>
      <c r="K572" s="306">
        <f t="shared" si="87"/>
        <v>0</v>
      </c>
      <c r="L572" s="307">
        <f t="shared" si="88"/>
        <v>0</v>
      </c>
      <c r="M572" s="1047">
        <f t="shared" si="89"/>
        <v>0</v>
      </c>
      <c r="N572" s="306">
        <f t="shared" si="90"/>
        <v>0</v>
      </c>
      <c r="O572" s="307">
        <f t="shared" si="91"/>
        <v>0</v>
      </c>
      <c r="P572" s="1047">
        <f t="shared" si="92"/>
        <v>2</v>
      </c>
      <c r="Q572" s="306">
        <f t="shared" si="93"/>
        <v>149.86000000000001</v>
      </c>
      <c r="R572" s="307">
        <f t="shared" si="94"/>
        <v>1</v>
      </c>
      <c r="S572" s="314" t="str">
        <f t="shared" si="96"/>
        <v>ok</v>
      </c>
      <c r="T572" s="314"/>
      <c r="U572" s="314"/>
      <c r="V572" s="314"/>
      <c r="W572" s="314"/>
      <c r="X572" s="314"/>
    </row>
    <row r="573" spans="1:24" s="313" customFormat="1" ht="16.5" customHeight="1">
      <c r="A573" s="1337" t="s">
        <v>3763</v>
      </c>
      <c r="B573" s="1711" t="s">
        <v>3764</v>
      </c>
      <c r="C573" s="1502" t="s">
        <v>52</v>
      </c>
      <c r="D573" s="1710">
        <v>14</v>
      </c>
      <c r="E573" s="1312">
        <v>5.39</v>
      </c>
      <c r="F573" s="1486">
        <f t="shared" si="97"/>
        <v>75.459999999999994</v>
      </c>
      <c r="G573" s="1049">
        <v>0</v>
      </c>
      <c r="H573" s="306">
        <v>0</v>
      </c>
      <c r="I573" s="307">
        <v>0</v>
      </c>
      <c r="J573" s="1046"/>
      <c r="K573" s="306">
        <f t="shared" si="87"/>
        <v>0</v>
      </c>
      <c r="L573" s="307">
        <f t="shared" si="88"/>
        <v>0</v>
      </c>
      <c r="M573" s="1047">
        <f t="shared" si="89"/>
        <v>0</v>
      </c>
      <c r="N573" s="306">
        <f t="shared" si="90"/>
        <v>0</v>
      </c>
      <c r="O573" s="307">
        <f t="shared" si="91"/>
        <v>0</v>
      </c>
      <c r="P573" s="1047">
        <f t="shared" si="92"/>
        <v>14</v>
      </c>
      <c r="Q573" s="306">
        <f t="shared" si="93"/>
        <v>75.459999999999994</v>
      </c>
      <c r="R573" s="307">
        <f t="shared" si="94"/>
        <v>1</v>
      </c>
      <c r="S573" s="314" t="str">
        <f t="shared" si="96"/>
        <v>ok</v>
      </c>
      <c r="T573" s="314"/>
      <c r="U573" s="314"/>
      <c r="V573" s="314"/>
      <c r="W573" s="314"/>
      <c r="X573" s="314"/>
    </row>
    <row r="574" spans="1:24" s="313" customFormat="1" ht="16.5" customHeight="1">
      <c r="A574" s="1337" t="s">
        <v>3765</v>
      </c>
      <c r="B574" s="1711" t="s">
        <v>3766</v>
      </c>
      <c r="C574" s="1502" t="s">
        <v>52</v>
      </c>
      <c r="D574" s="1710">
        <v>28</v>
      </c>
      <c r="E574" s="1312">
        <v>5.39</v>
      </c>
      <c r="F574" s="1486">
        <f t="shared" si="97"/>
        <v>150.91999999999999</v>
      </c>
      <c r="G574" s="1049">
        <v>0</v>
      </c>
      <c r="H574" s="306">
        <v>0</v>
      </c>
      <c r="I574" s="307">
        <v>0</v>
      </c>
      <c r="J574" s="1046"/>
      <c r="K574" s="306">
        <f t="shared" si="87"/>
        <v>0</v>
      </c>
      <c r="L574" s="307">
        <f t="shared" si="88"/>
        <v>0</v>
      </c>
      <c r="M574" s="1047">
        <f t="shared" si="89"/>
        <v>0</v>
      </c>
      <c r="N574" s="306">
        <f t="shared" si="90"/>
        <v>0</v>
      </c>
      <c r="O574" s="307">
        <f t="shared" si="91"/>
        <v>0</v>
      </c>
      <c r="P574" s="1047">
        <f t="shared" si="92"/>
        <v>28</v>
      </c>
      <c r="Q574" s="306">
        <f t="shared" si="93"/>
        <v>150.91999999999999</v>
      </c>
      <c r="R574" s="307">
        <f t="shared" si="94"/>
        <v>1</v>
      </c>
      <c r="S574" s="314" t="str">
        <f t="shared" si="96"/>
        <v>ok</v>
      </c>
      <c r="T574" s="314"/>
      <c r="U574" s="314"/>
      <c r="V574" s="314"/>
      <c r="W574" s="314"/>
      <c r="X574" s="314"/>
    </row>
    <row r="575" spans="1:24" s="313" customFormat="1" ht="16.5" customHeight="1">
      <c r="A575" s="1337" t="s">
        <v>3767</v>
      </c>
      <c r="B575" s="1711" t="s">
        <v>3768</v>
      </c>
      <c r="C575" s="1502" t="s">
        <v>52</v>
      </c>
      <c r="D575" s="1710">
        <v>4</v>
      </c>
      <c r="E575" s="1312">
        <v>5.99</v>
      </c>
      <c r="F575" s="1486">
        <f t="shared" si="97"/>
        <v>23.96</v>
      </c>
      <c r="G575" s="1049">
        <v>0</v>
      </c>
      <c r="H575" s="306">
        <v>0</v>
      </c>
      <c r="I575" s="307">
        <v>0</v>
      </c>
      <c r="J575" s="1046"/>
      <c r="K575" s="306">
        <f t="shared" ref="K575:K587" si="98">J575*E575</f>
        <v>0</v>
      </c>
      <c r="L575" s="307">
        <f t="shared" ref="L575:L587" si="99">+K575/$F575</f>
        <v>0</v>
      </c>
      <c r="M575" s="1047">
        <f t="shared" ref="M575:M587" si="100">+G575+J575</f>
        <v>0</v>
      </c>
      <c r="N575" s="306">
        <f t="shared" ref="N575:N587" si="101">ROUND(+M575*E575,2)</f>
        <v>0</v>
      </c>
      <c r="O575" s="307">
        <f t="shared" ref="O575:O587" si="102">+N575/$F575</f>
        <v>0</v>
      </c>
      <c r="P575" s="1047">
        <f t="shared" ref="P575:P587" si="103">D575-M575</f>
        <v>4</v>
      </c>
      <c r="Q575" s="306">
        <f t="shared" ref="Q575:Q587" si="104">F575-N575</f>
        <v>23.96</v>
      </c>
      <c r="R575" s="307">
        <f t="shared" ref="R575:R587" si="105">+Q575/$F575</f>
        <v>1</v>
      </c>
      <c r="S575" s="314" t="str">
        <f t="shared" si="96"/>
        <v>ok</v>
      </c>
      <c r="T575" s="314"/>
      <c r="U575" s="314"/>
      <c r="V575" s="314"/>
      <c r="W575" s="314"/>
      <c r="X575" s="314"/>
    </row>
    <row r="576" spans="1:24" s="313" customFormat="1" ht="16.5" customHeight="1">
      <c r="A576" s="1337" t="s">
        <v>3769</v>
      </c>
      <c r="B576" s="1711" t="s">
        <v>3770</v>
      </c>
      <c r="C576" s="1502" t="s">
        <v>52</v>
      </c>
      <c r="D576" s="1710">
        <v>6</v>
      </c>
      <c r="E576" s="1312">
        <v>6.19</v>
      </c>
      <c r="F576" s="1486">
        <f t="shared" si="97"/>
        <v>37.14</v>
      </c>
      <c r="G576" s="1049">
        <v>0</v>
      </c>
      <c r="H576" s="306">
        <v>0</v>
      </c>
      <c r="I576" s="307">
        <v>0</v>
      </c>
      <c r="J576" s="1046"/>
      <c r="K576" s="306">
        <f t="shared" si="98"/>
        <v>0</v>
      </c>
      <c r="L576" s="307">
        <f t="shared" si="99"/>
        <v>0</v>
      </c>
      <c r="M576" s="1047">
        <f t="shared" si="100"/>
        <v>0</v>
      </c>
      <c r="N576" s="306">
        <f t="shared" si="101"/>
        <v>0</v>
      </c>
      <c r="O576" s="307">
        <f t="shared" si="102"/>
        <v>0</v>
      </c>
      <c r="P576" s="1047">
        <f t="shared" si="103"/>
        <v>6</v>
      </c>
      <c r="Q576" s="306">
        <f t="shared" si="104"/>
        <v>37.14</v>
      </c>
      <c r="R576" s="307">
        <f t="shared" si="105"/>
        <v>1</v>
      </c>
      <c r="S576" s="314" t="str">
        <f t="shared" si="96"/>
        <v>ok</v>
      </c>
      <c r="T576" s="314"/>
      <c r="U576" s="314"/>
      <c r="V576" s="314"/>
      <c r="W576" s="314"/>
      <c r="X576" s="314"/>
    </row>
    <row r="577" spans="1:40" s="313" customFormat="1" ht="16.5" customHeight="1">
      <c r="A577" s="1337" t="s">
        <v>3771</v>
      </c>
      <c r="B577" s="1711" t="s">
        <v>3772</v>
      </c>
      <c r="C577" s="1502" t="s">
        <v>52</v>
      </c>
      <c r="D577" s="1710">
        <v>2</v>
      </c>
      <c r="E577" s="1312">
        <v>7.39</v>
      </c>
      <c r="F577" s="1486">
        <f t="shared" si="97"/>
        <v>14.78</v>
      </c>
      <c r="G577" s="1049">
        <v>0</v>
      </c>
      <c r="H577" s="306">
        <v>0</v>
      </c>
      <c r="I577" s="307">
        <v>0</v>
      </c>
      <c r="J577" s="1046"/>
      <c r="K577" s="306">
        <f t="shared" si="98"/>
        <v>0</v>
      </c>
      <c r="L577" s="307">
        <f t="shared" si="99"/>
        <v>0</v>
      </c>
      <c r="M577" s="1047">
        <f t="shared" si="100"/>
        <v>0</v>
      </c>
      <c r="N577" s="306">
        <f t="shared" si="101"/>
        <v>0</v>
      </c>
      <c r="O577" s="307">
        <f t="shared" si="102"/>
        <v>0</v>
      </c>
      <c r="P577" s="1047">
        <f t="shared" si="103"/>
        <v>2</v>
      </c>
      <c r="Q577" s="306">
        <f t="shared" si="104"/>
        <v>14.78</v>
      </c>
      <c r="R577" s="307">
        <f t="shared" si="105"/>
        <v>1</v>
      </c>
      <c r="S577" s="314" t="str">
        <f t="shared" si="96"/>
        <v>ok</v>
      </c>
      <c r="T577" s="314"/>
      <c r="U577" s="314"/>
      <c r="V577" s="314"/>
      <c r="W577" s="314"/>
      <c r="X577" s="314"/>
    </row>
    <row r="578" spans="1:40" s="313" customFormat="1" ht="16.5" customHeight="1">
      <c r="A578" s="1337" t="s">
        <v>3773</v>
      </c>
      <c r="B578" s="1711" t="s">
        <v>3774</v>
      </c>
      <c r="C578" s="1502" t="s">
        <v>52</v>
      </c>
      <c r="D578" s="1710">
        <v>7</v>
      </c>
      <c r="E578" s="1312">
        <v>131.31</v>
      </c>
      <c r="F578" s="1486">
        <f t="shared" si="97"/>
        <v>919.17000000000007</v>
      </c>
      <c r="G578" s="1049">
        <v>0</v>
      </c>
      <c r="H578" s="306">
        <v>0</v>
      </c>
      <c r="I578" s="307">
        <v>0</v>
      </c>
      <c r="J578" s="1046"/>
      <c r="K578" s="306">
        <f t="shared" si="98"/>
        <v>0</v>
      </c>
      <c r="L578" s="307">
        <f t="shared" si="99"/>
        <v>0</v>
      </c>
      <c r="M578" s="1047">
        <f t="shared" si="100"/>
        <v>0</v>
      </c>
      <c r="N578" s="306">
        <f t="shared" si="101"/>
        <v>0</v>
      </c>
      <c r="O578" s="307">
        <f t="shared" si="102"/>
        <v>0</v>
      </c>
      <c r="P578" s="1047">
        <f t="shared" si="103"/>
        <v>7</v>
      </c>
      <c r="Q578" s="306">
        <f t="shared" si="104"/>
        <v>919.17000000000007</v>
      </c>
      <c r="R578" s="307">
        <f t="shared" si="105"/>
        <v>1</v>
      </c>
      <c r="S578" s="314" t="str">
        <f t="shared" si="96"/>
        <v>ok</v>
      </c>
      <c r="T578" s="314"/>
      <c r="U578" s="314"/>
      <c r="V578" s="314"/>
      <c r="W578" s="314"/>
      <c r="X578" s="314"/>
    </row>
    <row r="579" spans="1:40" s="313" customFormat="1" ht="16.5" customHeight="1">
      <c r="A579" s="1648" t="s">
        <v>3775</v>
      </c>
      <c r="B579" s="1648" t="s">
        <v>3776</v>
      </c>
      <c r="C579" s="1502"/>
      <c r="D579" s="1710"/>
      <c r="E579" s="1312"/>
      <c r="F579" s="1486"/>
      <c r="G579" s="1049">
        <v>0</v>
      </c>
      <c r="H579" s="306">
        <v>0</v>
      </c>
      <c r="I579" s="307"/>
      <c r="J579" s="1046"/>
      <c r="K579" s="306">
        <f t="shared" si="98"/>
        <v>0</v>
      </c>
      <c r="L579" s="307"/>
      <c r="M579" s="1047">
        <f t="shared" si="100"/>
        <v>0</v>
      </c>
      <c r="N579" s="306">
        <f t="shared" si="101"/>
        <v>0</v>
      </c>
      <c r="O579" s="307"/>
      <c r="P579" s="1047">
        <f t="shared" si="103"/>
        <v>0</v>
      </c>
      <c r="Q579" s="306">
        <f t="shared" si="104"/>
        <v>0</v>
      </c>
      <c r="R579" s="307"/>
      <c r="S579" s="314" t="str">
        <f t="shared" si="96"/>
        <v>ok</v>
      </c>
      <c r="T579" s="314"/>
      <c r="U579" s="314"/>
      <c r="V579" s="314"/>
      <c r="W579" s="314"/>
      <c r="X579" s="314"/>
    </row>
    <row r="580" spans="1:40" s="313" customFormat="1" ht="16.5" customHeight="1">
      <c r="A580" s="1337" t="s">
        <v>3777</v>
      </c>
      <c r="B580" s="1711" t="s">
        <v>3778</v>
      </c>
      <c r="C580" s="1502" t="s">
        <v>49</v>
      </c>
      <c r="D580" s="1710">
        <v>67</v>
      </c>
      <c r="E580" s="1312">
        <v>53.07</v>
      </c>
      <c r="F580" s="1486">
        <f t="shared" si="97"/>
        <v>3555.69</v>
      </c>
      <c r="G580" s="1049">
        <v>0</v>
      </c>
      <c r="H580" s="306">
        <v>0</v>
      </c>
      <c r="I580" s="307">
        <v>0</v>
      </c>
      <c r="J580" s="1046"/>
      <c r="K580" s="306">
        <f t="shared" si="98"/>
        <v>0</v>
      </c>
      <c r="L580" s="307">
        <f t="shared" si="99"/>
        <v>0</v>
      </c>
      <c r="M580" s="1047">
        <f t="shared" si="100"/>
        <v>0</v>
      </c>
      <c r="N580" s="306">
        <f t="shared" si="101"/>
        <v>0</v>
      </c>
      <c r="O580" s="307">
        <f t="shared" si="102"/>
        <v>0</v>
      </c>
      <c r="P580" s="1047">
        <f t="shared" si="103"/>
        <v>67</v>
      </c>
      <c r="Q580" s="306">
        <f t="shared" si="104"/>
        <v>3555.69</v>
      </c>
      <c r="R580" s="307">
        <f t="shared" si="105"/>
        <v>1</v>
      </c>
      <c r="S580" s="314" t="str">
        <f t="shared" si="96"/>
        <v>ok</v>
      </c>
      <c r="T580" s="314"/>
      <c r="U580" s="314"/>
      <c r="V580" s="314"/>
      <c r="W580" s="314"/>
      <c r="X580" s="314"/>
    </row>
    <row r="581" spans="1:40" s="313" customFormat="1" ht="16.5" customHeight="1">
      <c r="A581" s="1648">
        <v>5.13</v>
      </c>
      <c r="B581" s="1648" t="s">
        <v>3779</v>
      </c>
      <c r="C581" s="1502"/>
      <c r="D581" s="1710"/>
      <c r="E581" s="1312"/>
      <c r="F581" s="1486"/>
      <c r="G581" s="1049">
        <v>0</v>
      </c>
      <c r="H581" s="306">
        <v>0</v>
      </c>
      <c r="I581" s="307"/>
      <c r="J581" s="1046"/>
      <c r="K581" s="306">
        <f t="shared" si="98"/>
        <v>0</v>
      </c>
      <c r="L581" s="307"/>
      <c r="M581" s="1047">
        <f t="shared" si="100"/>
        <v>0</v>
      </c>
      <c r="N581" s="306">
        <f t="shared" si="101"/>
        <v>0</v>
      </c>
      <c r="O581" s="307"/>
      <c r="P581" s="1047">
        <f t="shared" si="103"/>
        <v>0</v>
      </c>
      <c r="Q581" s="306">
        <f t="shared" si="104"/>
        <v>0</v>
      </c>
      <c r="R581" s="307" t="e">
        <f t="shared" si="105"/>
        <v>#DIV/0!</v>
      </c>
      <c r="S581" s="314" t="str">
        <f t="shared" si="96"/>
        <v>ok</v>
      </c>
      <c r="T581" s="314"/>
      <c r="U581" s="314"/>
      <c r="V581" s="314"/>
      <c r="W581" s="314"/>
      <c r="X581" s="314"/>
    </row>
    <row r="582" spans="1:40" s="313" customFormat="1" ht="16.5" customHeight="1">
      <c r="A582" s="1337" t="s">
        <v>3780</v>
      </c>
      <c r="B582" s="1711" t="s">
        <v>3781</v>
      </c>
      <c r="C582" s="1502" t="s">
        <v>53</v>
      </c>
      <c r="D582" s="1710">
        <v>2</v>
      </c>
      <c r="E582" s="1312">
        <v>5000</v>
      </c>
      <c r="F582" s="1486">
        <f t="shared" si="97"/>
        <v>10000</v>
      </c>
      <c r="G582" s="1049">
        <v>0</v>
      </c>
      <c r="H582" s="306">
        <v>0</v>
      </c>
      <c r="I582" s="307">
        <v>0</v>
      </c>
      <c r="J582" s="1046"/>
      <c r="K582" s="306">
        <f t="shared" si="98"/>
        <v>0</v>
      </c>
      <c r="L582" s="307">
        <f t="shared" si="99"/>
        <v>0</v>
      </c>
      <c r="M582" s="1047">
        <f t="shared" si="100"/>
        <v>0</v>
      </c>
      <c r="N582" s="306">
        <f t="shared" si="101"/>
        <v>0</v>
      </c>
      <c r="O582" s="307">
        <f t="shared" si="102"/>
        <v>0</v>
      </c>
      <c r="P582" s="1047">
        <f t="shared" si="103"/>
        <v>2</v>
      </c>
      <c r="Q582" s="306">
        <f t="shared" si="104"/>
        <v>10000</v>
      </c>
      <c r="R582" s="307">
        <f t="shared" si="105"/>
        <v>1</v>
      </c>
      <c r="S582" s="314" t="str">
        <f t="shared" si="96"/>
        <v>ok</v>
      </c>
      <c r="T582" s="314"/>
      <c r="U582" s="314"/>
      <c r="V582" s="314"/>
      <c r="W582" s="314"/>
      <c r="X582" s="314"/>
    </row>
    <row r="583" spans="1:40" s="313" customFormat="1" ht="16.5" customHeight="1">
      <c r="A583" s="1706">
        <v>6</v>
      </c>
      <c r="B583" s="1707" t="s">
        <v>3782</v>
      </c>
      <c r="C583" s="1502"/>
      <c r="D583" s="1710"/>
      <c r="E583" s="1312"/>
      <c r="F583" s="1486"/>
      <c r="G583" s="1049"/>
      <c r="H583" s="306"/>
      <c r="I583" s="307"/>
      <c r="J583" s="1046"/>
      <c r="K583" s="306"/>
      <c r="L583" s="307"/>
      <c r="M583" s="1047"/>
      <c r="N583" s="306"/>
      <c r="O583" s="307"/>
      <c r="P583" s="1047"/>
      <c r="Q583" s="306"/>
      <c r="R583" s="307"/>
      <c r="S583" s="314" t="str">
        <f t="shared" si="96"/>
        <v>ok</v>
      </c>
      <c r="T583" s="314"/>
      <c r="U583" s="314"/>
      <c r="V583" s="314"/>
      <c r="W583" s="314"/>
      <c r="X583" s="314"/>
    </row>
    <row r="584" spans="1:40" s="313" customFormat="1" ht="16.5" customHeight="1">
      <c r="A584" s="1648">
        <v>6.01</v>
      </c>
      <c r="B584" s="1648" t="s">
        <v>3783</v>
      </c>
      <c r="C584" s="1502"/>
      <c r="D584" s="1710"/>
      <c r="E584" s="1312"/>
      <c r="F584" s="1486"/>
      <c r="G584" s="1049"/>
      <c r="H584" s="306"/>
      <c r="I584" s="307"/>
      <c r="J584" s="1046"/>
      <c r="K584" s="306"/>
      <c r="L584" s="307"/>
      <c r="M584" s="1047"/>
      <c r="N584" s="306"/>
      <c r="O584" s="307"/>
      <c r="P584" s="1047"/>
      <c r="Q584" s="306"/>
      <c r="R584" s="307"/>
      <c r="S584" s="314" t="str">
        <f t="shared" si="96"/>
        <v>ok</v>
      </c>
      <c r="T584" s="314"/>
      <c r="U584" s="314"/>
      <c r="V584" s="314"/>
      <c r="W584" s="314"/>
      <c r="X584" s="314"/>
    </row>
    <row r="585" spans="1:40" s="1427" customFormat="1" ht="16.5" customHeight="1">
      <c r="A585" s="1880" t="s">
        <v>3777</v>
      </c>
      <c r="B585" s="1881" t="s">
        <v>3784</v>
      </c>
      <c r="C585" s="1858" t="s">
        <v>49</v>
      </c>
      <c r="D585" s="1859">
        <v>110</v>
      </c>
      <c r="E585" s="1854">
        <v>97.93</v>
      </c>
      <c r="F585" s="1855">
        <f t="shared" ref="F585" si="106">E585*D585</f>
        <v>10772.300000000001</v>
      </c>
      <c r="G585" s="2008">
        <v>0</v>
      </c>
      <c r="H585" s="1425">
        <v>0</v>
      </c>
      <c r="I585" s="305">
        <v>0</v>
      </c>
      <c r="J585" s="312">
        <v>110</v>
      </c>
      <c r="K585" s="1425">
        <f>J585*E585</f>
        <v>10772.300000000001</v>
      </c>
      <c r="L585" s="305">
        <f t="shared" si="99"/>
        <v>1</v>
      </c>
      <c r="M585" s="1047">
        <f t="shared" si="100"/>
        <v>110</v>
      </c>
      <c r="N585" s="1425">
        <f t="shared" si="101"/>
        <v>10772.3</v>
      </c>
      <c r="O585" s="305">
        <f t="shared" si="102"/>
        <v>0.99999999999999978</v>
      </c>
      <c r="P585" s="2022">
        <f t="shared" si="103"/>
        <v>0</v>
      </c>
      <c r="Q585" s="1425">
        <f t="shared" si="104"/>
        <v>0</v>
      </c>
      <c r="R585" s="305">
        <f t="shared" si="105"/>
        <v>0</v>
      </c>
      <c r="S585" s="1426" t="str">
        <f t="shared" si="96"/>
        <v>ok</v>
      </c>
      <c r="T585" s="1426"/>
      <c r="U585" s="1426"/>
      <c r="V585" s="1426"/>
      <c r="W585" s="1426"/>
      <c r="X585" s="1426"/>
    </row>
    <row r="586" spans="1:40" s="313" customFormat="1" ht="16.5" customHeight="1">
      <c r="A586" s="1648">
        <v>6.01</v>
      </c>
      <c r="B586" s="1648" t="s">
        <v>3785</v>
      </c>
      <c r="C586" s="1502"/>
      <c r="D586" s="1710"/>
      <c r="E586" s="1312"/>
      <c r="F586" s="1486"/>
      <c r="G586" s="1049"/>
      <c r="H586" s="306"/>
      <c r="I586" s="307"/>
      <c r="J586" s="1046"/>
      <c r="K586" s="306"/>
      <c r="L586" s="307"/>
      <c r="M586" s="1047"/>
      <c r="N586" s="306"/>
      <c r="O586" s="307"/>
      <c r="P586" s="1047"/>
      <c r="Q586" s="306"/>
      <c r="R586" s="307"/>
      <c r="S586" s="314" t="str">
        <f t="shared" si="96"/>
        <v>ok</v>
      </c>
      <c r="T586" s="314"/>
      <c r="U586" s="314"/>
      <c r="V586" s="314"/>
      <c r="W586" s="314"/>
      <c r="X586" s="314"/>
    </row>
    <row r="587" spans="1:40" s="313" customFormat="1" ht="16.5" customHeight="1">
      <c r="A587" s="1337" t="s">
        <v>3777</v>
      </c>
      <c r="B587" s="1711" t="s">
        <v>3786</v>
      </c>
      <c r="C587" s="1502" t="s">
        <v>49</v>
      </c>
      <c r="D587" s="1710">
        <v>60</v>
      </c>
      <c r="E587" s="1312">
        <v>14.81</v>
      </c>
      <c r="F587" s="1486">
        <f t="shared" si="97"/>
        <v>888.6</v>
      </c>
      <c r="G587" s="1049">
        <v>0</v>
      </c>
      <c r="H587" s="306">
        <v>0</v>
      </c>
      <c r="I587" s="307">
        <v>0</v>
      </c>
      <c r="J587" s="1046"/>
      <c r="K587" s="306">
        <f t="shared" si="98"/>
        <v>0</v>
      </c>
      <c r="L587" s="307">
        <f t="shared" si="99"/>
        <v>0</v>
      </c>
      <c r="M587" s="1047">
        <f t="shared" si="100"/>
        <v>0</v>
      </c>
      <c r="N587" s="306">
        <f t="shared" si="101"/>
        <v>0</v>
      </c>
      <c r="O587" s="307">
        <f t="shared" si="102"/>
        <v>0</v>
      </c>
      <c r="P587" s="1047">
        <f t="shared" si="103"/>
        <v>60</v>
      </c>
      <c r="Q587" s="306">
        <f t="shared" si="104"/>
        <v>888.6</v>
      </c>
      <c r="R587" s="307">
        <f t="shared" si="105"/>
        <v>1</v>
      </c>
      <c r="S587" s="314" t="str">
        <f t="shared" si="96"/>
        <v>ok</v>
      </c>
      <c r="T587" s="314"/>
      <c r="U587" s="314"/>
      <c r="V587" s="314"/>
      <c r="W587" s="314"/>
      <c r="X587" s="314"/>
    </row>
    <row r="588" spans="1:40" s="304" customFormat="1" ht="15" customHeight="1" thickBot="1">
      <c r="A588" s="933"/>
      <c r="B588" s="2537" t="s">
        <v>18</v>
      </c>
      <c r="C588" s="2538"/>
      <c r="D588" s="2538"/>
      <c r="E588" s="2539"/>
      <c r="F588" s="1295">
        <f>SUM(F18:F587)</f>
        <v>4142136.5430000024</v>
      </c>
      <c r="G588" s="1295"/>
      <c r="H588" s="1294">
        <f>SUM(H19:H587)-0.01</f>
        <v>967150.91</v>
      </c>
      <c r="I588" s="1296">
        <f>+H588/$F588</f>
        <v>0.2334908325594518</v>
      </c>
      <c r="J588" s="1297"/>
      <c r="K588" s="1294">
        <f>SUM(K19:K587)</f>
        <v>91446.268500000006</v>
      </c>
      <c r="L588" s="1296">
        <f>+K588/$F588</f>
        <v>2.207707726451932E-2</v>
      </c>
      <c r="M588" s="1298"/>
      <c r="N588" s="1294">
        <f>SUM(N19:N587)-0.01</f>
        <v>1058597.1800000002</v>
      </c>
      <c r="O588" s="1296">
        <f>+N588/$F588</f>
        <v>0.25556791018610309</v>
      </c>
      <c r="P588" s="1298"/>
      <c r="Q588" s="1294">
        <f>SUM(Q19:Q587)+0.01</f>
        <v>3083539.362999999</v>
      </c>
      <c r="R588" s="1299">
        <f>+Q588/$F588</f>
        <v>0.74443208981389608</v>
      </c>
      <c r="S588" s="314"/>
      <c r="T588" s="1133">
        <f>F588-N588</f>
        <v>3083539.3630000022</v>
      </c>
      <c r="U588" s="314"/>
      <c r="V588" s="314"/>
      <c r="W588" s="314"/>
      <c r="X588" s="314"/>
    </row>
    <row r="589" spans="1:40">
      <c r="G589" s="1191"/>
      <c r="N589" s="1191"/>
    </row>
    <row r="590" spans="1:40" ht="32.25">
      <c r="A590" s="1698"/>
      <c r="B590" s="2148" t="s">
        <v>3801</v>
      </c>
      <c r="C590" s="2148"/>
      <c r="D590" s="2148"/>
      <c r="E590" s="2148"/>
      <c r="F590" s="2148"/>
      <c r="G590" s="2148"/>
      <c r="H590" s="2148"/>
      <c r="I590" s="2148"/>
      <c r="J590" s="2148"/>
      <c r="K590" s="2148"/>
      <c r="L590" s="2148"/>
      <c r="M590" s="2148"/>
      <c r="N590" s="2148"/>
      <c r="O590" s="2148"/>
      <c r="P590" s="1698"/>
      <c r="Q590" s="1698"/>
      <c r="R590" s="1698"/>
    </row>
    <row r="591" spans="1:40" ht="17.25" customHeight="1">
      <c r="A591" s="2504"/>
      <c r="B591" s="2504"/>
      <c r="C591" s="2504"/>
      <c r="D591" s="2504"/>
      <c r="E591" s="2504"/>
      <c r="F591" s="2504"/>
      <c r="G591" s="2504"/>
      <c r="H591" s="2504"/>
      <c r="I591" s="2504"/>
      <c r="J591" s="2504"/>
      <c r="K591" s="2504"/>
      <c r="L591" s="2504"/>
      <c r="M591" s="2504"/>
      <c r="N591" s="2504"/>
      <c r="O591" s="2504"/>
      <c r="P591" s="2504"/>
      <c r="Q591" s="2504"/>
      <c r="R591" s="2504"/>
      <c r="S591" s="276"/>
      <c r="T591" s="276"/>
      <c r="U591" s="276"/>
      <c r="V591" s="276"/>
      <c r="W591" s="276"/>
      <c r="X591" s="276"/>
      <c r="Y591" s="276"/>
      <c r="Z591" s="276"/>
      <c r="AA591" s="276"/>
      <c r="AB591" s="276"/>
      <c r="AC591" s="276"/>
      <c r="AD591" s="276"/>
      <c r="AE591" s="276"/>
      <c r="AF591" s="276"/>
      <c r="AG591" s="276"/>
      <c r="AH591" s="276"/>
      <c r="AI591" s="276"/>
      <c r="AJ591" s="276"/>
      <c r="AK591" s="276"/>
      <c r="AL591" s="276"/>
      <c r="AM591" s="276"/>
      <c r="AN591" s="276"/>
    </row>
    <row r="592" spans="1:40" s="8" customFormat="1" ht="44.25" customHeight="1">
      <c r="A592" s="2149" t="s">
        <v>4275</v>
      </c>
      <c r="B592" s="2149"/>
      <c r="C592" s="2149"/>
      <c r="D592" s="2149"/>
      <c r="E592" s="2149"/>
      <c r="F592" s="2149"/>
      <c r="G592" s="2149"/>
      <c r="H592" s="2149"/>
      <c r="I592" s="2149"/>
      <c r="J592" s="2149"/>
      <c r="K592" s="2149"/>
      <c r="L592" s="2149"/>
      <c r="M592" s="2149"/>
      <c r="N592" s="2149"/>
      <c r="O592" s="2149"/>
      <c r="P592" s="2149"/>
      <c r="Q592" s="2149"/>
      <c r="R592" s="2149"/>
    </row>
    <row r="593" spans="1:18" ht="22.9" customHeight="1">
      <c r="A593" s="2149"/>
      <c r="B593" s="2149"/>
      <c r="C593" s="2149"/>
      <c r="D593" s="2149"/>
      <c r="E593" s="2149"/>
      <c r="F593" s="2149"/>
      <c r="G593" s="1700"/>
      <c r="H593" s="1700"/>
      <c r="I593" s="1700"/>
      <c r="J593" s="1700"/>
      <c r="K593" s="1700"/>
      <c r="L593" s="1700"/>
      <c r="M593" s="1700"/>
      <c r="N593" s="1700"/>
      <c r="O593" s="1700"/>
      <c r="P593" s="1700"/>
      <c r="Q593" s="1700"/>
      <c r="R593" s="1700"/>
    </row>
    <row r="594" spans="1:18" ht="15">
      <c r="A594" s="997"/>
      <c r="B594" s="998" t="s">
        <v>57</v>
      </c>
      <c r="C594" s="999"/>
      <c r="D594" s="999"/>
      <c r="E594" s="1464"/>
      <c r="F594" s="1391"/>
      <c r="G594" s="998"/>
      <c r="H594" s="998"/>
      <c r="I594" s="998"/>
      <c r="J594" s="998"/>
      <c r="K594" s="998"/>
      <c r="L594" s="998"/>
      <c r="M594" s="1000"/>
      <c r="N594" s="1001"/>
      <c r="O594" s="998"/>
      <c r="P594" s="998"/>
      <c r="Q594" s="998"/>
      <c r="R594" s="998"/>
    </row>
    <row r="595" spans="1:18" ht="15">
      <c r="A595" s="997" t="s">
        <v>136</v>
      </c>
      <c r="B595" s="998" t="str">
        <f>B6</f>
        <v>“MEJORAMIENTO DE LA GESTIÓN MUNICIPAL Y SERVICIO ADMINISTRATIVO DE LA MUNICIPALIDAD PROVINCIAL DE ABANCAY"</v>
      </c>
      <c r="C595" s="999"/>
      <c r="D595" s="999"/>
      <c r="E595" s="1464"/>
      <c r="F595" s="1391"/>
      <c r="G595" s="998"/>
      <c r="H595" s="998"/>
      <c r="I595" s="998"/>
      <c r="J595" s="998"/>
      <c r="K595" s="998"/>
      <c r="L595" s="998"/>
      <c r="M595" s="998"/>
      <c r="N595" s="998"/>
      <c r="O595" s="998"/>
      <c r="P595" s="998"/>
      <c r="Q595" s="998"/>
      <c r="R595" s="998"/>
    </row>
    <row r="596" spans="1:18" ht="15">
      <c r="A596" s="997" t="s">
        <v>137</v>
      </c>
      <c r="B596" s="998" t="s">
        <v>126</v>
      </c>
      <c r="C596" s="1002"/>
      <c r="D596" s="1002"/>
      <c r="E596" s="1465"/>
      <c r="F596" s="1392"/>
      <c r="G596" s="1003"/>
      <c r="H596" s="1003"/>
      <c r="I596" s="1003"/>
      <c r="J596" s="1003"/>
      <c r="K596" s="1003"/>
      <c r="L596" s="1004"/>
      <c r="M596" s="1003"/>
      <c r="N596" s="1003"/>
      <c r="O596" s="1003"/>
      <c r="P596" s="1003"/>
      <c r="Q596" s="1003"/>
      <c r="R596" s="1003"/>
    </row>
    <row r="597" spans="1:18" ht="15">
      <c r="A597" s="997" t="s">
        <v>139</v>
      </c>
      <c r="B597" s="1003" t="s">
        <v>2479</v>
      </c>
      <c r="C597" s="1002"/>
      <c r="D597" s="1002"/>
      <c r="E597" s="1465"/>
      <c r="F597" s="1392"/>
      <c r="G597" s="1003"/>
      <c r="H597" s="1003"/>
      <c r="I597" s="1003"/>
      <c r="J597" s="2143" t="s">
        <v>1147</v>
      </c>
      <c r="K597" s="2144"/>
      <c r="L597" s="2145" t="s">
        <v>4267</v>
      </c>
      <c r="M597" s="2146"/>
      <c r="N597" s="2146"/>
      <c r="O597" s="2147"/>
      <c r="P597" s="1005"/>
      <c r="Q597" s="1005"/>
      <c r="R597" s="1005"/>
    </row>
    <row r="598" spans="1:18" ht="20.25">
      <c r="A598" s="997" t="s">
        <v>129</v>
      </c>
      <c r="B598" s="998" t="str">
        <f>B10</f>
        <v>ING. RICHARD ERWIN MONTALVO ALVARO</v>
      </c>
      <c r="C598" s="1006"/>
      <c r="D598" s="1006"/>
      <c r="E598" s="1466"/>
      <c r="F598" s="1467"/>
      <c r="G598" s="1007"/>
      <c r="H598" s="1007"/>
      <c r="I598" s="1007"/>
      <c r="J598" s="2143" t="s">
        <v>1148</v>
      </c>
      <c r="K598" s="2144"/>
      <c r="L598" s="2502" t="s">
        <v>125</v>
      </c>
      <c r="M598" s="2502"/>
      <c r="N598" s="2502"/>
      <c r="O598" s="2502"/>
      <c r="P598" s="2503"/>
      <c r="Q598" s="2503"/>
      <c r="R598" s="2503"/>
    </row>
    <row r="599" spans="1:18" ht="16.5">
      <c r="A599" s="997" t="s">
        <v>128</v>
      </c>
      <c r="B599" s="1702" t="str">
        <f>B11</f>
        <v>ING. IVES BUSTHER GUTIERREZ ARENAS</v>
      </c>
      <c r="C599" s="1009"/>
      <c r="D599" s="1009"/>
      <c r="E599" s="1468"/>
      <c r="F599" s="1393"/>
      <c r="G599" s="1010"/>
      <c r="H599" s="1010"/>
      <c r="I599" s="1010"/>
      <c r="J599" s="2143" t="s">
        <v>1149</v>
      </c>
      <c r="K599" s="2144"/>
      <c r="L599" s="2502" t="s">
        <v>125</v>
      </c>
      <c r="M599" s="2502"/>
      <c r="N599" s="2502"/>
      <c r="O599" s="2502"/>
      <c r="P599" s="2503"/>
      <c r="Q599" s="2503"/>
      <c r="R599" s="2503"/>
    </row>
    <row r="600" spans="1:18" ht="16.5">
      <c r="A600" s="997" t="s">
        <v>1150</v>
      </c>
      <c r="B600" s="1702" t="s">
        <v>1187</v>
      </c>
      <c r="C600" s="1009"/>
      <c r="D600" s="1009"/>
      <c r="E600" s="1468"/>
      <c r="F600" s="1393"/>
      <c r="G600" s="1010"/>
      <c r="H600" s="1010"/>
      <c r="I600" s="1010"/>
      <c r="J600" s="2143" t="s">
        <v>1151</v>
      </c>
      <c r="K600" s="2144"/>
      <c r="L600" s="2502" t="s">
        <v>124</v>
      </c>
      <c r="M600" s="2502"/>
      <c r="N600" s="2502"/>
      <c r="O600" s="2502"/>
      <c r="P600" s="2503"/>
      <c r="Q600" s="2503"/>
      <c r="R600" s="2503"/>
    </row>
    <row r="601" spans="1:18">
      <c r="A601" s="315"/>
      <c r="B601" s="315"/>
      <c r="C601" s="1501"/>
      <c r="D601" s="1257"/>
      <c r="E601" s="1257"/>
      <c r="F601" s="313"/>
      <c r="G601" s="314"/>
      <c r="H601" s="314"/>
      <c r="I601" s="314"/>
      <c r="J601" s="314"/>
      <c r="K601" s="314"/>
      <c r="L601" s="314"/>
      <c r="M601" s="314"/>
      <c r="N601" s="314"/>
      <c r="O601" s="314"/>
      <c r="P601" s="314"/>
      <c r="Q601" s="314"/>
      <c r="R601" s="314"/>
    </row>
    <row r="602" spans="1:18" ht="28.5" customHeight="1">
      <c r="A602" s="2501" t="s">
        <v>31</v>
      </c>
      <c r="B602" s="2546" t="s">
        <v>114</v>
      </c>
      <c r="C602" s="2501" t="s">
        <v>37</v>
      </c>
      <c r="D602" s="2501" t="s">
        <v>23</v>
      </c>
      <c r="E602" s="2536" t="s">
        <v>706</v>
      </c>
      <c r="F602" s="2536" t="s">
        <v>127</v>
      </c>
      <c r="G602" s="1036"/>
      <c r="H602" s="1037"/>
      <c r="I602" s="1037"/>
      <c r="J602" s="1037"/>
      <c r="K602" s="1038" t="s">
        <v>767</v>
      </c>
      <c r="L602" s="1037"/>
      <c r="M602" s="1037"/>
      <c r="N602" s="1037"/>
      <c r="O602" s="1039"/>
      <c r="P602" s="2497" t="s">
        <v>16</v>
      </c>
      <c r="Q602" s="2497"/>
      <c r="R602" s="2497"/>
    </row>
    <row r="603" spans="1:18" ht="34.5" customHeight="1">
      <c r="A603" s="2501"/>
      <c r="B603" s="2546"/>
      <c r="C603" s="2501"/>
      <c r="D603" s="2501"/>
      <c r="E603" s="2536"/>
      <c r="F603" s="2536"/>
      <c r="G603" s="2497" t="s">
        <v>140</v>
      </c>
      <c r="H603" s="2497"/>
      <c r="I603" s="2497"/>
      <c r="J603" s="2497" t="s">
        <v>141</v>
      </c>
      <c r="K603" s="2497"/>
      <c r="L603" s="2497"/>
      <c r="M603" s="2497" t="s">
        <v>142</v>
      </c>
      <c r="N603" s="2497"/>
      <c r="O603" s="2497"/>
      <c r="P603" s="2497"/>
      <c r="Q603" s="2497"/>
      <c r="R603" s="2497"/>
    </row>
    <row r="604" spans="1:18" ht="36" customHeight="1">
      <c r="A604" s="2501"/>
      <c r="B604" s="2546"/>
      <c r="C604" s="2501"/>
      <c r="D604" s="2501"/>
      <c r="E604" s="2536"/>
      <c r="F604" s="2536"/>
      <c r="G604" s="1040" t="s">
        <v>54</v>
      </c>
      <c r="H604" s="1040" t="s">
        <v>506</v>
      </c>
      <c r="I604" s="1040" t="s">
        <v>30</v>
      </c>
      <c r="J604" s="1040" t="s">
        <v>54</v>
      </c>
      <c r="K604" s="1040" t="s">
        <v>506</v>
      </c>
      <c r="L604" s="1040" t="s">
        <v>30</v>
      </c>
      <c r="M604" s="1040" t="s">
        <v>54</v>
      </c>
      <c r="N604" s="1040" t="s">
        <v>506</v>
      </c>
      <c r="O604" s="1040" t="s">
        <v>30</v>
      </c>
      <c r="P604" s="1040" t="s">
        <v>54</v>
      </c>
      <c r="Q604" s="1040" t="s">
        <v>506</v>
      </c>
      <c r="R604" s="1040" t="s">
        <v>30</v>
      </c>
    </row>
    <row r="605" spans="1:18" ht="29.25" customHeight="1">
      <c r="A605" s="300"/>
      <c r="B605" s="1704"/>
      <c r="C605" s="300"/>
      <c r="D605" s="300"/>
      <c r="E605" s="1469"/>
      <c r="F605" s="1470">
        <f>F744</f>
        <v>433266.30559999991</v>
      </c>
      <c r="G605" s="1042"/>
      <c r="H605" s="1043">
        <f>H744</f>
        <v>230287.28000000006</v>
      </c>
      <c r="I605" s="308"/>
      <c r="J605" s="1044"/>
      <c r="K605" s="1043">
        <f>K744</f>
        <v>17400</v>
      </c>
      <c r="L605" s="309"/>
      <c r="M605" s="1044"/>
      <c r="N605" s="1043">
        <f>N744</f>
        <v>247687.28000000006</v>
      </c>
      <c r="O605" s="308"/>
      <c r="P605" s="1044"/>
      <c r="Q605" s="1043">
        <f>Q744</f>
        <v>185579.02559999996</v>
      </c>
      <c r="R605" s="308"/>
    </row>
    <row r="606" spans="1:18" ht="50.25" customHeight="1">
      <c r="A606" s="996"/>
      <c r="B606" s="1705" t="s">
        <v>2150</v>
      </c>
      <c r="C606" s="1473"/>
      <c r="D606" s="1474"/>
      <c r="E606" s="1474"/>
      <c r="F606" s="1475"/>
      <c r="G606" s="1048"/>
      <c r="H606" s="303"/>
      <c r="I606" s="310"/>
      <c r="J606" s="1045"/>
      <c r="K606" s="311"/>
      <c r="L606" s="311"/>
      <c r="M606" s="1045"/>
      <c r="N606" s="311"/>
      <c r="O606" s="311"/>
      <c r="P606" s="1045"/>
      <c r="Q606" s="311"/>
      <c r="R606" s="311"/>
    </row>
    <row r="607" spans="1:18" ht="18.75" customHeight="1">
      <c r="A607" s="1706">
        <v>1</v>
      </c>
      <c r="B607" s="1707" t="s">
        <v>1671</v>
      </c>
      <c r="C607" s="1473"/>
      <c r="D607" s="1474"/>
      <c r="E607" s="1474"/>
      <c r="F607" s="1475"/>
      <c r="G607" s="1048"/>
      <c r="H607" s="303"/>
      <c r="I607" s="310"/>
      <c r="J607" s="1045"/>
      <c r="K607" s="311"/>
      <c r="L607" s="311"/>
      <c r="M607" s="1045"/>
      <c r="N607" s="311"/>
      <c r="O607" s="311"/>
      <c r="P607" s="1045"/>
      <c r="Q607" s="311"/>
      <c r="R607" s="311"/>
    </row>
    <row r="608" spans="1:18">
      <c r="A608" s="1306">
        <v>1.1000000000000001</v>
      </c>
      <c r="B608" s="1307" t="s">
        <v>1672</v>
      </c>
      <c r="C608" s="1302"/>
      <c r="D608" s="1303"/>
      <c r="E608" s="1494">
        <v>0</v>
      </c>
      <c r="F608" s="1722" t="str">
        <f t="shared" ref="F608:F620" si="107">IF(ISBLANK(C608)," ",ROUND(E608*D608,2))</f>
        <v xml:space="preserve"> </v>
      </c>
      <c r="G608" s="1049"/>
      <c r="H608" s="306"/>
      <c r="I608" s="307"/>
      <c r="J608" s="1046"/>
      <c r="K608" s="306"/>
      <c r="L608" s="307"/>
      <c r="M608" s="1047"/>
      <c r="N608" s="306"/>
      <c r="O608" s="307"/>
      <c r="P608" s="1047"/>
      <c r="Q608" s="306"/>
      <c r="R608" s="307"/>
    </row>
    <row r="609" spans="1:18">
      <c r="A609" s="1309" t="s">
        <v>1189</v>
      </c>
      <c r="B609" s="1310" t="s">
        <v>1673</v>
      </c>
      <c r="C609" s="1302"/>
      <c r="D609" s="1303"/>
      <c r="E609" s="1494">
        <v>0</v>
      </c>
      <c r="F609" s="1722" t="str">
        <f t="shared" si="107"/>
        <v xml:space="preserve"> </v>
      </c>
      <c r="G609" s="1049"/>
      <c r="H609" s="306"/>
      <c r="I609" s="307"/>
      <c r="J609" s="1046"/>
      <c r="K609" s="306"/>
      <c r="L609" s="307"/>
      <c r="M609" s="1047"/>
      <c r="N609" s="306"/>
      <c r="O609" s="307"/>
      <c r="P609" s="1047"/>
      <c r="Q609" s="306"/>
      <c r="R609" s="307"/>
    </row>
    <row r="610" spans="1:18" s="1869" customFormat="1">
      <c r="A610" s="1315"/>
      <c r="B610" s="1316" t="s">
        <v>2326</v>
      </c>
      <c r="C610" s="1317" t="s">
        <v>53</v>
      </c>
      <c r="D610" s="1862">
        <v>7</v>
      </c>
      <c r="E610" s="1496">
        <v>1000</v>
      </c>
      <c r="F610" s="1732">
        <f t="shared" si="107"/>
        <v>7000</v>
      </c>
      <c r="G610" s="2008">
        <v>3</v>
      </c>
      <c r="H610" s="1425">
        <v>3000</v>
      </c>
      <c r="I610" s="305">
        <v>0.42857142857142855</v>
      </c>
      <c r="J610" s="2008">
        <v>1</v>
      </c>
      <c r="K610" s="1425">
        <f t="shared" ref="K610" si="108">J610*E610</f>
        <v>1000</v>
      </c>
      <c r="L610" s="305">
        <f t="shared" ref="L610" si="109">+K610/$F610</f>
        <v>0.14285714285714285</v>
      </c>
      <c r="M610" s="1047">
        <f t="shared" ref="M610" si="110">+G610+J610</f>
        <v>4</v>
      </c>
      <c r="N610" s="1425">
        <f t="shared" ref="N610" si="111">ROUND(+M610*E610,2)</f>
        <v>4000</v>
      </c>
      <c r="O610" s="305">
        <f t="shared" ref="O610" si="112">+N610/$F610</f>
        <v>0.5714285714285714</v>
      </c>
      <c r="P610" s="2008">
        <f t="shared" ref="P610" si="113">D610-M610</f>
        <v>3</v>
      </c>
      <c r="Q610" s="1425">
        <f t="shared" ref="Q610" si="114">F610-N610</f>
        <v>3000</v>
      </c>
      <c r="R610" s="305">
        <f t="shared" ref="R610" si="115">+Q610/$F610</f>
        <v>0.42857142857142855</v>
      </c>
    </row>
    <row r="611" spans="1:18" s="1869" customFormat="1">
      <c r="A611" s="1315"/>
      <c r="B611" s="1316" t="s">
        <v>2328</v>
      </c>
      <c r="C611" s="1317" t="s">
        <v>53</v>
      </c>
      <c r="D611" s="1862">
        <v>7</v>
      </c>
      <c r="E611" s="1496">
        <v>8500</v>
      </c>
      <c r="F611" s="1732">
        <f t="shared" si="107"/>
        <v>59500</v>
      </c>
      <c r="G611" s="2008">
        <v>3</v>
      </c>
      <c r="H611" s="1425">
        <v>25500</v>
      </c>
      <c r="I611" s="305">
        <v>0.42857142857142855</v>
      </c>
      <c r="J611" s="2008">
        <v>1</v>
      </c>
      <c r="K611" s="1425">
        <f t="shared" ref="K611:K674" si="116">J611*E611</f>
        <v>8500</v>
      </c>
      <c r="L611" s="305">
        <f t="shared" ref="L611:L674" si="117">+K611/$F611</f>
        <v>0.14285714285714285</v>
      </c>
      <c r="M611" s="1047">
        <f t="shared" ref="M611:M674" si="118">+G611+J611</f>
        <v>4</v>
      </c>
      <c r="N611" s="1425">
        <f t="shared" ref="N611:N674" si="119">ROUND(+M611*E611,2)</f>
        <v>34000</v>
      </c>
      <c r="O611" s="305">
        <f t="shared" ref="O611:O674" si="120">+N611/$F611</f>
        <v>0.5714285714285714</v>
      </c>
      <c r="P611" s="2008">
        <f t="shared" ref="P611:P674" si="121">D611-M611</f>
        <v>3</v>
      </c>
      <c r="Q611" s="1425">
        <f t="shared" ref="Q611:Q674" si="122">F611-N611</f>
        <v>25500</v>
      </c>
      <c r="R611" s="305">
        <f t="shared" ref="R611:R674" si="123">+Q611/$F611</f>
        <v>0.42857142857142855</v>
      </c>
    </row>
    <row r="612" spans="1:18" s="1869" customFormat="1">
      <c r="A612" s="1315" t="s">
        <v>1194</v>
      </c>
      <c r="B612" s="1327" t="s">
        <v>1678</v>
      </c>
      <c r="C612" s="1317"/>
      <c r="D612" s="1862"/>
      <c r="E612" s="1496"/>
      <c r="F612" s="1732" t="str">
        <f t="shared" si="107"/>
        <v xml:space="preserve"> </v>
      </c>
      <c r="G612" s="2008"/>
      <c r="H612" s="1425"/>
      <c r="I612" s="305"/>
      <c r="J612" s="2008"/>
      <c r="K612" s="1425"/>
      <c r="L612" s="305"/>
      <c r="M612" s="1047"/>
      <c r="N612" s="1425"/>
      <c r="O612" s="305"/>
      <c r="P612" s="2008"/>
      <c r="Q612" s="1425"/>
      <c r="R612" s="305"/>
    </row>
    <row r="613" spans="1:18" s="1869" customFormat="1">
      <c r="A613" s="1315"/>
      <c r="B613" s="1316" t="s">
        <v>2330</v>
      </c>
      <c r="C613" s="1317" t="s">
        <v>53</v>
      </c>
      <c r="D613" s="1862">
        <v>7</v>
      </c>
      <c r="E613" s="1496">
        <v>350</v>
      </c>
      <c r="F613" s="1732">
        <f t="shared" si="107"/>
        <v>2450</v>
      </c>
      <c r="G613" s="2008">
        <v>3</v>
      </c>
      <c r="H613" s="1425">
        <v>1050</v>
      </c>
      <c r="I613" s="305">
        <v>0.42857142857142855</v>
      </c>
      <c r="J613" s="2008">
        <v>1</v>
      </c>
      <c r="K613" s="1425">
        <f t="shared" si="116"/>
        <v>350</v>
      </c>
      <c r="L613" s="305">
        <f t="shared" si="117"/>
        <v>0.14285714285714285</v>
      </c>
      <c r="M613" s="1047">
        <f t="shared" si="118"/>
        <v>4</v>
      </c>
      <c r="N613" s="1425">
        <f t="shared" si="119"/>
        <v>1400</v>
      </c>
      <c r="O613" s="305">
        <f t="shared" si="120"/>
        <v>0.5714285714285714</v>
      </c>
      <c r="P613" s="2008">
        <f t="shared" si="121"/>
        <v>3</v>
      </c>
      <c r="Q613" s="1425">
        <f t="shared" si="122"/>
        <v>1050</v>
      </c>
      <c r="R613" s="305">
        <f t="shared" si="123"/>
        <v>0.42857142857142855</v>
      </c>
    </row>
    <row r="614" spans="1:18" s="1869" customFormat="1">
      <c r="A614" s="1315"/>
      <c r="B614" s="1316" t="s">
        <v>2331</v>
      </c>
      <c r="C614" s="1317" t="s">
        <v>53</v>
      </c>
      <c r="D614" s="1862">
        <v>7</v>
      </c>
      <c r="E614" s="1496">
        <v>800</v>
      </c>
      <c r="F614" s="1732">
        <f t="shared" si="107"/>
        <v>5600</v>
      </c>
      <c r="G614" s="2008">
        <v>3</v>
      </c>
      <c r="H614" s="1425">
        <v>2400</v>
      </c>
      <c r="I614" s="305">
        <v>0.42857142857142855</v>
      </c>
      <c r="J614" s="2008">
        <v>1</v>
      </c>
      <c r="K614" s="1425">
        <f t="shared" si="116"/>
        <v>800</v>
      </c>
      <c r="L614" s="305">
        <f t="shared" si="117"/>
        <v>0.14285714285714285</v>
      </c>
      <c r="M614" s="1047">
        <f t="shared" si="118"/>
        <v>4</v>
      </c>
      <c r="N614" s="1425">
        <f t="shared" si="119"/>
        <v>3200</v>
      </c>
      <c r="O614" s="305">
        <f t="shared" si="120"/>
        <v>0.5714285714285714</v>
      </c>
      <c r="P614" s="2008">
        <f t="shared" si="121"/>
        <v>3</v>
      </c>
      <c r="Q614" s="1425">
        <f t="shared" si="122"/>
        <v>2400</v>
      </c>
      <c r="R614" s="305">
        <f t="shared" si="123"/>
        <v>0.42857142857142855</v>
      </c>
    </row>
    <row r="615" spans="1:18" s="1869" customFormat="1">
      <c r="A615" s="1860">
        <v>1.2</v>
      </c>
      <c r="B615" s="1904" t="s">
        <v>1688</v>
      </c>
      <c r="C615" s="1863"/>
      <c r="D615" s="1862"/>
      <c r="E615" s="1863"/>
      <c r="F615" s="1732" t="str">
        <f t="shared" si="107"/>
        <v xml:space="preserve"> </v>
      </c>
      <c r="G615" s="2008"/>
      <c r="H615" s="1425"/>
      <c r="I615" s="305"/>
      <c r="J615" s="2008"/>
      <c r="K615" s="1425"/>
      <c r="L615" s="305"/>
      <c r="M615" s="1047"/>
      <c r="N615" s="1425"/>
      <c r="O615" s="305"/>
      <c r="P615" s="2008"/>
      <c r="Q615" s="1425"/>
      <c r="R615" s="305"/>
    </row>
    <row r="616" spans="1:18" s="1869" customFormat="1" ht="30">
      <c r="A616" s="1860" t="s">
        <v>1204</v>
      </c>
      <c r="B616" s="1860" t="s">
        <v>1689</v>
      </c>
      <c r="C616" s="1861" t="s">
        <v>268</v>
      </c>
      <c r="D616" s="1862">
        <v>1</v>
      </c>
      <c r="E616" s="1863">
        <v>4750</v>
      </c>
      <c r="F616" s="1732">
        <f t="shared" si="107"/>
        <v>4750</v>
      </c>
      <c r="G616" s="2008">
        <v>0.75</v>
      </c>
      <c r="H616" s="1425">
        <v>3562.5</v>
      </c>
      <c r="I616" s="305">
        <v>0.75</v>
      </c>
      <c r="J616" s="2008">
        <v>0.1</v>
      </c>
      <c r="K616" s="1425">
        <f t="shared" si="116"/>
        <v>475</v>
      </c>
      <c r="L616" s="305">
        <f t="shared" si="117"/>
        <v>0.1</v>
      </c>
      <c r="M616" s="1047">
        <f t="shared" si="118"/>
        <v>0.85</v>
      </c>
      <c r="N616" s="1425">
        <f t="shared" si="119"/>
        <v>4037.5</v>
      </c>
      <c r="O616" s="305">
        <f t="shared" si="120"/>
        <v>0.85</v>
      </c>
      <c r="P616" s="2008">
        <f t="shared" si="121"/>
        <v>0.15000000000000002</v>
      </c>
      <c r="Q616" s="1425">
        <f t="shared" si="122"/>
        <v>712.5</v>
      </c>
      <c r="R616" s="305">
        <f t="shared" si="123"/>
        <v>0.15</v>
      </c>
    </row>
    <row r="617" spans="1:18" s="1869" customFormat="1" ht="15">
      <c r="A617" s="1860" t="s">
        <v>1205</v>
      </c>
      <c r="B617" s="1860" t="s">
        <v>1690</v>
      </c>
      <c r="C617" s="1861" t="s">
        <v>52</v>
      </c>
      <c r="D617" s="1862">
        <v>70</v>
      </c>
      <c r="E617" s="1863">
        <v>226</v>
      </c>
      <c r="F617" s="1732">
        <f t="shared" si="107"/>
        <v>15820</v>
      </c>
      <c r="G617" s="2008">
        <v>20</v>
      </c>
      <c r="H617" s="1425">
        <v>4520</v>
      </c>
      <c r="I617" s="305">
        <v>0.2857142857142857</v>
      </c>
      <c r="J617" s="2008"/>
      <c r="K617" s="1425">
        <f t="shared" si="116"/>
        <v>0</v>
      </c>
      <c r="L617" s="305">
        <f t="shared" si="117"/>
        <v>0</v>
      </c>
      <c r="M617" s="1047">
        <f t="shared" si="118"/>
        <v>20</v>
      </c>
      <c r="N617" s="1425">
        <f t="shared" si="119"/>
        <v>4520</v>
      </c>
      <c r="O617" s="305">
        <f t="shared" si="120"/>
        <v>0.2857142857142857</v>
      </c>
      <c r="P617" s="2008">
        <f t="shared" si="121"/>
        <v>50</v>
      </c>
      <c r="Q617" s="1425">
        <f t="shared" si="122"/>
        <v>11300</v>
      </c>
      <c r="R617" s="305">
        <f t="shared" si="123"/>
        <v>0.7142857142857143</v>
      </c>
    </row>
    <row r="618" spans="1:18" s="1869" customFormat="1" ht="15">
      <c r="A618" s="1860" t="s">
        <v>1206</v>
      </c>
      <c r="B618" s="1860" t="s">
        <v>1691</v>
      </c>
      <c r="C618" s="1861" t="s">
        <v>268</v>
      </c>
      <c r="D618" s="1862">
        <v>4</v>
      </c>
      <c r="E618" s="1863">
        <v>4500</v>
      </c>
      <c r="F618" s="1732">
        <f t="shared" si="107"/>
        <v>18000</v>
      </c>
      <c r="G618" s="2008">
        <v>2</v>
      </c>
      <c r="H618" s="1425">
        <v>9000</v>
      </c>
      <c r="I618" s="305">
        <v>0.5</v>
      </c>
      <c r="J618" s="2008">
        <v>0.5</v>
      </c>
      <c r="K618" s="1425">
        <f t="shared" si="116"/>
        <v>2250</v>
      </c>
      <c r="L618" s="305">
        <f t="shared" si="117"/>
        <v>0.125</v>
      </c>
      <c r="M618" s="1047">
        <f t="shared" si="118"/>
        <v>2.5</v>
      </c>
      <c r="N618" s="1425">
        <f t="shared" si="119"/>
        <v>11250</v>
      </c>
      <c r="O618" s="305">
        <f t="shared" si="120"/>
        <v>0.625</v>
      </c>
      <c r="P618" s="2008">
        <f t="shared" si="121"/>
        <v>1.5</v>
      </c>
      <c r="Q618" s="1425">
        <f t="shared" si="122"/>
        <v>6750</v>
      </c>
      <c r="R618" s="305">
        <f t="shared" si="123"/>
        <v>0.375</v>
      </c>
    </row>
    <row r="619" spans="1:18" s="1869" customFormat="1" ht="15">
      <c r="A619" s="1860" t="s">
        <v>1207</v>
      </c>
      <c r="B619" s="1860" t="s">
        <v>1692</v>
      </c>
      <c r="C619" s="1861" t="s">
        <v>268</v>
      </c>
      <c r="D619" s="1862">
        <v>4</v>
      </c>
      <c r="E619" s="1863">
        <v>3100</v>
      </c>
      <c r="F619" s="1732">
        <f t="shared" si="107"/>
        <v>12400</v>
      </c>
      <c r="G619" s="2008">
        <v>2</v>
      </c>
      <c r="H619" s="1425">
        <v>6200</v>
      </c>
      <c r="I619" s="305">
        <v>0.5</v>
      </c>
      <c r="J619" s="2008">
        <v>0.5</v>
      </c>
      <c r="K619" s="1425">
        <f t="shared" si="116"/>
        <v>1550</v>
      </c>
      <c r="L619" s="305">
        <f t="shared" si="117"/>
        <v>0.125</v>
      </c>
      <c r="M619" s="1047">
        <f t="shared" si="118"/>
        <v>2.5</v>
      </c>
      <c r="N619" s="1425">
        <f t="shared" si="119"/>
        <v>7750</v>
      </c>
      <c r="O619" s="305">
        <f t="shared" si="120"/>
        <v>0.625</v>
      </c>
      <c r="P619" s="2008">
        <f t="shared" si="121"/>
        <v>1.5</v>
      </c>
      <c r="Q619" s="1425">
        <f t="shared" si="122"/>
        <v>4650</v>
      </c>
      <c r="R619" s="305">
        <f t="shared" si="123"/>
        <v>0.375</v>
      </c>
    </row>
    <row r="620" spans="1:18" s="1869" customFormat="1" ht="15">
      <c r="A620" s="1860" t="s">
        <v>1208</v>
      </c>
      <c r="B620" s="1860" t="s">
        <v>1693</v>
      </c>
      <c r="C620" s="1861" t="s">
        <v>268</v>
      </c>
      <c r="D620" s="1862">
        <v>4</v>
      </c>
      <c r="E620" s="1863">
        <v>4950</v>
      </c>
      <c r="F620" s="1732">
        <f t="shared" si="107"/>
        <v>19800</v>
      </c>
      <c r="G620" s="2008">
        <v>2</v>
      </c>
      <c r="H620" s="1425">
        <v>9900</v>
      </c>
      <c r="I620" s="305">
        <v>0.5</v>
      </c>
      <c r="J620" s="2008">
        <v>0.5</v>
      </c>
      <c r="K620" s="1425">
        <f t="shared" si="116"/>
        <v>2475</v>
      </c>
      <c r="L620" s="305">
        <f t="shared" si="117"/>
        <v>0.125</v>
      </c>
      <c r="M620" s="1047">
        <f t="shared" si="118"/>
        <v>2.5</v>
      </c>
      <c r="N620" s="1425">
        <f t="shared" si="119"/>
        <v>12375</v>
      </c>
      <c r="O620" s="305">
        <f t="shared" si="120"/>
        <v>0.625</v>
      </c>
      <c r="P620" s="2008">
        <f t="shared" si="121"/>
        <v>1.5</v>
      </c>
      <c r="Q620" s="1425">
        <f t="shared" si="122"/>
        <v>7425</v>
      </c>
      <c r="R620" s="305">
        <f t="shared" si="123"/>
        <v>0.375</v>
      </c>
    </row>
    <row r="621" spans="1:18" s="1869" customFormat="1" ht="18" customHeight="1">
      <c r="A621" s="1914">
        <v>2</v>
      </c>
      <c r="B621" s="1915" t="s">
        <v>1695</v>
      </c>
      <c r="C621" s="1916"/>
      <c r="D621" s="1917"/>
      <c r="E621" s="1917"/>
      <c r="F621" s="1918"/>
      <c r="G621" s="1049"/>
      <c r="H621" s="1425"/>
      <c r="I621" s="305"/>
      <c r="J621" s="1049"/>
      <c r="K621" s="1425"/>
      <c r="L621" s="305"/>
      <c r="M621" s="1047"/>
      <c r="N621" s="1425"/>
      <c r="O621" s="305"/>
      <c r="P621" s="1049"/>
      <c r="Q621" s="1425"/>
      <c r="R621" s="305"/>
    </row>
    <row r="622" spans="1:18" s="1869" customFormat="1">
      <c r="A622" s="1904">
        <v>2.1</v>
      </c>
      <c r="B622" s="1919" t="s">
        <v>1701</v>
      </c>
      <c r="C622" s="1916"/>
      <c r="D622" s="1917"/>
      <c r="E622" s="1917"/>
      <c r="F622" s="1920"/>
      <c r="G622" s="1049"/>
      <c r="H622" s="1425"/>
      <c r="I622" s="305"/>
      <c r="J622" s="1049"/>
      <c r="K622" s="1425"/>
      <c r="L622" s="305"/>
      <c r="M622" s="1047"/>
      <c r="N622" s="1425"/>
      <c r="O622" s="305"/>
      <c r="P622" s="1049"/>
      <c r="Q622" s="1425"/>
      <c r="R622" s="305"/>
    </row>
    <row r="623" spans="1:18" s="1869" customFormat="1">
      <c r="A623" s="1921" t="s">
        <v>1216</v>
      </c>
      <c r="B623" s="1922" t="s">
        <v>2377</v>
      </c>
      <c r="C623" s="1923"/>
      <c r="D623" s="1924"/>
      <c r="E623" s="1732"/>
      <c r="F623" s="1925"/>
      <c r="G623" s="1049"/>
      <c r="H623" s="1425"/>
      <c r="I623" s="305"/>
      <c r="J623" s="1049"/>
      <c r="K623" s="1425"/>
      <c r="L623" s="305"/>
      <c r="M623" s="1049"/>
      <c r="N623" s="1425"/>
      <c r="O623" s="305"/>
      <c r="P623" s="1049"/>
      <c r="Q623" s="1425"/>
      <c r="R623" s="305"/>
    </row>
    <row r="624" spans="1:18" s="1869" customFormat="1" ht="15">
      <c r="A624" s="1926" t="s">
        <v>2687</v>
      </c>
      <c r="B624" s="1927" t="s">
        <v>2380</v>
      </c>
      <c r="C624" s="1863" t="s">
        <v>50</v>
      </c>
      <c r="D624" s="1862">
        <v>8</v>
      </c>
      <c r="E624" s="1863">
        <v>486.9</v>
      </c>
      <c r="F624" s="1862">
        <f>IF(ISBLANK(C624)," ",ROUND(E624*D624,2))</f>
        <v>3895.2</v>
      </c>
      <c r="G624" s="1049">
        <v>8</v>
      </c>
      <c r="H624" s="1425">
        <v>3895.2</v>
      </c>
      <c r="I624" s="305">
        <v>1</v>
      </c>
      <c r="J624" s="1049"/>
      <c r="K624" s="1425">
        <f t="shared" si="116"/>
        <v>0</v>
      </c>
      <c r="L624" s="305">
        <f t="shared" si="117"/>
        <v>0</v>
      </c>
      <c r="M624" s="1049">
        <f t="shared" si="118"/>
        <v>8</v>
      </c>
      <c r="N624" s="1425">
        <f t="shared" si="119"/>
        <v>3895.2</v>
      </c>
      <c r="O624" s="305">
        <f t="shared" si="120"/>
        <v>1</v>
      </c>
      <c r="P624" s="1049">
        <f t="shared" si="121"/>
        <v>0</v>
      </c>
      <c r="Q624" s="1425">
        <f t="shared" si="122"/>
        <v>0</v>
      </c>
      <c r="R624" s="305">
        <f t="shared" si="123"/>
        <v>0</v>
      </c>
    </row>
    <row r="625" spans="1:24" s="1869" customFormat="1">
      <c r="A625" s="1728" t="s">
        <v>2345</v>
      </c>
      <c r="B625" s="1729" t="s">
        <v>2346</v>
      </c>
      <c r="C625" s="1928"/>
      <c r="D625" s="1929"/>
      <c r="E625" s="1863"/>
      <c r="F625" s="1732"/>
      <c r="G625" s="1049"/>
      <c r="H625" s="1425"/>
      <c r="I625" s="305"/>
      <c r="J625" s="1049"/>
      <c r="K625" s="1425"/>
      <c r="L625" s="305"/>
      <c r="M625" s="1049"/>
      <c r="N625" s="1425"/>
      <c r="O625" s="305"/>
      <c r="P625" s="1049"/>
      <c r="Q625" s="1425"/>
      <c r="R625" s="305"/>
    </row>
    <row r="626" spans="1:24" s="1869" customFormat="1">
      <c r="A626" s="1930" t="s">
        <v>2353</v>
      </c>
      <c r="B626" s="1922" t="s">
        <v>2354</v>
      </c>
      <c r="C626" s="1931"/>
      <c r="D626" s="1862"/>
      <c r="E626" s="1863"/>
      <c r="F626" s="1732"/>
      <c r="G626" s="1049"/>
      <c r="H626" s="1425"/>
      <c r="I626" s="305"/>
      <c r="J626" s="1049"/>
      <c r="K626" s="1425"/>
      <c r="L626" s="305"/>
      <c r="M626" s="1049"/>
      <c r="N626" s="1425"/>
      <c r="O626" s="305"/>
      <c r="P626" s="1049"/>
      <c r="Q626" s="1425"/>
      <c r="R626" s="305"/>
    </row>
    <row r="627" spans="1:24" s="1869" customFormat="1" ht="15">
      <c r="A627" s="1932"/>
      <c r="B627" s="1927" t="s">
        <v>3787</v>
      </c>
      <c r="C627" s="1863" t="s">
        <v>49</v>
      </c>
      <c r="D627" s="1862">
        <v>36</v>
      </c>
      <c r="E627" s="1862">
        <v>47.3</v>
      </c>
      <c r="F627" s="1732">
        <f>IF(ISBLANK(C627)," ",ROUND(E627*D627,2))</f>
        <v>1702.8</v>
      </c>
      <c r="G627" s="1049">
        <v>36</v>
      </c>
      <c r="H627" s="1425">
        <v>1702.8</v>
      </c>
      <c r="I627" s="305">
        <v>1</v>
      </c>
      <c r="J627" s="1049"/>
      <c r="K627" s="1425">
        <f t="shared" si="116"/>
        <v>0</v>
      </c>
      <c r="L627" s="305">
        <f t="shared" si="117"/>
        <v>0</v>
      </c>
      <c r="M627" s="1049">
        <f t="shared" si="118"/>
        <v>36</v>
      </c>
      <c r="N627" s="1425">
        <f t="shared" si="119"/>
        <v>1702.8</v>
      </c>
      <c r="O627" s="305">
        <f t="shared" si="120"/>
        <v>1</v>
      </c>
      <c r="P627" s="1049">
        <f t="shared" si="121"/>
        <v>0</v>
      </c>
      <c r="Q627" s="1425">
        <f t="shared" si="122"/>
        <v>0</v>
      </c>
      <c r="R627" s="305">
        <f t="shared" si="123"/>
        <v>0</v>
      </c>
    </row>
    <row r="628" spans="1:24" s="1869" customFormat="1" ht="15">
      <c r="A628" s="1933"/>
      <c r="B628" s="1934" t="s">
        <v>2355</v>
      </c>
      <c r="C628" s="1863" t="s">
        <v>50</v>
      </c>
      <c r="D628" s="1862">
        <v>4</v>
      </c>
      <c r="E628" s="1863">
        <v>461.61</v>
      </c>
      <c r="F628" s="1732">
        <f>IF(ISBLANK(C628)," ",ROUND(E628*D628,2))</f>
        <v>1846.44</v>
      </c>
      <c r="G628" s="1049">
        <v>4</v>
      </c>
      <c r="H628" s="1425">
        <v>1846.44</v>
      </c>
      <c r="I628" s="305">
        <v>1</v>
      </c>
      <c r="J628" s="1049"/>
      <c r="K628" s="1425">
        <f t="shared" si="116"/>
        <v>0</v>
      </c>
      <c r="L628" s="305">
        <f t="shared" si="117"/>
        <v>0</v>
      </c>
      <c r="M628" s="1049">
        <f t="shared" si="118"/>
        <v>4</v>
      </c>
      <c r="N628" s="1425">
        <f t="shared" si="119"/>
        <v>1846.44</v>
      </c>
      <c r="O628" s="305">
        <f t="shared" si="120"/>
        <v>1</v>
      </c>
      <c r="P628" s="1049">
        <f t="shared" si="121"/>
        <v>0</v>
      </c>
      <c r="Q628" s="1425">
        <f t="shared" si="122"/>
        <v>0</v>
      </c>
      <c r="R628" s="305">
        <f t="shared" si="123"/>
        <v>0</v>
      </c>
    </row>
    <row r="629" spans="1:24" s="1869" customFormat="1">
      <c r="A629" s="1914">
        <v>3</v>
      </c>
      <c r="B629" s="1915" t="s">
        <v>1736</v>
      </c>
      <c r="C629" s="1863"/>
      <c r="D629" s="1862"/>
      <c r="E629" s="1863"/>
      <c r="F629" s="1740" t="str">
        <f t="shared" ref="F629:F693" si="124">IF(ISBLANK(C629)," ",ROUND(E629*D629,2))</f>
        <v xml:space="preserve"> </v>
      </c>
      <c r="G629" s="1049"/>
      <c r="H629" s="1425"/>
      <c r="I629" s="305"/>
      <c r="J629" s="1049"/>
      <c r="K629" s="1425"/>
      <c r="L629" s="305"/>
      <c r="M629" s="1049"/>
      <c r="N629" s="1425"/>
      <c r="O629" s="305"/>
      <c r="P629" s="1049"/>
      <c r="Q629" s="1425"/>
      <c r="R629" s="305"/>
    </row>
    <row r="630" spans="1:24" s="1427" customFormat="1" ht="16.5" customHeight="1">
      <c r="A630" s="1935" t="s">
        <v>45</v>
      </c>
      <c r="B630" s="1911" t="s">
        <v>3788</v>
      </c>
      <c r="C630" s="1936"/>
      <c r="D630" s="1318"/>
      <c r="E630" s="1937"/>
      <c r="F630" s="1305"/>
      <c r="G630" s="1049"/>
      <c r="H630" s="1425"/>
      <c r="I630" s="305"/>
      <c r="J630" s="1049"/>
      <c r="K630" s="1425"/>
      <c r="L630" s="305"/>
      <c r="M630" s="1049"/>
      <c r="N630" s="1425"/>
      <c r="O630" s="305"/>
      <c r="P630" s="1049"/>
      <c r="Q630" s="1425"/>
      <c r="R630" s="305"/>
      <c r="S630" s="1426"/>
      <c r="T630" s="1426"/>
      <c r="U630" s="1426"/>
      <c r="V630" s="1426"/>
      <c r="W630" s="1426"/>
      <c r="X630" s="1426"/>
    </row>
    <row r="631" spans="1:24" s="1427" customFormat="1" ht="16.5" customHeight="1">
      <c r="A631" s="1907" t="s">
        <v>675</v>
      </c>
      <c r="B631" s="1908" t="s">
        <v>2742</v>
      </c>
      <c r="C631" s="1863" t="s">
        <v>49</v>
      </c>
      <c r="D631" s="1732">
        <v>17.399999999999999</v>
      </c>
      <c r="E631" s="1732">
        <v>143.33000000000001</v>
      </c>
      <c r="F631" s="1732">
        <f>E631*D631</f>
        <v>2493.942</v>
      </c>
      <c r="G631" s="1049">
        <v>17.399999999999999</v>
      </c>
      <c r="H631" s="1425">
        <v>2493.94</v>
      </c>
      <c r="I631" s="305">
        <v>0.9999991980567311</v>
      </c>
      <c r="J631" s="1049"/>
      <c r="K631" s="1425">
        <f t="shared" si="116"/>
        <v>0</v>
      </c>
      <c r="L631" s="305">
        <f t="shared" si="117"/>
        <v>0</v>
      </c>
      <c r="M631" s="1049">
        <f t="shared" si="118"/>
        <v>17.399999999999999</v>
      </c>
      <c r="N631" s="1425">
        <f t="shared" si="119"/>
        <v>2493.94</v>
      </c>
      <c r="O631" s="305">
        <f t="shared" si="120"/>
        <v>0.9999991980567311</v>
      </c>
      <c r="P631" s="1049">
        <f t="shared" si="121"/>
        <v>0</v>
      </c>
      <c r="Q631" s="1425">
        <f t="shared" si="122"/>
        <v>1.9999999999527063E-3</v>
      </c>
      <c r="R631" s="305">
        <f t="shared" si="123"/>
        <v>8.0194326891030593E-7</v>
      </c>
      <c r="S631" s="1426"/>
      <c r="T631" s="1426"/>
      <c r="U631" s="1426"/>
      <c r="V631" s="1426"/>
      <c r="W631" s="1426"/>
      <c r="X631" s="1426"/>
    </row>
    <row r="632" spans="1:24" s="1427" customFormat="1" ht="16.5" customHeight="1">
      <c r="A632" s="1907" t="s">
        <v>679</v>
      </c>
      <c r="B632" s="1908" t="s">
        <v>2743</v>
      </c>
      <c r="C632" s="1863" t="s">
        <v>49</v>
      </c>
      <c r="D632" s="1732">
        <v>16.100000000000001</v>
      </c>
      <c r="E632" s="1732">
        <v>108.08</v>
      </c>
      <c r="F632" s="1732">
        <f>E632*D632</f>
        <v>1740.0880000000002</v>
      </c>
      <c r="G632" s="1049">
        <v>16.100000000000001</v>
      </c>
      <c r="H632" s="1425">
        <v>1740.09</v>
      </c>
      <c r="I632" s="305">
        <v>1.0000011493671583</v>
      </c>
      <c r="J632" s="1049"/>
      <c r="K632" s="1425">
        <f t="shared" si="116"/>
        <v>0</v>
      </c>
      <c r="L632" s="305">
        <f t="shared" si="117"/>
        <v>0</v>
      </c>
      <c r="M632" s="1049">
        <f t="shared" si="118"/>
        <v>16.100000000000001</v>
      </c>
      <c r="N632" s="1425">
        <f t="shared" si="119"/>
        <v>1740.09</v>
      </c>
      <c r="O632" s="305">
        <f t="shared" si="120"/>
        <v>1.0000011493671583</v>
      </c>
      <c r="P632" s="1049">
        <f t="shared" si="121"/>
        <v>0</v>
      </c>
      <c r="Q632" s="1425">
        <f t="shared" si="122"/>
        <v>-1.9999999997253326E-3</v>
      </c>
      <c r="R632" s="305">
        <f t="shared" si="123"/>
        <v>-1.1493671582847145E-6</v>
      </c>
      <c r="S632" s="1426"/>
      <c r="T632" s="1426"/>
      <c r="U632" s="1426"/>
      <c r="V632" s="1426"/>
      <c r="W632" s="1426"/>
      <c r="X632" s="1426"/>
    </row>
    <row r="633" spans="1:24" s="1427" customFormat="1" ht="16.5" customHeight="1">
      <c r="A633" s="1935" t="s">
        <v>116</v>
      </c>
      <c r="B633" s="1911" t="s">
        <v>2723</v>
      </c>
      <c r="C633" s="1909"/>
      <c r="D633" s="1318"/>
      <c r="E633" s="1854"/>
      <c r="F633" s="1314"/>
      <c r="G633" s="1049"/>
      <c r="H633" s="1425"/>
      <c r="I633" s="305"/>
      <c r="J633" s="1049"/>
      <c r="K633" s="1425"/>
      <c r="L633" s="305"/>
      <c r="M633" s="1049"/>
      <c r="N633" s="1425"/>
      <c r="O633" s="305"/>
      <c r="P633" s="1049"/>
      <c r="Q633" s="1425"/>
      <c r="R633" s="305"/>
      <c r="S633" s="1426"/>
      <c r="T633" s="1426"/>
      <c r="U633" s="1426"/>
      <c r="V633" s="1426"/>
      <c r="W633" s="1426"/>
      <c r="X633" s="1426"/>
    </row>
    <row r="634" spans="1:24" s="1427" customFormat="1" ht="16.5" customHeight="1">
      <c r="A634" s="1907" t="s">
        <v>689</v>
      </c>
      <c r="B634" s="1908" t="s">
        <v>2744</v>
      </c>
      <c r="C634" s="1909" t="s">
        <v>49</v>
      </c>
      <c r="D634" s="1732">
        <v>19.05</v>
      </c>
      <c r="E634" s="1732">
        <v>170.29</v>
      </c>
      <c r="F634" s="1732">
        <f>E634*D634</f>
        <v>3244.0245</v>
      </c>
      <c r="G634" s="1049">
        <v>19.05</v>
      </c>
      <c r="H634" s="1425">
        <v>3244.02</v>
      </c>
      <c r="I634" s="305">
        <v>0.99999861283415092</v>
      </c>
      <c r="J634" s="1049"/>
      <c r="K634" s="1425">
        <f t="shared" si="116"/>
        <v>0</v>
      </c>
      <c r="L634" s="305">
        <f t="shared" si="117"/>
        <v>0</v>
      </c>
      <c r="M634" s="1049">
        <f t="shared" si="118"/>
        <v>19.05</v>
      </c>
      <c r="N634" s="1425">
        <f t="shared" si="119"/>
        <v>3244.02</v>
      </c>
      <c r="O634" s="305">
        <f t="shared" si="120"/>
        <v>0.99999861283415092</v>
      </c>
      <c r="P634" s="1049">
        <f t="shared" si="121"/>
        <v>0</v>
      </c>
      <c r="Q634" s="1425">
        <f t="shared" si="122"/>
        <v>4.500000000007276E-3</v>
      </c>
      <c r="R634" s="305">
        <f t="shared" si="123"/>
        <v>1.3871658490887711E-6</v>
      </c>
      <c r="S634" s="1426"/>
      <c r="T634" s="1426"/>
      <c r="U634" s="1426"/>
      <c r="V634" s="1426"/>
      <c r="W634" s="1426"/>
      <c r="X634" s="1426"/>
    </row>
    <row r="635" spans="1:24" s="1427" customFormat="1" ht="16.5" customHeight="1">
      <c r="A635" s="1907" t="s">
        <v>693</v>
      </c>
      <c r="B635" s="1316" t="s">
        <v>2724</v>
      </c>
      <c r="C635" s="1478" t="s">
        <v>49</v>
      </c>
      <c r="D635" s="1732">
        <v>32.71</v>
      </c>
      <c r="E635" s="1732">
        <v>158.31</v>
      </c>
      <c r="F635" s="1732">
        <f>E635*D635</f>
        <v>5178.3200999999999</v>
      </c>
      <c r="G635" s="1049">
        <v>32.71</v>
      </c>
      <c r="H635" s="1425">
        <v>5178.32</v>
      </c>
      <c r="I635" s="305">
        <v>0.99999998068871787</v>
      </c>
      <c r="J635" s="1049"/>
      <c r="K635" s="1425">
        <f t="shared" si="116"/>
        <v>0</v>
      </c>
      <c r="L635" s="305">
        <f t="shared" si="117"/>
        <v>0</v>
      </c>
      <c r="M635" s="1049">
        <f t="shared" si="118"/>
        <v>32.71</v>
      </c>
      <c r="N635" s="1425">
        <f t="shared" si="119"/>
        <v>5178.32</v>
      </c>
      <c r="O635" s="305">
        <f t="shared" si="120"/>
        <v>0.99999998068871787</v>
      </c>
      <c r="P635" s="1049">
        <f t="shared" si="121"/>
        <v>0</v>
      </c>
      <c r="Q635" s="1425">
        <f t="shared" si="122"/>
        <v>1.0000000020227162E-4</v>
      </c>
      <c r="R635" s="305">
        <f t="shared" si="123"/>
        <v>1.9311282089778813E-8</v>
      </c>
      <c r="S635" s="1426"/>
      <c r="T635" s="1426"/>
      <c r="U635" s="1426"/>
      <c r="V635" s="1426"/>
      <c r="W635" s="1426"/>
      <c r="X635" s="1426"/>
    </row>
    <row r="636" spans="1:24" s="1427" customFormat="1" ht="16.5" customHeight="1">
      <c r="A636" s="1907" t="s">
        <v>1068</v>
      </c>
      <c r="B636" s="1908" t="s">
        <v>2745</v>
      </c>
      <c r="C636" s="1909" t="s">
        <v>51</v>
      </c>
      <c r="D636" s="1732">
        <v>2.86</v>
      </c>
      <c r="E636" s="1732">
        <v>60.85</v>
      </c>
      <c r="F636" s="1732">
        <f>E636*D636</f>
        <v>174.03100000000001</v>
      </c>
      <c r="G636" s="1049">
        <v>2.86</v>
      </c>
      <c r="H636" s="1425">
        <v>174.03</v>
      </c>
      <c r="I636" s="305">
        <v>0.99999425389729413</v>
      </c>
      <c r="J636" s="1049"/>
      <c r="K636" s="1425">
        <f t="shared" si="116"/>
        <v>0</v>
      </c>
      <c r="L636" s="305">
        <f t="shared" si="117"/>
        <v>0</v>
      </c>
      <c r="M636" s="1049">
        <f t="shared" si="118"/>
        <v>2.86</v>
      </c>
      <c r="N636" s="1425">
        <f t="shared" si="119"/>
        <v>174.03</v>
      </c>
      <c r="O636" s="305">
        <f t="shared" si="120"/>
        <v>0.99999425389729413</v>
      </c>
      <c r="P636" s="1049">
        <f t="shared" si="121"/>
        <v>0</v>
      </c>
      <c r="Q636" s="1425">
        <f t="shared" si="122"/>
        <v>1.0000000000047748E-3</v>
      </c>
      <c r="R636" s="305">
        <f t="shared" si="123"/>
        <v>5.7461027058672007E-6</v>
      </c>
      <c r="S636" s="1426"/>
      <c r="T636" s="1426"/>
      <c r="U636" s="1426"/>
      <c r="V636" s="1426"/>
      <c r="W636" s="1426"/>
      <c r="X636" s="1426"/>
    </row>
    <row r="637" spans="1:24">
      <c r="A637" s="1102">
        <v>3.2</v>
      </c>
      <c r="B637" s="1724" t="s">
        <v>1744</v>
      </c>
      <c r="C637" s="1135"/>
      <c r="D637" s="1723"/>
      <c r="E637" s="1135"/>
      <c r="F637" s="1492" t="str">
        <f t="shared" si="124"/>
        <v xml:space="preserve"> </v>
      </c>
      <c r="G637" s="1049"/>
      <c r="H637" s="306"/>
      <c r="I637" s="307"/>
      <c r="J637" s="1049"/>
      <c r="K637" s="306"/>
      <c r="L637" s="307"/>
      <c r="M637" s="1049"/>
      <c r="N637" s="306"/>
      <c r="O637" s="307"/>
      <c r="P637" s="1049"/>
      <c r="Q637" s="306"/>
      <c r="R637" s="307"/>
    </row>
    <row r="638" spans="1:24" s="313" customFormat="1" ht="16.5" customHeight="1">
      <c r="A638" s="1309"/>
      <c r="B638" s="1733" t="s">
        <v>2393</v>
      </c>
      <c r="C638" s="1135" t="s">
        <v>2147</v>
      </c>
      <c r="D638" s="1723">
        <v>80</v>
      </c>
      <c r="E638" s="1723">
        <v>28.68</v>
      </c>
      <c r="F638" s="1732">
        <f t="shared" si="124"/>
        <v>2294.4</v>
      </c>
      <c r="G638" s="1046">
        <v>80</v>
      </c>
      <c r="H638" s="306">
        <v>2294.4</v>
      </c>
      <c r="I638" s="307">
        <v>1</v>
      </c>
      <c r="J638" s="1046"/>
      <c r="K638" s="306">
        <f t="shared" si="116"/>
        <v>0</v>
      </c>
      <c r="L638" s="307">
        <f t="shared" si="117"/>
        <v>0</v>
      </c>
      <c r="M638" s="1047">
        <f t="shared" si="118"/>
        <v>80</v>
      </c>
      <c r="N638" s="306">
        <f t="shared" si="119"/>
        <v>2294.4</v>
      </c>
      <c r="O638" s="307">
        <f t="shared" si="120"/>
        <v>1</v>
      </c>
      <c r="P638" s="1047">
        <f t="shared" si="121"/>
        <v>0</v>
      </c>
      <c r="Q638" s="306">
        <f t="shared" si="122"/>
        <v>0</v>
      </c>
      <c r="R638" s="307">
        <f t="shared" si="123"/>
        <v>0</v>
      </c>
      <c r="S638" s="314"/>
      <c r="T638" s="314"/>
      <c r="U638" s="314"/>
      <c r="V638" s="314"/>
      <c r="W638" s="314"/>
      <c r="X638" s="314"/>
    </row>
    <row r="639" spans="1:24" s="313" customFormat="1" ht="16.5" customHeight="1">
      <c r="A639" s="1101" t="s">
        <v>1251</v>
      </c>
      <c r="B639" s="1733" t="s">
        <v>2391</v>
      </c>
      <c r="C639" s="1135" t="s">
        <v>51</v>
      </c>
      <c r="D639" s="1723">
        <v>300</v>
      </c>
      <c r="E639" s="1135">
        <v>13.25</v>
      </c>
      <c r="F639" s="1492">
        <f t="shared" si="124"/>
        <v>3975</v>
      </c>
      <c r="G639" s="1046">
        <v>300</v>
      </c>
      <c r="H639" s="306">
        <v>3975</v>
      </c>
      <c r="I639" s="307">
        <v>1</v>
      </c>
      <c r="J639" s="1046"/>
      <c r="K639" s="306">
        <f t="shared" si="116"/>
        <v>0</v>
      </c>
      <c r="L639" s="307">
        <f t="shared" si="117"/>
        <v>0</v>
      </c>
      <c r="M639" s="1047">
        <f t="shared" si="118"/>
        <v>300</v>
      </c>
      <c r="N639" s="306">
        <f t="shared" si="119"/>
        <v>3975</v>
      </c>
      <c r="O639" s="307">
        <f t="shared" si="120"/>
        <v>1</v>
      </c>
      <c r="P639" s="1047">
        <f t="shared" si="121"/>
        <v>0</v>
      </c>
      <c r="Q639" s="306">
        <f t="shared" si="122"/>
        <v>0</v>
      </c>
      <c r="R639" s="307">
        <f t="shared" si="123"/>
        <v>0</v>
      </c>
      <c r="S639" s="314"/>
      <c r="T639" s="314"/>
      <c r="U639" s="314"/>
      <c r="V639" s="314"/>
      <c r="W639" s="314"/>
      <c r="X639" s="314"/>
    </row>
    <row r="640" spans="1:24" s="313" customFormat="1" ht="16.5" customHeight="1">
      <c r="A640" s="1734">
        <v>3.6</v>
      </c>
      <c r="B640" s="1735" t="s">
        <v>1762</v>
      </c>
      <c r="C640" s="1135"/>
      <c r="D640" s="1723"/>
      <c r="E640" s="1135"/>
      <c r="F640" s="1492" t="str">
        <f t="shared" si="124"/>
        <v xml:space="preserve"> </v>
      </c>
      <c r="G640" s="1049"/>
      <c r="H640" s="306"/>
      <c r="I640" s="307"/>
      <c r="J640" s="1046"/>
      <c r="K640" s="306"/>
      <c r="L640" s="307"/>
      <c r="M640" s="1047"/>
      <c r="N640" s="306"/>
      <c r="O640" s="307"/>
      <c r="P640" s="1047"/>
      <c r="Q640" s="306"/>
      <c r="R640" s="307"/>
      <c r="S640" s="314"/>
      <c r="T640" s="314"/>
      <c r="U640" s="314"/>
      <c r="V640" s="314"/>
      <c r="W640" s="314"/>
      <c r="X640" s="314"/>
    </row>
    <row r="641" spans="1:24" s="313" customFormat="1" ht="16.5" customHeight="1">
      <c r="A641" s="1736" t="s">
        <v>1270</v>
      </c>
      <c r="B641" s="1737" t="s">
        <v>1764</v>
      </c>
      <c r="C641" s="1738" t="s">
        <v>49</v>
      </c>
      <c r="D641" s="1723">
        <v>300</v>
      </c>
      <c r="E641" s="1135">
        <v>37.94</v>
      </c>
      <c r="F641" s="1492">
        <f t="shared" si="124"/>
        <v>11382</v>
      </c>
      <c r="G641" s="1046">
        <v>300</v>
      </c>
      <c r="H641" s="306">
        <v>11382</v>
      </c>
      <c r="I641" s="307">
        <v>1</v>
      </c>
      <c r="J641" s="1046"/>
      <c r="K641" s="306">
        <f t="shared" si="116"/>
        <v>0</v>
      </c>
      <c r="L641" s="307">
        <f t="shared" si="117"/>
        <v>0</v>
      </c>
      <c r="M641" s="1047">
        <f t="shared" si="118"/>
        <v>300</v>
      </c>
      <c r="N641" s="306">
        <f t="shared" si="119"/>
        <v>11382</v>
      </c>
      <c r="O641" s="307">
        <f t="shared" si="120"/>
        <v>1</v>
      </c>
      <c r="P641" s="1047">
        <f t="shared" si="121"/>
        <v>0</v>
      </c>
      <c r="Q641" s="306">
        <f t="shared" si="122"/>
        <v>0</v>
      </c>
      <c r="R641" s="307">
        <f t="shared" si="123"/>
        <v>0</v>
      </c>
      <c r="S641" s="314"/>
      <c r="T641" s="314"/>
      <c r="U641" s="314"/>
      <c r="V641" s="314"/>
      <c r="W641" s="314"/>
      <c r="X641" s="314"/>
    </row>
    <row r="642" spans="1:24" s="313" customFormat="1" ht="16.5" customHeight="1">
      <c r="A642" s="1108">
        <v>4</v>
      </c>
      <c r="B642" s="1110" t="s">
        <v>1784</v>
      </c>
      <c r="C642" s="1502"/>
      <c r="D642" s="1303"/>
      <c r="E642" s="1497"/>
      <c r="F642" s="1492" t="str">
        <f t="shared" si="124"/>
        <v xml:space="preserve"> </v>
      </c>
      <c r="G642" s="1049"/>
      <c r="H642" s="306"/>
      <c r="I642" s="307"/>
      <c r="J642" s="1046"/>
      <c r="K642" s="306"/>
      <c r="L642" s="307"/>
      <c r="M642" s="1047"/>
      <c r="N642" s="306"/>
      <c r="O642" s="307"/>
      <c r="P642" s="1047"/>
      <c r="Q642" s="306"/>
      <c r="R642" s="307"/>
      <c r="S642" s="314"/>
      <c r="T642" s="314"/>
      <c r="U642" s="314"/>
      <c r="V642" s="314"/>
      <c r="W642" s="314"/>
      <c r="X642" s="314"/>
    </row>
    <row r="643" spans="1:24">
      <c r="A643" s="1102">
        <v>4.2</v>
      </c>
      <c r="B643" s="1102" t="s">
        <v>1791</v>
      </c>
      <c r="C643" s="1507"/>
      <c r="D643" s="1303"/>
      <c r="E643" s="1497"/>
      <c r="F643" s="1492" t="str">
        <f t="shared" si="124"/>
        <v xml:space="preserve"> </v>
      </c>
      <c r="G643" s="1049"/>
      <c r="H643" s="306"/>
      <c r="I643" s="307"/>
      <c r="J643" s="1046"/>
      <c r="K643" s="306"/>
      <c r="L643" s="307"/>
      <c r="M643" s="1047"/>
      <c r="N643" s="306"/>
      <c r="O643" s="307"/>
      <c r="P643" s="1047"/>
      <c r="Q643" s="306"/>
      <c r="R643" s="307"/>
    </row>
    <row r="644" spans="1:24">
      <c r="A644" s="1108" t="s">
        <v>1297</v>
      </c>
      <c r="B644" s="1111" t="s">
        <v>1796</v>
      </c>
      <c r="C644" s="1502"/>
      <c r="D644" s="1303"/>
      <c r="E644" s="1497"/>
      <c r="F644" s="1492" t="str">
        <f t="shared" si="124"/>
        <v xml:space="preserve"> </v>
      </c>
      <c r="G644" s="1049"/>
      <c r="H644" s="306"/>
      <c r="I644" s="307"/>
      <c r="J644" s="1046"/>
      <c r="K644" s="306"/>
      <c r="L644" s="307"/>
      <c r="M644" s="1047"/>
      <c r="N644" s="306"/>
      <c r="O644" s="307"/>
      <c r="P644" s="1047"/>
      <c r="Q644" s="306"/>
      <c r="R644" s="307"/>
    </row>
    <row r="645" spans="1:24" s="313" customFormat="1" ht="16.5" customHeight="1">
      <c r="A645" s="1401" t="s">
        <v>1298</v>
      </c>
      <c r="B645" s="1401" t="s">
        <v>1797</v>
      </c>
      <c r="C645" s="1444" t="s">
        <v>51</v>
      </c>
      <c r="D645" s="1723">
        <v>600</v>
      </c>
      <c r="E645" s="1739">
        <v>33.11</v>
      </c>
      <c r="F645" s="1740">
        <f t="shared" si="124"/>
        <v>19866</v>
      </c>
      <c r="G645" s="1046">
        <v>600</v>
      </c>
      <c r="H645" s="306">
        <v>19866</v>
      </c>
      <c r="I645" s="307">
        <v>1</v>
      </c>
      <c r="J645" s="1046"/>
      <c r="K645" s="306">
        <f t="shared" si="116"/>
        <v>0</v>
      </c>
      <c r="L645" s="307">
        <f t="shared" si="117"/>
        <v>0</v>
      </c>
      <c r="M645" s="1047">
        <f t="shared" si="118"/>
        <v>600</v>
      </c>
      <c r="N645" s="306">
        <f t="shared" si="119"/>
        <v>19866</v>
      </c>
      <c r="O645" s="307">
        <f t="shared" si="120"/>
        <v>1</v>
      </c>
      <c r="P645" s="1047">
        <f t="shared" si="121"/>
        <v>0</v>
      </c>
      <c r="Q645" s="306">
        <f t="shared" si="122"/>
        <v>0</v>
      </c>
      <c r="R645" s="307">
        <f t="shared" si="123"/>
        <v>0</v>
      </c>
      <c r="S645" s="314"/>
      <c r="T645" s="314"/>
      <c r="U645" s="314"/>
      <c r="V645" s="314"/>
      <c r="W645" s="314"/>
      <c r="X645" s="314"/>
    </row>
    <row r="646" spans="1:24">
      <c r="A646" s="1401" t="s">
        <v>1299</v>
      </c>
      <c r="B646" s="1401" t="s">
        <v>1798</v>
      </c>
      <c r="C646" s="1444" t="s">
        <v>51</v>
      </c>
      <c r="D646" s="1723">
        <v>600</v>
      </c>
      <c r="E646" s="1739">
        <v>28.48</v>
      </c>
      <c r="F646" s="1492">
        <f t="shared" si="124"/>
        <v>17088</v>
      </c>
      <c r="G646" s="1049">
        <v>540</v>
      </c>
      <c r="H646" s="306">
        <v>15379.2</v>
      </c>
      <c r="I646" s="307">
        <v>0.9</v>
      </c>
      <c r="J646" s="1046"/>
      <c r="K646" s="306">
        <f t="shared" si="116"/>
        <v>0</v>
      </c>
      <c r="L646" s="307">
        <f t="shared" si="117"/>
        <v>0</v>
      </c>
      <c r="M646" s="1047">
        <f t="shared" si="118"/>
        <v>540</v>
      </c>
      <c r="N646" s="306">
        <f t="shared" si="119"/>
        <v>15379.2</v>
      </c>
      <c r="O646" s="307">
        <f t="shared" si="120"/>
        <v>0.9</v>
      </c>
      <c r="P646" s="1047">
        <f t="shared" si="121"/>
        <v>60</v>
      </c>
      <c r="Q646" s="306">
        <f t="shared" si="122"/>
        <v>1708.7999999999993</v>
      </c>
      <c r="R646" s="307">
        <f t="shared" si="123"/>
        <v>9.9999999999999964E-2</v>
      </c>
    </row>
    <row r="647" spans="1:24" s="313" customFormat="1" ht="16.5" customHeight="1">
      <c r="A647" s="1401" t="s">
        <v>1338</v>
      </c>
      <c r="B647" s="1401" t="s">
        <v>1837</v>
      </c>
      <c r="C647" s="1444" t="s">
        <v>52</v>
      </c>
      <c r="D647" s="1723">
        <v>24</v>
      </c>
      <c r="E647" s="1739">
        <v>14.53</v>
      </c>
      <c r="F647" s="1492">
        <f t="shared" si="124"/>
        <v>348.72</v>
      </c>
      <c r="G647" s="1049">
        <v>20</v>
      </c>
      <c r="H647" s="306">
        <v>290.60000000000002</v>
      </c>
      <c r="I647" s="307">
        <v>0.83333333333333337</v>
      </c>
      <c r="J647" s="1046"/>
      <c r="K647" s="306">
        <f t="shared" si="116"/>
        <v>0</v>
      </c>
      <c r="L647" s="307">
        <f t="shared" si="117"/>
        <v>0</v>
      </c>
      <c r="M647" s="1047">
        <f t="shared" si="118"/>
        <v>20</v>
      </c>
      <c r="N647" s="306">
        <f t="shared" si="119"/>
        <v>290.60000000000002</v>
      </c>
      <c r="O647" s="307">
        <f t="shared" si="120"/>
        <v>0.83333333333333337</v>
      </c>
      <c r="P647" s="1047">
        <f t="shared" si="121"/>
        <v>4</v>
      </c>
      <c r="Q647" s="306">
        <f t="shared" si="122"/>
        <v>58.120000000000005</v>
      </c>
      <c r="R647" s="307">
        <f t="shared" si="123"/>
        <v>0.16666666666666666</v>
      </c>
      <c r="S647" s="314"/>
      <c r="T647" s="314"/>
      <c r="U647" s="314"/>
      <c r="V647" s="314"/>
      <c r="W647" s="314"/>
      <c r="X647" s="314"/>
    </row>
    <row r="648" spans="1:24" s="313" customFormat="1" ht="16.5" customHeight="1">
      <c r="A648" s="1401" t="s">
        <v>1341</v>
      </c>
      <c r="B648" s="1401" t="s">
        <v>1840</v>
      </c>
      <c r="C648" s="1444" t="s">
        <v>52</v>
      </c>
      <c r="D648" s="1723">
        <v>29</v>
      </c>
      <c r="E648" s="1739">
        <v>14.66</v>
      </c>
      <c r="F648" s="1492">
        <f t="shared" si="124"/>
        <v>425.14</v>
      </c>
      <c r="G648" s="1049">
        <v>6</v>
      </c>
      <c r="H648" s="306">
        <v>87.96</v>
      </c>
      <c r="I648" s="307">
        <v>0.20689655172413793</v>
      </c>
      <c r="J648" s="1046"/>
      <c r="K648" s="306">
        <f t="shared" si="116"/>
        <v>0</v>
      </c>
      <c r="L648" s="307">
        <f t="shared" si="117"/>
        <v>0</v>
      </c>
      <c r="M648" s="1047">
        <f t="shared" si="118"/>
        <v>6</v>
      </c>
      <c r="N648" s="306">
        <f t="shared" si="119"/>
        <v>87.96</v>
      </c>
      <c r="O648" s="307">
        <f t="shared" si="120"/>
        <v>0.20689655172413793</v>
      </c>
      <c r="P648" s="1047">
        <f t="shared" si="121"/>
        <v>23</v>
      </c>
      <c r="Q648" s="306">
        <f t="shared" si="122"/>
        <v>337.18</v>
      </c>
      <c r="R648" s="307">
        <f t="shared" si="123"/>
        <v>0.7931034482758621</v>
      </c>
      <c r="S648" s="314"/>
      <c r="T648" s="314"/>
      <c r="U648" s="314"/>
      <c r="V648" s="314"/>
      <c r="W648" s="314"/>
      <c r="X648" s="314"/>
    </row>
    <row r="649" spans="1:24" s="313" customFormat="1" ht="16.5" customHeight="1">
      <c r="A649" s="1108" t="s">
        <v>1303</v>
      </c>
      <c r="B649" s="1111" t="s">
        <v>1802</v>
      </c>
      <c r="C649" s="1135"/>
      <c r="D649" s="1741"/>
      <c r="E649" s="1135"/>
      <c r="F649" s="1492" t="str">
        <f t="shared" si="124"/>
        <v xml:space="preserve"> </v>
      </c>
      <c r="G649" s="1049"/>
      <c r="H649" s="306"/>
      <c r="I649" s="307"/>
      <c r="J649" s="1046"/>
      <c r="K649" s="306"/>
      <c r="L649" s="307"/>
      <c r="M649" s="1047"/>
      <c r="N649" s="306"/>
      <c r="O649" s="307"/>
      <c r="P649" s="1047"/>
      <c r="Q649" s="306"/>
      <c r="R649" s="307"/>
      <c r="S649" s="314"/>
      <c r="T649" s="314"/>
      <c r="U649" s="314"/>
      <c r="V649" s="314"/>
      <c r="W649" s="314"/>
      <c r="X649" s="314"/>
    </row>
    <row r="650" spans="1:24">
      <c r="A650" s="1401" t="s">
        <v>1307</v>
      </c>
      <c r="B650" s="1401" t="s">
        <v>1806</v>
      </c>
      <c r="C650" s="1444" t="s">
        <v>52</v>
      </c>
      <c r="D650" s="1723">
        <v>625</v>
      </c>
      <c r="E650" s="1739">
        <v>17.77</v>
      </c>
      <c r="F650" s="1492">
        <f t="shared" si="124"/>
        <v>11106.25</v>
      </c>
      <c r="G650" s="1049">
        <v>570</v>
      </c>
      <c r="H650" s="306">
        <v>10128.9</v>
      </c>
      <c r="I650" s="307">
        <v>0.91199999999999992</v>
      </c>
      <c r="J650" s="1046"/>
      <c r="K650" s="306">
        <f t="shared" si="116"/>
        <v>0</v>
      </c>
      <c r="L650" s="307">
        <f t="shared" si="117"/>
        <v>0</v>
      </c>
      <c r="M650" s="1047">
        <f t="shared" si="118"/>
        <v>570</v>
      </c>
      <c r="N650" s="306">
        <f t="shared" si="119"/>
        <v>10128.9</v>
      </c>
      <c r="O650" s="307">
        <f t="shared" si="120"/>
        <v>0.91199999999999992</v>
      </c>
      <c r="P650" s="1047">
        <f t="shared" si="121"/>
        <v>55</v>
      </c>
      <c r="Q650" s="306">
        <f t="shared" si="122"/>
        <v>977.35000000000036</v>
      </c>
      <c r="R650" s="307">
        <f t="shared" si="123"/>
        <v>8.8000000000000037E-2</v>
      </c>
    </row>
    <row r="651" spans="1:24">
      <c r="A651" s="1401" t="s">
        <v>1308</v>
      </c>
      <c r="B651" s="1401" t="s">
        <v>1807</v>
      </c>
      <c r="C651" s="1444" t="s">
        <v>52</v>
      </c>
      <c r="D651" s="1723">
        <f>40-12+27</f>
        <v>55</v>
      </c>
      <c r="E651" s="1739">
        <v>22.75</v>
      </c>
      <c r="F651" s="1492">
        <f t="shared" si="124"/>
        <v>1251.25</v>
      </c>
      <c r="G651" s="1049">
        <v>55</v>
      </c>
      <c r="H651" s="306">
        <v>1251.25</v>
      </c>
      <c r="I651" s="307">
        <v>1</v>
      </c>
      <c r="J651" s="1046"/>
      <c r="K651" s="306">
        <f t="shared" si="116"/>
        <v>0</v>
      </c>
      <c r="L651" s="307">
        <f t="shared" si="117"/>
        <v>0</v>
      </c>
      <c r="M651" s="1047">
        <f t="shared" si="118"/>
        <v>55</v>
      </c>
      <c r="N651" s="306">
        <f t="shared" si="119"/>
        <v>1251.25</v>
      </c>
      <c r="O651" s="307">
        <f t="shared" si="120"/>
        <v>1</v>
      </c>
      <c r="P651" s="1047">
        <f t="shared" si="121"/>
        <v>0</v>
      </c>
      <c r="Q651" s="306">
        <f t="shared" si="122"/>
        <v>0</v>
      </c>
      <c r="R651" s="307">
        <f t="shared" si="123"/>
        <v>0</v>
      </c>
    </row>
    <row r="652" spans="1:24" s="313" customFormat="1" ht="16.5" customHeight="1">
      <c r="A652" s="1401" t="s">
        <v>1309</v>
      </c>
      <c r="B652" s="1401" t="s">
        <v>1808</v>
      </c>
      <c r="C652" s="1444" t="s">
        <v>52</v>
      </c>
      <c r="D652" s="1723">
        <f>105+73-8</f>
        <v>170</v>
      </c>
      <c r="E652" s="1739">
        <v>20.190000000000001</v>
      </c>
      <c r="F652" s="1740">
        <f t="shared" si="124"/>
        <v>3432.3</v>
      </c>
      <c r="G652" s="1046">
        <v>160</v>
      </c>
      <c r="H652" s="306">
        <v>3230.4</v>
      </c>
      <c r="I652" s="307">
        <v>0.94117647058823528</v>
      </c>
      <c r="J652" s="1046"/>
      <c r="K652" s="306">
        <f t="shared" si="116"/>
        <v>0</v>
      </c>
      <c r="L652" s="307">
        <f t="shared" si="117"/>
        <v>0</v>
      </c>
      <c r="M652" s="1047">
        <f t="shared" si="118"/>
        <v>160</v>
      </c>
      <c r="N652" s="306">
        <f t="shared" si="119"/>
        <v>3230.4</v>
      </c>
      <c r="O652" s="307">
        <f t="shared" si="120"/>
        <v>0.94117647058823528</v>
      </c>
      <c r="P652" s="1047">
        <f t="shared" si="121"/>
        <v>10</v>
      </c>
      <c r="Q652" s="306">
        <f t="shared" si="122"/>
        <v>201.90000000000009</v>
      </c>
      <c r="R652" s="307">
        <f t="shared" si="123"/>
        <v>5.8823529411764726E-2</v>
      </c>
      <c r="S652" s="314"/>
      <c r="T652" s="314"/>
      <c r="U652" s="314"/>
      <c r="V652" s="314"/>
      <c r="W652" s="314"/>
      <c r="X652" s="314"/>
    </row>
    <row r="653" spans="1:24">
      <c r="A653" s="1401" t="s">
        <v>1310</v>
      </c>
      <c r="B653" s="1401" t="s">
        <v>1809</v>
      </c>
      <c r="C653" s="1444" t="s">
        <v>52</v>
      </c>
      <c r="D653" s="1723">
        <v>305</v>
      </c>
      <c r="E653" s="1739">
        <v>10.94</v>
      </c>
      <c r="F653" s="1492">
        <f t="shared" si="124"/>
        <v>3336.7</v>
      </c>
      <c r="G653" s="1049">
        <v>230</v>
      </c>
      <c r="H653" s="306">
        <v>2516.1999999999998</v>
      </c>
      <c r="I653" s="307">
        <v>0.75409836065573765</v>
      </c>
      <c r="J653" s="1046"/>
      <c r="K653" s="306">
        <f t="shared" si="116"/>
        <v>0</v>
      </c>
      <c r="L653" s="307">
        <f t="shared" si="117"/>
        <v>0</v>
      </c>
      <c r="M653" s="1047">
        <f t="shared" si="118"/>
        <v>230</v>
      </c>
      <c r="N653" s="306">
        <f t="shared" si="119"/>
        <v>2516.1999999999998</v>
      </c>
      <c r="O653" s="307">
        <f t="shared" si="120"/>
        <v>0.75409836065573765</v>
      </c>
      <c r="P653" s="1047">
        <f t="shared" si="121"/>
        <v>75</v>
      </c>
      <c r="Q653" s="306">
        <f t="shared" si="122"/>
        <v>820.5</v>
      </c>
      <c r="R653" s="307">
        <f t="shared" si="123"/>
        <v>0.24590163934426232</v>
      </c>
    </row>
    <row r="654" spans="1:24" s="313" customFormat="1" ht="16.5" customHeight="1">
      <c r="A654" s="1401" t="s">
        <v>1311</v>
      </c>
      <c r="B654" s="1401" t="s">
        <v>1810</v>
      </c>
      <c r="C654" s="1444" t="s">
        <v>52</v>
      </c>
      <c r="D654" s="1723">
        <v>120</v>
      </c>
      <c r="E654" s="1739">
        <v>17.89</v>
      </c>
      <c r="F654" s="1492">
        <f t="shared" si="124"/>
        <v>2146.8000000000002</v>
      </c>
      <c r="G654" s="1049">
        <v>40</v>
      </c>
      <c r="H654" s="306">
        <v>715.6</v>
      </c>
      <c r="I654" s="307">
        <v>0.33333333333333331</v>
      </c>
      <c r="J654" s="1046"/>
      <c r="K654" s="306">
        <f t="shared" si="116"/>
        <v>0</v>
      </c>
      <c r="L654" s="307">
        <f t="shared" si="117"/>
        <v>0</v>
      </c>
      <c r="M654" s="1047">
        <f t="shared" si="118"/>
        <v>40</v>
      </c>
      <c r="N654" s="306">
        <f t="shared" si="119"/>
        <v>715.6</v>
      </c>
      <c r="O654" s="307">
        <f t="shared" si="120"/>
        <v>0.33333333333333331</v>
      </c>
      <c r="P654" s="1047">
        <f t="shared" si="121"/>
        <v>80</v>
      </c>
      <c r="Q654" s="306">
        <f t="shared" si="122"/>
        <v>1431.2000000000003</v>
      </c>
      <c r="R654" s="307">
        <f t="shared" si="123"/>
        <v>0.66666666666666674</v>
      </c>
      <c r="S654" s="314"/>
      <c r="T654" s="314"/>
      <c r="U654" s="314"/>
      <c r="V654" s="314"/>
      <c r="W654" s="314"/>
      <c r="X654" s="314"/>
    </row>
    <row r="655" spans="1:24" s="313" customFormat="1" ht="16.5" customHeight="1">
      <c r="A655" s="1401" t="s">
        <v>1312</v>
      </c>
      <c r="B655" s="1401" t="s">
        <v>1811</v>
      </c>
      <c r="C655" s="1444" t="s">
        <v>52</v>
      </c>
      <c r="D655" s="1723">
        <f>75-42</f>
        <v>33</v>
      </c>
      <c r="E655" s="1739">
        <v>23.69</v>
      </c>
      <c r="F655" s="1492">
        <f t="shared" si="124"/>
        <v>781.77</v>
      </c>
      <c r="G655" s="1049">
        <v>33</v>
      </c>
      <c r="H655" s="306">
        <v>781.77</v>
      </c>
      <c r="I655" s="307">
        <v>1</v>
      </c>
      <c r="J655" s="1046"/>
      <c r="K655" s="306">
        <f t="shared" si="116"/>
        <v>0</v>
      </c>
      <c r="L655" s="307">
        <f t="shared" si="117"/>
        <v>0</v>
      </c>
      <c r="M655" s="1047">
        <f t="shared" si="118"/>
        <v>33</v>
      </c>
      <c r="N655" s="306">
        <f t="shared" si="119"/>
        <v>781.77</v>
      </c>
      <c r="O655" s="307">
        <f t="shared" si="120"/>
        <v>1</v>
      </c>
      <c r="P655" s="1047">
        <f t="shared" si="121"/>
        <v>0</v>
      </c>
      <c r="Q655" s="306">
        <f t="shared" si="122"/>
        <v>0</v>
      </c>
      <c r="R655" s="307">
        <f t="shared" si="123"/>
        <v>0</v>
      </c>
      <c r="S655" s="314"/>
      <c r="T655" s="314"/>
      <c r="U655" s="314"/>
      <c r="V655" s="314"/>
      <c r="W655" s="314"/>
      <c r="X655" s="314"/>
    </row>
    <row r="656" spans="1:24" s="313" customFormat="1" ht="16.5" customHeight="1">
      <c r="A656" s="1101">
        <v>4.3</v>
      </c>
      <c r="B656" s="1102" t="s">
        <v>1829</v>
      </c>
      <c r="C656" s="1135"/>
      <c r="D656" s="1741"/>
      <c r="E656" s="1135"/>
      <c r="F656" s="1492"/>
      <c r="G656" s="1049"/>
      <c r="H656" s="306"/>
      <c r="I656" s="307"/>
      <c r="J656" s="1046"/>
      <c r="K656" s="306"/>
      <c r="L656" s="307"/>
      <c r="M656" s="1047"/>
      <c r="N656" s="306"/>
      <c r="O656" s="307"/>
      <c r="P656" s="1047"/>
      <c r="Q656" s="306"/>
      <c r="R656" s="307"/>
      <c r="S656" s="314"/>
      <c r="T656" s="314"/>
      <c r="U656" s="314"/>
      <c r="V656" s="314"/>
      <c r="W656" s="314"/>
      <c r="X656" s="314"/>
    </row>
    <row r="657" spans="1:24" s="313" customFormat="1" ht="16.5" customHeight="1">
      <c r="A657" s="1101" t="s">
        <v>1333</v>
      </c>
      <c r="B657" s="1111" t="s">
        <v>1832</v>
      </c>
      <c r="C657" s="1135"/>
      <c r="D657" s="1741"/>
      <c r="E657" s="1135"/>
      <c r="F657" s="1492"/>
      <c r="G657" s="1049"/>
      <c r="H657" s="306"/>
      <c r="I657" s="307"/>
      <c r="J657" s="1046"/>
      <c r="K657" s="306"/>
      <c r="L657" s="307"/>
      <c r="M657" s="1047"/>
      <c r="N657" s="306"/>
      <c r="O657" s="307"/>
      <c r="P657" s="1047"/>
      <c r="Q657" s="306"/>
      <c r="R657" s="307"/>
      <c r="S657" s="314"/>
      <c r="T657" s="314"/>
      <c r="U657" s="314"/>
      <c r="V657" s="314"/>
      <c r="W657" s="314"/>
      <c r="X657" s="314"/>
    </row>
    <row r="658" spans="1:24" s="313" customFormat="1" ht="16.5" customHeight="1">
      <c r="A658" s="1401" t="s">
        <v>1334</v>
      </c>
      <c r="B658" s="1401" t="s">
        <v>1833</v>
      </c>
      <c r="C658" s="1444" t="s">
        <v>51</v>
      </c>
      <c r="D658" s="1723">
        <v>250</v>
      </c>
      <c r="E658" s="1739">
        <v>13.95</v>
      </c>
      <c r="F658" s="1492">
        <f t="shared" si="124"/>
        <v>3487.5</v>
      </c>
      <c r="G658" s="1049">
        <v>220</v>
      </c>
      <c r="H658" s="306">
        <v>3069</v>
      </c>
      <c r="I658" s="307">
        <v>0.88</v>
      </c>
      <c r="J658" s="1046"/>
      <c r="K658" s="306">
        <f t="shared" si="116"/>
        <v>0</v>
      </c>
      <c r="L658" s="307">
        <f t="shared" si="117"/>
        <v>0</v>
      </c>
      <c r="M658" s="1047">
        <f t="shared" si="118"/>
        <v>220</v>
      </c>
      <c r="N658" s="306">
        <f t="shared" si="119"/>
        <v>3069</v>
      </c>
      <c r="O658" s="307">
        <f t="shared" si="120"/>
        <v>0.88</v>
      </c>
      <c r="P658" s="1047">
        <f t="shared" si="121"/>
        <v>30</v>
      </c>
      <c r="Q658" s="306">
        <f t="shared" si="122"/>
        <v>418.5</v>
      </c>
      <c r="R658" s="307">
        <f t="shared" si="123"/>
        <v>0.12</v>
      </c>
      <c r="S658" s="314"/>
      <c r="T658" s="314"/>
      <c r="U658" s="314"/>
      <c r="V658" s="314"/>
      <c r="W658" s="314"/>
      <c r="X658" s="314"/>
    </row>
    <row r="659" spans="1:24" s="313" customFormat="1" ht="16.5" customHeight="1">
      <c r="A659" s="1401" t="s">
        <v>1335</v>
      </c>
      <c r="B659" s="1401" t="s">
        <v>1834</v>
      </c>
      <c r="C659" s="1444" t="s">
        <v>51</v>
      </c>
      <c r="D659" s="1723">
        <v>75</v>
      </c>
      <c r="E659" s="1739">
        <v>16.149999999999999</v>
      </c>
      <c r="F659" s="1492">
        <f t="shared" si="124"/>
        <v>1211.25</v>
      </c>
      <c r="G659" s="1049">
        <v>75</v>
      </c>
      <c r="H659" s="306">
        <v>1211.25</v>
      </c>
      <c r="I659" s="307">
        <v>1</v>
      </c>
      <c r="J659" s="1046"/>
      <c r="K659" s="306">
        <f t="shared" si="116"/>
        <v>0</v>
      </c>
      <c r="L659" s="307">
        <f t="shared" si="117"/>
        <v>0</v>
      </c>
      <c r="M659" s="1047">
        <f t="shared" si="118"/>
        <v>75</v>
      </c>
      <c r="N659" s="306">
        <f t="shared" si="119"/>
        <v>1211.25</v>
      </c>
      <c r="O659" s="307">
        <f t="shared" si="120"/>
        <v>1</v>
      </c>
      <c r="P659" s="1047">
        <f t="shared" si="121"/>
        <v>0</v>
      </c>
      <c r="Q659" s="306">
        <f t="shared" si="122"/>
        <v>0</v>
      </c>
      <c r="R659" s="307">
        <f t="shared" si="123"/>
        <v>0</v>
      </c>
      <c r="S659" s="314"/>
      <c r="T659" s="314"/>
      <c r="U659" s="314"/>
      <c r="V659" s="314"/>
      <c r="W659" s="314"/>
      <c r="X659" s="314"/>
    </row>
    <row r="660" spans="1:24">
      <c r="A660" s="1401" t="s">
        <v>1337</v>
      </c>
      <c r="B660" s="1401" t="s">
        <v>1836</v>
      </c>
      <c r="C660" s="1444" t="s">
        <v>52</v>
      </c>
      <c r="D660" s="1723">
        <v>8</v>
      </c>
      <c r="E660" s="1739">
        <v>18.170000000000002</v>
      </c>
      <c r="F660" s="1492">
        <f t="shared" si="124"/>
        <v>145.36000000000001</v>
      </c>
      <c r="G660" s="1049">
        <v>8</v>
      </c>
      <c r="H660" s="306">
        <v>145.36000000000001</v>
      </c>
      <c r="I660" s="307">
        <v>1</v>
      </c>
      <c r="J660" s="1046"/>
      <c r="K660" s="306">
        <f t="shared" si="116"/>
        <v>0</v>
      </c>
      <c r="L660" s="307">
        <f t="shared" si="117"/>
        <v>0</v>
      </c>
      <c r="M660" s="1047">
        <f t="shared" si="118"/>
        <v>8</v>
      </c>
      <c r="N660" s="306">
        <f t="shared" si="119"/>
        <v>145.36000000000001</v>
      </c>
      <c r="O660" s="307">
        <f t="shared" si="120"/>
        <v>1</v>
      </c>
      <c r="P660" s="1047">
        <f t="shared" si="121"/>
        <v>0</v>
      </c>
      <c r="Q660" s="306">
        <f t="shared" si="122"/>
        <v>0</v>
      </c>
      <c r="R660" s="307">
        <f t="shared" si="123"/>
        <v>0</v>
      </c>
    </row>
    <row r="661" spans="1:24" s="316" customFormat="1" ht="16.5" customHeight="1">
      <c r="A661" s="1401" t="s">
        <v>1338</v>
      </c>
      <c r="B661" s="1401" t="s">
        <v>1837</v>
      </c>
      <c r="C661" s="1444" t="s">
        <v>52</v>
      </c>
      <c r="D661" s="1723">
        <v>20</v>
      </c>
      <c r="E661" s="1739">
        <v>14.53</v>
      </c>
      <c r="F661" s="1492">
        <f t="shared" si="124"/>
        <v>290.60000000000002</v>
      </c>
      <c r="G661" s="1049">
        <v>20</v>
      </c>
      <c r="H661" s="306">
        <v>290.60000000000002</v>
      </c>
      <c r="I661" s="307">
        <v>1</v>
      </c>
      <c r="J661" s="1046"/>
      <c r="K661" s="306">
        <f t="shared" si="116"/>
        <v>0</v>
      </c>
      <c r="L661" s="307">
        <f t="shared" si="117"/>
        <v>0</v>
      </c>
      <c r="M661" s="1047">
        <f t="shared" si="118"/>
        <v>20</v>
      </c>
      <c r="N661" s="306">
        <f t="shared" si="119"/>
        <v>290.60000000000002</v>
      </c>
      <c r="O661" s="307">
        <f t="shared" si="120"/>
        <v>1</v>
      </c>
      <c r="P661" s="1047">
        <f t="shared" si="121"/>
        <v>0</v>
      </c>
      <c r="Q661" s="306">
        <f t="shared" si="122"/>
        <v>0</v>
      </c>
      <c r="R661" s="307">
        <f t="shared" si="123"/>
        <v>0</v>
      </c>
      <c r="S661" s="1387"/>
      <c r="T661" s="314"/>
      <c r="U661" s="314"/>
      <c r="V661" s="314"/>
      <c r="W661" s="314"/>
    </row>
    <row r="662" spans="1:24" s="313" customFormat="1" ht="16.5" customHeight="1">
      <c r="A662" s="1401" t="s">
        <v>1341</v>
      </c>
      <c r="B662" s="1401" t="s">
        <v>1840</v>
      </c>
      <c r="C662" s="1444" t="s">
        <v>52</v>
      </c>
      <c r="D662" s="1723">
        <v>19</v>
      </c>
      <c r="E662" s="1739">
        <v>14.66</v>
      </c>
      <c r="F662" s="1492">
        <f t="shared" si="124"/>
        <v>278.54000000000002</v>
      </c>
      <c r="G662" s="1049">
        <v>19</v>
      </c>
      <c r="H662" s="306">
        <v>278.54000000000002</v>
      </c>
      <c r="I662" s="307">
        <v>1</v>
      </c>
      <c r="J662" s="1046"/>
      <c r="K662" s="306">
        <f t="shared" si="116"/>
        <v>0</v>
      </c>
      <c r="L662" s="307">
        <f t="shared" si="117"/>
        <v>0</v>
      </c>
      <c r="M662" s="1047">
        <f t="shared" si="118"/>
        <v>19</v>
      </c>
      <c r="N662" s="306">
        <f t="shared" si="119"/>
        <v>278.54000000000002</v>
      </c>
      <c r="O662" s="307">
        <f t="shared" si="120"/>
        <v>1</v>
      </c>
      <c r="P662" s="1047">
        <f t="shared" si="121"/>
        <v>0</v>
      </c>
      <c r="Q662" s="306">
        <f t="shared" si="122"/>
        <v>0</v>
      </c>
      <c r="R662" s="307">
        <f t="shared" si="123"/>
        <v>0</v>
      </c>
      <c r="S662" s="314"/>
      <c r="T662" s="314"/>
      <c r="U662" s="314"/>
      <c r="V662" s="314"/>
      <c r="W662" s="314"/>
      <c r="X662" s="314"/>
    </row>
    <row r="663" spans="1:24" s="313" customFormat="1" ht="16.5" customHeight="1">
      <c r="A663" s="1401" t="s">
        <v>1343</v>
      </c>
      <c r="B663" s="1401" t="s">
        <v>1842</v>
      </c>
      <c r="C663" s="1444" t="s">
        <v>52</v>
      </c>
      <c r="D663" s="1723">
        <v>6</v>
      </c>
      <c r="E663" s="1739">
        <v>14.06</v>
      </c>
      <c r="F663" s="1492">
        <f t="shared" si="124"/>
        <v>84.36</v>
      </c>
      <c r="G663" s="1049">
        <v>3</v>
      </c>
      <c r="H663" s="306">
        <v>42.18</v>
      </c>
      <c r="I663" s="307">
        <v>0.5</v>
      </c>
      <c r="J663" s="1046"/>
      <c r="K663" s="306">
        <f t="shared" si="116"/>
        <v>0</v>
      </c>
      <c r="L663" s="307">
        <f t="shared" si="117"/>
        <v>0</v>
      </c>
      <c r="M663" s="1047">
        <f t="shared" si="118"/>
        <v>3</v>
      </c>
      <c r="N663" s="306">
        <f t="shared" si="119"/>
        <v>42.18</v>
      </c>
      <c r="O663" s="307">
        <f t="shared" si="120"/>
        <v>0.5</v>
      </c>
      <c r="P663" s="1047">
        <f t="shared" si="121"/>
        <v>3</v>
      </c>
      <c r="Q663" s="306">
        <f t="shared" si="122"/>
        <v>42.18</v>
      </c>
      <c r="R663" s="307">
        <f t="shared" si="123"/>
        <v>0.5</v>
      </c>
      <c r="S663" s="314"/>
      <c r="T663" s="314"/>
      <c r="U663" s="314"/>
      <c r="V663" s="314"/>
      <c r="W663" s="314"/>
      <c r="X663" s="314"/>
    </row>
    <row r="664" spans="1:24" s="313" customFormat="1" ht="16.5" customHeight="1">
      <c r="A664" s="1108" t="s">
        <v>1351</v>
      </c>
      <c r="B664" s="1111" t="s">
        <v>3789</v>
      </c>
      <c r="C664" s="1444"/>
      <c r="D664" s="1723"/>
      <c r="E664" s="1509"/>
      <c r="F664" s="1492"/>
      <c r="G664" s="1049"/>
      <c r="H664" s="306"/>
      <c r="I664" s="307"/>
      <c r="J664" s="1046"/>
      <c r="K664" s="306"/>
      <c r="L664" s="307"/>
      <c r="M664" s="1047"/>
      <c r="N664" s="306"/>
      <c r="O664" s="307"/>
      <c r="P664" s="1047"/>
      <c r="Q664" s="306"/>
      <c r="R664" s="307"/>
      <c r="S664" s="314"/>
      <c r="T664" s="314"/>
      <c r="U664" s="314"/>
      <c r="V664" s="314"/>
      <c r="W664" s="314"/>
      <c r="X664" s="314"/>
    </row>
    <row r="665" spans="1:24" s="313" customFormat="1" ht="16.5" customHeight="1">
      <c r="A665" s="1101" t="s">
        <v>1354</v>
      </c>
      <c r="B665" s="1101" t="s">
        <v>1853</v>
      </c>
      <c r="C665" s="1104" t="s">
        <v>52</v>
      </c>
      <c r="D665" s="1723">
        <v>39</v>
      </c>
      <c r="E665" s="1135">
        <v>107.86</v>
      </c>
      <c r="F665" s="1492">
        <f t="shared" si="124"/>
        <v>4206.54</v>
      </c>
      <c r="G665" s="1049">
        <v>2</v>
      </c>
      <c r="H665" s="306">
        <v>215.72</v>
      </c>
      <c r="I665" s="307">
        <v>5.128205128205128E-2</v>
      </c>
      <c r="J665" s="1046"/>
      <c r="K665" s="306">
        <f t="shared" si="116"/>
        <v>0</v>
      </c>
      <c r="L665" s="307">
        <f t="shared" si="117"/>
        <v>0</v>
      </c>
      <c r="M665" s="1047">
        <f t="shared" si="118"/>
        <v>2</v>
      </c>
      <c r="N665" s="306">
        <f t="shared" si="119"/>
        <v>215.72</v>
      </c>
      <c r="O665" s="307">
        <f t="shared" si="120"/>
        <v>5.128205128205128E-2</v>
      </c>
      <c r="P665" s="1047">
        <f t="shared" si="121"/>
        <v>37</v>
      </c>
      <c r="Q665" s="306">
        <f t="shared" si="122"/>
        <v>3990.82</v>
      </c>
      <c r="R665" s="307">
        <f t="shared" si="123"/>
        <v>0.94871794871794879</v>
      </c>
      <c r="S665" s="314"/>
      <c r="T665" s="314"/>
      <c r="U665" s="314"/>
      <c r="V665" s="314"/>
      <c r="W665" s="314"/>
      <c r="X665" s="314"/>
    </row>
    <row r="666" spans="1:24">
      <c r="A666" s="1742">
        <v>4.0599999999999996</v>
      </c>
      <c r="B666" s="1743" t="s">
        <v>2399</v>
      </c>
      <c r="C666" s="1744"/>
      <c r="D666" s="1723"/>
      <c r="E666" s="1739"/>
      <c r="F666" s="1492" t="str">
        <f t="shared" si="124"/>
        <v xml:space="preserve"> </v>
      </c>
      <c r="G666" s="1049"/>
      <c r="H666" s="306"/>
      <c r="I666" s="307"/>
      <c r="J666" s="1046"/>
      <c r="K666" s="306"/>
      <c r="L666" s="307"/>
      <c r="M666" s="1047"/>
      <c r="N666" s="306"/>
      <c r="O666" s="307"/>
      <c r="P666" s="1047"/>
      <c r="Q666" s="306"/>
      <c r="R666" s="307"/>
    </row>
    <row r="667" spans="1:24" s="316" customFormat="1" ht="16.5" customHeight="1">
      <c r="A667" s="1745" t="s">
        <v>2400</v>
      </c>
      <c r="B667" s="1746" t="s">
        <v>2401</v>
      </c>
      <c r="C667" s="1747"/>
      <c r="D667" s="1723"/>
      <c r="E667" s="1739"/>
      <c r="F667" s="1492"/>
      <c r="G667" s="1049"/>
      <c r="H667" s="306"/>
      <c r="I667" s="307"/>
      <c r="J667" s="1046"/>
      <c r="K667" s="306"/>
      <c r="L667" s="307"/>
      <c r="M667" s="1047"/>
      <c r="N667" s="306"/>
      <c r="O667" s="307"/>
      <c r="P667" s="1047"/>
      <c r="Q667" s="306"/>
      <c r="R667" s="307"/>
      <c r="S667" s="1387"/>
      <c r="T667" s="314"/>
      <c r="U667" s="314"/>
      <c r="V667" s="314"/>
      <c r="W667" s="314"/>
    </row>
    <row r="668" spans="1:24" s="313" customFormat="1" ht="16.5" customHeight="1">
      <c r="A668" s="1748"/>
      <c r="B668" s="1749" t="s">
        <v>2402</v>
      </c>
      <c r="C668" s="1750" t="s">
        <v>52</v>
      </c>
      <c r="D668" s="1723">
        <f>625-56</f>
        <v>569</v>
      </c>
      <c r="E668" s="1739">
        <v>27.41</v>
      </c>
      <c r="F668" s="1492">
        <f t="shared" si="124"/>
        <v>15596.29</v>
      </c>
      <c r="G668" s="1049">
        <v>510</v>
      </c>
      <c r="H668" s="306">
        <v>13979.1</v>
      </c>
      <c r="I668" s="307">
        <v>0.8963093145869947</v>
      </c>
      <c r="J668" s="1046"/>
      <c r="K668" s="306">
        <f t="shared" si="116"/>
        <v>0</v>
      </c>
      <c r="L668" s="307">
        <f t="shared" si="117"/>
        <v>0</v>
      </c>
      <c r="M668" s="1047">
        <f t="shared" si="118"/>
        <v>510</v>
      </c>
      <c r="N668" s="306">
        <f t="shared" si="119"/>
        <v>13979.1</v>
      </c>
      <c r="O668" s="307">
        <f t="shared" si="120"/>
        <v>0.8963093145869947</v>
      </c>
      <c r="P668" s="1047">
        <f t="shared" si="121"/>
        <v>59</v>
      </c>
      <c r="Q668" s="306">
        <f t="shared" si="122"/>
        <v>1617.1900000000005</v>
      </c>
      <c r="R668" s="307">
        <f t="shared" si="123"/>
        <v>0.1036906854130053</v>
      </c>
      <c r="S668" s="314"/>
      <c r="T668" s="314"/>
      <c r="U668" s="314"/>
      <c r="V668" s="314"/>
      <c r="W668" s="314"/>
      <c r="X668" s="314"/>
    </row>
    <row r="669" spans="1:24" s="313" customFormat="1" ht="16.5" customHeight="1">
      <c r="A669" s="1748"/>
      <c r="B669" s="1749" t="s">
        <v>2403</v>
      </c>
      <c r="C669" s="1750" t="s">
        <v>52</v>
      </c>
      <c r="D669" s="1723">
        <v>135</v>
      </c>
      <c r="E669" s="1739">
        <v>33.409999999999997</v>
      </c>
      <c r="F669" s="1492">
        <f t="shared" si="124"/>
        <v>4510.3500000000004</v>
      </c>
      <c r="G669" s="1049">
        <v>35</v>
      </c>
      <c r="H669" s="306">
        <v>1169.3499999999999</v>
      </c>
      <c r="I669" s="307">
        <v>0.25925925925925924</v>
      </c>
      <c r="J669" s="1046"/>
      <c r="K669" s="306">
        <f t="shared" si="116"/>
        <v>0</v>
      </c>
      <c r="L669" s="307">
        <f t="shared" si="117"/>
        <v>0</v>
      </c>
      <c r="M669" s="1047">
        <f t="shared" si="118"/>
        <v>35</v>
      </c>
      <c r="N669" s="306">
        <f t="shared" si="119"/>
        <v>1169.3499999999999</v>
      </c>
      <c r="O669" s="307">
        <f t="shared" si="120"/>
        <v>0.25925925925925924</v>
      </c>
      <c r="P669" s="1047">
        <f t="shared" si="121"/>
        <v>100</v>
      </c>
      <c r="Q669" s="306">
        <f t="shared" si="122"/>
        <v>3341.0000000000005</v>
      </c>
      <c r="R669" s="307">
        <f t="shared" si="123"/>
        <v>0.74074074074074081</v>
      </c>
      <c r="S669" s="314"/>
      <c r="T669" s="314"/>
      <c r="U669" s="314"/>
      <c r="V669" s="314"/>
      <c r="W669" s="314"/>
      <c r="X669" s="314"/>
    </row>
    <row r="670" spans="1:24" s="313" customFormat="1" ht="16.5" customHeight="1">
      <c r="A670" s="1748"/>
      <c r="B670" s="1749" t="s">
        <v>2406</v>
      </c>
      <c r="C670" s="1750" t="s">
        <v>52</v>
      </c>
      <c r="D670" s="1723">
        <v>50</v>
      </c>
      <c r="E670" s="1739">
        <v>52.41</v>
      </c>
      <c r="F670" s="1492">
        <f t="shared" si="124"/>
        <v>2620.5</v>
      </c>
      <c r="G670" s="1049">
        <v>45</v>
      </c>
      <c r="H670" s="306">
        <v>2358.4499999999998</v>
      </c>
      <c r="I670" s="307">
        <v>0.89999999999999991</v>
      </c>
      <c r="J670" s="1046"/>
      <c r="K670" s="306">
        <f t="shared" si="116"/>
        <v>0</v>
      </c>
      <c r="L670" s="307">
        <f t="shared" si="117"/>
        <v>0</v>
      </c>
      <c r="M670" s="1047">
        <f t="shared" si="118"/>
        <v>45</v>
      </c>
      <c r="N670" s="306">
        <f t="shared" si="119"/>
        <v>2358.4499999999998</v>
      </c>
      <c r="O670" s="307">
        <f t="shared" si="120"/>
        <v>0.89999999999999991</v>
      </c>
      <c r="P670" s="1047">
        <f t="shared" si="121"/>
        <v>5</v>
      </c>
      <c r="Q670" s="306">
        <f t="shared" si="122"/>
        <v>262.05000000000018</v>
      </c>
      <c r="R670" s="307">
        <f t="shared" si="123"/>
        <v>0.10000000000000007</v>
      </c>
      <c r="S670" s="314"/>
      <c r="T670" s="314"/>
      <c r="U670" s="314"/>
      <c r="V670" s="314"/>
      <c r="W670" s="314"/>
      <c r="X670" s="314"/>
    </row>
    <row r="671" spans="1:24" s="313" customFormat="1" ht="16.5" customHeight="1">
      <c r="A671" s="1748"/>
      <c r="B671" s="1749" t="s">
        <v>2407</v>
      </c>
      <c r="C671" s="1750" t="s">
        <v>52</v>
      </c>
      <c r="D671" s="1723">
        <v>20</v>
      </c>
      <c r="E671" s="1739">
        <v>55.41</v>
      </c>
      <c r="F671" s="1492">
        <f t="shared" si="124"/>
        <v>1108.2</v>
      </c>
      <c r="G671" s="1049">
        <v>15</v>
      </c>
      <c r="H671" s="306">
        <v>831.15</v>
      </c>
      <c r="I671" s="307">
        <v>0.75</v>
      </c>
      <c r="J671" s="1046"/>
      <c r="K671" s="306">
        <f t="shared" si="116"/>
        <v>0</v>
      </c>
      <c r="L671" s="307">
        <f t="shared" si="117"/>
        <v>0</v>
      </c>
      <c r="M671" s="1047">
        <f t="shared" si="118"/>
        <v>15</v>
      </c>
      <c r="N671" s="306">
        <f t="shared" si="119"/>
        <v>831.15</v>
      </c>
      <c r="O671" s="307">
        <f t="shared" si="120"/>
        <v>0.75</v>
      </c>
      <c r="P671" s="1047">
        <f t="shared" si="121"/>
        <v>5</v>
      </c>
      <c r="Q671" s="306">
        <f t="shared" si="122"/>
        <v>277.05000000000007</v>
      </c>
      <c r="R671" s="307">
        <f t="shared" si="123"/>
        <v>0.25000000000000006</v>
      </c>
      <c r="S671" s="314"/>
      <c r="T671" s="314"/>
      <c r="U671" s="314"/>
      <c r="V671" s="314"/>
      <c r="W671" s="314"/>
      <c r="X671" s="314"/>
    </row>
    <row r="672" spans="1:24" s="313" customFormat="1" ht="16.5" customHeight="1">
      <c r="A672" s="1742">
        <v>4.4000000000000004</v>
      </c>
      <c r="B672" s="1743" t="s">
        <v>1854</v>
      </c>
      <c r="C672" s="1750"/>
      <c r="D672" s="1723"/>
      <c r="E672" s="1739"/>
      <c r="F672" s="1492"/>
      <c r="G672" s="1049"/>
      <c r="H672" s="306"/>
      <c r="I672" s="307"/>
      <c r="J672" s="1046"/>
      <c r="K672" s="306"/>
      <c r="L672" s="307"/>
      <c r="M672" s="1047"/>
      <c r="N672" s="306"/>
      <c r="O672" s="307"/>
      <c r="P672" s="1047"/>
      <c r="Q672" s="306"/>
      <c r="R672" s="307"/>
      <c r="S672" s="314"/>
      <c r="T672" s="314"/>
      <c r="U672" s="314"/>
      <c r="V672" s="314"/>
      <c r="W672" s="314"/>
      <c r="X672" s="314"/>
    </row>
    <row r="673" spans="1:24" s="313" customFormat="1" ht="16.5" customHeight="1">
      <c r="A673" s="1108" t="s">
        <v>1355</v>
      </c>
      <c r="B673" s="1111" t="s">
        <v>1855</v>
      </c>
      <c r="C673" s="1750"/>
      <c r="D673" s="1723"/>
      <c r="E673" s="1739"/>
      <c r="F673" s="1492"/>
      <c r="G673" s="1049"/>
      <c r="H673" s="306"/>
      <c r="I673" s="307"/>
      <c r="J673" s="1046"/>
      <c r="K673" s="306"/>
      <c r="L673" s="307"/>
      <c r="M673" s="1047"/>
      <c r="N673" s="306"/>
      <c r="O673" s="307"/>
      <c r="P673" s="1047"/>
      <c r="Q673" s="306"/>
      <c r="R673" s="307"/>
      <c r="S673" s="314"/>
      <c r="T673" s="314"/>
      <c r="U673" s="314"/>
      <c r="V673" s="314"/>
      <c r="W673" s="314"/>
      <c r="X673" s="314"/>
    </row>
    <row r="674" spans="1:24" s="313" customFormat="1" ht="16.5" customHeight="1">
      <c r="A674" s="1748" t="s">
        <v>1356</v>
      </c>
      <c r="B674" s="1749" t="s">
        <v>3790</v>
      </c>
      <c r="C674" s="1750" t="s">
        <v>51</v>
      </c>
      <c r="D674" s="1751">
        <v>141</v>
      </c>
      <c r="E674" s="1739">
        <v>38.28</v>
      </c>
      <c r="F674" s="1492">
        <f t="shared" si="124"/>
        <v>5397.48</v>
      </c>
      <c r="G674" s="1049">
        <v>0</v>
      </c>
      <c r="H674" s="306">
        <v>0</v>
      </c>
      <c r="I674" s="307">
        <v>0</v>
      </c>
      <c r="J674" s="1046"/>
      <c r="K674" s="306">
        <f t="shared" si="116"/>
        <v>0</v>
      </c>
      <c r="L674" s="307">
        <f t="shared" si="117"/>
        <v>0</v>
      </c>
      <c r="M674" s="1047">
        <f t="shared" si="118"/>
        <v>0</v>
      </c>
      <c r="N674" s="306">
        <f t="shared" si="119"/>
        <v>0</v>
      </c>
      <c r="O674" s="307">
        <f t="shared" si="120"/>
        <v>0</v>
      </c>
      <c r="P674" s="1047">
        <f t="shared" si="121"/>
        <v>141</v>
      </c>
      <c r="Q674" s="306">
        <f t="shared" si="122"/>
        <v>5397.48</v>
      </c>
      <c r="R674" s="307">
        <f t="shared" si="123"/>
        <v>1</v>
      </c>
      <c r="S674" s="314"/>
      <c r="T674" s="314"/>
      <c r="U674" s="314"/>
      <c r="V674" s="314"/>
      <c r="W674" s="314"/>
      <c r="X674" s="314"/>
    </row>
    <row r="675" spans="1:24" s="313" customFormat="1" ht="16.5" customHeight="1">
      <c r="A675" s="1748" t="s">
        <v>1358</v>
      </c>
      <c r="B675" s="1749" t="s">
        <v>3791</v>
      </c>
      <c r="C675" s="1750" t="s">
        <v>51</v>
      </c>
      <c r="D675" s="1751">
        <v>99.4</v>
      </c>
      <c r="E675" s="1739">
        <v>233.95</v>
      </c>
      <c r="F675" s="1492">
        <f t="shared" si="124"/>
        <v>23254.63</v>
      </c>
      <c r="G675" s="1049">
        <v>0</v>
      </c>
      <c r="H675" s="306">
        <v>0</v>
      </c>
      <c r="I675" s="307">
        <v>0</v>
      </c>
      <c r="J675" s="1046"/>
      <c r="K675" s="306">
        <f t="shared" ref="K675:K738" si="125">J675*E675</f>
        <v>0</v>
      </c>
      <c r="L675" s="307">
        <f t="shared" ref="L675:L738" si="126">+K675/$F675</f>
        <v>0</v>
      </c>
      <c r="M675" s="1047">
        <f t="shared" ref="M675:M738" si="127">+G675+J675</f>
        <v>0</v>
      </c>
      <c r="N675" s="306">
        <f t="shared" ref="N675:N738" si="128">ROUND(+M675*E675,2)</f>
        <v>0</v>
      </c>
      <c r="O675" s="307">
        <f t="shared" ref="O675:O738" si="129">+N675/$F675</f>
        <v>0</v>
      </c>
      <c r="P675" s="1047">
        <f t="shared" ref="P675:P738" si="130">D675-M675</f>
        <v>99.4</v>
      </c>
      <c r="Q675" s="306">
        <f t="shared" ref="Q675:Q738" si="131">F675-N675</f>
        <v>23254.63</v>
      </c>
      <c r="R675" s="307">
        <f t="shared" ref="R675:R738" si="132">+Q675/$F675</f>
        <v>1</v>
      </c>
      <c r="S675" s="314"/>
      <c r="T675" s="314"/>
      <c r="U675" s="314"/>
      <c r="V675" s="314"/>
      <c r="W675" s="314"/>
      <c r="X675" s="314"/>
    </row>
    <row r="676" spans="1:24" s="313" customFormat="1" ht="16.5" customHeight="1">
      <c r="A676" s="1108" t="s">
        <v>1359</v>
      </c>
      <c r="B676" s="1111" t="s">
        <v>1859</v>
      </c>
      <c r="C676" s="1750"/>
      <c r="D676" s="1739"/>
      <c r="E676" s="1739"/>
      <c r="F676" s="1492" t="str">
        <f t="shared" si="124"/>
        <v xml:space="preserve"> </v>
      </c>
      <c r="G676" s="1049"/>
      <c r="H676" s="306"/>
      <c r="I676" s="307"/>
      <c r="J676" s="1046"/>
      <c r="K676" s="306"/>
      <c r="L676" s="307"/>
      <c r="M676" s="1047"/>
      <c r="N676" s="306"/>
      <c r="O676" s="307"/>
      <c r="P676" s="1047"/>
      <c r="Q676" s="306"/>
      <c r="R676" s="307"/>
      <c r="S676" s="314"/>
      <c r="T676" s="314"/>
      <c r="U676" s="314"/>
      <c r="V676" s="314"/>
      <c r="W676" s="314"/>
      <c r="X676" s="314"/>
    </row>
    <row r="677" spans="1:24" s="313" customFormat="1" ht="16.5" customHeight="1">
      <c r="A677" s="1748" t="s">
        <v>1360</v>
      </c>
      <c r="B677" s="1749" t="s">
        <v>1860</v>
      </c>
      <c r="C677" s="1750" t="s">
        <v>52</v>
      </c>
      <c r="D677" s="1751">
        <v>55</v>
      </c>
      <c r="E677" s="1739">
        <v>56.39</v>
      </c>
      <c r="F677" s="1492">
        <f t="shared" si="124"/>
        <v>3101.45</v>
      </c>
      <c r="G677" s="1049">
        <v>0</v>
      </c>
      <c r="H677" s="306">
        <v>0</v>
      </c>
      <c r="I677" s="307">
        <v>0</v>
      </c>
      <c r="J677" s="1046"/>
      <c r="K677" s="306">
        <f t="shared" si="125"/>
        <v>0</v>
      </c>
      <c r="L677" s="307">
        <f t="shared" si="126"/>
        <v>0</v>
      </c>
      <c r="M677" s="1047">
        <f t="shared" si="127"/>
        <v>0</v>
      </c>
      <c r="N677" s="306">
        <f t="shared" si="128"/>
        <v>0</v>
      </c>
      <c r="O677" s="307">
        <f t="shared" si="129"/>
        <v>0</v>
      </c>
      <c r="P677" s="1047">
        <f t="shared" si="130"/>
        <v>55</v>
      </c>
      <c r="Q677" s="306">
        <f t="shared" si="131"/>
        <v>3101.45</v>
      </c>
      <c r="R677" s="307">
        <f t="shared" si="132"/>
        <v>1</v>
      </c>
      <c r="S677" s="314"/>
      <c r="T677" s="314"/>
      <c r="U677" s="314"/>
      <c r="V677" s="314"/>
      <c r="W677" s="314"/>
      <c r="X677" s="314"/>
    </row>
    <row r="678" spans="1:24" s="313" customFormat="1" ht="16.5" customHeight="1">
      <c r="A678" s="1748" t="s">
        <v>1363</v>
      </c>
      <c r="B678" s="1749" t="s">
        <v>1863</v>
      </c>
      <c r="C678" s="1750" t="s">
        <v>52</v>
      </c>
      <c r="D678" s="1751">
        <v>5</v>
      </c>
      <c r="E678" s="1739">
        <v>50.3</v>
      </c>
      <c r="F678" s="1492">
        <f t="shared" si="124"/>
        <v>251.5</v>
      </c>
      <c r="G678" s="1049">
        <v>0</v>
      </c>
      <c r="H678" s="306">
        <v>0</v>
      </c>
      <c r="I678" s="307">
        <v>0</v>
      </c>
      <c r="J678" s="1046"/>
      <c r="K678" s="306">
        <f t="shared" si="125"/>
        <v>0</v>
      </c>
      <c r="L678" s="307">
        <f t="shared" si="126"/>
        <v>0</v>
      </c>
      <c r="M678" s="1047">
        <f t="shared" si="127"/>
        <v>0</v>
      </c>
      <c r="N678" s="306">
        <f t="shared" si="128"/>
        <v>0</v>
      </c>
      <c r="O678" s="307">
        <f t="shared" si="129"/>
        <v>0</v>
      </c>
      <c r="P678" s="1047">
        <f t="shared" si="130"/>
        <v>5</v>
      </c>
      <c r="Q678" s="306">
        <f t="shared" si="131"/>
        <v>251.5</v>
      </c>
      <c r="R678" s="307">
        <f t="shared" si="132"/>
        <v>1</v>
      </c>
      <c r="S678" s="314"/>
      <c r="T678" s="314"/>
      <c r="U678" s="314"/>
      <c r="V678" s="314"/>
      <c r="W678" s="314"/>
      <c r="X678" s="314"/>
    </row>
    <row r="679" spans="1:24" s="313" customFormat="1" ht="16.5" customHeight="1">
      <c r="A679" s="1748" t="s">
        <v>1364</v>
      </c>
      <c r="B679" s="1749" t="s">
        <v>1864</v>
      </c>
      <c r="C679" s="1750" t="s">
        <v>52</v>
      </c>
      <c r="D679" s="1751">
        <v>10</v>
      </c>
      <c r="E679" s="1739">
        <v>110.87</v>
      </c>
      <c r="F679" s="1492">
        <f t="shared" si="124"/>
        <v>1108.7</v>
      </c>
      <c r="G679" s="1049">
        <v>0</v>
      </c>
      <c r="H679" s="306">
        <v>0</v>
      </c>
      <c r="I679" s="307">
        <v>0</v>
      </c>
      <c r="J679" s="1046"/>
      <c r="K679" s="306">
        <f t="shared" si="125"/>
        <v>0</v>
      </c>
      <c r="L679" s="307">
        <f t="shared" si="126"/>
        <v>0</v>
      </c>
      <c r="M679" s="1047">
        <f t="shared" si="127"/>
        <v>0</v>
      </c>
      <c r="N679" s="306">
        <f t="shared" si="128"/>
        <v>0</v>
      </c>
      <c r="O679" s="307">
        <f t="shared" si="129"/>
        <v>0</v>
      </c>
      <c r="P679" s="1047">
        <f t="shared" si="130"/>
        <v>10</v>
      </c>
      <c r="Q679" s="306">
        <f t="shared" si="131"/>
        <v>1108.7</v>
      </c>
      <c r="R679" s="307">
        <f t="shared" si="132"/>
        <v>1</v>
      </c>
      <c r="S679" s="314"/>
      <c r="T679" s="314"/>
      <c r="U679" s="314"/>
      <c r="V679" s="314"/>
      <c r="W679" s="314"/>
      <c r="X679" s="314"/>
    </row>
    <row r="680" spans="1:24" s="313" customFormat="1" ht="16.5" customHeight="1">
      <c r="A680" s="1748" t="s">
        <v>1365</v>
      </c>
      <c r="B680" s="1749" t="s">
        <v>1865</v>
      </c>
      <c r="C680" s="1750" t="s">
        <v>52</v>
      </c>
      <c r="D680" s="1751">
        <v>5</v>
      </c>
      <c r="E680" s="1739">
        <v>49.8</v>
      </c>
      <c r="F680" s="1492">
        <f t="shared" si="124"/>
        <v>249</v>
      </c>
      <c r="G680" s="1049">
        <v>0</v>
      </c>
      <c r="H680" s="306">
        <v>0</v>
      </c>
      <c r="I680" s="307">
        <v>0</v>
      </c>
      <c r="J680" s="1046"/>
      <c r="K680" s="306">
        <f t="shared" si="125"/>
        <v>0</v>
      </c>
      <c r="L680" s="307">
        <f t="shared" si="126"/>
        <v>0</v>
      </c>
      <c r="M680" s="1047">
        <f t="shared" si="127"/>
        <v>0</v>
      </c>
      <c r="N680" s="306">
        <f t="shared" si="128"/>
        <v>0</v>
      </c>
      <c r="O680" s="307">
        <f t="shared" si="129"/>
        <v>0</v>
      </c>
      <c r="P680" s="1047">
        <f t="shared" si="130"/>
        <v>5</v>
      </c>
      <c r="Q680" s="306">
        <f t="shared" si="131"/>
        <v>249</v>
      </c>
      <c r="R680" s="307">
        <f t="shared" si="132"/>
        <v>1</v>
      </c>
      <c r="S680" s="314"/>
      <c r="T680" s="314"/>
      <c r="U680" s="314"/>
      <c r="V680" s="314"/>
      <c r="W680" s="314"/>
      <c r="X680" s="314"/>
    </row>
    <row r="681" spans="1:24" s="313" customFormat="1" ht="16.5" customHeight="1">
      <c r="A681" s="1748" t="s">
        <v>1366</v>
      </c>
      <c r="B681" s="1749" t="s">
        <v>1866</v>
      </c>
      <c r="C681" s="1750" t="s">
        <v>52</v>
      </c>
      <c r="D681" s="1751">
        <v>9</v>
      </c>
      <c r="E681" s="1739">
        <v>103.87</v>
      </c>
      <c r="F681" s="1492">
        <f t="shared" si="124"/>
        <v>934.83</v>
      </c>
      <c r="G681" s="1049">
        <v>0</v>
      </c>
      <c r="H681" s="306">
        <v>0</v>
      </c>
      <c r="I681" s="307">
        <v>0</v>
      </c>
      <c r="J681" s="1046"/>
      <c r="K681" s="306">
        <f t="shared" si="125"/>
        <v>0</v>
      </c>
      <c r="L681" s="307">
        <f t="shared" si="126"/>
        <v>0</v>
      </c>
      <c r="M681" s="1047">
        <f t="shared" si="127"/>
        <v>0</v>
      </c>
      <c r="N681" s="306">
        <f t="shared" si="128"/>
        <v>0</v>
      </c>
      <c r="O681" s="307">
        <f t="shared" si="129"/>
        <v>0</v>
      </c>
      <c r="P681" s="1047">
        <f t="shared" si="130"/>
        <v>9</v>
      </c>
      <c r="Q681" s="306">
        <f t="shared" si="131"/>
        <v>934.83</v>
      </c>
      <c r="R681" s="307">
        <f t="shared" si="132"/>
        <v>1</v>
      </c>
      <c r="S681" s="314"/>
      <c r="T681" s="314"/>
      <c r="U681" s="314"/>
      <c r="V681" s="314"/>
      <c r="W681" s="314"/>
      <c r="X681" s="314"/>
    </row>
    <row r="682" spans="1:24" s="313" customFormat="1" ht="16.5" customHeight="1">
      <c r="A682" s="1748" t="s">
        <v>1367</v>
      </c>
      <c r="B682" s="1749" t="s">
        <v>1867</v>
      </c>
      <c r="C682" s="1750" t="s">
        <v>52</v>
      </c>
      <c r="D682" s="1751">
        <v>18</v>
      </c>
      <c r="E682" s="1739">
        <v>18.71</v>
      </c>
      <c r="F682" s="1492">
        <f t="shared" si="124"/>
        <v>336.78</v>
      </c>
      <c r="G682" s="1049">
        <v>0</v>
      </c>
      <c r="H682" s="306">
        <v>0</v>
      </c>
      <c r="I682" s="307">
        <v>0</v>
      </c>
      <c r="J682" s="1046"/>
      <c r="K682" s="306">
        <f t="shared" si="125"/>
        <v>0</v>
      </c>
      <c r="L682" s="307">
        <f t="shared" si="126"/>
        <v>0</v>
      </c>
      <c r="M682" s="1047">
        <f t="shared" si="127"/>
        <v>0</v>
      </c>
      <c r="N682" s="306">
        <f t="shared" si="128"/>
        <v>0</v>
      </c>
      <c r="O682" s="307">
        <f t="shared" si="129"/>
        <v>0</v>
      </c>
      <c r="P682" s="1047">
        <f t="shared" si="130"/>
        <v>18</v>
      </c>
      <c r="Q682" s="306">
        <f t="shared" si="131"/>
        <v>336.78</v>
      </c>
      <c r="R682" s="307">
        <f t="shared" si="132"/>
        <v>1</v>
      </c>
      <c r="S682" s="314"/>
      <c r="T682" s="314"/>
      <c r="U682" s="314"/>
      <c r="V682" s="314"/>
      <c r="W682" s="314"/>
      <c r="X682" s="314"/>
    </row>
    <row r="683" spans="1:24" s="313" customFormat="1" ht="16.5" customHeight="1">
      <c r="A683" s="1108" t="s">
        <v>1371</v>
      </c>
      <c r="B683" s="1111" t="s">
        <v>1871</v>
      </c>
      <c r="C683" s="1750"/>
      <c r="D683" s="1751"/>
      <c r="E683" s="1739"/>
      <c r="F683" s="1492" t="str">
        <f t="shared" si="124"/>
        <v xml:space="preserve"> </v>
      </c>
      <c r="G683" s="1049"/>
      <c r="H683" s="306"/>
      <c r="I683" s="307"/>
      <c r="J683" s="1046"/>
      <c r="K683" s="306"/>
      <c r="L683" s="307"/>
      <c r="M683" s="1047"/>
      <c r="N683" s="306"/>
      <c r="O683" s="307"/>
      <c r="P683" s="1047"/>
      <c r="Q683" s="306"/>
      <c r="R683" s="307"/>
      <c r="S683" s="314"/>
      <c r="T683" s="314"/>
      <c r="U683" s="314"/>
      <c r="V683" s="314"/>
      <c r="W683" s="314"/>
      <c r="X683" s="314"/>
    </row>
    <row r="684" spans="1:24" s="313" customFormat="1" ht="16.5" customHeight="1">
      <c r="A684" s="1748" t="s">
        <v>1372</v>
      </c>
      <c r="B684" s="1749" t="s">
        <v>1872</v>
      </c>
      <c r="C684" s="1750" t="s">
        <v>52</v>
      </c>
      <c r="D684" s="1751">
        <v>38</v>
      </c>
      <c r="E684" s="1739">
        <v>55.69</v>
      </c>
      <c r="F684" s="1492">
        <f t="shared" si="124"/>
        <v>2116.2199999999998</v>
      </c>
      <c r="G684" s="1049">
        <v>0</v>
      </c>
      <c r="H684" s="306">
        <v>0</v>
      </c>
      <c r="I684" s="307">
        <v>0</v>
      </c>
      <c r="J684" s="1046"/>
      <c r="K684" s="306">
        <f t="shared" si="125"/>
        <v>0</v>
      </c>
      <c r="L684" s="307">
        <f t="shared" si="126"/>
        <v>0</v>
      </c>
      <c r="M684" s="1047">
        <f t="shared" si="127"/>
        <v>0</v>
      </c>
      <c r="N684" s="306">
        <f t="shared" si="128"/>
        <v>0</v>
      </c>
      <c r="O684" s="307">
        <f t="shared" si="129"/>
        <v>0</v>
      </c>
      <c r="P684" s="1047">
        <f t="shared" si="130"/>
        <v>38</v>
      </c>
      <c r="Q684" s="306">
        <f t="shared" si="131"/>
        <v>2116.2199999999998</v>
      </c>
      <c r="R684" s="307">
        <f t="shared" si="132"/>
        <v>1</v>
      </c>
      <c r="S684" s="314"/>
      <c r="T684" s="314"/>
      <c r="U684" s="314"/>
      <c r="V684" s="314"/>
      <c r="W684" s="314"/>
      <c r="X684" s="314"/>
    </row>
    <row r="685" spans="1:24">
      <c r="A685" s="1447">
        <v>5</v>
      </c>
      <c r="B685" s="1402" t="s">
        <v>1885</v>
      </c>
      <c r="C685" s="1444"/>
      <c r="D685" s="1723"/>
      <c r="E685" s="1739"/>
      <c r="F685" s="1492" t="str">
        <f t="shared" si="124"/>
        <v xml:space="preserve"> </v>
      </c>
      <c r="G685" s="1049"/>
      <c r="H685" s="306"/>
      <c r="I685" s="307"/>
      <c r="J685" s="1046"/>
      <c r="K685" s="306"/>
      <c r="L685" s="307"/>
      <c r="M685" s="1047"/>
      <c r="N685" s="306"/>
      <c r="O685" s="307"/>
      <c r="P685" s="1047"/>
      <c r="Q685" s="306"/>
      <c r="R685" s="307"/>
    </row>
    <row r="686" spans="1:24" s="313" customFormat="1" ht="16.5" customHeight="1">
      <c r="A686" s="1101">
        <v>5.5</v>
      </c>
      <c r="B686" s="1102" t="s">
        <v>1945</v>
      </c>
      <c r="C686" s="1444"/>
      <c r="D686" s="1723"/>
      <c r="E686" s="1739"/>
      <c r="F686" s="1492"/>
      <c r="G686" s="1049"/>
      <c r="H686" s="306"/>
      <c r="I686" s="307"/>
      <c r="J686" s="1046"/>
      <c r="K686" s="306"/>
      <c r="L686" s="307"/>
      <c r="M686" s="1047"/>
      <c r="N686" s="306"/>
      <c r="O686" s="307"/>
      <c r="P686" s="1047"/>
      <c r="Q686" s="306"/>
      <c r="R686" s="307"/>
      <c r="S686" s="314"/>
      <c r="T686" s="314"/>
      <c r="U686" s="314"/>
      <c r="V686" s="314"/>
      <c r="W686" s="314"/>
      <c r="X686" s="314"/>
    </row>
    <row r="687" spans="1:24" s="313" customFormat="1" ht="16.5" customHeight="1">
      <c r="A687" s="1101" t="s">
        <v>1445</v>
      </c>
      <c r="B687" s="1103" t="s">
        <v>1950</v>
      </c>
      <c r="C687" s="1444"/>
      <c r="D687" s="1723"/>
      <c r="E687" s="1739"/>
      <c r="F687" s="1492"/>
      <c r="G687" s="1049"/>
      <c r="H687" s="306"/>
      <c r="I687" s="307"/>
      <c r="J687" s="1046"/>
      <c r="K687" s="306"/>
      <c r="L687" s="307"/>
      <c r="M687" s="1047"/>
      <c r="N687" s="306"/>
      <c r="O687" s="307"/>
      <c r="P687" s="1047"/>
      <c r="Q687" s="306"/>
      <c r="R687" s="307"/>
      <c r="S687" s="314"/>
      <c r="T687" s="314"/>
      <c r="U687" s="314"/>
      <c r="V687" s="314"/>
      <c r="W687" s="314"/>
      <c r="X687" s="314"/>
    </row>
    <row r="688" spans="1:24" s="1427" customFormat="1" ht="16.5" customHeight="1">
      <c r="A688" s="1860" t="s">
        <v>1447</v>
      </c>
      <c r="B688" s="1860" t="s">
        <v>1952</v>
      </c>
      <c r="C688" s="1861" t="s">
        <v>52</v>
      </c>
      <c r="D688" s="1862">
        <v>84</v>
      </c>
      <c r="E688" s="1863">
        <v>14.39</v>
      </c>
      <c r="F688" s="1740">
        <f t="shared" si="124"/>
        <v>1208.76</v>
      </c>
      <c r="G688" s="1049">
        <v>35</v>
      </c>
      <c r="H688" s="1425">
        <v>503.65</v>
      </c>
      <c r="I688" s="305">
        <v>0.41666666666666663</v>
      </c>
      <c r="J688" s="1049"/>
      <c r="K688" s="1425">
        <f t="shared" si="125"/>
        <v>0</v>
      </c>
      <c r="L688" s="305">
        <f t="shared" si="126"/>
        <v>0</v>
      </c>
      <c r="M688" s="1049">
        <f t="shared" si="127"/>
        <v>35</v>
      </c>
      <c r="N688" s="1425">
        <f t="shared" si="128"/>
        <v>503.65</v>
      </c>
      <c r="O688" s="305">
        <f t="shared" si="129"/>
        <v>0.41666666666666663</v>
      </c>
      <c r="P688" s="1049">
        <f t="shared" si="130"/>
        <v>49</v>
      </c>
      <c r="Q688" s="1425">
        <f t="shared" si="131"/>
        <v>705.11</v>
      </c>
      <c r="R688" s="305">
        <f t="shared" si="132"/>
        <v>0.58333333333333337</v>
      </c>
      <c r="S688" s="1426"/>
      <c r="T688" s="1426"/>
      <c r="U688" s="1426"/>
      <c r="V688" s="1426"/>
      <c r="W688" s="1426"/>
      <c r="X688" s="1426"/>
    </row>
    <row r="689" spans="1:24" s="313" customFormat="1" ht="16.5" customHeight="1">
      <c r="A689" s="1101" t="s">
        <v>1448</v>
      </c>
      <c r="B689" s="1101" t="s">
        <v>1953</v>
      </c>
      <c r="C689" s="1104" t="s">
        <v>52</v>
      </c>
      <c r="D689" s="1723">
        <v>32</v>
      </c>
      <c r="E689" s="1135">
        <v>17.190000000000001</v>
      </c>
      <c r="F689" s="1492">
        <f t="shared" si="124"/>
        <v>550.08000000000004</v>
      </c>
      <c r="G689" s="1049">
        <v>18</v>
      </c>
      <c r="H689" s="306">
        <v>309.42</v>
      </c>
      <c r="I689" s="307">
        <v>0.5625</v>
      </c>
      <c r="J689" s="1046"/>
      <c r="K689" s="306">
        <f t="shared" si="125"/>
        <v>0</v>
      </c>
      <c r="L689" s="307">
        <f t="shared" si="126"/>
        <v>0</v>
      </c>
      <c r="M689" s="1047">
        <f t="shared" si="127"/>
        <v>18</v>
      </c>
      <c r="N689" s="306">
        <f t="shared" si="128"/>
        <v>309.42</v>
      </c>
      <c r="O689" s="307">
        <f t="shared" si="129"/>
        <v>0.5625</v>
      </c>
      <c r="P689" s="1047">
        <f t="shared" si="130"/>
        <v>14</v>
      </c>
      <c r="Q689" s="306">
        <f t="shared" si="131"/>
        <v>240.66000000000003</v>
      </c>
      <c r="R689" s="307">
        <f t="shared" si="132"/>
        <v>0.4375</v>
      </c>
      <c r="S689" s="314"/>
      <c r="T689" s="314"/>
      <c r="U689" s="314"/>
      <c r="V689" s="314"/>
      <c r="W689" s="314"/>
      <c r="X689" s="314"/>
    </row>
    <row r="690" spans="1:24">
      <c r="A690" s="1102">
        <v>5.5</v>
      </c>
      <c r="B690" s="1752" t="s">
        <v>1945</v>
      </c>
      <c r="C690" s="1730"/>
      <c r="D690" s="1723"/>
      <c r="E690" s="1135"/>
      <c r="F690" s="1492" t="str">
        <f t="shared" si="124"/>
        <v xml:space="preserve"> </v>
      </c>
      <c r="G690" s="1049"/>
      <c r="H690" s="306"/>
      <c r="I690" s="307"/>
      <c r="J690" s="1046"/>
      <c r="K690" s="306"/>
      <c r="L690" s="307"/>
      <c r="M690" s="1047"/>
      <c r="N690" s="306"/>
      <c r="O690" s="307"/>
      <c r="P690" s="1047"/>
      <c r="Q690" s="306"/>
      <c r="R690" s="307"/>
    </row>
    <row r="691" spans="1:24" s="316" customFormat="1" ht="16.5" customHeight="1">
      <c r="A691" s="1108" t="s">
        <v>1442</v>
      </c>
      <c r="B691" s="1753" t="s">
        <v>1947</v>
      </c>
      <c r="C691" s="1139"/>
      <c r="D691" s="1723"/>
      <c r="E691" s="1135"/>
      <c r="F691" s="1492"/>
      <c r="G691" s="1049"/>
      <c r="H691" s="306"/>
      <c r="I691" s="307"/>
      <c r="J691" s="1046"/>
      <c r="K691" s="306"/>
      <c r="L691" s="307"/>
      <c r="M691" s="1047"/>
      <c r="N691" s="306"/>
      <c r="O691" s="307"/>
      <c r="P691" s="1047"/>
      <c r="Q691" s="306"/>
      <c r="R691" s="307"/>
      <c r="S691" s="1387"/>
      <c r="T691" s="314"/>
      <c r="U691" s="314"/>
      <c r="V691" s="314"/>
      <c r="W691" s="314"/>
    </row>
    <row r="692" spans="1:24" s="313" customFormat="1" ht="16.5" customHeight="1">
      <c r="A692" s="1401"/>
      <c r="B692" s="1754" t="s">
        <v>2418</v>
      </c>
      <c r="C692" s="1135" t="s">
        <v>51</v>
      </c>
      <c r="D692" s="1723">
        <v>4200</v>
      </c>
      <c r="E692" s="1135">
        <v>3.81</v>
      </c>
      <c r="F692" s="1492">
        <f t="shared" si="124"/>
        <v>16002</v>
      </c>
      <c r="G692" s="1049">
        <v>4200</v>
      </c>
      <c r="H692" s="306">
        <v>16002</v>
      </c>
      <c r="I692" s="307">
        <v>1</v>
      </c>
      <c r="J692" s="1046"/>
      <c r="K692" s="306">
        <f t="shared" si="125"/>
        <v>0</v>
      </c>
      <c r="L692" s="307">
        <f t="shared" si="126"/>
        <v>0</v>
      </c>
      <c r="M692" s="1047">
        <f t="shared" si="127"/>
        <v>4200</v>
      </c>
      <c r="N692" s="306">
        <f t="shared" si="128"/>
        <v>16002</v>
      </c>
      <c r="O692" s="307">
        <f t="shared" si="129"/>
        <v>1</v>
      </c>
      <c r="P692" s="1047">
        <f t="shared" si="130"/>
        <v>0</v>
      </c>
      <c r="Q692" s="306">
        <f t="shared" si="131"/>
        <v>0</v>
      </c>
      <c r="R692" s="307">
        <f t="shared" si="132"/>
        <v>0</v>
      </c>
      <c r="S692" s="314"/>
      <c r="T692" s="314"/>
      <c r="U692" s="314"/>
      <c r="V692" s="314"/>
      <c r="W692" s="314"/>
      <c r="X692" s="314"/>
    </row>
    <row r="693" spans="1:24" s="313" customFormat="1" ht="16.5" customHeight="1">
      <c r="A693" s="1401"/>
      <c r="B693" s="1754" t="s">
        <v>1949</v>
      </c>
      <c r="C693" s="1352" t="s">
        <v>51</v>
      </c>
      <c r="D693" s="1723">
        <v>600</v>
      </c>
      <c r="E693" s="1135">
        <v>5.0999999999999996</v>
      </c>
      <c r="F693" s="1492">
        <f t="shared" si="124"/>
        <v>3060</v>
      </c>
      <c r="G693" s="1049">
        <v>600</v>
      </c>
      <c r="H693" s="306">
        <v>3060</v>
      </c>
      <c r="I693" s="307">
        <v>1</v>
      </c>
      <c r="J693" s="1046"/>
      <c r="K693" s="306">
        <f t="shared" si="125"/>
        <v>0</v>
      </c>
      <c r="L693" s="307">
        <f t="shared" si="126"/>
        <v>0</v>
      </c>
      <c r="M693" s="1047">
        <f t="shared" si="127"/>
        <v>600</v>
      </c>
      <c r="N693" s="306">
        <f t="shared" si="128"/>
        <v>3060</v>
      </c>
      <c r="O693" s="307">
        <f t="shared" si="129"/>
        <v>1</v>
      </c>
      <c r="P693" s="1047">
        <f t="shared" si="130"/>
        <v>0</v>
      </c>
      <c r="Q693" s="306">
        <f t="shared" si="131"/>
        <v>0</v>
      </c>
      <c r="R693" s="307">
        <f t="shared" si="132"/>
        <v>0</v>
      </c>
      <c r="S693" s="314"/>
      <c r="T693" s="314"/>
      <c r="U693" s="314"/>
      <c r="V693" s="314"/>
      <c r="W693" s="314"/>
      <c r="X693" s="314"/>
    </row>
    <row r="694" spans="1:24" s="313" customFormat="1" ht="16.5" customHeight="1">
      <c r="A694" s="1706">
        <v>6</v>
      </c>
      <c r="B694" s="1707" t="s">
        <v>1969</v>
      </c>
      <c r="C694" s="1502"/>
      <c r="D694" s="1409"/>
      <c r="E694" s="1509"/>
      <c r="F694" s="1492"/>
      <c r="G694" s="1049"/>
      <c r="H694" s="306"/>
      <c r="I694" s="307"/>
      <c r="J694" s="1046"/>
      <c r="K694" s="306"/>
      <c r="L694" s="307"/>
      <c r="M694" s="1047"/>
      <c r="N694" s="306"/>
      <c r="O694" s="307"/>
      <c r="P694" s="1047"/>
      <c r="Q694" s="306"/>
      <c r="R694" s="307"/>
      <c r="S694" s="314"/>
      <c r="T694" s="314"/>
      <c r="U694" s="314"/>
      <c r="V694" s="314"/>
      <c r="W694" s="314"/>
      <c r="X694" s="314"/>
    </row>
    <row r="695" spans="1:24" s="313" customFormat="1" ht="16.5" customHeight="1">
      <c r="A695" s="1102">
        <v>6.1</v>
      </c>
      <c r="B695" s="1752" t="s">
        <v>1970</v>
      </c>
      <c r="C695" s="1502"/>
      <c r="D695" s="1409"/>
      <c r="E695" s="1509"/>
      <c r="F695" s="1492"/>
      <c r="G695" s="1049"/>
      <c r="H695" s="306"/>
      <c r="I695" s="307"/>
      <c r="J695" s="1046"/>
      <c r="K695" s="306"/>
      <c r="L695" s="307"/>
      <c r="M695" s="1047"/>
      <c r="N695" s="306"/>
      <c r="O695" s="307"/>
      <c r="P695" s="1047"/>
      <c r="Q695" s="306"/>
      <c r="R695" s="307"/>
      <c r="S695" s="314"/>
      <c r="T695" s="314"/>
      <c r="U695" s="314"/>
      <c r="V695" s="314"/>
      <c r="W695" s="314"/>
      <c r="X695" s="314"/>
    </row>
    <row r="696" spans="1:24">
      <c r="A696" s="1309" t="s">
        <v>1465</v>
      </c>
      <c r="B696" s="1489" t="s">
        <v>1974</v>
      </c>
      <c r="C696" s="1502" t="s">
        <v>52</v>
      </c>
      <c r="D696" s="1723">
        <v>24</v>
      </c>
      <c r="E696" s="1497">
        <v>295.41000000000003</v>
      </c>
      <c r="F696" s="1492">
        <f t="shared" ref="F696" si="133">IF(ISBLANK(C696)," ",ROUND(E696*D696,2))</f>
        <v>7089.84</v>
      </c>
      <c r="G696" s="1049">
        <v>0</v>
      </c>
      <c r="H696" s="306">
        <v>0</v>
      </c>
      <c r="I696" s="307">
        <v>0</v>
      </c>
      <c r="J696" s="1046"/>
      <c r="K696" s="306">
        <f t="shared" si="125"/>
        <v>0</v>
      </c>
      <c r="L696" s="307">
        <f t="shared" si="126"/>
        <v>0</v>
      </c>
      <c r="M696" s="1047">
        <f t="shared" si="127"/>
        <v>0</v>
      </c>
      <c r="N696" s="306">
        <f t="shared" si="128"/>
        <v>0</v>
      </c>
      <c r="O696" s="307">
        <f t="shared" si="129"/>
        <v>0</v>
      </c>
      <c r="P696" s="1047">
        <f t="shared" si="130"/>
        <v>24</v>
      </c>
      <c r="Q696" s="306">
        <f t="shared" si="131"/>
        <v>7089.84</v>
      </c>
      <c r="R696" s="307">
        <f t="shared" si="132"/>
        <v>1</v>
      </c>
    </row>
    <row r="697" spans="1:24" s="316" customFormat="1" ht="16.5" customHeight="1">
      <c r="A697" s="1102">
        <v>6.2</v>
      </c>
      <c r="B697" s="1752" t="s">
        <v>1976</v>
      </c>
      <c r="C697" s="1502"/>
      <c r="D697" s="1723" t="s">
        <v>283</v>
      </c>
      <c r="E697" s="1497"/>
      <c r="F697" s="1492"/>
      <c r="G697" s="1049"/>
      <c r="H697" s="306"/>
      <c r="I697" s="307"/>
      <c r="J697" s="1046"/>
      <c r="K697" s="306"/>
      <c r="L697" s="307"/>
      <c r="M697" s="1047"/>
      <c r="N697" s="306"/>
      <c r="O697" s="307"/>
      <c r="P697" s="1047"/>
      <c r="Q697" s="306"/>
      <c r="R697" s="307"/>
      <c r="S697" s="1387"/>
      <c r="T697" s="314"/>
      <c r="U697" s="314"/>
      <c r="V697" s="314"/>
      <c r="W697" s="314"/>
    </row>
    <row r="698" spans="1:24" s="313" customFormat="1" ht="16.5" customHeight="1">
      <c r="A698" s="1745" t="s">
        <v>1480</v>
      </c>
      <c r="B698" s="1746" t="s">
        <v>1990</v>
      </c>
      <c r="C698" s="1502"/>
      <c r="D698" s="1409" t="s">
        <v>283</v>
      </c>
      <c r="E698" s="1509"/>
      <c r="F698" s="1492"/>
      <c r="G698" s="1049"/>
      <c r="H698" s="306"/>
      <c r="I698" s="307"/>
      <c r="J698" s="1046"/>
      <c r="K698" s="306"/>
      <c r="L698" s="307"/>
      <c r="M698" s="1047"/>
      <c r="N698" s="306"/>
      <c r="O698" s="307"/>
      <c r="P698" s="1047"/>
      <c r="Q698" s="306"/>
      <c r="R698" s="307"/>
      <c r="S698" s="314"/>
      <c r="T698" s="314"/>
      <c r="U698" s="314"/>
      <c r="V698" s="314"/>
      <c r="W698" s="314"/>
      <c r="X698" s="314"/>
    </row>
    <row r="699" spans="1:24" s="313" customFormat="1" ht="16.5" customHeight="1">
      <c r="A699" s="1401" t="s">
        <v>1483</v>
      </c>
      <c r="B699" s="1755" t="s">
        <v>1993</v>
      </c>
      <c r="C699" s="1502" t="s">
        <v>1145</v>
      </c>
      <c r="D699" s="1723">
        <v>1</v>
      </c>
      <c r="E699" s="1509">
        <v>39.369999999999997</v>
      </c>
      <c r="F699" s="1492">
        <f t="shared" ref="F699" si="134">IF(ISBLANK(C699)," ",ROUND(E699*D699,2))</f>
        <v>39.369999999999997</v>
      </c>
      <c r="G699" s="1049">
        <v>0</v>
      </c>
      <c r="H699" s="306">
        <v>0</v>
      </c>
      <c r="I699" s="307">
        <v>0</v>
      </c>
      <c r="J699" s="1046"/>
      <c r="K699" s="306">
        <f t="shared" si="125"/>
        <v>0</v>
      </c>
      <c r="L699" s="307">
        <f t="shared" si="126"/>
        <v>0</v>
      </c>
      <c r="M699" s="1047">
        <f t="shared" si="127"/>
        <v>0</v>
      </c>
      <c r="N699" s="306">
        <f t="shared" si="128"/>
        <v>0</v>
      </c>
      <c r="O699" s="307">
        <f t="shared" si="129"/>
        <v>0</v>
      </c>
      <c r="P699" s="1047">
        <f t="shared" si="130"/>
        <v>1</v>
      </c>
      <c r="Q699" s="306">
        <f t="shared" si="131"/>
        <v>39.369999999999997</v>
      </c>
      <c r="R699" s="307">
        <f t="shared" si="132"/>
        <v>1</v>
      </c>
      <c r="S699" s="314"/>
      <c r="T699" s="314"/>
      <c r="U699" s="314"/>
      <c r="V699" s="314"/>
      <c r="W699" s="314"/>
      <c r="X699" s="314"/>
    </row>
    <row r="700" spans="1:24" s="313" customFormat="1" ht="16.5" customHeight="1">
      <c r="A700" s="1745" t="s">
        <v>1491</v>
      </c>
      <c r="B700" s="1746" t="s">
        <v>2001</v>
      </c>
      <c r="C700" s="1502"/>
      <c r="D700" s="1409" t="s">
        <v>283</v>
      </c>
      <c r="E700" s="1509"/>
      <c r="F700" s="1492"/>
      <c r="G700" s="1049"/>
      <c r="H700" s="306"/>
      <c r="I700" s="307"/>
      <c r="J700" s="1046"/>
      <c r="K700" s="306"/>
      <c r="L700" s="307"/>
      <c r="M700" s="1047"/>
      <c r="N700" s="306"/>
      <c r="O700" s="307"/>
      <c r="P700" s="1047"/>
      <c r="Q700" s="306"/>
      <c r="R700" s="307"/>
      <c r="S700" s="314"/>
      <c r="T700" s="314"/>
      <c r="U700" s="314"/>
      <c r="V700" s="314"/>
      <c r="W700" s="314"/>
      <c r="X700" s="314"/>
    </row>
    <row r="701" spans="1:24" s="313" customFormat="1" ht="16.5" customHeight="1">
      <c r="A701" s="1401" t="s">
        <v>1492</v>
      </c>
      <c r="B701" s="1755" t="s">
        <v>2002</v>
      </c>
      <c r="C701" s="1502" t="s">
        <v>52</v>
      </c>
      <c r="D701" s="1723">
        <v>1</v>
      </c>
      <c r="E701" s="1509">
        <v>3250</v>
      </c>
      <c r="F701" s="1492">
        <f t="shared" ref="F701:F709" si="135">IF(ISBLANK(C701)," ",ROUND(E701*D701,2))</f>
        <v>3250</v>
      </c>
      <c r="G701" s="1049">
        <v>0</v>
      </c>
      <c r="H701" s="306">
        <v>0</v>
      </c>
      <c r="I701" s="307">
        <v>0</v>
      </c>
      <c r="J701" s="1046"/>
      <c r="K701" s="306">
        <f t="shared" si="125"/>
        <v>0</v>
      </c>
      <c r="L701" s="307">
        <f t="shared" si="126"/>
        <v>0</v>
      </c>
      <c r="M701" s="1047">
        <f t="shared" si="127"/>
        <v>0</v>
      </c>
      <c r="N701" s="306">
        <f t="shared" si="128"/>
        <v>0</v>
      </c>
      <c r="O701" s="307">
        <f t="shared" si="129"/>
        <v>0</v>
      </c>
      <c r="P701" s="1047">
        <f t="shared" si="130"/>
        <v>1</v>
      </c>
      <c r="Q701" s="306">
        <f t="shared" si="131"/>
        <v>3250</v>
      </c>
      <c r="R701" s="307">
        <f t="shared" si="132"/>
        <v>1</v>
      </c>
      <c r="S701" s="314"/>
      <c r="T701" s="314"/>
      <c r="U701" s="314"/>
      <c r="V701" s="314"/>
      <c r="W701" s="314"/>
      <c r="X701" s="314"/>
    </row>
    <row r="702" spans="1:24">
      <c r="A702" s="1309" t="s">
        <v>1493</v>
      </c>
      <c r="B702" s="1489" t="s">
        <v>2003</v>
      </c>
      <c r="C702" s="1502" t="s">
        <v>52</v>
      </c>
      <c r="D702" s="1723">
        <v>1</v>
      </c>
      <c r="E702" s="1497">
        <v>1950.5</v>
      </c>
      <c r="F702" s="1492">
        <f t="shared" si="135"/>
        <v>1950.5</v>
      </c>
      <c r="G702" s="1049">
        <v>0</v>
      </c>
      <c r="H702" s="306">
        <v>0</v>
      </c>
      <c r="I702" s="307">
        <v>0</v>
      </c>
      <c r="J702" s="1046"/>
      <c r="K702" s="306">
        <f t="shared" si="125"/>
        <v>0</v>
      </c>
      <c r="L702" s="307">
        <f t="shared" si="126"/>
        <v>0</v>
      </c>
      <c r="M702" s="1047">
        <f t="shared" si="127"/>
        <v>0</v>
      </c>
      <c r="N702" s="306">
        <f t="shared" si="128"/>
        <v>0</v>
      </c>
      <c r="O702" s="307">
        <f t="shared" si="129"/>
        <v>0</v>
      </c>
      <c r="P702" s="1047">
        <f t="shared" si="130"/>
        <v>1</v>
      </c>
      <c r="Q702" s="306">
        <f t="shared" si="131"/>
        <v>1950.5</v>
      </c>
      <c r="R702" s="307">
        <f t="shared" si="132"/>
        <v>1</v>
      </c>
    </row>
    <row r="703" spans="1:24" s="316" customFormat="1" ht="16.5" customHeight="1">
      <c r="A703" s="1309" t="s">
        <v>1494</v>
      </c>
      <c r="B703" s="1099" t="s">
        <v>2004</v>
      </c>
      <c r="C703" s="1502" t="s">
        <v>52</v>
      </c>
      <c r="D703" s="1723">
        <v>2</v>
      </c>
      <c r="E703" s="1497">
        <v>7250</v>
      </c>
      <c r="F703" s="1492">
        <f t="shared" si="135"/>
        <v>14500</v>
      </c>
      <c r="G703" s="1049">
        <v>0</v>
      </c>
      <c r="H703" s="306">
        <v>0</v>
      </c>
      <c r="I703" s="307">
        <v>0</v>
      </c>
      <c r="J703" s="1046"/>
      <c r="K703" s="306">
        <f t="shared" si="125"/>
        <v>0</v>
      </c>
      <c r="L703" s="307">
        <f t="shared" si="126"/>
        <v>0</v>
      </c>
      <c r="M703" s="1047">
        <f t="shared" si="127"/>
        <v>0</v>
      </c>
      <c r="N703" s="306">
        <f t="shared" si="128"/>
        <v>0</v>
      </c>
      <c r="O703" s="307">
        <f t="shared" si="129"/>
        <v>0</v>
      </c>
      <c r="P703" s="1047">
        <f t="shared" si="130"/>
        <v>2</v>
      </c>
      <c r="Q703" s="306">
        <f t="shared" si="131"/>
        <v>14500</v>
      </c>
      <c r="R703" s="307">
        <f t="shared" si="132"/>
        <v>1</v>
      </c>
      <c r="S703" s="1387"/>
      <c r="T703" s="314"/>
      <c r="U703" s="314"/>
      <c r="V703" s="314"/>
      <c r="W703" s="314"/>
    </row>
    <row r="704" spans="1:24" s="313" customFormat="1" ht="16.5" customHeight="1">
      <c r="A704" s="1401" t="s">
        <v>1495</v>
      </c>
      <c r="B704" s="1755" t="s">
        <v>2005</v>
      </c>
      <c r="C704" s="1502" t="s">
        <v>52</v>
      </c>
      <c r="D704" s="1723">
        <v>1</v>
      </c>
      <c r="E704" s="1509">
        <v>2150</v>
      </c>
      <c r="F704" s="1492">
        <f t="shared" si="135"/>
        <v>2150</v>
      </c>
      <c r="G704" s="1049">
        <v>0</v>
      </c>
      <c r="H704" s="306">
        <v>0</v>
      </c>
      <c r="I704" s="307">
        <v>0</v>
      </c>
      <c r="J704" s="1046"/>
      <c r="K704" s="306">
        <f t="shared" si="125"/>
        <v>0</v>
      </c>
      <c r="L704" s="307">
        <f t="shared" si="126"/>
        <v>0</v>
      </c>
      <c r="M704" s="1047">
        <f t="shared" si="127"/>
        <v>0</v>
      </c>
      <c r="N704" s="306">
        <f t="shared" si="128"/>
        <v>0</v>
      </c>
      <c r="O704" s="307">
        <f t="shared" si="129"/>
        <v>0</v>
      </c>
      <c r="P704" s="1047">
        <f t="shared" si="130"/>
        <v>1</v>
      </c>
      <c r="Q704" s="306">
        <f t="shared" si="131"/>
        <v>2150</v>
      </c>
      <c r="R704" s="307">
        <f t="shared" si="132"/>
        <v>1</v>
      </c>
      <c r="S704" s="314"/>
      <c r="T704" s="314"/>
      <c r="U704" s="314"/>
      <c r="V704" s="314"/>
      <c r="W704" s="314"/>
      <c r="X704" s="314"/>
    </row>
    <row r="705" spans="1:24" s="313" customFormat="1" ht="16.5" customHeight="1">
      <c r="A705" s="1401" t="s">
        <v>1496</v>
      </c>
      <c r="B705" s="1755" t="s">
        <v>2006</v>
      </c>
      <c r="C705" s="1502" t="s">
        <v>52</v>
      </c>
      <c r="D705" s="1723">
        <v>4</v>
      </c>
      <c r="E705" s="1509">
        <v>280</v>
      </c>
      <c r="F705" s="1492">
        <f t="shared" si="135"/>
        <v>1120</v>
      </c>
      <c r="G705" s="1049">
        <v>0</v>
      </c>
      <c r="H705" s="306">
        <v>0</v>
      </c>
      <c r="I705" s="307">
        <v>0</v>
      </c>
      <c r="J705" s="1046"/>
      <c r="K705" s="306">
        <f t="shared" si="125"/>
        <v>0</v>
      </c>
      <c r="L705" s="307">
        <f t="shared" si="126"/>
        <v>0</v>
      </c>
      <c r="M705" s="1047">
        <f t="shared" si="127"/>
        <v>0</v>
      </c>
      <c r="N705" s="306">
        <f t="shared" si="128"/>
        <v>0</v>
      </c>
      <c r="O705" s="307">
        <f t="shared" si="129"/>
        <v>0</v>
      </c>
      <c r="P705" s="1047">
        <f t="shared" si="130"/>
        <v>4</v>
      </c>
      <c r="Q705" s="306">
        <f t="shared" si="131"/>
        <v>1120</v>
      </c>
      <c r="R705" s="307">
        <f t="shared" si="132"/>
        <v>1</v>
      </c>
      <c r="S705" s="314"/>
      <c r="T705" s="314"/>
      <c r="U705" s="314"/>
      <c r="V705" s="314"/>
      <c r="W705" s="314"/>
      <c r="X705" s="314"/>
    </row>
    <row r="706" spans="1:24">
      <c r="A706" s="1309" t="s">
        <v>1497</v>
      </c>
      <c r="B706" s="1489" t="s">
        <v>2007</v>
      </c>
      <c r="C706" s="1502" t="s">
        <v>52</v>
      </c>
      <c r="D706" s="1723">
        <v>1</v>
      </c>
      <c r="E706" s="1497">
        <v>658</v>
      </c>
      <c r="F706" s="1492">
        <f t="shared" si="135"/>
        <v>658</v>
      </c>
      <c r="G706" s="1049">
        <v>0</v>
      </c>
      <c r="H706" s="306">
        <v>0</v>
      </c>
      <c r="I706" s="307">
        <v>0</v>
      </c>
      <c r="J706" s="1046"/>
      <c r="K706" s="306">
        <f t="shared" si="125"/>
        <v>0</v>
      </c>
      <c r="L706" s="307">
        <f t="shared" si="126"/>
        <v>0</v>
      </c>
      <c r="M706" s="1047">
        <f t="shared" si="127"/>
        <v>0</v>
      </c>
      <c r="N706" s="306">
        <f t="shared" si="128"/>
        <v>0</v>
      </c>
      <c r="O706" s="307">
        <f t="shared" si="129"/>
        <v>0</v>
      </c>
      <c r="P706" s="1047">
        <f t="shared" si="130"/>
        <v>1</v>
      </c>
      <c r="Q706" s="306">
        <f t="shared" si="131"/>
        <v>658</v>
      </c>
      <c r="R706" s="307">
        <f t="shared" si="132"/>
        <v>1</v>
      </c>
    </row>
    <row r="707" spans="1:24" s="316" customFormat="1" ht="16.5" customHeight="1">
      <c r="A707" s="1309" t="s">
        <v>1498</v>
      </c>
      <c r="B707" s="1099" t="s">
        <v>2008</v>
      </c>
      <c r="C707" s="1502" t="s">
        <v>52</v>
      </c>
      <c r="D707" s="1723">
        <v>2</v>
      </c>
      <c r="E707" s="1497">
        <v>220</v>
      </c>
      <c r="F707" s="1492">
        <f t="shared" si="135"/>
        <v>440</v>
      </c>
      <c r="G707" s="1049">
        <v>0</v>
      </c>
      <c r="H707" s="306">
        <v>0</v>
      </c>
      <c r="I707" s="307">
        <v>0</v>
      </c>
      <c r="J707" s="1046"/>
      <c r="K707" s="306">
        <f t="shared" si="125"/>
        <v>0</v>
      </c>
      <c r="L707" s="307">
        <f t="shared" si="126"/>
        <v>0</v>
      </c>
      <c r="M707" s="1047">
        <f t="shared" si="127"/>
        <v>0</v>
      </c>
      <c r="N707" s="306">
        <f t="shared" si="128"/>
        <v>0</v>
      </c>
      <c r="O707" s="307">
        <f t="shared" si="129"/>
        <v>0</v>
      </c>
      <c r="P707" s="1047">
        <f t="shared" si="130"/>
        <v>2</v>
      </c>
      <c r="Q707" s="306">
        <f t="shared" si="131"/>
        <v>440</v>
      </c>
      <c r="R707" s="307">
        <f t="shared" si="132"/>
        <v>1</v>
      </c>
      <c r="S707" s="1387"/>
      <c r="T707" s="314"/>
      <c r="U707" s="314"/>
      <c r="V707" s="314"/>
      <c r="W707" s="314"/>
    </row>
    <row r="708" spans="1:24" s="313" customFormat="1" ht="16.5" customHeight="1">
      <c r="A708" s="1401" t="s">
        <v>1499</v>
      </c>
      <c r="B708" s="1755" t="s">
        <v>2009</v>
      </c>
      <c r="C708" s="1502" t="s">
        <v>52</v>
      </c>
      <c r="D708" s="1723">
        <v>1</v>
      </c>
      <c r="E708" s="1509">
        <v>2461.11</v>
      </c>
      <c r="F708" s="1492">
        <f t="shared" si="135"/>
        <v>2461.11</v>
      </c>
      <c r="G708" s="1049">
        <v>0</v>
      </c>
      <c r="H708" s="306">
        <v>0</v>
      </c>
      <c r="I708" s="307">
        <v>0</v>
      </c>
      <c r="J708" s="1046"/>
      <c r="K708" s="306">
        <f t="shared" si="125"/>
        <v>0</v>
      </c>
      <c r="L708" s="307">
        <f t="shared" si="126"/>
        <v>0</v>
      </c>
      <c r="M708" s="1047">
        <f t="shared" si="127"/>
        <v>0</v>
      </c>
      <c r="N708" s="306">
        <f t="shared" si="128"/>
        <v>0</v>
      </c>
      <c r="O708" s="307">
        <f t="shared" si="129"/>
        <v>0</v>
      </c>
      <c r="P708" s="1047">
        <f t="shared" si="130"/>
        <v>1</v>
      </c>
      <c r="Q708" s="306">
        <f t="shared" si="131"/>
        <v>2461.11</v>
      </c>
      <c r="R708" s="307">
        <f t="shared" si="132"/>
        <v>1</v>
      </c>
      <c r="S708" s="314"/>
      <c r="T708" s="314"/>
      <c r="U708" s="314"/>
      <c r="V708" s="314"/>
      <c r="W708" s="314"/>
      <c r="X708" s="314"/>
    </row>
    <row r="709" spans="1:24" s="313" customFormat="1" ht="16.5" customHeight="1">
      <c r="A709" s="1401" t="s">
        <v>1500</v>
      </c>
      <c r="B709" s="1755" t="s">
        <v>2010</v>
      </c>
      <c r="C709" s="1502" t="s">
        <v>52</v>
      </c>
      <c r="D709" s="1723">
        <v>7</v>
      </c>
      <c r="E709" s="1509">
        <v>102.3</v>
      </c>
      <c r="F709" s="1492">
        <f t="shared" si="135"/>
        <v>716.1</v>
      </c>
      <c r="G709" s="1049">
        <v>0</v>
      </c>
      <c r="H709" s="306">
        <v>0</v>
      </c>
      <c r="I709" s="307">
        <v>0</v>
      </c>
      <c r="J709" s="1046"/>
      <c r="K709" s="306">
        <f t="shared" si="125"/>
        <v>0</v>
      </c>
      <c r="L709" s="307">
        <f t="shared" si="126"/>
        <v>0</v>
      </c>
      <c r="M709" s="1047">
        <f t="shared" si="127"/>
        <v>0</v>
      </c>
      <c r="N709" s="306">
        <f t="shared" si="128"/>
        <v>0</v>
      </c>
      <c r="O709" s="307">
        <f t="shared" si="129"/>
        <v>0</v>
      </c>
      <c r="P709" s="1047">
        <f t="shared" si="130"/>
        <v>7</v>
      </c>
      <c r="Q709" s="306">
        <f t="shared" si="131"/>
        <v>716.1</v>
      </c>
      <c r="R709" s="307">
        <f t="shared" si="132"/>
        <v>1</v>
      </c>
      <c r="S709" s="314"/>
      <c r="T709" s="314"/>
      <c r="U709" s="314"/>
      <c r="V709" s="314"/>
      <c r="W709" s="314"/>
      <c r="X709" s="314"/>
    </row>
    <row r="710" spans="1:24" s="313" customFormat="1" ht="16.5" customHeight="1">
      <c r="A710" s="1102">
        <v>6.3</v>
      </c>
      <c r="B710" s="1752" t="s">
        <v>3792</v>
      </c>
      <c r="C710" s="1502"/>
      <c r="D710" s="1409" t="s">
        <v>283</v>
      </c>
      <c r="E710" s="1509"/>
      <c r="F710" s="1492"/>
      <c r="G710" s="1049"/>
      <c r="H710" s="306"/>
      <c r="I710" s="307"/>
      <c r="J710" s="1046"/>
      <c r="K710" s="306"/>
      <c r="L710" s="307"/>
      <c r="M710" s="1047"/>
      <c r="N710" s="306"/>
      <c r="O710" s="307"/>
      <c r="P710" s="1047"/>
      <c r="Q710" s="306"/>
      <c r="R710" s="307"/>
      <c r="S710" s="314"/>
      <c r="T710" s="314"/>
      <c r="U710" s="314"/>
      <c r="V710" s="314"/>
      <c r="W710" s="314"/>
      <c r="X710" s="314"/>
    </row>
    <row r="711" spans="1:24" s="313" customFormat="1" ht="16.5" customHeight="1">
      <c r="A711" s="1401" t="s">
        <v>1518</v>
      </c>
      <c r="B711" s="1755" t="s">
        <v>2017</v>
      </c>
      <c r="C711" s="1502" t="s">
        <v>52</v>
      </c>
      <c r="D711" s="1723">
        <v>1</v>
      </c>
      <c r="E711" s="1509">
        <v>30.55</v>
      </c>
      <c r="F711" s="1492">
        <f t="shared" ref="F711:F712" si="136">IF(ISBLANK(C711)," ",ROUND(E711*D711,2))</f>
        <v>30.55</v>
      </c>
      <c r="G711" s="1049">
        <v>0</v>
      </c>
      <c r="H711" s="306">
        <v>0</v>
      </c>
      <c r="I711" s="307">
        <v>0</v>
      </c>
      <c r="J711" s="1046"/>
      <c r="K711" s="306">
        <f t="shared" si="125"/>
        <v>0</v>
      </c>
      <c r="L711" s="307">
        <f t="shared" si="126"/>
        <v>0</v>
      </c>
      <c r="M711" s="1047">
        <f t="shared" si="127"/>
        <v>0</v>
      </c>
      <c r="N711" s="306">
        <f t="shared" si="128"/>
        <v>0</v>
      </c>
      <c r="O711" s="307">
        <f t="shared" si="129"/>
        <v>0</v>
      </c>
      <c r="P711" s="1047">
        <f t="shared" si="130"/>
        <v>1</v>
      </c>
      <c r="Q711" s="306">
        <f t="shared" si="131"/>
        <v>30.55</v>
      </c>
      <c r="R711" s="307">
        <f t="shared" si="132"/>
        <v>1</v>
      </c>
      <c r="S711" s="314"/>
      <c r="T711" s="314"/>
      <c r="U711" s="314"/>
      <c r="V711" s="314"/>
      <c r="W711" s="314"/>
      <c r="X711" s="314"/>
    </row>
    <row r="712" spans="1:24">
      <c r="A712" s="1102">
        <v>6.4</v>
      </c>
      <c r="B712" s="1752" t="s">
        <v>2031</v>
      </c>
      <c r="C712" s="1502"/>
      <c r="D712" s="1723" t="s">
        <v>283</v>
      </c>
      <c r="E712" s="1497"/>
      <c r="F712" s="1492" t="str">
        <f t="shared" si="136"/>
        <v xml:space="preserve"> </v>
      </c>
      <c r="G712" s="1049"/>
      <c r="H712" s="306"/>
      <c r="I712" s="307"/>
      <c r="J712" s="1046"/>
      <c r="K712" s="306"/>
      <c r="L712" s="307"/>
      <c r="M712" s="1047"/>
      <c r="N712" s="306"/>
      <c r="O712" s="307"/>
      <c r="P712" s="1047"/>
      <c r="Q712" s="306"/>
      <c r="R712" s="307"/>
    </row>
    <row r="713" spans="1:24" s="316" customFormat="1" ht="16.5" customHeight="1">
      <c r="A713" s="1745" t="s">
        <v>1535</v>
      </c>
      <c r="B713" s="1746" t="s">
        <v>1980</v>
      </c>
      <c r="C713" s="1502"/>
      <c r="D713" s="1723" t="s">
        <v>283</v>
      </c>
      <c r="E713" s="1497"/>
      <c r="F713" s="1492"/>
      <c r="G713" s="1049"/>
      <c r="H713" s="306"/>
      <c r="I713" s="307"/>
      <c r="J713" s="1046"/>
      <c r="K713" s="306"/>
      <c r="L713" s="307"/>
      <c r="M713" s="1047"/>
      <c r="N713" s="306"/>
      <c r="O713" s="307"/>
      <c r="P713" s="1047"/>
      <c r="Q713" s="306"/>
      <c r="R713" s="307"/>
      <c r="S713" s="1387"/>
      <c r="T713" s="314"/>
      <c r="U713" s="314"/>
      <c r="V713" s="314"/>
      <c r="W713" s="314"/>
    </row>
    <row r="714" spans="1:24" s="313" customFormat="1" ht="16.5" customHeight="1">
      <c r="A714" s="1401" t="s">
        <v>1539</v>
      </c>
      <c r="B714" s="1755" t="s">
        <v>2034</v>
      </c>
      <c r="C714" s="1502" t="s">
        <v>51</v>
      </c>
      <c r="D714" s="1723">
        <v>122</v>
      </c>
      <c r="E714" s="1509">
        <v>39.090000000000003</v>
      </c>
      <c r="F714" s="1492">
        <f t="shared" ref="F714" si="137">IF(ISBLANK(C714)," ",ROUND(E714*D714,2))</f>
        <v>4768.9799999999996</v>
      </c>
      <c r="G714" s="1049">
        <v>0</v>
      </c>
      <c r="H714" s="306">
        <v>0</v>
      </c>
      <c r="I714" s="307">
        <v>0</v>
      </c>
      <c r="J714" s="1046"/>
      <c r="K714" s="306">
        <f t="shared" si="125"/>
        <v>0</v>
      </c>
      <c r="L714" s="307">
        <f t="shared" si="126"/>
        <v>0</v>
      </c>
      <c r="M714" s="1047">
        <f t="shared" si="127"/>
        <v>0</v>
      </c>
      <c r="N714" s="306">
        <f t="shared" si="128"/>
        <v>0</v>
      </c>
      <c r="O714" s="307">
        <f t="shared" si="129"/>
        <v>0</v>
      </c>
      <c r="P714" s="1047">
        <f t="shared" si="130"/>
        <v>122</v>
      </c>
      <c r="Q714" s="306">
        <f t="shared" si="131"/>
        <v>4768.9799999999996</v>
      </c>
      <c r="R714" s="307">
        <f t="shared" si="132"/>
        <v>1</v>
      </c>
      <c r="S714" s="314"/>
      <c r="T714" s="314"/>
      <c r="U714" s="314"/>
      <c r="V714" s="314"/>
      <c r="W714" s="314"/>
      <c r="X714" s="314"/>
    </row>
    <row r="715" spans="1:24" s="313" customFormat="1" ht="16.5" customHeight="1">
      <c r="A715" s="1745" t="s">
        <v>1548</v>
      </c>
      <c r="B715" s="1746" t="s">
        <v>2037</v>
      </c>
      <c r="C715" s="1502"/>
      <c r="D715" s="1723" t="s">
        <v>283</v>
      </c>
      <c r="E715" s="1509"/>
      <c r="F715" s="1492"/>
      <c r="G715" s="1049"/>
      <c r="H715" s="306"/>
      <c r="I715" s="307"/>
      <c r="J715" s="1046"/>
      <c r="K715" s="306"/>
      <c r="L715" s="307"/>
      <c r="M715" s="1047"/>
      <c r="N715" s="306"/>
      <c r="O715" s="307"/>
      <c r="P715" s="1047"/>
      <c r="Q715" s="306"/>
      <c r="R715" s="307"/>
      <c r="S715" s="314"/>
      <c r="T715" s="314"/>
      <c r="U715" s="314"/>
      <c r="V715" s="314"/>
      <c r="W715" s="314"/>
      <c r="X715" s="314"/>
    </row>
    <row r="716" spans="1:24">
      <c r="A716" s="1309" t="s">
        <v>1550</v>
      </c>
      <c r="B716" s="1489" t="s">
        <v>2039</v>
      </c>
      <c r="C716" s="1502" t="s">
        <v>1145</v>
      </c>
      <c r="D716" s="1723">
        <v>15</v>
      </c>
      <c r="E716" s="1497">
        <v>22.4</v>
      </c>
      <c r="F716" s="1492">
        <f t="shared" ref="F716:F717" si="138">IF(ISBLANK(C716)," ",ROUND(E716*D716,2))</f>
        <v>336</v>
      </c>
      <c r="G716" s="1049">
        <v>0</v>
      </c>
      <c r="H716" s="306">
        <v>0</v>
      </c>
      <c r="I716" s="307">
        <v>0</v>
      </c>
      <c r="J716" s="1046"/>
      <c r="K716" s="306">
        <f t="shared" si="125"/>
        <v>0</v>
      </c>
      <c r="L716" s="307">
        <f t="shared" si="126"/>
        <v>0</v>
      </c>
      <c r="M716" s="1047">
        <f t="shared" si="127"/>
        <v>0</v>
      </c>
      <c r="N716" s="306">
        <f t="shared" si="128"/>
        <v>0</v>
      </c>
      <c r="O716" s="307">
        <f t="shared" si="129"/>
        <v>0</v>
      </c>
      <c r="P716" s="1047">
        <f t="shared" si="130"/>
        <v>15</v>
      </c>
      <c r="Q716" s="306">
        <f t="shared" si="131"/>
        <v>336</v>
      </c>
      <c r="R716" s="307">
        <f t="shared" si="132"/>
        <v>1</v>
      </c>
    </row>
    <row r="717" spans="1:24" s="316" customFormat="1" ht="16.5" customHeight="1">
      <c r="A717" s="1309" t="s">
        <v>1552</v>
      </c>
      <c r="B717" s="1099" t="s">
        <v>2041</v>
      </c>
      <c r="C717" s="1502" t="s">
        <v>1145</v>
      </c>
      <c r="D717" s="1723">
        <v>9</v>
      </c>
      <c r="E717" s="1497">
        <v>29.69</v>
      </c>
      <c r="F717" s="1492">
        <f t="shared" si="138"/>
        <v>267.20999999999998</v>
      </c>
      <c r="G717" s="1049">
        <v>0</v>
      </c>
      <c r="H717" s="306">
        <v>0</v>
      </c>
      <c r="I717" s="307">
        <v>0</v>
      </c>
      <c r="J717" s="1046"/>
      <c r="K717" s="306">
        <f t="shared" si="125"/>
        <v>0</v>
      </c>
      <c r="L717" s="307">
        <f t="shared" si="126"/>
        <v>0</v>
      </c>
      <c r="M717" s="1047">
        <f t="shared" si="127"/>
        <v>0</v>
      </c>
      <c r="N717" s="306">
        <f t="shared" si="128"/>
        <v>0</v>
      </c>
      <c r="O717" s="307">
        <f t="shared" si="129"/>
        <v>0</v>
      </c>
      <c r="P717" s="1047">
        <f t="shared" si="130"/>
        <v>9</v>
      </c>
      <c r="Q717" s="306">
        <f t="shared" si="131"/>
        <v>267.20999999999998</v>
      </c>
      <c r="R717" s="307">
        <f t="shared" si="132"/>
        <v>1</v>
      </c>
      <c r="S717" s="1387"/>
      <c r="T717" s="314"/>
      <c r="U717" s="314"/>
      <c r="V717" s="314"/>
      <c r="W717" s="314"/>
    </row>
    <row r="718" spans="1:24" s="313" customFormat="1" ht="16.5" customHeight="1">
      <c r="A718" s="1745" t="s">
        <v>1559</v>
      </c>
      <c r="B718" s="1746" t="s">
        <v>2048</v>
      </c>
      <c r="C718" s="1502"/>
      <c r="D718" s="1723" t="s">
        <v>283</v>
      </c>
      <c r="E718" s="1509"/>
      <c r="F718" s="1492"/>
      <c r="G718" s="1049"/>
      <c r="H718" s="306"/>
      <c r="I718" s="307"/>
      <c r="J718" s="1046"/>
      <c r="K718" s="306"/>
      <c r="L718" s="307"/>
      <c r="M718" s="1047"/>
      <c r="N718" s="306"/>
      <c r="O718" s="307"/>
      <c r="P718" s="1047"/>
      <c r="Q718" s="306"/>
      <c r="R718" s="307"/>
      <c r="S718" s="314"/>
      <c r="T718" s="314"/>
      <c r="U718" s="314"/>
      <c r="V718" s="314"/>
      <c r="W718" s="314"/>
      <c r="X718" s="314"/>
    </row>
    <row r="719" spans="1:24" s="313" customFormat="1" ht="16.5" customHeight="1">
      <c r="A719" s="1401" t="s">
        <v>1565</v>
      </c>
      <c r="B719" s="1755" t="s">
        <v>2054</v>
      </c>
      <c r="C719" s="1502" t="s">
        <v>52</v>
      </c>
      <c r="D719" s="1723">
        <v>2</v>
      </c>
      <c r="E719" s="1509">
        <v>195.87</v>
      </c>
      <c r="F719" s="1492">
        <f t="shared" ref="F719:F722" si="139">IF(ISBLANK(C719)," ",ROUND(E719*D719,2))</f>
        <v>391.74</v>
      </c>
      <c r="G719" s="1049">
        <v>0</v>
      </c>
      <c r="H719" s="306">
        <v>0</v>
      </c>
      <c r="I719" s="307">
        <v>0</v>
      </c>
      <c r="J719" s="1046"/>
      <c r="K719" s="306">
        <f t="shared" si="125"/>
        <v>0</v>
      </c>
      <c r="L719" s="307">
        <f t="shared" si="126"/>
        <v>0</v>
      </c>
      <c r="M719" s="1047">
        <f t="shared" si="127"/>
        <v>0</v>
      </c>
      <c r="N719" s="306">
        <f t="shared" si="128"/>
        <v>0</v>
      </c>
      <c r="O719" s="307">
        <f t="shared" si="129"/>
        <v>0</v>
      </c>
      <c r="P719" s="1047">
        <f t="shared" si="130"/>
        <v>2</v>
      </c>
      <c r="Q719" s="306">
        <f t="shared" si="131"/>
        <v>391.74</v>
      </c>
      <c r="R719" s="307">
        <f t="shared" si="132"/>
        <v>1</v>
      </c>
      <c r="S719" s="314"/>
      <c r="T719" s="314"/>
      <c r="U719" s="314"/>
      <c r="V719" s="314"/>
      <c r="W719" s="314"/>
      <c r="X719" s="314"/>
    </row>
    <row r="720" spans="1:24" s="313" customFormat="1" ht="16.5" customHeight="1">
      <c r="A720" s="1401" t="s">
        <v>1566</v>
      </c>
      <c r="B720" s="1755" t="s">
        <v>2055</v>
      </c>
      <c r="C720" s="1502" t="s">
        <v>52</v>
      </c>
      <c r="D720" s="1723">
        <v>4</v>
      </c>
      <c r="E720" s="1509">
        <v>288.79000000000002</v>
      </c>
      <c r="F720" s="1492">
        <f t="shared" si="139"/>
        <v>1155.1600000000001</v>
      </c>
      <c r="G720" s="1049">
        <v>0</v>
      </c>
      <c r="H720" s="306">
        <v>0</v>
      </c>
      <c r="I720" s="307">
        <v>0</v>
      </c>
      <c r="J720" s="1046"/>
      <c r="K720" s="306">
        <f t="shared" si="125"/>
        <v>0</v>
      </c>
      <c r="L720" s="307">
        <f t="shared" si="126"/>
        <v>0</v>
      </c>
      <c r="M720" s="1047">
        <f t="shared" si="127"/>
        <v>0</v>
      </c>
      <c r="N720" s="306">
        <f t="shared" si="128"/>
        <v>0</v>
      </c>
      <c r="O720" s="307">
        <f t="shared" si="129"/>
        <v>0</v>
      </c>
      <c r="P720" s="1047">
        <f t="shared" si="130"/>
        <v>4</v>
      </c>
      <c r="Q720" s="306">
        <f t="shared" si="131"/>
        <v>1155.1600000000001</v>
      </c>
      <c r="R720" s="307">
        <f t="shared" si="132"/>
        <v>1</v>
      </c>
      <c r="S720" s="314"/>
      <c r="T720" s="314"/>
      <c r="U720" s="314"/>
      <c r="V720" s="314"/>
      <c r="W720" s="314"/>
      <c r="X720" s="314"/>
    </row>
    <row r="721" spans="1:24" s="313" customFormat="1" ht="16.5" customHeight="1">
      <c r="A721" s="1401" t="s">
        <v>1567</v>
      </c>
      <c r="B721" s="1755" t="s">
        <v>2056</v>
      </c>
      <c r="C721" s="1502" t="s">
        <v>52</v>
      </c>
      <c r="D721" s="1723">
        <v>9</v>
      </c>
      <c r="E721" s="1509">
        <v>275.52</v>
      </c>
      <c r="F721" s="1492">
        <f t="shared" si="139"/>
        <v>2479.6799999999998</v>
      </c>
      <c r="G721" s="1049">
        <v>0</v>
      </c>
      <c r="H721" s="306">
        <v>0</v>
      </c>
      <c r="I721" s="307">
        <v>0</v>
      </c>
      <c r="J721" s="1046"/>
      <c r="K721" s="306">
        <f t="shared" si="125"/>
        <v>0</v>
      </c>
      <c r="L721" s="307">
        <f t="shared" si="126"/>
        <v>0</v>
      </c>
      <c r="M721" s="1047">
        <f t="shared" si="127"/>
        <v>0</v>
      </c>
      <c r="N721" s="306">
        <f t="shared" si="128"/>
        <v>0</v>
      </c>
      <c r="O721" s="307">
        <f t="shared" si="129"/>
        <v>0</v>
      </c>
      <c r="P721" s="1047">
        <f t="shared" si="130"/>
        <v>9</v>
      </c>
      <c r="Q721" s="306">
        <f t="shared" si="131"/>
        <v>2479.6799999999998</v>
      </c>
      <c r="R721" s="307">
        <f t="shared" si="132"/>
        <v>1</v>
      </c>
      <c r="S721" s="314"/>
      <c r="T721" s="314"/>
      <c r="U721" s="314"/>
      <c r="V721" s="314"/>
      <c r="W721" s="314"/>
      <c r="X721" s="314"/>
    </row>
    <row r="722" spans="1:24">
      <c r="A722" s="1102">
        <v>6.9</v>
      </c>
      <c r="B722" s="1752" t="s">
        <v>2083</v>
      </c>
      <c r="C722" s="1502"/>
      <c r="D722" s="1303" t="s">
        <v>283</v>
      </c>
      <c r="E722" s="1497"/>
      <c r="F722" s="1492" t="str">
        <f t="shared" si="139"/>
        <v xml:space="preserve"> </v>
      </c>
      <c r="G722" s="1049"/>
      <c r="H722" s="306"/>
      <c r="I722" s="307"/>
      <c r="J722" s="1046"/>
      <c r="K722" s="306"/>
      <c r="L722" s="307"/>
      <c r="M722" s="1047"/>
      <c r="N722" s="306"/>
      <c r="O722" s="307"/>
      <c r="P722" s="1047"/>
      <c r="Q722" s="306"/>
      <c r="R722" s="307"/>
    </row>
    <row r="723" spans="1:24" s="316" customFormat="1" ht="16.5" customHeight="1">
      <c r="A723" s="1745" t="s">
        <v>1607</v>
      </c>
      <c r="B723" s="1746" t="s">
        <v>2086</v>
      </c>
      <c r="C723" s="1502"/>
      <c r="D723" s="1723" t="s">
        <v>283</v>
      </c>
      <c r="E723" s="1497"/>
      <c r="F723" s="1492"/>
      <c r="G723" s="1049"/>
      <c r="H723" s="306"/>
      <c r="I723" s="307"/>
      <c r="J723" s="1046"/>
      <c r="K723" s="306"/>
      <c r="L723" s="307"/>
      <c r="M723" s="1047"/>
      <c r="N723" s="306"/>
      <c r="O723" s="307"/>
      <c r="P723" s="1047"/>
      <c r="Q723" s="306"/>
      <c r="R723" s="307"/>
      <c r="S723" s="1387"/>
      <c r="T723" s="314"/>
      <c r="U723" s="314"/>
      <c r="V723" s="314"/>
      <c r="W723" s="314"/>
    </row>
    <row r="724" spans="1:24" s="313" customFormat="1" ht="16.5" customHeight="1">
      <c r="A724" s="1401" t="s">
        <v>1608</v>
      </c>
      <c r="B724" s="1755" t="s">
        <v>2087</v>
      </c>
      <c r="C724" s="1502" t="s">
        <v>51</v>
      </c>
      <c r="D724" s="1723">
        <v>27</v>
      </c>
      <c r="E724" s="1509">
        <v>153.99</v>
      </c>
      <c r="F724" s="1492">
        <f t="shared" ref="F724:F729" si="140">IF(ISBLANK(C724)," ",ROUND(E724*D724,2))</f>
        <v>4157.7299999999996</v>
      </c>
      <c r="G724" s="1049">
        <v>27</v>
      </c>
      <c r="H724" s="306">
        <v>4157.7299999999996</v>
      </c>
      <c r="I724" s="307">
        <v>1</v>
      </c>
      <c r="J724" s="1046"/>
      <c r="K724" s="306">
        <f t="shared" si="125"/>
        <v>0</v>
      </c>
      <c r="L724" s="307">
        <f t="shared" si="126"/>
        <v>0</v>
      </c>
      <c r="M724" s="1047">
        <f t="shared" si="127"/>
        <v>27</v>
      </c>
      <c r="N724" s="306">
        <f t="shared" si="128"/>
        <v>4157.7299999999996</v>
      </c>
      <c r="O724" s="307">
        <f t="shared" si="129"/>
        <v>1</v>
      </c>
      <c r="P724" s="1047">
        <f t="shared" si="130"/>
        <v>0</v>
      </c>
      <c r="Q724" s="306">
        <f t="shared" si="131"/>
        <v>0</v>
      </c>
      <c r="R724" s="307">
        <f t="shared" si="132"/>
        <v>0</v>
      </c>
      <c r="S724" s="314"/>
      <c r="T724" s="314"/>
      <c r="U724" s="314"/>
      <c r="V724" s="314"/>
      <c r="W724" s="314"/>
      <c r="X724" s="314"/>
    </row>
    <row r="725" spans="1:24" s="313" customFormat="1" ht="16.5" customHeight="1">
      <c r="A725" s="1401" t="s">
        <v>1609</v>
      </c>
      <c r="B725" s="1755" t="s">
        <v>2088</v>
      </c>
      <c r="C725" s="1502" t="s">
        <v>52</v>
      </c>
      <c r="D725" s="1723">
        <v>8</v>
      </c>
      <c r="E725" s="1509">
        <v>43.61</v>
      </c>
      <c r="F725" s="1492">
        <f t="shared" si="140"/>
        <v>348.88</v>
      </c>
      <c r="G725" s="1049">
        <v>8</v>
      </c>
      <c r="H725" s="306">
        <v>348.88</v>
      </c>
      <c r="I725" s="307">
        <v>1</v>
      </c>
      <c r="J725" s="1046"/>
      <c r="K725" s="306">
        <f t="shared" si="125"/>
        <v>0</v>
      </c>
      <c r="L725" s="307">
        <f t="shared" si="126"/>
        <v>0</v>
      </c>
      <c r="M725" s="1047">
        <f t="shared" si="127"/>
        <v>8</v>
      </c>
      <c r="N725" s="306">
        <f t="shared" si="128"/>
        <v>348.88</v>
      </c>
      <c r="O725" s="307">
        <f t="shared" si="129"/>
        <v>1</v>
      </c>
      <c r="P725" s="1047">
        <f t="shared" si="130"/>
        <v>0</v>
      </c>
      <c r="Q725" s="306">
        <f t="shared" si="131"/>
        <v>0</v>
      </c>
      <c r="R725" s="307">
        <f t="shared" si="132"/>
        <v>0</v>
      </c>
      <c r="S725" s="314"/>
      <c r="T725" s="314"/>
      <c r="U725" s="314"/>
      <c r="V725" s="314"/>
      <c r="W725" s="314"/>
      <c r="X725" s="314"/>
    </row>
    <row r="726" spans="1:24" s="313" customFormat="1" ht="16.5" customHeight="1">
      <c r="A726" s="1401" t="s">
        <v>1610</v>
      </c>
      <c r="B726" s="1755" t="s">
        <v>2089</v>
      </c>
      <c r="C726" s="1502" t="s">
        <v>52</v>
      </c>
      <c r="D726" s="1723">
        <v>7</v>
      </c>
      <c r="E726" s="1509">
        <v>96.67</v>
      </c>
      <c r="F726" s="1492">
        <f t="shared" si="140"/>
        <v>676.69</v>
      </c>
      <c r="G726" s="1049">
        <v>7</v>
      </c>
      <c r="H726" s="306">
        <v>676.69</v>
      </c>
      <c r="I726" s="307">
        <v>1</v>
      </c>
      <c r="J726" s="1046"/>
      <c r="K726" s="306">
        <f t="shared" si="125"/>
        <v>0</v>
      </c>
      <c r="L726" s="307">
        <f t="shared" si="126"/>
        <v>0</v>
      </c>
      <c r="M726" s="1047">
        <f t="shared" si="127"/>
        <v>7</v>
      </c>
      <c r="N726" s="306">
        <f t="shared" si="128"/>
        <v>676.69</v>
      </c>
      <c r="O726" s="307">
        <f t="shared" si="129"/>
        <v>1</v>
      </c>
      <c r="P726" s="1047">
        <f t="shared" si="130"/>
        <v>0</v>
      </c>
      <c r="Q726" s="306">
        <f t="shared" si="131"/>
        <v>0</v>
      </c>
      <c r="R726" s="307">
        <f t="shared" si="132"/>
        <v>0</v>
      </c>
      <c r="S726" s="314"/>
      <c r="T726" s="314"/>
      <c r="U726" s="314"/>
      <c r="V726" s="314"/>
      <c r="W726" s="314"/>
      <c r="X726" s="314"/>
    </row>
    <row r="727" spans="1:24" s="313" customFormat="1" ht="16.5" customHeight="1">
      <c r="A727" s="1401" t="s">
        <v>1611</v>
      </c>
      <c r="B727" s="1755" t="s">
        <v>2090</v>
      </c>
      <c r="C727" s="1502" t="s">
        <v>51</v>
      </c>
      <c r="D727" s="1723">
        <v>118</v>
      </c>
      <c r="E727" s="1509">
        <v>151.46</v>
      </c>
      <c r="F727" s="1492">
        <f t="shared" si="140"/>
        <v>17872.28</v>
      </c>
      <c r="G727" s="1049">
        <v>118</v>
      </c>
      <c r="H727" s="306">
        <v>17872.28</v>
      </c>
      <c r="I727" s="307">
        <v>1</v>
      </c>
      <c r="J727" s="1046"/>
      <c r="K727" s="306">
        <f t="shared" si="125"/>
        <v>0</v>
      </c>
      <c r="L727" s="307">
        <f t="shared" si="126"/>
        <v>0</v>
      </c>
      <c r="M727" s="1047">
        <f t="shared" si="127"/>
        <v>118</v>
      </c>
      <c r="N727" s="306">
        <f t="shared" si="128"/>
        <v>17872.28</v>
      </c>
      <c r="O727" s="307">
        <f t="shared" si="129"/>
        <v>1</v>
      </c>
      <c r="P727" s="1047">
        <f t="shared" si="130"/>
        <v>0</v>
      </c>
      <c r="Q727" s="306">
        <f t="shared" si="131"/>
        <v>0</v>
      </c>
      <c r="R727" s="307">
        <f t="shared" si="132"/>
        <v>0</v>
      </c>
      <c r="S727" s="314"/>
      <c r="T727" s="314"/>
      <c r="U727" s="314"/>
      <c r="V727" s="314"/>
      <c r="W727" s="314"/>
      <c r="X727" s="314"/>
    </row>
    <row r="728" spans="1:24">
      <c r="A728" s="1309" t="s">
        <v>1612</v>
      </c>
      <c r="B728" s="1489" t="s">
        <v>2091</v>
      </c>
      <c r="C728" s="1502" t="s">
        <v>52</v>
      </c>
      <c r="D728" s="1723">
        <v>10</v>
      </c>
      <c r="E728" s="1497">
        <v>43.61</v>
      </c>
      <c r="F728" s="1492">
        <f t="shared" si="140"/>
        <v>436.1</v>
      </c>
      <c r="G728" s="1049">
        <v>10</v>
      </c>
      <c r="H728" s="306">
        <v>436.1</v>
      </c>
      <c r="I728" s="307">
        <v>1</v>
      </c>
      <c r="J728" s="1046"/>
      <c r="K728" s="306">
        <f t="shared" si="125"/>
        <v>0</v>
      </c>
      <c r="L728" s="307">
        <f t="shared" si="126"/>
        <v>0</v>
      </c>
      <c r="M728" s="1047">
        <f t="shared" si="127"/>
        <v>10</v>
      </c>
      <c r="N728" s="306">
        <f t="shared" si="128"/>
        <v>436.1</v>
      </c>
      <c r="O728" s="307">
        <f t="shared" si="129"/>
        <v>1</v>
      </c>
      <c r="P728" s="1047">
        <f t="shared" si="130"/>
        <v>0</v>
      </c>
      <c r="Q728" s="306">
        <f t="shared" si="131"/>
        <v>0</v>
      </c>
      <c r="R728" s="307">
        <f t="shared" si="132"/>
        <v>0</v>
      </c>
    </row>
    <row r="729" spans="1:24" s="316" customFormat="1" ht="16.5" customHeight="1">
      <c r="A729" s="1309" t="s">
        <v>1614</v>
      </c>
      <c r="B729" s="1099" t="s">
        <v>2073</v>
      </c>
      <c r="C729" s="1502" t="s">
        <v>51</v>
      </c>
      <c r="D729" s="1723">
        <v>26</v>
      </c>
      <c r="E729" s="1497">
        <v>59.28</v>
      </c>
      <c r="F729" s="1492">
        <f t="shared" si="140"/>
        <v>1541.28</v>
      </c>
      <c r="G729" s="1049">
        <v>26</v>
      </c>
      <c r="H729" s="306">
        <v>1541.28</v>
      </c>
      <c r="I729" s="307">
        <v>1</v>
      </c>
      <c r="J729" s="1046"/>
      <c r="K729" s="306">
        <f t="shared" si="125"/>
        <v>0</v>
      </c>
      <c r="L729" s="307">
        <f t="shared" si="126"/>
        <v>0</v>
      </c>
      <c r="M729" s="1047">
        <f t="shared" si="127"/>
        <v>26</v>
      </c>
      <c r="N729" s="306">
        <f t="shared" si="128"/>
        <v>1541.28</v>
      </c>
      <c r="O729" s="307">
        <f t="shared" si="129"/>
        <v>1</v>
      </c>
      <c r="P729" s="1047">
        <f t="shared" si="130"/>
        <v>0</v>
      </c>
      <c r="Q729" s="306">
        <f t="shared" si="131"/>
        <v>0</v>
      </c>
      <c r="R729" s="307">
        <f t="shared" si="132"/>
        <v>0</v>
      </c>
      <c r="S729" s="1387"/>
      <c r="T729" s="314"/>
      <c r="U729" s="314"/>
      <c r="V729" s="314"/>
      <c r="W729" s="314"/>
    </row>
    <row r="730" spans="1:24" s="313" customFormat="1" ht="16.5" customHeight="1">
      <c r="A730" s="1745" t="s">
        <v>1620</v>
      </c>
      <c r="B730" s="1746" t="s">
        <v>2037</v>
      </c>
      <c r="C730" s="1502"/>
      <c r="D730" s="1409" t="s">
        <v>283</v>
      </c>
      <c r="E730" s="1509"/>
      <c r="F730" s="1492"/>
      <c r="G730" s="1049"/>
      <c r="H730" s="306"/>
      <c r="I730" s="307"/>
      <c r="J730" s="1046"/>
      <c r="K730" s="306"/>
      <c r="L730" s="307"/>
      <c r="M730" s="1047"/>
      <c r="N730" s="306"/>
      <c r="O730" s="307"/>
      <c r="P730" s="1047"/>
      <c r="Q730" s="306"/>
      <c r="R730" s="307"/>
      <c r="S730" s="314"/>
      <c r="T730" s="314"/>
      <c r="U730" s="314"/>
      <c r="V730" s="314"/>
      <c r="W730" s="314"/>
      <c r="X730" s="314"/>
    </row>
    <row r="731" spans="1:24" s="313" customFormat="1" ht="16.5" customHeight="1">
      <c r="A731" s="1401" t="s">
        <v>1622</v>
      </c>
      <c r="B731" s="1755" t="s">
        <v>2095</v>
      </c>
      <c r="C731" s="1502" t="s">
        <v>1145</v>
      </c>
      <c r="D731" s="1723">
        <v>9</v>
      </c>
      <c r="E731" s="1509">
        <v>98.32</v>
      </c>
      <c r="F731" s="1492">
        <f t="shared" ref="F731:F739" si="141">IF(ISBLANK(C731)," ",ROUND(E731*D731,2))</f>
        <v>884.88</v>
      </c>
      <c r="G731" s="1049">
        <v>9</v>
      </c>
      <c r="H731" s="306">
        <v>884.88</v>
      </c>
      <c r="I731" s="307">
        <v>1</v>
      </c>
      <c r="J731" s="1046"/>
      <c r="K731" s="306">
        <f t="shared" si="125"/>
        <v>0</v>
      </c>
      <c r="L731" s="307">
        <f t="shared" si="126"/>
        <v>0</v>
      </c>
      <c r="M731" s="1047">
        <f t="shared" si="127"/>
        <v>9</v>
      </c>
      <c r="N731" s="306">
        <f t="shared" si="128"/>
        <v>884.88</v>
      </c>
      <c r="O731" s="307">
        <f t="shared" si="129"/>
        <v>1</v>
      </c>
      <c r="P731" s="1047">
        <f t="shared" si="130"/>
        <v>0</v>
      </c>
      <c r="Q731" s="306">
        <f t="shared" si="131"/>
        <v>0</v>
      </c>
      <c r="R731" s="307">
        <f t="shared" si="132"/>
        <v>0</v>
      </c>
      <c r="S731" s="314"/>
      <c r="T731" s="314"/>
      <c r="U731" s="314"/>
      <c r="V731" s="314"/>
      <c r="W731" s="314"/>
      <c r="X731" s="314"/>
    </row>
    <row r="732" spans="1:24" s="313" customFormat="1" ht="16.5" customHeight="1">
      <c r="A732" s="1401" t="s">
        <v>1623</v>
      </c>
      <c r="B732" s="1755" t="s">
        <v>2096</v>
      </c>
      <c r="C732" s="1502" t="s">
        <v>1145</v>
      </c>
      <c r="D732" s="1723">
        <v>17</v>
      </c>
      <c r="E732" s="1509">
        <v>60.62</v>
      </c>
      <c r="F732" s="1492">
        <f t="shared" si="141"/>
        <v>1030.54</v>
      </c>
      <c r="G732" s="1049">
        <v>17</v>
      </c>
      <c r="H732" s="306">
        <v>1030.54</v>
      </c>
      <c r="I732" s="307">
        <v>1</v>
      </c>
      <c r="J732" s="1046"/>
      <c r="K732" s="306">
        <f t="shared" si="125"/>
        <v>0</v>
      </c>
      <c r="L732" s="307">
        <f t="shared" si="126"/>
        <v>0</v>
      </c>
      <c r="M732" s="1047">
        <f t="shared" si="127"/>
        <v>17</v>
      </c>
      <c r="N732" s="306">
        <f t="shared" si="128"/>
        <v>1030.54</v>
      </c>
      <c r="O732" s="307">
        <f t="shared" si="129"/>
        <v>1</v>
      </c>
      <c r="P732" s="1047">
        <f t="shared" si="130"/>
        <v>0</v>
      </c>
      <c r="Q732" s="306">
        <f t="shared" si="131"/>
        <v>0</v>
      </c>
      <c r="R732" s="307">
        <f t="shared" si="132"/>
        <v>0</v>
      </c>
      <c r="S732" s="314"/>
      <c r="T732" s="314"/>
      <c r="U732" s="314"/>
      <c r="V732" s="314"/>
      <c r="W732" s="314"/>
      <c r="X732" s="314"/>
    </row>
    <row r="733" spans="1:24">
      <c r="A733" s="1745" t="s">
        <v>1632</v>
      </c>
      <c r="B733" s="1746" t="s">
        <v>2027</v>
      </c>
      <c r="C733" s="1502"/>
      <c r="D733" s="1723" t="s">
        <v>283</v>
      </c>
      <c r="E733" s="1497"/>
      <c r="F733" s="1492" t="str">
        <f t="shared" si="141"/>
        <v xml:space="preserve"> </v>
      </c>
      <c r="G733" s="1049"/>
      <c r="H733" s="306"/>
      <c r="I733" s="307"/>
      <c r="J733" s="1046"/>
      <c r="K733" s="306"/>
      <c r="L733" s="307"/>
      <c r="M733" s="1047"/>
      <c r="N733" s="306"/>
      <c r="O733" s="307"/>
      <c r="P733" s="1047"/>
      <c r="Q733" s="306"/>
      <c r="R733" s="307"/>
    </row>
    <row r="734" spans="1:24" s="316" customFormat="1" ht="16.5" customHeight="1">
      <c r="A734" s="1309" t="s">
        <v>1636</v>
      </c>
      <c r="B734" s="1099" t="s">
        <v>2108</v>
      </c>
      <c r="C734" s="1502" t="s">
        <v>52</v>
      </c>
      <c r="D734" s="1723">
        <v>1</v>
      </c>
      <c r="E734" s="1497">
        <v>567.41</v>
      </c>
      <c r="F734" s="1492">
        <f t="shared" si="141"/>
        <v>567.41</v>
      </c>
      <c r="G734" s="1049">
        <v>0</v>
      </c>
      <c r="H734" s="306">
        <v>0</v>
      </c>
      <c r="I734" s="307">
        <v>0</v>
      </c>
      <c r="J734" s="1046"/>
      <c r="K734" s="306">
        <f t="shared" si="125"/>
        <v>0</v>
      </c>
      <c r="L734" s="307">
        <f t="shared" si="126"/>
        <v>0</v>
      </c>
      <c r="M734" s="1047">
        <f t="shared" si="127"/>
        <v>0</v>
      </c>
      <c r="N734" s="306">
        <f t="shared" si="128"/>
        <v>0</v>
      </c>
      <c r="O734" s="307">
        <f t="shared" si="129"/>
        <v>0</v>
      </c>
      <c r="P734" s="1047">
        <f t="shared" si="130"/>
        <v>1</v>
      </c>
      <c r="Q734" s="306">
        <f t="shared" si="131"/>
        <v>567.41</v>
      </c>
      <c r="R734" s="307">
        <f t="shared" si="132"/>
        <v>1</v>
      </c>
      <c r="S734" s="1387"/>
      <c r="T734" s="314"/>
      <c r="U734" s="314"/>
      <c r="V734" s="314"/>
      <c r="W734" s="314"/>
    </row>
    <row r="735" spans="1:24" s="313" customFormat="1" ht="16.5" customHeight="1">
      <c r="A735" s="1401" t="s">
        <v>1637</v>
      </c>
      <c r="B735" s="1755" t="s">
        <v>2109</v>
      </c>
      <c r="C735" s="1502" t="s">
        <v>52</v>
      </c>
      <c r="D735" s="1723">
        <v>4</v>
      </c>
      <c r="E735" s="1509">
        <v>443.75</v>
      </c>
      <c r="F735" s="1492">
        <f t="shared" si="141"/>
        <v>1775</v>
      </c>
      <c r="G735" s="1049">
        <v>0</v>
      </c>
      <c r="H735" s="306">
        <v>0</v>
      </c>
      <c r="I735" s="307">
        <v>0</v>
      </c>
      <c r="J735" s="1046"/>
      <c r="K735" s="306">
        <f t="shared" si="125"/>
        <v>0</v>
      </c>
      <c r="L735" s="307">
        <f t="shared" si="126"/>
        <v>0</v>
      </c>
      <c r="M735" s="1047">
        <f t="shared" si="127"/>
        <v>0</v>
      </c>
      <c r="N735" s="306">
        <f t="shared" si="128"/>
        <v>0</v>
      </c>
      <c r="O735" s="307">
        <f t="shared" si="129"/>
        <v>0</v>
      </c>
      <c r="P735" s="1047">
        <f t="shared" si="130"/>
        <v>4</v>
      </c>
      <c r="Q735" s="306">
        <f t="shared" si="131"/>
        <v>1775</v>
      </c>
      <c r="R735" s="307">
        <f t="shared" si="132"/>
        <v>1</v>
      </c>
      <c r="S735" s="314"/>
      <c r="T735" s="314"/>
      <c r="U735" s="314"/>
      <c r="V735" s="314"/>
      <c r="W735" s="314"/>
      <c r="X735" s="314"/>
    </row>
    <row r="736" spans="1:24" s="1427" customFormat="1" ht="16.5" customHeight="1">
      <c r="A736" s="1116" t="s">
        <v>1638</v>
      </c>
      <c r="B736" s="1938" t="s">
        <v>2028</v>
      </c>
      <c r="C736" s="1858" t="s">
        <v>52</v>
      </c>
      <c r="D736" s="1862">
        <v>325</v>
      </c>
      <c r="E736" s="1496">
        <v>34.22</v>
      </c>
      <c r="F736" s="1740">
        <f t="shared" si="141"/>
        <v>11121.5</v>
      </c>
      <c r="G736" s="1049">
        <v>75</v>
      </c>
      <c r="H736" s="1425">
        <v>2566.5</v>
      </c>
      <c r="I736" s="305">
        <v>0.23076923076923078</v>
      </c>
      <c r="J736" s="1049"/>
      <c r="K736" s="1425">
        <f t="shared" si="125"/>
        <v>0</v>
      </c>
      <c r="L736" s="305">
        <f t="shared" si="126"/>
        <v>0</v>
      </c>
      <c r="M736" s="1049">
        <f t="shared" si="127"/>
        <v>75</v>
      </c>
      <c r="N736" s="1425">
        <f t="shared" si="128"/>
        <v>2566.5</v>
      </c>
      <c r="O736" s="305">
        <f t="shared" si="129"/>
        <v>0.23076923076923078</v>
      </c>
      <c r="P736" s="1049">
        <f t="shared" si="130"/>
        <v>250</v>
      </c>
      <c r="Q736" s="1425">
        <f t="shared" si="131"/>
        <v>8555</v>
      </c>
      <c r="R736" s="305">
        <f t="shared" si="132"/>
        <v>0.76923076923076927</v>
      </c>
      <c r="S736" s="1426"/>
      <c r="T736" s="1426"/>
      <c r="U736" s="1426"/>
      <c r="V736" s="1426"/>
      <c r="W736" s="1426"/>
      <c r="X736" s="1426"/>
    </row>
    <row r="737" spans="1:40" s="313" customFormat="1" ht="16.5" customHeight="1">
      <c r="A737" s="1401" t="s">
        <v>1639</v>
      </c>
      <c r="B737" s="1755" t="s">
        <v>2110</v>
      </c>
      <c r="C737" s="1502" t="s">
        <v>52</v>
      </c>
      <c r="D737" s="1723">
        <v>112</v>
      </c>
      <c r="E737" s="1509">
        <v>38</v>
      </c>
      <c r="F737" s="1492">
        <f t="shared" si="141"/>
        <v>4256</v>
      </c>
      <c r="G737" s="1049">
        <v>0</v>
      </c>
      <c r="H737" s="306">
        <v>0</v>
      </c>
      <c r="I737" s="307">
        <v>0</v>
      </c>
      <c r="J737" s="1046"/>
      <c r="K737" s="306">
        <f t="shared" si="125"/>
        <v>0</v>
      </c>
      <c r="L737" s="307">
        <f t="shared" si="126"/>
        <v>0</v>
      </c>
      <c r="M737" s="1047">
        <f t="shared" si="127"/>
        <v>0</v>
      </c>
      <c r="N737" s="306">
        <f t="shared" si="128"/>
        <v>0</v>
      </c>
      <c r="O737" s="307">
        <f t="shared" si="129"/>
        <v>0</v>
      </c>
      <c r="P737" s="1047">
        <f t="shared" si="130"/>
        <v>112</v>
      </c>
      <c r="Q737" s="306">
        <f t="shared" si="131"/>
        <v>4256</v>
      </c>
      <c r="R737" s="307">
        <f t="shared" si="132"/>
        <v>1</v>
      </c>
      <c r="S737" s="314"/>
      <c r="T737" s="314"/>
      <c r="U737" s="314"/>
      <c r="V737" s="314"/>
      <c r="W737" s="314"/>
      <c r="X737" s="314"/>
    </row>
    <row r="738" spans="1:40" s="313" customFormat="1" ht="16.5" customHeight="1">
      <c r="A738" s="1401" t="s">
        <v>1641</v>
      </c>
      <c r="B738" s="1755" t="s">
        <v>2112</v>
      </c>
      <c r="C738" s="1502" t="s">
        <v>52</v>
      </c>
      <c r="D738" s="1723">
        <v>36.200000000000003</v>
      </c>
      <c r="E738" s="1509">
        <v>36.64</v>
      </c>
      <c r="F738" s="1492">
        <f t="shared" si="141"/>
        <v>1326.37</v>
      </c>
      <c r="G738" s="1049">
        <v>0</v>
      </c>
      <c r="H738" s="306">
        <v>0</v>
      </c>
      <c r="I738" s="307">
        <v>0</v>
      </c>
      <c r="J738" s="1046"/>
      <c r="K738" s="306">
        <f t="shared" si="125"/>
        <v>0</v>
      </c>
      <c r="L738" s="307">
        <f t="shared" si="126"/>
        <v>0</v>
      </c>
      <c r="M738" s="1047">
        <f t="shared" si="127"/>
        <v>0</v>
      </c>
      <c r="N738" s="306">
        <f t="shared" si="128"/>
        <v>0</v>
      </c>
      <c r="O738" s="307">
        <f t="shared" si="129"/>
        <v>0</v>
      </c>
      <c r="P738" s="1047">
        <f t="shared" si="130"/>
        <v>36.200000000000003</v>
      </c>
      <c r="Q738" s="306">
        <f t="shared" si="131"/>
        <v>1326.37</v>
      </c>
      <c r="R738" s="307">
        <f t="shared" si="132"/>
        <v>1</v>
      </c>
      <c r="S738" s="314"/>
      <c r="T738" s="314"/>
      <c r="U738" s="314"/>
      <c r="V738" s="314"/>
      <c r="W738" s="314"/>
      <c r="X738" s="314"/>
    </row>
    <row r="739" spans="1:40">
      <c r="A739" s="1309" t="s">
        <v>1642</v>
      </c>
      <c r="B739" s="1489" t="s">
        <v>2113</v>
      </c>
      <c r="C739" s="1502" t="s">
        <v>52</v>
      </c>
      <c r="D739" s="1723">
        <v>5</v>
      </c>
      <c r="E739" s="1497">
        <v>290.99</v>
      </c>
      <c r="F739" s="1492">
        <f t="shared" si="141"/>
        <v>1454.95</v>
      </c>
      <c r="G739" s="1049">
        <v>0</v>
      </c>
      <c r="H739" s="306">
        <v>0</v>
      </c>
      <c r="I739" s="307">
        <v>0</v>
      </c>
      <c r="J739" s="1046"/>
      <c r="K739" s="306">
        <f t="shared" ref="K739:K742" si="142">J739*E739</f>
        <v>0</v>
      </c>
      <c r="L739" s="307">
        <f t="shared" ref="L739:L742" si="143">+K739/$F739</f>
        <v>0</v>
      </c>
      <c r="M739" s="1047">
        <f t="shared" ref="M739:M742" si="144">+G739+J739</f>
        <v>0</v>
      </c>
      <c r="N739" s="306">
        <f t="shared" ref="N739:N742" si="145">ROUND(+M739*E739,2)</f>
        <v>0</v>
      </c>
      <c r="O739" s="307">
        <f t="shared" ref="O739:O742" si="146">+N739/$F739</f>
        <v>0</v>
      </c>
      <c r="P739" s="1047">
        <f t="shared" ref="P739:P742" si="147">D739-M739</f>
        <v>5</v>
      </c>
      <c r="Q739" s="306">
        <f t="shared" ref="Q739:Q742" si="148">F739-N739</f>
        <v>1454.95</v>
      </c>
      <c r="R739" s="307">
        <f t="shared" ref="R739:R742" si="149">+Q739/$F739</f>
        <v>1</v>
      </c>
    </row>
    <row r="740" spans="1:40" s="316" customFormat="1" ht="16.5" customHeight="1">
      <c r="A740" s="1745" t="s">
        <v>1645</v>
      </c>
      <c r="B740" s="1746" t="s">
        <v>2116</v>
      </c>
      <c r="C740" s="1502"/>
      <c r="D740" s="1723" t="s">
        <v>283</v>
      </c>
      <c r="E740" s="1497"/>
      <c r="F740" s="1492"/>
      <c r="G740" s="1049"/>
      <c r="H740" s="306"/>
      <c r="I740" s="307"/>
      <c r="J740" s="1046"/>
      <c r="K740" s="306"/>
      <c r="L740" s="307"/>
      <c r="M740" s="1047"/>
      <c r="N740" s="306"/>
      <c r="O740" s="307"/>
      <c r="P740" s="1047"/>
      <c r="Q740" s="306"/>
      <c r="R740" s="307"/>
      <c r="S740" s="1387"/>
      <c r="T740" s="314"/>
      <c r="U740" s="314"/>
      <c r="V740" s="314"/>
      <c r="W740" s="314"/>
    </row>
    <row r="741" spans="1:40" s="313" customFormat="1" ht="16.5" customHeight="1">
      <c r="A741" s="1401" t="s">
        <v>1646</v>
      </c>
      <c r="B741" s="1755" t="s">
        <v>2117</v>
      </c>
      <c r="C741" s="1502" t="s">
        <v>268</v>
      </c>
      <c r="D741" s="1723">
        <v>102</v>
      </c>
      <c r="E741" s="1509">
        <v>38.590000000000003</v>
      </c>
      <c r="F741" s="1492">
        <f t="shared" ref="F741:F743" si="150">IF(ISBLANK(C741)," ",ROUND(E741*D741,2))</f>
        <v>3936.18</v>
      </c>
      <c r="G741" s="1049">
        <v>0</v>
      </c>
      <c r="H741" s="306">
        <v>0</v>
      </c>
      <c r="I741" s="307">
        <v>0</v>
      </c>
      <c r="J741" s="1046"/>
      <c r="K741" s="306">
        <f t="shared" si="142"/>
        <v>0</v>
      </c>
      <c r="L741" s="307">
        <f t="shared" si="143"/>
        <v>0</v>
      </c>
      <c r="M741" s="1047">
        <f t="shared" si="144"/>
        <v>0</v>
      </c>
      <c r="N741" s="306">
        <f t="shared" si="145"/>
        <v>0</v>
      </c>
      <c r="O741" s="307">
        <f t="shared" si="146"/>
        <v>0</v>
      </c>
      <c r="P741" s="1047">
        <f t="shared" si="147"/>
        <v>102</v>
      </c>
      <c r="Q741" s="306">
        <f t="shared" si="148"/>
        <v>3936.18</v>
      </c>
      <c r="R741" s="307">
        <f t="shared" si="149"/>
        <v>1</v>
      </c>
      <c r="S741" s="314"/>
      <c r="T741" s="314"/>
      <c r="U741" s="314"/>
      <c r="V741" s="314"/>
      <c r="W741" s="314"/>
      <c r="X741" s="314"/>
    </row>
    <row r="742" spans="1:40" s="313" customFormat="1" ht="16.5" customHeight="1">
      <c r="A742" s="1401" t="s">
        <v>1647</v>
      </c>
      <c r="B742" s="1755" t="s">
        <v>2118</v>
      </c>
      <c r="C742" s="1502" t="s">
        <v>52</v>
      </c>
      <c r="D742" s="1723">
        <v>102</v>
      </c>
      <c r="E742" s="1509">
        <v>38.590000000000003</v>
      </c>
      <c r="F742" s="1492">
        <f t="shared" si="150"/>
        <v>3936.18</v>
      </c>
      <c r="G742" s="1049">
        <v>0</v>
      </c>
      <c r="H742" s="306">
        <v>0</v>
      </c>
      <c r="I742" s="307">
        <v>0</v>
      </c>
      <c r="J742" s="1046"/>
      <c r="K742" s="306">
        <f t="shared" si="142"/>
        <v>0</v>
      </c>
      <c r="L742" s="307">
        <f t="shared" si="143"/>
        <v>0</v>
      </c>
      <c r="M742" s="1047">
        <f t="shared" si="144"/>
        <v>0</v>
      </c>
      <c r="N742" s="306">
        <f t="shared" si="145"/>
        <v>0</v>
      </c>
      <c r="O742" s="307">
        <f t="shared" si="146"/>
        <v>0</v>
      </c>
      <c r="P742" s="1047">
        <f t="shared" si="147"/>
        <v>102</v>
      </c>
      <c r="Q742" s="306">
        <f t="shared" si="148"/>
        <v>3936.18</v>
      </c>
      <c r="R742" s="307">
        <f t="shared" si="149"/>
        <v>1</v>
      </c>
      <c r="S742" s="314"/>
      <c r="T742" s="314"/>
      <c r="U742" s="314"/>
      <c r="V742" s="314"/>
      <c r="W742" s="314"/>
      <c r="X742" s="314"/>
    </row>
    <row r="743" spans="1:40">
      <c r="A743" s="1309"/>
      <c r="B743" s="1489"/>
      <c r="C743" s="1502"/>
      <c r="D743" s="1303"/>
      <c r="E743" s="1497"/>
      <c r="F743" s="1304" t="str">
        <f t="shared" si="150"/>
        <v xml:space="preserve"> </v>
      </c>
      <c r="G743" s="1049"/>
      <c r="H743" s="306"/>
      <c r="I743" s="307"/>
      <c r="J743" s="1046"/>
      <c r="K743" s="306"/>
      <c r="L743" s="307"/>
      <c r="M743" s="1047"/>
      <c r="N743" s="306"/>
      <c r="O743" s="307"/>
      <c r="P743" s="1047"/>
      <c r="Q743" s="306"/>
      <c r="R743" s="307"/>
    </row>
    <row r="744" spans="1:40" ht="16.5" thickBot="1">
      <c r="A744" s="933"/>
      <c r="B744" s="2537" t="s">
        <v>18</v>
      </c>
      <c r="C744" s="2538"/>
      <c r="D744" s="2538"/>
      <c r="E744" s="2539"/>
      <c r="F744" s="1295">
        <f>SUM(F610:F743)</f>
        <v>433266.30559999991</v>
      </c>
      <c r="G744" s="1295"/>
      <c r="H744" s="1294">
        <f>SUM(H609:H743)+0.01</f>
        <v>230287.28000000006</v>
      </c>
      <c r="I744" s="1296">
        <f>+H744/$F744</f>
        <v>0.53151439893552643</v>
      </c>
      <c r="J744" s="1297"/>
      <c r="K744" s="1294">
        <f>SUM(K610:K743)</f>
        <v>17400</v>
      </c>
      <c r="L744" s="1296">
        <f>+K744/$F744</f>
        <v>4.0160058086917166E-2</v>
      </c>
      <c r="M744" s="1298"/>
      <c r="N744" s="1294">
        <f>SUM(N610:N743)+0.01</f>
        <v>247687.28000000006</v>
      </c>
      <c r="O744" s="1296">
        <f>+N744/$F744</f>
        <v>0.57167445702244357</v>
      </c>
      <c r="P744" s="1298"/>
      <c r="Q744" s="1294">
        <f>SUM(Q610:Q743)-0.01</f>
        <v>185579.02559999996</v>
      </c>
      <c r="R744" s="1299">
        <f>+Q744/$F744</f>
        <v>0.42832554297755665</v>
      </c>
      <c r="S744" s="1191">
        <f>F744-N744</f>
        <v>185579.02559999985</v>
      </c>
    </row>
    <row r="745" spans="1:40">
      <c r="N745" s="1191">
        <f>H744+K744</f>
        <v>247687.28000000006</v>
      </c>
      <c r="P745" s="1191"/>
      <c r="Q745" s="1449"/>
    </row>
    <row r="746" spans="1:40" ht="32.25">
      <c r="A746" s="2148" t="s">
        <v>3802</v>
      </c>
      <c r="B746" s="2148"/>
      <c r="C746" s="2148"/>
      <c r="D746" s="2148"/>
      <c r="E746" s="2148"/>
      <c r="F746" s="2148"/>
      <c r="G746" s="2148"/>
      <c r="H746" s="2148"/>
      <c r="I746" s="2148"/>
      <c r="J746" s="2148"/>
      <c r="K746" s="2148"/>
      <c r="L746" s="2148"/>
      <c r="M746" s="2148"/>
      <c r="N746" s="2148"/>
      <c r="O746" s="2148"/>
      <c r="P746" s="2148"/>
      <c r="Q746" s="2148"/>
      <c r="R746" s="2148"/>
    </row>
    <row r="747" spans="1:40" ht="17.25" customHeight="1">
      <c r="A747" s="2504" t="s">
        <v>4252</v>
      </c>
      <c r="B747" s="2504"/>
      <c r="C747" s="2504"/>
      <c r="D747" s="2504"/>
      <c r="E747" s="2504"/>
      <c r="F747" s="2504"/>
      <c r="G747" s="2504"/>
      <c r="H747" s="2504"/>
      <c r="I747" s="2504"/>
      <c r="J747" s="2504"/>
      <c r="K747" s="2504"/>
      <c r="L747" s="2504"/>
      <c r="M747" s="2504"/>
      <c r="N747" s="2504"/>
      <c r="O747" s="2504"/>
      <c r="P747" s="2504"/>
      <c r="Q747" s="2504"/>
      <c r="R747" s="2504"/>
      <c r="S747" s="276"/>
      <c r="T747" s="276"/>
      <c r="U747" s="276"/>
      <c r="V747" s="276"/>
      <c r="W747" s="276"/>
      <c r="X747" s="276"/>
      <c r="Y747" s="276"/>
      <c r="Z747" s="276"/>
      <c r="AA747" s="276"/>
      <c r="AB747" s="276"/>
      <c r="AC747" s="276"/>
      <c r="AD747" s="276"/>
      <c r="AE747" s="276"/>
      <c r="AF747" s="276"/>
      <c r="AG747" s="276"/>
      <c r="AH747" s="276"/>
      <c r="AI747" s="276"/>
      <c r="AJ747" s="276"/>
      <c r="AK747" s="276"/>
      <c r="AL747" s="276"/>
      <c r="AM747" s="276"/>
      <c r="AN747" s="276"/>
    </row>
    <row r="748" spans="1:40" s="8" customFormat="1" ht="44.25" customHeight="1">
      <c r="A748" s="2149" t="s">
        <v>4275</v>
      </c>
      <c r="B748" s="2149"/>
      <c r="C748" s="2149"/>
      <c r="D748" s="2149"/>
      <c r="E748" s="2149"/>
      <c r="F748" s="2149"/>
      <c r="G748" s="2149"/>
      <c r="H748" s="2149"/>
      <c r="I748" s="2149"/>
      <c r="J748" s="2149"/>
      <c r="K748" s="2149"/>
      <c r="L748" s="2149"/>
      <c r="M748" s="2149"/>
      <c r="N748" s="2149"/>
      <c r="O748" s="2149"/>
      <c r="P748" s="2149"/>
      <c r="Q748" s="2149"/>
      <c r="R748" s="2149"/>
    </row>
    <row r="749" spans="1:40" ht="15">
      <c r="A749" s="997"/>
      <c r="B749" s="998" t="s">
        <v>57</v>
      </c>
      <c r="C749" s="999"/>
      <c r="D749" s="999"/>
      <c r="E749" s="1464"/>
      <c r="F749" s="1391"/>
      <c r="G749" s="998"/>
      <c r="H749" s="998"/>
      <c r="I749" s="998"/>
      <c r="J749" s="998"/>
      <c r="K749" s="998"/>
      <c r="L749" s="998"/>
      <c r="M749" s="1000"/>
      <c r="N749" s="1001"/>
      <c r="O749" s="998"/>
      <c r="P749" s="998"/>
      <c r="Q749" s="998"/>
      <c r="R749" s="998"/>
    </row>
    <row r="750" spans="1:40" ht="15">
      <c r="A750" s="997" t="s">
        <v>136</v>
      </c>
      <c r="B750" s="998" t="str">
        <f>B595</f>
        <v>“MEJORAMIENTO DE LA GESTIÓN MUNICIPAL Y SERVICIO ADMINISTRATIVO DE LA MUNICIPALIDAD PROVINCIAL DE ABANCAY"</v>
      </c>
      <c r="C750" s="999"/>
      <c r="D750" s="999"/>
      <c r="E750" s="1464"/>
      <c r="F750" s="1391"/>
      <c r="G750" s="998"/>
      <c r="H750" s="998"/>
      <c r="I750" s="998"/>
      <c r="J750" s="998"/>
      <c r="K750" s="998"/>
      <c r="L750" s="998"/>
      <c r="M750" s="998"/>
      <c r="N750" s="998"/>
      <c r="O750" s="998"/>
      <c r="P750" s="998"/>
      <c r="Q750" s="998"/>
      <c r="R750" s="998"/>
    </row>
    <row r="751" spans="1:40" ht="15">
      <c r="A751" s="997" t="s">
        <v>137</v>
      </c>
      <c r="B751" s="998" t="s">
        <v>126</v>
      </c>
      <c r="C751" s="1002"/>
      <c r="D751" s="1002"/>
      <c r="E751" s="1465"/>
      <c r="F751" s="1392"/>
      <c r="G751" s="1003"/>
      <c r="H751" s="1003"/>
      <c r="I751" s="1003"/>
      <c r="J751" s="1003"/>
      <c r="K751" s="1003"/>
      <c r="L751" s="1004"/>
      <c r="M751" s="1003"/>
      <c r="N751" s="1003"/>
      <c r="O751" s="1003"/>
      <c r="P751" s="1003"/>
      <c r="Q751" s="1003"/>
      <c r="R751" s="1003"/>
    </row>
    <row r="752" spans="1:40" ht="15">
      <c r="A752" s="997" t="s">
        <v>139</v>
      </c>
      <c r="B752" s="1003" t="s">
        <v>2479</v>
      </c>
      <c r="C752" s="1002"/>
      <c r="D752" s="1002"/>
      <c r="E752" s="1465"/>
      <c r="F752" s="1392"/>
      <c r="G752" s="1003"/>
      <c r="H752" s="1003"/>
      <c r="I752" s="1003"/>
      <c r="J752" s="2143" t="s">
        <v>1147</v>
      </c>
      <c r="K752" s="2144"/>
      <c r="L752" s="2145" t="s">
        <v>4267</v>
      </c>
      <c r="M752" s="2146"/>
      <c r="N752" s="2146"/>
      <c r="O752" s="2147"/>
      <c r="P752" s="1005"/>
      <c r="Q752" s="1005"/>
      <c r="R752" s="1005"/>
    </row>
    <row r="753" spans="1:23" ht="20.25">
      <c r="A753" s="997" t="s">
        <v>129</v>
      </c>
      <c r="B753" s="998" t="str">
        <f>B598</f>
        <v>ING. RICHARD ERWIN MONTALVO ALVARO</v>
      </c>
      <c r="C753" s="1006"/>
      <c r="D753" s="1006"/>
      <c r="E753" s="1466"/>
      <c r="F753" s="1467"/>
      <c r="G753" s="1007"/>
      <c r="H753" s="1007"/>
      <c r="I753" s="1007"/>
      <c r="J753" s="2143" t="s">
        <v>1148</v>
      </c>
      <c r="K753" s="2144"/>
      <c r="L753" s="2502" t="s">
        <v>125</v>
      </c>
      <c r="M753" s="2502"/>
      <c r="N753" s="2502"/>
      <c r="O753" s="2502"/>
      <c r="P753" s="2503"/>
      <c r="Q753" s="2503"/>
      <c r="R753" s="2503"/>
    </row>
    <row r="754" spans="1:23" ht="16.5">
      <c r="A754" s="997" t="s">
        <v>128</v>
      </c>
      <c r="B754" s="1702" t="str">
        <f>B599</f>
        <v>ING. IVES BUSTHER GUTIERREZ ARENAS</v>
      </c>
      <c r="C754" s="1009"/>
      <c r="D754" s="1009"/>
      <c r="E754" s="1468"/>
      <c r="F754" s="1393"/>
      <c r="G754" s="1010"/>
      <c r="H754" s="1010"/>
      <c r="I754" s="1010"/>
      <c r="J754" s="2143" t="s">
        <v>1149</v>
      </c>
      <c r="K754" s="2144"/>
      <c r="L754" s="2502" t="s">
        <v>125</v>
      </c>
      <c r="M754" s="2502"/>
      <c r="N754" s="2502"/>
      <c r="O754" s="2502"/>
      <c r="P754" s="2503"/>
      <c r="Q754" s="2503"/>
      <c r="R754" s="2503"/>
    </row>
    <row r="755" spans="1:23" ht="16.5">
      <c r="A755" s="997"/>
      <c r="B755" s="1702"/>
      <c r="C755" s="1009"/>
      <c r="D755" s="1009"/>
      <c r="E755" s="1468"/>
      <c r="F755" s="1393"/>
      <c r="G755" s="1010"/>
      <c r="H755" s="1010"/>
      <c r="I755" s="1010"/>
      <c r="J755" s="2143" t="s">
        <v>1151</v>
      </c>
      <c r="K755" s="2144"/>
      <c r="L755" s="2502" t="s">
        <v>124</v>
      </c>
      <c r="M755" s="2502"/>
      <c r="N755" s="2502"/>
      <c r="O755" s="2502"/>
      <c r="P755" s="2503"/>
      <c r="Q755" s="2503"/>
      <c r="R755" s="2503"/>
    </row>
    <row r="756" spans="1:23">
      <c r="A756" s="315"/>
      <c r="B756" s="315"/>
      <c r="C756" s="1501"/>
      <c r="D756" s="1257"/>
      <c r="E756" s="1257"/>
      <c r="F756" s="313"/>
      <c r="G756" s="314"/>
      <c r="H756" s="314"/>
      <c r="I756" s="314"/>
      <c r="J756" s="314"/>
      <c r="K756" s="314"/>
      <c r="L756" s="314"/>
      <c r="M756" s="314"/>
      <c r="N756" s="314"/>
      <c r="O756" s="314"/>
      <c r="P756" s="314"/>
      <c r="Q756" s="314"/>
      <c r="R756" s="314"/>
    </row>
    <row r="757" spans="1:23">
      <c r="A757" s="2501" t="s">
        <v>31</v>
      </c>
      <c r="B757" s="2546" t="s">
        <v>114</v>
      </c>
      <c r="C757" s="2501" t="s">
        <v>37</v>
      </c>
      <c r="D757" s="2501" t="s">
        <v>23</v>
      </c>
      <c r="E757" s="2536" t="s">
        <v>706</v>
      </c>
      <c r="F757" s="2536" t="s">
        <v>127</v>
      </c>
      <c r="G757" s="1036"/>
      <c r="H757" s="1037"/>
      <c r="I757" s="1037"/>
      <c r="J757" s="1037"/>
      <c r="K757" s="1038" t="s">
        <v>767</v>
      </c>
      <c r="L757" s="1037"/>
      <c r="M757" s="1037"/>
      <c r="N757" s="1037"/>
      <c r="O757" s="1039"/>
      <c r="P757" s="2497" t="s">
        <v>16</v>
      </c>
      <c r="Q757" s="2497"/>
      <c r="R757" s="2497"/>
    </row>
    <row r="758" spans="1:23">
      <c r="A758" s="2501"/>
      <c r="B758" s="2546"/>
      <c r="C758" s="2501"/>
      <c r="D758" s="2501"/>
      <c r="E758" s="2536"/>
      <c r="F758" s="2536"/>
      <c r="G758" s="2497" t="s">
        <v>140</v>
      </c>
      <c r="H758" s="2497"/>
      <c r="I758" s="2497"/>
      <c r="J758" s="2497" t="s">
        <v>141</v>
      </c>
      <c r="K758" s="2497"/>
      <c r="L758" s="2497"/>
      <c r="M758" s="2497" t="s">
        <v>142</v>
      </c>
      <c r="N758" s="2497"/>
      <c r="O758" s="2497"/>
      <c r="P758" s="2497"/>
      <c r="Q758" s="2497"/>
      <c r="R758" s="2497"/>
    </row>
    <row r="759" spans="1:23">
      <c r="A759" s="2501"/>
      <c r="B759" s="2546"/>
      <c r="C759" s="2501"/>
      <c r="D759" s="2501"/>
      <c r="E759" s="2536"/>
      <c r="F759" s="2536"/>
      <c r="G759" s="1040" t="s">
        <v>54</v>
      </c>
      <c r="H759" s="1040" t="s">
        <v>506</v>
      </c>
      <c r="I759" s="1040" t="s">
        <v>30</v>
      </c>
      <c r="J759" s="1040" t="s">
        <v>54</v>
      </c>
      <c r="K759" s="1040" t="s">
        <v>506</v>
      </c>
      <c r="L759" s="1040" t="s">
        <v>30</v>
      </c>
      <c r="M759" s="1040" t="s">
        <v>54</v>
      </c>
      <c r="N759" s="1040" t="s">
        <v>506</v>
      </c>
      <c r="O759" s="1040" t="s">
        <v>30</v>
      </c>
      <c r="P759" s="1040" t="s">
        <v>54</v>
      </c>
      <c r="Q759" s="1040" t="s">
        <v>506</v>
      </c>
      <c r="R759" s="1040" t="s">
        <v>30</v>
      </c>
    </row>
    <row r="760" spans="1:23">
      <c r="A760" s="300"/>
      <c r="B760" s="1704"/>
      <c r="C760" s="300"/>
      <c r="D760" s="300"/>
      <c r="E760" s="1469"/>
      <c r="F760" s="1470">
        <f>F921</f>
        <v>1394520.9335069996</v>
      </c>
      <c r="G760" s="1042"/>
      <c r="H760" s="1043">
        <f>H921</f>
        <v>0</v>
      </c>
      <c r="I760" s="308"/>
      <c r="J760" s="1044"/>
      <c r="K760" s="1043">
        <f>K921</f>
        <v>0</v>
      </c>
      <c r="L760" s="309"/>
      <c r="M760" s="1044"/>
      <c r="N760" s="1043">
        <f>N921</f>
        <v>0</v>
      </c>
      <c r="O760" s="308"/>
      <c r="P760" s="1044"/>
      <c r="Q760" s="1043">
        <f>Q921</f>
        <v>1394520.9335069996</v>
      </c>
      <c r="R760" s="308"/>
    </row>
    <row r="761" spans="1:23" ht="31.5">
      <c r="A761" s="996"/>
      <c r="B761" s="1705" t="s">
        <v>2150</v>
      </c>
      <c r="C761" s="1473"/>
      <c r="D761" s="1474"/>
      <c r="E761" s="1474"/>
      <c r="F761" s="1475"/>
      <c r="G761" s="1048"/>
      <c r="H761" s="303"/>
      <c r="I761" s="310"/>
      <c r="J761" s="1045"/>
      <c r="K761" s="311"/>
      <c r="L761" s="311"/>
      <c r="M761" s="1045"/>
      <c r="N761" s="311"/>
      <c r="O761" s="311"/>
      <c r="P761" s="1045"/>
      <c r="Q761" s="311"/>
      <c r="R761" s="311"/>
    </row>
    <row r="762" spans="1:23" s="316" customFormat="1" ht="16.5" customHeight="1">
      <c r="A762" s="1706">
        <v>2</v>
      </c>
      <c r="B762" s="1707" t="s">
        <v>1695</v>
      </c>
      <c r="C762" s="1104"/>
      <c r="D762" s="1723"/>
      <c r="E762" s="1135"/>
      <c r="F762" s="1756"/>
      <c r="G762" s="1049"/>
      <c r="H762" s="306"/>
      <c r="I762" s="307"/>
      <c r="J762" s="1046"/>
      <c r="K762" s="306"/>
      <c r="L762" s="307"/>
      <c r="M762" s="1047"/>
      <c r="N762" s="306"/>
      <c r="O762" s="307"/>
      <c r="P762" s="1047"/>
      <c r="Q762" s="306"/>
      <c r="R762" s="307"/>
      <c r="S762" s="1387"/>
      <c r="T762" s="314"/>
      <c r="U762" s="314"/>
      <c r="V762" s="314"/>
      <c r="W762" s="314"/>
    </row>
    <row r="763" spans="1:23" s="316" customFormat="1" ht="16.5" customHeight="1">
      <c r="A763" s="1101">
        <v>2.1</v>
      </c>
      <c r="B763" s="1102" t="s">
        <v>1696</v>
      </c>
      <c r="C763" s="1104"/>
      <c r="D763" s="1723"/>
      <c r="E763" s="1135"/>
      <c r="F763" s="1756"/>
      <c r="G763" s="1049"/>
      <c r="H763" s="306"/>
      <c r="I763" s="307"/>
      <c r="J763" s="1046"/>
      <c r="K763" s="306"/>
      <c r="L763" s="307"/>
      <c r="M763" s="1047"/>
      <c r="N763" s="306"/>
      <c r="O763" s="307"/>
      <c r="P763" s="1047"/>
      <c r="Q763" s="306"/>
      <c r="R763" s="307"/>
      <c r="S763" s="1387"/>
      <c r="T763" s="314"/>
      <c r="U763" s="314"/>
      <c r="V763" s="314"/>
      <c r="W763" s="314"/>
    </row>
    <row r="764" spans="1:23" s="316" customFormat="1" ht="16.5" customHeight="1">
      <c r="A764" s="1101" t="s">
        <v>1210</v>
      </c>
      <c r="B764" s="1103" t="s">
        <v>1697</v>
      </c>
      <c r="C764" s="1103"/>
      <c r="D764" s="1727"/>
      <c r="E764" s="1757"/>
      <c r="F764" s="1756"/>
      <c r="G764" s="1049"/>
      <c r="H764" s="306"/>
      <c r="I764" s="307"/>
      <c r="J764" s="1046"/>
      <c r="K764" s="306"/>
      <c r="L764" s="307"/>
      <c r="M764" s="1047"/>
      <c r="N764" s="306"/>
      <c r="O764" s="307"/>
      <c r="P764" s="1047"/>
      <c r="Q764" s="306"/>
      <c r="R764" s="307"/>
      <c r="S764" s="1387"/>
      <c r="T764" s="314"/>
      <c r="U764" s="314"/>
      <c r="V764" s="314"/>
      <c r="W764" s="314"/>
    </row>
    <row r="765" spans="1:23" s="316" customFormat="1" ht="16.5" customHeight="1">
      <c r="A765" s="1101" t="s">
        <v>1211</v>
      </c>
      <c r="B765" s="1401" t="s">
        <v>1698</v>
      </c>
      <c r="C765" s="1104" t="s">
        <v>2148</v>
      </c>
      <c r="D765" s="1723">
        <v>1659.53</v>
      </c>
      <c r="E765" s="1723">
        <v>8.9</v>
      </c>
      <c r="F765" s="1756">
        <f t="shared" ref="F765:F769" si="151">+D765*E765</f>
        <v>14769.817000000001</v>
      </c>
      <c r="G765" s="1049">
        <v>0</v>
      </c>
      <c r="H765" s="306">
        <f t="shared" ref="H765" si="152">ROUND($E765*G765,2)</f>
        <v>0</v>
      </c>
      <c r="I765" s="307">
        <f t="shared" ref="I765" si="153">+H765/$F765</f>
        <v>0</v>
      </c>
      <c r="J765" s="1046"/>
      <c r="K765" s="306">
        <f t="shared" ref="K765" si="154">J765*E765</f>
        <v>0</v>
      </c>
      <c r="L765" s="307">
        <f t="shared" ref="L765" si="155">+K765/$F765</f>
        <v>0</v>
      </c>
      <c r="M765" s="1047">
        <f t="shared" ref="M765" si="156">+G765+J765</f>
        <v>0</v>
      </c>
      <c r="N765" s="306">
        <f t="shared" ref="N765" si="157">ROUND(+M765*E765,2)</f>
        <v>0</v>
      </c>
      <c r="O765" s="307">
        <f t="shared" ref="O765" si="158">+N765/$F765</f>
        <v>0</v>
      </c>
      <c r="P765" s="1047">
        <f t="shared" ref="P765" si="159">D765-M765</f>
        <v>1659.53</v>
      </c>
      <c r="Q765" s="306">
        <f t="shared" ref="Q765" si="160">F765-N765</f>
        <v>14769.817000000001</v>
      </c>
      <c r="R765" s="307">
        <f t="shared" ref="R765" si="161">+Q765/$F765</f>
        <v>1</v>
      </c>
      <c r="S765" s="1387"/>
      <c r="T765" s="314"/>
      <c r="U765" s="314"/>
      <c r="V765" s="314"/>
      <c r="W765" s="314"/>
    </row>
    <row r="766" spans="1:23" s="316" customFormat="1" ht="16.5" customHeight="1">
      <c r="A766" s="1101" t="s">
        <v>1212</v>
      </c>
      <c r="B766" s="1103" t="s">
        <v>1699</v>
      </c>
      <c r="C766" s="1103"/>
      <c r="D766" s="1723"/>
      <c r="E766" s="1723"/>
      <c r="F766" s="1756"/>
      <c r="G766" s="1049"/>
      <c r="H766" s="306"/>
      <c r="I766" s="307"/>
      <c r="J766" s="1046"/>
      <c r="K766" s="306"/>
      <c r="L766" s="307"/>
      <c r="M766" s="1047"/>
      <c r="N766" s="306"/>
      <c r="O766" s="307"/>
      <c r="P766" s="1047"/>
      <c r="Q766" s="306"/>
      <c r="R766" s="307"/>
      <c r="S766" s="1387"/>
      <c r="T766" s="314"/>
      <c r="U766" s="314"/>
      <c r="V766" s="314"/>
      <c r="W766" s="314"/>
    </row>
    <row r="767" spans="1:23" s="316" customFormat="1" ht="16.5" customHeight="1">
      <c r="A767" s="1101" t="s">
        <v>1213</v>
      </c>
      <c r="B767" s="1558" t="s">
        <v>1700</v>
      </c>
      <c r="C767" s="1104" t="s">
        <v>2148</v>
      </c>
      <c r="D767" s="1723">
        <v>1200.79</v>
      </c>
      <c r="E767" s="1723">
        <v>21.57</v>
      </c>
      <c r="F767" s="1756">
        <f t="shared" si="151"/>
        <v>25901.040300000001</v>
      </c>
      <c r="G767" s="1049">
        <v>0</v>
      </c>
      <c r="H767" s="306">
        <f t="shared" ref="H767" si="162">ROUND($E767*G767,2)</f>
        <v>0</v>
      </c>
      <c r="I767" s="307">
        <f t="shared" ref="I767" si="163">+H767/$F767</f>
        <v>0</v>
      </c>
      <c r="J767" s="1046"/>
      <c r="K767" s="306">
        <f t="shared" ref="K767" si="164">J767*E767</f>
        <v>0</v>
      </c>
      <c r="L767" s="307">
        <f t="shared" ref="L767" si="165">+K767/$F767</f>
        <v>0</v>
      </c>
      <c r="M767" s="1047">
        <f t="shared" ref="M767" si="166">+G767+J767</f>
        <v>0</v>
      </c>
      <c r="N767" s="306">
        <f t="shared" ref="N767" si="167">ROUND(+M767*E767,2)</f>
        <v>0</v>
      </c>
      <c r="O767" s="307">
        <f t="shared" ref="O767" si="168">+N767/$F767</f>
        <v>0</v>
      </c>
      <c r="P767" s="1047">
        <f t="shared" ref="P767" si="169">D767-M767</f>
        <v>1200.79</v>
      </c>
      <c r="Q767" s="306">
        <f t="shared" ref="Q767" si="170">F767-N767</f>
        <v>25901.040300000001</v>
      </c>
      <c r="R767" s="307">
        <f t="shared" ref="R767" si="171">+Q767/$F767</f>
        <v>1</v>
      </c>
      <c r="S767" s="1387"/>
      <c r="T767" s="314"/>
      <c r="U767" s="314"/>
      <c r="V767" s="314"/>
      <c r="W767" s="314"/>
    </row>
    <row r="768" spans="1:23" s="316" customFormat="1" ht="16.5" customHeight="1">
      <c r="A768" s="1101">
        <v>2.2000000000000002</v>
      </c>
      <c r="B768" s="1102" t="s">
        <v>1701</v>
      </c>
      <c r="C768" s="1104"/>
      <c r="D768" s="1723"/>
      <c r="E768" s="1723"/>
      <c r="F768" s="1756"/>
      <c r="G768" s="1049"/>
      <c r="H768" s="306"/>
      <c r="I768" s="307"/>
      <c r="J768" s="1046"/>
      <c r="K768" s="306"/>
      <c r="L768" s="307"/>
      <c r="M768" s="1047"/>
      <c r="N768" s="306"/>
      <c r="O768" s="307"/>
      <c r="P768" s="1047"/>
      <c r="Q768" s="306"/>
      <c r="R768" s="307"/>
      <c r="S768" s="1387"/>
      <c r="T768" s="314"/>
      <c r="U768" s="314"/>
      <c r="V768" s="314"/>
      <c r="W768" s="314"/>
    </row>
    <row r="769" spans="1:23" s="316" customFormat="1" ht="16.5" customHeight="1">
      <c r="A769" s="1101" t="s">
        <v>1225</v>
      </c>
      <c r="B769" s="1401" t="s">
        <v>1713</v>
      </c>
      <c r="C769" s="1104" t="s">
        <v>420</v>
      </c>
      <c r="D769" s="1723">
        <v>14138.789000000001</v>
      </c>
      <c r="E769" s="1723">
        <v>4.97</v>
      </c>
      <c r="F769" s="1756">
        <f t="shared" si="151"/>
        <v>70269.781329999998</v>
      </c>
      <c r="G769" s="1049">
        <v>0</v>
      </c>
      <c r="H769" s="306">
        <f t="shared" ref="H769" si="172">ROUND($E769*G769,2)</f>
        <v>0</v>
      </c>
      <c r="I769" s="307">
        <f t="shared" ref="I769" si="173">+H769/$F769</f>
        <v>0</v>
      </c>
      <c r="J769" s="1046"/>
      <c r="K769" s="306">
        <f t="shared" ref="K769" si="174">J769*E769</f>
        <v>0</v>
      </c>
      <c r="L769" s="307">
        <f t="shared" ref="L769" si="175">+K769/$F769</f>
        <v>0</v>
      </c>
      <c r="M769" s="1047">
        <f t="shared" ref="M769" si="176">+G769+J769</f>
        <v>0</v>
      </c>
      <c r="N769" s="306">
        <f t="shared" ref="N769" si="177">ROUND(+M769*E769,2)</f>
        <v>0</v>
      </c>
      <c r="O769" s="307">
        <f t="shared" ref="O769" si="178">+N769/$F769</f>
        <v>0</v>
      </c>
      <c r="P769" s="1047">
        <f t="shared" ref="P769" si="179">D769-M769</f>
        <v>14138.789000000001</v>
      </c>
      <c r="Q769" s="306">
        <f t="shared" ref="Q769" si="180">F769-N769</f>
        <v>70269.781329999998</v>
      </c>
      <c r="R769" s="307">
        <f t="shared" ref="R769" si="181">+Q769/$F769</f>
        <v>1</v>
      </c>
      <c r="S769" s="1387"/>
      <c r="T769" s="314"/>
      <c r="U769" s="314"/>
      <c r="V769" s="314"/>
      <c r="W769" s="314"/>
    </row>
    <row r="770" spans="1:23" s="316" customFormat="1" ht="16.5" customHeight="1">
      <c r="A770" s="1101" t="s">
        <v>1243</v>
      </c>
      <c r="B770" s="1103" t="s">
        <v>1730</v>
      </c>
      <c r="C770" s="1103"/>
      <c r="D770" s="1723"/>
      <c r="E770" s="1723"/>
      <c r="F770" s="1756"/>
      <c r="G770" s="1049"/>
      <c r="H770" s="306"/>
      <c r="I770" s="307"/>
      <c r="J770" s="1046"/>
      <c r="K770" s="306"/>
      <c r="L770" s="307"/>
      <c r="M770" s="1047"/>
      <c r="N770" s="306"/>
      <c r="O770" s="307"/>
      <c r="P770" s="1047"/>
      <c r="Q770" s="306"/>
      <c r="R770" s="307"/>
      <c r="S770" s="1387"/>
      <c r="T770" s="314"/>
      <c r="U770" s="314"/>
      <c r="V770" s="314"/>
      <c r="W770" s="314"/>
    </row>
    <row r="771" spans="1:23" s="316" customFormat="1" ht="16.5" customHeight="1">
      <c r="A771" s="1101" t="s">
        <v>1244</v>
      </c>
      <c r="B771" s="1401" t="s">
        <v>2255</v>
      </c>
      <c r="C771" s="1104" t="s">
        <v>2148</v>
      </c>
      <c r="D771" s="1723">
        <v>18.100000000000001</v>
      </c>
      <c r="E771" s="1723">
        <v>486.83</v>
      </c>
      <c r="F771" s="1756">
        <f t="shared" ref="F771:F791" si="182">+D771*E771</f>
        <v>8811.6229999999996</v>
      </c>
      <c r="G771" s="1049">
        <v>0</v>
      </c>
      <c r="H771" s="306">
        <f t="shared" ref="H771" si="183">ROUND($E771*G771,2)</f>
        <v>0</v>
      </c>
      <c r="I771" s="307">
        <f t="shared" ref="I771" si="184">+H771/$F771</f>
        <v>0</v>
      </c>
      <c r="J771" s="1046"/>
      <c r="K771" s="306">
        <f t="shared" ref="K771" si="185">J771*E771</f>
        <v>0</v>
      </c>
      <c r="L771" s="307">
        <f t="shared" ref="L771" si="186">+K771/$F771</f>
        <v>0</v>
      </c>
      <c r="M771" s="1047">
        <f t="shared" ref="M771" si="187">+G771+J771</f>
        <v>0</v>
      </c>
      <c r="N771" s="306">
        <f t="shared" ref="N771" si="188">ROUND(+M771*E771,2)</f>
        <v>0</v>
      </c>
      <c r="O771" s="307">
        <f t="shared" ref="O771" si="189">+N771/$F771</f>
        <v>0</v>
      </c>
      <c r="P771" s="1047">
        <f t="shared" ref="P771" si="190">D771-M771</f>
        <v>18.100000000000001</v>
      </c>
      <c r="Q771" s="306">
        <f t="shared" ref="Q771" si="191">F771-N771</f>
        <v>8811.6229999999996</v>
      </c>
      <c r="R771" s="307">
        <f t="shared" ref="R771" si="192">+Q771/$F771</f>
        <v>1</v>
      </c>
      <c r="S771" s="1387"/>
      <c r="T771" s="314"/>
      <c r="U771" s="314"/>
      <c r="V771" s="314"/>
      <c r="W771" s="314"/>
    </row>
    <row r="772" spans="1:23" s="316" customFormat="1" ht="16.5" customHeight="1">
      <c r="A772" s="1706">
        <v>3</v>
      </c>
      <c r="B772" s="1707" t="s">
        <v>1736</v>
      </c>
      <c r="C772" s="1104"/>
      <c r="D772" s="1723"/>
      <c r="E772" s="1723"/>
      <c r="F772" s="1756"/>
      <c r="G772" s="1049"/>
      <c r="H772" s="306"/>
      <c r="I772" s="307"/>
      <c r="J772" s="1046"/>
      <c r="K772" s="306"/>
      <c r="L772" s="307"/>
      <c r="M772" s="1047"/>
      <c r="N772" s="306"/>
      <c r="O772" s="307"/>
      <c r="P772" s="1047"/>
      <c r="Q772" s="306"/>
      <c r="R772" s="307"/>
      <c r="S772" s="1387"/>
      <c r="T772" s="314"/>
      <c r="U772" s="314"/>
      <c r="V772" s="314"/>
      <c r="W772" s="314"/>
    </row>
    <row r="773" spans="1:23" s="316" customFormat="1" ht="16.5" customHeight="1">
      <c r="A773" s="1101">
        <v>3.1</v>
      </c>
      <c r="B773" s="1102" t="s">
        <v>1737</v>
      </c>
      <c r="C773" s="1104"/>
      <c r="D773" s="1723"/>
      <c r="E773" s="1723"/>
      <c r="F773" s="1756"/>
      <c r="G773" s="1049"/>
      <c r="H773" s="306"/>
      <c r="I773" s="307"/>
      <c r="J773" s="1046"/>
      <c r="K773" s="306"/>
      <c r="L773" s="307"/>
      <c r="M773" s="1047"/>
      <c r="N773" s="306"/>
      <c r="O773" s="307"/>
      <c r="P773" s="1047"/>
      <c r="Q773" s="306"/>
      <c r="R773" s="307"/>
      <c r="S773" s="1387"/>
      <c r="T773" s="314"/>
      <c r="U773" s="314"/>
      <c r="V773" s="314"/>
      <c r="W773" s="314"/>
    </row>
    <row r="774" spans="1:23" s="316" customFormat="1" ht="16.5" customHeight="1">
      <c r="A774" s="1401" t="s">
        <v>1249</v>
      </c>
      <c r="B774" s="1401" t="s">
        <v>1738</v>
      </c>
      <c r="C774" s="1104" t="s">
        <v>2147</v>
      </c>
      <c r="D774" s="1723">
        <v>410.58</v>
      </c>
      <c r="E774" s="1723">
        <v>81.239999999999995</v>
      </c>
      <c r="F774" s="1756">
        <f t="shared" si="182"/>
        <v>33355.519199999995</v>
      </c>
      <c r="G774" s="1049">
        <v>0</v>
      </c>
      <c r="H774" s="306">
        <f t="shared" ref="H774:H775" si="193">ROUND($E774*G774,2)</f>
        <v>0</v>
      </c>
      <c r="I774" s="307">
        <f t="shared" ref="I774:I775" si="194">+H774/$F774</f>
        <v>0</v>
      </c>
      <c r="J774" s="1046"/>
      <c r="K774" s="306">
        <f t="shared" ref="K774:K775" si="195">J774*E774</f>
        <v>0</v>
      </c>
      <c r="L774" s="307">
        <f t="shared" ref="L774:L775" si="196">+K774/$F774</f>
        <v>0</v>
      </c>
      <c r="M774" s="1047">
        <f t="shared" ref="M774:M775" si="197">+G774+J774</f>
        <v>0</v>
      </c>
      <c r="N774" s="306">
        <f t="shared" ref="N774:N775" si="198">ROUND(+M774*E774,2)</f>
        <v>0</v>
      </c>
      <c r="O774" s="307">
        <f t="shared" ref="O774:O775" si="199">+N774/$F774</f>
        <v>0</v>
      </c>
      <c r="P774" s="1047">
        <f t="shared" ref="P774:P775" si="200">D774-M774</f>
        <v>410.58</v>
      </c>
      <c r="Q774" s="306">
        <f t="shared" ref="Q774:Q775" si="201">F774-N774</f>
        <v>33355.519199999995</v>
      </c>
      <c r="R774" s="307">
        <f t="shared" ref="R774:R775" si="202">+Q774/$F774</f>
        <v>1</v>
      </c>
      <c r="S774" s="1387"/>
      <c r="T774" s="314"/>
      <c r="U774" s="314"/>
      <c r="V774" s="314"/>
      <c r="W774" s="314"/>
    </row>
    <row r="775" spans="1:23" s="316" customFormat="1" ht="16.5" customHeight="1">
      <c r="A775" s="1401" t="s">
        <v>1250</v>
      </c>
      <c r="B775" s="1401" t="s">
        <v>1739</v>
      </c>
      <c r="C775" s="1444" t="s">
        <v>2147</v>
      </c>
      <c r="D775" s="1723">
        <v>673.17150000000004</v>
      </c>
      <c r="E775" s="1723">
        <v>134.66</v>
      </c>
      <c r="F775" s="1756">
        <f t="shared" si="182"/>
        <v>90649.274189999996</v>
      </c>
      <c r="G775" s="1049">
        <v>0</v>
      </c>
      <c r="H775" s="306">
        <f t="shared" si="193"/>
        <v>0</v>
      </c>
      <c r="I775" s="307">
        <f t="shared" si="194"/>
        <v>0</v>
      </c>
      <c r="J775" s="1046"/>
      <c r="K775" s="306">
        <f t="shared" si="195"/>
        <v>0</v>
      </c>
      <c r="L775" s="307">
        <f t="shared" si="196"/>
        <v>0</v>
      </c>
      <c r="M775" s="1047">
        <f t="shared" si="197"/>
        <v>0</v>
      </c>
      <c r="N775" s="306">
        <f t="shared" si="198"/>
        <v>0</v>
      </c>
      <c r="O775" s="307">
        <f t="shared" si="199"/>
        <v>0</v>
      </c>
      <c r="P775" s="1047">
        <f t="shared" si="200"/>
        <v>673.17150000000004</v>
      </c>
      <c r="Q775" s="306">
        <f t="shared" si="201"/>
        <v>90649.274189999996</v>
      </c>
      <c r="R775" s="307">
        <f t="shared" si="202"/>
        <v>1</v>
      </c>
      <c r="S775" s="1387"/>
      <c r="T775" s="314"/>
      <c r="U775" s="314"/>
      <c r="V775" s="314"/>
      <c r="W775" s="314"/>
    </row>
    <row r="776" spans="1:23" s="316" customFormat="1" ht="16.5" customHeight="1">
      <c r="A776" s="1101">
        <v>3.3</v>
      </c>
      <c r="B776" s="1102" t="s">
        <v>1744</v>
      </c>
      <c r="C776" s="1108"/>
      <c r="D776" s="1723"/>
      <c r="E776" s="1723"/>
      <c r="F776" s="1756"/>
      <c r="G776" s="1049"/>
      <c r="H776" s="306"/>
      <c r="I776" s="307"/>
      <c r="J776" s="1046"/>
      <c r="K776" s="306"/>
      <c r="L776" s="307"/>
      <c r="M776" s="1047"/>
      <c r="N776" s="306"/>
      <c r="O776" s="307"/>
      <c r="P776" s="1047"/>
      <c r="Q776" s="306"/>
      <c r="R776" s="307"/>
      <c r="S776" s="1387"/>
      <c r="T776" s="314"/>
      <c r="U776" s="314"/>
      <c r="V776" s="314"/>
      <c r="W776" s="314"/>
    </row>
    <row r="777" spans="1:23" s="316" customFormat="1" ht="16.5" customHeight="1">
      <c r="A777" s="1101" t="s">
        <v>1254</v>
      </c>
      <c r="B777" s="1401" t="s">
        <v>1745</v>
      </c>
      <c r="C777" s="1104" t="s">
        <v>2147</v>
      </c>
      <c r="D777" s="1723">
        <v>516.20959999999991</v>
      </c>
      <c r="E777" s="1723">
        <v>25.22</v>
      </c>
      <c r="F777" s="1756">
        <f t="shared" ref="F777:F779" si="203">+D777*E777</f>
        <v>13018.806111999997</v>
      </c>
      <c r="G777" s="1049">
        <v>0</v>
      </c>
      <c r="H777" s="306">
        <f t="shared" ref="H777:H784" si="204">ROUND($E777*G777,2)</f>
        <v>0</v>
      </c>
      <c r="I777" s="307">
        <f t="shared" ref="I777:I784" si="205">+H777/$F777</f>
        <v>0</v>
      </c>
      <c r="J777" s="1046"/>
      <c r="K777" s="306">
        <f t="shared" ref="K777:K784" si="206">J777*E777</f>
        <v>0</v>
      </c>
      <c r="L777" s="307">
        <f t="shared" ref="L777:L784" si="207">+K777/$F777</f>
        <v>0</v>
      </c>
      <c r="M777" s="1047">
        <f t="shared" ref="M777:M784" si="208">+G777+J777</f>
        <v>0</v>
      </c>
      <c r="N777" s="306">
        <f t="shared" ref="N777:N784" si="209">ROUND(+M777*E777,2)</f>
        <v>0</v>
      </c>
      <c r="O777" s="307">
        <f t="shared" ref="O777:O784" si="210">+N777/$F777</f>
        <v>0</v>
      </c>
      <c r="P777" s="1047">
        <f t="shared" ref="P777:P784" si="211">D777-M777</f>
        <v>516.20959999999991</v>
      </c>
      <c r="Q777" s="306">
        <f t="shared" ref="Q777:Q784" si="212">F777-N777</f>
        <v>13018.806111999997</v>
      </c>
      <c r="R777" s="307">
        <f t="shared" ref="R777:R784" si="213">+Q777/$F777</f>
        <v>1</v>
      </c>
      <c r="S777" s="1387"/>
      <c r="T777" s="314"/>
      <c r="U777" s="314"/>
      <c r="V777" s="314"/>
      <c r="W777" s="314"/>
    </row>
    <row r="778" spans="1:23" s="316" customFormat="1" ht="16.5" customHeight="1">
      <c r="A778" s="1101" t="s">
        <v>1255</v>
      </c>
      <c r="B778" s="1401" t="s">
        <v>1746</v>
      </c>
      <c r="C778" s="1104" t="s">
        <v>2147</v>
      </c>
      <c r="D778" s="1723">
        <v>1538.77</v>
      </c>
      <c r="E778" s="1723">
        <v>26.65</v>
      </c>
      <c r="F778" s="1756">
        <f t="shared" si="203"/>
        <v>41008.220499999996</v>
      </c>
      <c r="G778" s="1049">
        <v>0</v>
      </c>
      <c r="H778" s="306">
        <f t="shared" si="204"/>
        <v>0</v>
      </c>
      <c r="I778" s="307">
        <f t="shared" si="205"/>
        <v>0</v>
      </c>
      <c r="J778" s="1046"/>
      <c r="K778" s="306">
        <f t="shared" si="206"/>
        <v>0</v>
      </c>
      <c r="L778" s="307">
        <f t="shared" si="207"/>
        <v>0</v>
      </c>
      <c r="M778" s="1047">
        <f t="shared" si="208"/>
        <v>0</v>
      </c>
      <c r="N778" s="306">
        <f t="shared" si="209"/>
        <v>0</v>
      </c>
      <c r="O778" s="307">
        <f t="shared" si="210"/>
        <v>0</v>
      </c>
      <c r="P778" s="1047">
        <f t="shared" si="211"/>
        <v>1538.77</v>
      </c>
      <c r="Q778" s="306">
        <f t="shared" si="212"/>
        <v>41008.220499999996</v>
      </c>
      <c r="R778" s="307">
        <f t="shared" si="213"/>
        <v>1</v>
      </c>
      <c r="S778" s="1387"/>
      <c r="T778" s="314"/>
      <c r="U778" s="314"/>
      <c r="V778" s="314"/>
      <c r="W778" s="314"/>
    </row>
    <row r="779" spans="1:23" s="316" customFormat="1" ht="16.5" customHeight="1">
      <c r="A779" s="1101" t="s">
        <v>1256</v>
      </c>
      <c r="B779" s="1401" t="s">
        <v>1747</v>
      </c>
      <c r="C779" s="1104" t="s">
        <v>2147</v>
      </c>
      <c r="D779" s="1723">
        <v>541.22</v>
      </c>
      <c r="E779" s="1723">
        <v>31.33</v>
      </c>
      <c r="F779" s="1756">
        <f t="shared" si="203"/>
        <v>16956.422600000002</v>
      </c>
      <c r="G779" s="1049">
        <v>0</v>
      </c>
      <c r="H779" s="306">
        <f t="shared" si="204"/>
        <v>0</v>
      </c>
      <c r="I779" s="307">
        <f t="shared" si="205"/>
        <v>0</v>
      </c>
      <c r="J779" s="1046"/>
      <c r="K779" s="306">
        <f t="shared" si="206"/>
        <v>0</v>
      </c>
      <c r="L779" s="307">
        <f t="shared" si="207"/>
        <v>0</v>
      </c>
      <c r="M779" s="1047">
        <f t="shared" si="208"/>
        <v>0</v>
      </c>
      <c r="N779" s="306">
        <f t="shared" si="209"/>
        <v>0</v>
      </c>
      <c r="O779" s="307">
        <f t="shared" si="210"/>
        <v>0</v>
      </c>
      <c r="P779" s="1047">
        <f t="shared" si="211"/>
        <v>541.22</v>
      </c>
      <c r="Q779" s="306">
        <f t="shared" si="212"/>
        <v>16956.422600000002</v>
      </c>
      <c r="R779" s="307">
        <f t="shared" si="213"/>
        <v>1</v>
      </c>
      <c r="S779" s="1387"/>
      <c r="T779" s="314"/>
      <c r="U779" s="314"/>
      <c r="V779" s="314"/>
      <c r="W779" s="314"/>
    </row>
    <row r="780" spans="1:23" s="316" customFormat="1" ht="16.5" customHeight="1">
      <c r="A780" s="1101" t="s">
        <v>1258</v>
      </c>
      <c r="B780" s="1401" t="s">
        <v>1749</v>
      </c>
      <c r="C780" s="1104" t="s">
        <v>2147</v>
      </c>
      <c r="D780" s="1723">
        <v>304.78250000000025</v>
      </c>
      <c r="E780" s="1723">
        <v>56.03</v>
      </c>
      <c r="F780" s="1756">
        <f t="shared" si="182"/>
        <v>17076.963475000015</v>
      </c>
      <c r="G780" s="1049">
        <v>0</v>
      </c>
      <c r="H780" s="306">
        <f t="shared" si="204"/>
        <v>0</v>
      </c>
      <c r="I780" s="307">
        <f t="shared" si="205"/>
        <v>0</v>
      </c>
      <c r="J780" s="1046"/>
      <c r="K780" s="306">
        <f t="shared" si="206"/>
        <v>0</v>
      </c>
      <c r="L780" s="307">
        <f t="shared" si="207"/>
        <v>0</v>
      </c>
      <c r="M780" s="1047">
        <f t="shared" si="208"/>
        <v>0</v>
      </c>
      <c r="N780" s="306">
        <f t="shared" si="209"/>
        <v>0</v>
      </c>
      <c r="O780" s="307">
        <f t="shared" si="210"/>
        <v>0</v>
      </c>
      <c r="P780" s="1047">
        <f t="shared" si="211"/>
        <v>304.78250000000025</v>
      </c>
      <c r="Q780" s="306">
        <f t="shared" si="212"/>
        <v>17076.963475000015</v>
      </c>
      <c r="R780" s="307">
        <f t="shared" si="213"/>
        <v>1</v>
      </c>
      <c r="S780" s="1387"/>
      <c r="T780" s="314"/>
      <c r="U780" s="314"/>
      <c r="V780" s="314"/>
      <c r="W780" s="314"/>
    </row>
    <row r="781" spans="1:23" s="316" customFormat="1" ht="16.5" customHeight="1">
      <c r="A781" s="1401" t="s">
        <v>1260</v>
      </c>
      <c r="B781" s="1401" t="s">
        <v>1751</v>
      </c>
      <c r="C781" s="1444" t="s">
        <v>51</v>
      </c>
      <c r="D781" s="1723">
        <v>294.08</v>
      </c>
      <c r="E781" s="1723">
        <v>38.49</v>
      </c>
      <c r="F781" s="1756">
        <f t="shared" si="182"/>
        <v>11319.1392</v>
      </c>
      <c r="G781" s="1049">
        <v>0</v>
      </c>
      <c r="H781" s="306">
        <f t="shared" si="204"/>
        <v>0</v>
      </c>
      <c r="I781" s="307">
        <f t="shared" si="205"/>
        <v>0</v>
      </c>
      <c r="J781" s="1046"/>
      <c r="K781" s="306">
        <f t="shared" si="206"/>
        <v>0</v>
      </c>
      <c r="L781" s="307">
        <f t="shared" si="207"/>
        <v>0</v>
      </c>
      <c r="M781" s="1047">
        <f t="shared" si="208"/>
        <v>0</v>
      </c>
      <c r="N781" s="306">
        <f t="shared" si="209"/>
        <v>0</v>
      </c>
      <c r="O781" s="307">
        <f t="shared" si="210"/>
        <v>0</v>
      </c>
      <c r="P781" s="1047">
        <f t="shared" si="211"/>
        <v>294.08</v>
      </c>
      <c r="Q781" s="306">
        <f t="shared" si="212"/>
        <v>11319.1392</v>
      </c>
      <c r="R781" s="307">
        <f t="shared" si="213"/>
        <v>1</v>
      </c>
      <c r="S781" s="1387"/>
      <c r="T781" s="314"/>
      <c r="U781" s="314"/>
      <c r="V781" s="314"/>
      <c r="W781" s="314"/>
    </row>
    <row r="782" spans="1:23" s="316" customFormat="1" ht="16.5" customHeight="1">
      <c r="A782" s="1401" t="s">
        <v>1261</v>
      </c>
      <c r="B782" s="1401" t="s">
        <v>1752</v>
      </c>
      <c r="C782" s="1444" t="s">
        <v>2147</v>
      </c>
      <c r="D782" s="1723">
        <v>13.830000000000041</v>
      </c>
      <c r="E782" s="1723">
        <v>43.07</v>
      </c>
      <c r="F782" s="1756">
        <f t="shared" si="182"/>
        <v>595.65810000000181</v>
      </c>
      <c r="G782" s="1049">
        <v>0</v>
      </c>
      <c r="H782" s="306">
        <f t="shared" si="204"/>
        <v>0</v>
      </c>
      <c r="I782" s="307">
        <f t="shared" si="205"/>
        <v>0</v>
      </c>
      <c r="J782" s="1046"/>
      <c r="K782" s="306">
        <f t="shared" si="206"/>
        <v>0</v>
      </c>
      <c r="L782" s="307">
        <f t="shared" si="207"/>
        <v>0</v>
      </c>
      <c r="M782" s="1047">
        <f t="shared" si="208"/>
        <v>0</v>
      </c>
      <c r="N782" s="306">
        <f t="shared" si="209"/>
        <v>0</v>
      </c>
      <c r="O782" s="307">
        <f t="shared" si="210"/>
        <v>0</v>
      </c>
      <c r="P782" s="1047">
        <f t="shared" si="211"/>
        <v>13.830000000000041</v>
      </c>
      <c r="Q782" s="306">
        <f t="shared" si="212"/>
        <v>595.65810000000181</v>
      </c>
      <c r="R782" s="307">
        <f t="shared" si="213"/>
        <v>1</v>
      </c>
      <c r="S782" s="1387"/>
      <c r="T782" s="314"/>
      <c r="U782" s="314"/>
      <c r="V782" s="314"/>
      <c r="W782" s="314"/>
    </row>
    <row r="783" spans="1:23" s="316" customFormat="1" ht="16.5" customHeight="1">
      <c r="A783" s="1101" t="s">
        <v>1263</v>
      </c>
      <c r="B783" s="1401" t="s">
        <v>1754</v>
      </c>
      <c r="C783" s="1104" t="s">
        <v>2147</v>
      </c>
      <c r="D783" s="1723">
        <v>442.5</v>
      </c>
      <c r="E783" s="1723">
        <v>286.83999999999997</v>
      </c>
      <c r="F783" s="1756">
        <f t="shared" si="182"/>
        <v>126926.69999999998</v>
      </c>
      <c r="G783" s="1049">
        <v>0</v>
      </c>
      <c r="H783" s="306">
        <f t="shared" si="204"/>
        <v>0</v>
      </c>
      <c r="I783" s="307">
        <f t="shared" si="205"/>
        <v>0</v>
      </c>
      <c r="J783" s="1046"/>
      <c r="K783" s="306">
        <f t="shared" si="206"/>
        <v>0</v>
      </c>
      <c r="L783" s="307">
        <f t="shared" si="207"/>
        <v>0</v>
      </c>
      <c r="M783" s="1047">
        <f t="shared" si="208"/>
        <v>0</v>
      </c>
      <c r="N783" s="306">
        <f t="shared" si="209"/>
        <v>0</v>
      </c>
      <c r="O783" s="307">
        <f t="shared" si="210"/>
        <v>0</v>
      </c>
      <c r="P783" s="1047">
        <f t="shared" si="211"/>
        <v>442.5</v>
      </c>
      <c r="Q783" s="306">
        <f t="shared" si="212"/>
        <v>126926.69999999998</v>
      </c>
      <c r="R783" s="307">
        <f t="shared" si="213"/>
        <v>1</v>
      </c>
      <c r="S783" s="1387"/>
      <c r="T783" s="314"/>
      <c r="U783" s="314"/>
      <c r="V783" s="314"/>
      <c r="W783" s="314"/>
    </row>
    <row r="784" spans="1:23" s="316" customFormat="1" ht="16.5" customHeight="1">
      <c r="A784" s="1101" t="s">
        <v>1264</v>
      </c>
      <c r="B784" s="1401" t="s">
        <v>1755</v>
      </c>
      <c r="C784" s="1104" t="s">
        <v>2147</v>
      </c>
      <c r="D784" s="1723">
        <v>46.300000000000011</v>
      </c>
      <c r="E784" s="1723">
        <v>29.68</v>
      </c>
      <c r="F784" s="1756">
        <f t="shared" si="182"/>
        <v>1374.1840000000004</v>
      </c>
      <c r="G784" s="1049">
        <v>0</v>
      </c>
      <c r="H784" s="306">
        <f t="shared" si="204"/>
        <v>0</v>
      </c>
      <c r="I784" s="307">
        <f t="shared" si="205"/>
        <v>0</v>
      </c>
      <c r="J784" s="1046"/>
      <c r="K784" s="306">
        <f t="shared" si="206"/>
        <v>0</v>
      </c>
      <c r="L784" s="307">
        <f t="shared" si="207"/>
        <v>0</v>
      </c>
      <c r="M784" s="1047">
        <f t="shared" si="208"/>
        <v>0</v>
      </c>
      <c r="N784" s="306">
        <f t="shared" si="209"/>
        <v>0</v>
      </c>
      <c r="O784" s="307">
        <f t="shared" si="210"/>
        <v>0</v>
      </c>
      <c r="P784" s="1047">
        <f t="shared" si="211"/>
        <v>46.300000000000011</v>
      </c>
      <c r="Q784" s="306">
        <f t="shared" si="212"/>
        <v>1374.1840000000004</v>
      </c>
      <c r="R784" s="307">
        <f t="shared" si="213"/>
        <v>1</v>
      </c>
      <c r="S784" s="1387"/>
      <c r="T784" s="314"/>
      <c r="U784" s="314"/>
      <c r="V784" s="314"/>
      <c r="W784" s="314"/>
    </row>
    <row r="785" spans="1:23" s="316" customFormat="1" ht="16.5" customHeight="1">
      <c r="A785" s="1101">
        <v>3.5</v>
      </c>
      <c r="B785" s="1102" t="s">
        <v>1758</v>
      </c>
      <c r="C785" s="1104"/>
      <c r="D785" s="1723"/>
      <c r="E785" s="1723"/>
      <c r="F785" s="1756"/>
      <c r="G785" s="1049"/>
      <c r="H785" s="306"/>
      <c r="I785" s="307"/>
      <c r="J785" s="1046"/>
      <c r="K785" s="306"/>
      <c r="L785" s="307"/>
      <c r="M785" s="1047"/>
      <c r="N785" s="306"/>
      <c r="O785" s="307"/>
      <c r="P785" s="1047"/>
      <c r="Q785" s="306"/>
      <c r="R785" s="307"/>
      <c r="S785" s="1387"/>
      <c r="T785" s="314"/>
      <c r="U785" s="314"/>
      <c r="V785" s="314"/>
      <c r="W785" s="314"/>
    </row>
    <row r="786" spans="1:23" s="316" customFormat="1" ht="16.5" customHeight="1">
      <c r="A786" s="1101" t="s">
        <v>1266</v>
      </c>
      <c r="B786" s="1101" t="s">
        <v>1759</v>
      </c>
      <c r="C786" s="1104" t="s">
        <v>51</v>
      </c>
      <c r="D786" s="1723">
        <v>122.25</v>
      </c>
      <c r="E786" s="1723">
        <v>266.79000000000002</v>
      </c>
      <c r="F786" s="1756">
        <f t="shared" ref="F786:F789" si="214">+D786*E786</f>
        <v>32615.077500000003</v>
      </c>
      <c r="G786" s="1049">
        <v>0</v>
      </c>
      <c r="H786" s="306">
        <f t="shared" ref="H786:H787" si="215">ROUND($E786*G786,2)</f>
        <v>0</v>
      </c>
      <c r="I786" s="307">
        <f t="shared" ref="I786:I787" si="216">+H786/$F786</f>
        <v>0</v>
      </c>
      <c r="J786" s="1046"/>
      <c r="K786" s="306">
        <f t="shared" ref="K786:K787" si="217">J786*E786</f>
        <v>0</v>
      </c>
      <c r="L786" s="307">
        <f t="shared" ref="L786:L787" si="218">+K786/$F786</f>
        <v>0</v>
      </c>
      <c r="M786" s="1047">
        <f t="shared" ref="M786:M787" si="219">+G786+J786</f>
        <v>0</v>
      </c>
      <c r="N786" s="306">
        <f t="shared" ref="N786:N787" si="220">ROUND(+M786*E786,2)</f>
        <v>0</v>
      </c>
      <c r="O786" s="307">
        <f t="shared" ref="O786:O787" si="221">+N786/$F786</f>
        <v>0</v>
      </c>
      <c r="P786" s="1047">
        <f t="shared" ref="P786:P787" si="222">D786-M786</f>
        <v>122.25</v>
      </c>
      <c r="Q786" s="306">
        <f t="shared" ref="Q786:Q787" si="223">F786-N786</f>
        <v>32615.077500000003</v>
      </c>
      <c r="R786" s="307">
        <f t="shared" ref="R786:R787" si="224">+Q786/$F786</f>
        <v>1</v>
      </c>
      <c r="S786" s="1387"/>
      <c r="T786" s="314"/>
      <c r="U786" s="314"/>
      <c r="V786" s="314"/>
      <c r="W786" s="314"/>
    </row>
    <row r="787" spans="1:23" s="316" customFormat="1" ht="16.5" customHeight="1">
      <c r="A787" s="1101" t="s">
        <v>1267</v>
      </c>
      <c r="B787" s="1101" t="s">
        <v>1760</v>
      </c>
      <c r="C787" s="1104" t="s">
        <v>51</v>
      </c>
      <c r="D787" s="1723">
        <v>91.22</v>
      </c>
      <c r="E787" s="1723">
        <v>113.84</v>
      </c>
      <c r="F787" s="1756">
        <f t="shared" si="214"/>
        <v>10384.4848</v>
      </c>
      <c r="G787" s="1049">
        <v>0</v>
      </c>
      <c r="H787" s="306">
        <f t="shared" si="215"/>
        <v>0</v>
      </c>
      <c r="I787" s="307">
        <f t="shared" si="216"/>
        <v>0</v>
      </c>
      <c r="J787" s="1046"/>
      <c r="K787" s="306">
        <f t="shared" si="217"/>
        <v>0</v>
      </c>
      <c r="L787" s="307">
        <f t="shared" si="218"/>
        <v>0</v>
      </c>
      <c r="M787" s="1047">
        <f t="shared" si="219"/>
        <v>0</v>
      </c>
      <c r="N787" s="306">
        <f t="shared" si="220"/>
        <v>0</v>
      </c>
      <c r="O787" s="307">
        <f t="shared" si="221"/>
        <v>0</v>
      </c>
      <c r="P787" s="1047">
        <f t="shared" si="222"/>
        <v>91.22</v>
      </c>
      <c r="Q787" s="306">
        <f t="shared" si="223"/>
        <v>10384.4848</v>
      </c>
      <c r="R787" s="307">
        <f t="shared" si="224"/>
        <v>1</v>
      </c>
      <c r="S787" s="1387"/>
      <c r="T787" s="314"/>
      <c r="U787" s="314"/>
      <c r="V787" s="314"/>
      <c r="W787" s="314"/>
    </row>
    <row r="788" spans="1:23" s="316" customFormat="1" ht="16.5" customHeight="1">
      <c r="A788" s="1401">
        <v>3.6</v>
      </c>
      <c r="B788" s="1446" t="s">
        <v>1762</v>
      </c>
      <c r="C788" s="1104"/>
      <c r="D788" s="1723"/>
      <c r="E788" s="1723"/>
      <c r="F788" s="1756"/>
      <c r="G788" s="1049"/>
      <c r="H788" s="306"/>
      <c r="I788" s="307"/>
      <c r="J788" s="1046"/>
      <c r="K788" s="306"/>
      <c r="L788" s="307"/>
      <c r="M788" s="1047"/>
      <c r="N788" s="306"/>
      <c r="O788" s="307"/>
      <c r="P788" s="1047"/>
      <c r="Q788" s="306"/>
      <c r="R788" s="307"/>
      <c r="S788" s="1387"/>
      <c r="T788" s="314"/>
      <c r="U788" s="314"/>
      <c r="V788" s="314"/>
      <c r="W788" s="314"/>
    </row>
    <row r="789" spans="1:23" s="316" customFormat="1" ht="16.5" customHeight="1">
      <c r="A789" s="1101" t="s">
        <v>1277</v>
      </c>
      <c r="B789" s="1401" t="s">
        <v>1770</v>
      </c>
      <c r="C789" s="1104" t="s">
        <v>2148</v>
      </c>
      <c r="D789" s="1723">
        <v>6.32</v>
      </c>
      <c r="E789" s="1723">
        <v>212.09</v>
      </c>
      <c r="F789" s="1756">
        <f t="shared" si="214"/>
        <v>1340.4088000000002</v>
      </c>
      <c r="G789" s="1049">
        <v>0</v>
      </c>
      <c r="H789" s="306">
        <f t="shared" ref="H789" si="225">ROUND($E789*G789,2)</f>
        <v>0</v>
      </c>
      <c r="I789" s="307">
        <f t="shared" ref="I789" si="226">+H789/$F789</f>
        <v>0</v>
      </c>
      <c r="J789" s="1046"/>
      <c r="K789" s="306">
        <f t="shared" ref="K789" si="227">J789*E789</f>
        <v>0</v>
      </c>
      <c r="L789" s="307">
        <f t="shared" ref="L789" si="228">+K789/$F789</f>
        <v>0</v>
      </c>
      <c r="M789" s="1047">
        <f t="shared" ref="M789" si="229">+G789+J789</f>
        <v>0</v>
      </c>
      <c r="N789" s="306">
        <f t="shared" ref="N789" si="230">ROUND(+M789*E789,2)</f>
        <v>0</v>
      </c>
      <c r="O789" s="307">
        <f t="shared" ref="O789" si="231">+N789/$F789</f>
        <v>0</v>
      </c>
      <c r="P789" s="1047">
        <f t="shared" ref="P789" si="232">D789-M789</f>
        <v>6.32</v>
      </c>
      <c r="Q789" s="306">
        <f t="shared" ref="Q789" si="233">F789-N789</f>
        <v>1340.4088000000002</v>
      </c>
      <c r="R789" s="307">
        <f t="shared" ref="R789" si="234">+Q789/$F789</f>
        <v>1</v>
      </c>
      <c r="S789" s="1387"/>
      <c r="T789" s="314"/>
      <c r="U789" s="314"/>
      <c r="V789" s="314"/>
      <c r="W789" s="314"/>
    </row>
    <row r="790" spans="1:23" s="316" customFormat="1" ht="16.5" customHeight="1">
      <c r="A790" s="1101">
        <v>3.7</v>
      </c>
      <c r="B790" s="1102" t="s">
        <v>1771</v>
      </c>
      <c r="C790" s="1104"/>
      <c r="D790" s="1723"/>
      <c r="E790" s="1723"/>
      <c r="F790" s="1756"/>
      <c r="G790" s="1049"/>
      <c r="H790" s="306"/>
      <c r="I790" s="307"/>
      <c r="J790" s="1046"/>
      <c r="K790" s="306"/>
      <c r="L790" s="307"/>
      <c r="M790" s="1047"/>
      <c r="N790" s="306"/>
      <c r="O790" s="307"/>
      <c r="P790" s="1047"/>
      <c r="Q790" s="306"/>
      <c r="R790" s="307"/>
      <c r="S790" s="1387"/>
      <c r="T790" s="314"/>
      <c r="U790" s="314"/>
      <c r="V790" s="314"/>
      <c r="W790" s="314"/>
    </row>
    <row r="791" spans="1:23" s="316" customFormat="1" ht="16.5" customHeight="1">
      <c r="A791" s="1101" t="s">
        <v>1279</v>
      </c>
      <c r="B791" s="1101" t="s">
        <v>1773</v>
      </c>
      <c r="C791" s="1104" t="s">
        <v>52</v>
      </c>
      <c r="D791" s="1723">
        <v>1</v>
      </c>
      <c r="E791" s="1723">
        <v>1500</v>
      </c>
      <c r="F791" s="1756">
        <f t="shared" si="182"/>
        <v>1500</v>
      </c>
      <c r="G791" s="1049">
        <v>0</v>
      </c>
      <c r="H791" s="306">
        <f t="shared" ref="H791" si="235">ROUND($E791*G791,2)</f>
        <v>0</v>
      </c>
      <c r="I791" s="307">
        <f t="shared" ref="I791" si="236">+H791/$F791</f>
        <v>0</v>
      </c>
      <c r="J791" s="1046"/>
      <c r="K791" s="306">
        <f t="shared" ref="K791" si="237">J791*E791</f>
        <v>0</v>
      </c>
      <c r="L791" s="307">
        <f t="shared" ref="L791" si="238">+K791/$F791</f>
        <v>0</v>
      </c>
      <c r="M791" s="1047">
        <f t="shared" ref="M791" si="239">+G791+J791</f>
        <v>0</v>
      </c>
      <c r="N791" s="306">
        <f t="shared" ref="N791" si="240">ROUND(+M791*E791,2)</f>
        <v>0</v>
      </c>
      <c r="O791" s="307">
        <f t="shared" ref="O791" si="241">+N791/$F791</f>
        <v>0</v>
      </c>
      <c r="P791" s="1047">
        <f t="shared" ref="P791" si="242">D791-M791</f>
        <v>1</v>
      </c>
      <c r="Q791" s="306">
        <f t="shared" ref="Q791" si="243">F791-N791</f>
        <v>1500</v>
      </c>
      <c r="R791" s="307">
        <f t="shared" ref="R791" si="244">+Q791/$F791</f>
        <v>1</v>
      </c>
      <c r="S791" s="1387"/>
      <c r="T791" s="314"/>
      <c r="U791" s="314"/>
      <c r="V791" s="314"/>
      <c r="W791" s="314"/>
    </row>
    <row r="792" spans="1:23" s="316" customFormat="1" ht="16.5" customHeight="1">
      <c r="A792" s="1101">
        <v>3.1</v>
      </c>
      <c r="B792" s="1102" t="s">
        <v>1778</v>
      </c>
      <c r="C792" s="1104"/>
      <c r="D792" s="1723"/>
      <c r="E792" s="1723"/>
      <c r="F792" s="1756"/>
      <c r="G792" s="1049"/>
      <c r="H792" s="306"/>
      <c r="I792" s="307"/>
      <c r="J792" s="1046"/>
      <c r="K792" s="306"/>
      <c r="L792" s="307"/>
      <c r="M792" s="1047"/>
      <c r="N792" s="306"/>
      <c r="O792" s="307"/>
      <c r="P792" s="1047"/>
      <c r="Q792" s="306"/>
      <c r="R792" s="307"/>
      <c r="S792" s="1387"/>
      <c r="T792" s="314"/>
      <c r="U792" s="314"/>
      <c r="V792" s="314"/>
      <c r="W792" s="314"/>
    </row>
    <row r="793" spans="1:23" s="316" customFormat="1" ht="16.5" customHeight="1">
      <c r="A793" s="1101" t="s">
        <v>1285</v>
      </c>
      <c r="B793" s="1101" t="s">
        <v>1782</v>
      </c>
      <c r="C793" s="1104" t="s">
        <v>2147</v>
      </c>
      <c r="D793" s="1723">
        <v>561.44000000000005</v>
      </c>
      <c r="E793" s="1723">
        <v>22.13</v>
      </c>
      <c r="F793" s="1756">
        <f t="shared" ref="F793:F794" si="245">+D793*E793</f>
        <v>12424.6672</v>
      </c>
      <c r="G793" s="1049">
        <v>0</v>
      </c>
      <c r="H793" s="306">
        <f t="shared" ref="H793:H794" si="246">ROUND($E793*G793,2)</f>
        <v>0</v>
      </c>
      <c r="I793" s="307">
        <f t="shared" ref="I793:I794" si="247">+H793/$F793</f>
        <v>0</v>
      </c>
      <c r="J793" s="1046"/>
      <c r="K793" s="306">
        <f t="shared" ref="K793:K794" si="248">J793*E793</f>
        <v>0</v>
      </c>
      <c r="L793" s="307">
        <f t="shared" ref="L793:L794" si="249">+K793/$F793</f>
        <v>0</v>
      </c>
      <c r="M793" s="1047">
        <f t="shared" ref="M793:M794" si="250">+G793+J793</f>
        <v>0</v>
      </c>
      <c r="N793" s="306">
        <f t="shared" ref="N793:N794" si="251">ROUND(+M793*E793,2)</f>
        <v>0</v>
      </c>
      <c r="O793" s="307">
        <f t="shared" ref="O793:O794" si="252">+N793/$F793</f>
        <v>0</v>
      </c>
      <c r="P793" s="1047">
        <f t="shared" ref="P793:P794" si="253">D793-M793</f>
        <v>561.44000000000005</v>
      </c>
      <c r="Q793" s="306">
        <f t="shared" ref="Q793:Q794" si="254">F793-N793</f>
        <v>12424.6672</v>
      </c>
      <c r="R793" s="307">
        <f t="shared" ref="R793:R794" si="255">+Q793/$F793</f>
        <v>1</v>
      </c>
      <c r="S793" s="1387"/>
      <c r="T793" s="314"/>
      <c r="U793" s="314"/>
      <c r="V793" s="314"/>
      <c r="W793" s="314"/>
    </row>
    <row r="794" spans="1:23" s="316" customFormat="1" ht="16.5" customHeight="1">
      <c r="A794" s="1101" t="s">
        <v>1286</v>
      </c>
      <c r="B794" s="1101" t="s">
        <v>1783</v>
      </c>
      <c r="C794" s="1104" t="s">
        <v>2147</v>
      </c>
      <c r="D794" s="1723">
        <v>515.04999999999995</v>
      </c>
      <c r="E794" s="1723">
        <v>13.38</v>
      </c>
      <c r="F794" s="1756">
        <f t="shared" si="245"/>
        <v>6891.3689999999997</v>
      </c>
      <c r="G794" s="1049">
        <v>0</v>
      </c>
      <c r="H794" s="306">
        <f t="shared" si="246"/>
        <v>0</v>
      </c>
      <c r="I794" s="307">
        <f t="shared" si="247"/>
        <v>0</v>
      </c>
      <c r="J794" s="1046"/>
      <c r="K794" s="306">
        <f t="shared" si="248"/>
        <v>0</v>
      </c>
      <c r="L794" s="307">
        <f t="shared" si="249"/>
        <v>0</v>
      </c>
      <c r="M794" s="1047">
        <f t="shared" si="250"/>
        <v>0</v>
      </c>
      <c r="N794" s="306">
        <f t="shared" si="251"/>
        <v>0</v>
      </c>
      <c r="O794" s="307">
        <f t="shared" si="252"/>
        <v>0</v>
      </c>
      <c r="P794" s="1047">
        <f t="shared" si="253"/>
        <v>515.04999999999995</v>
      </c>
      <c r="Q794" s="306">
        <f t="shared" si="254"/>
        <v>6891.3689999999997</v>
      </c>
      <c r="R794" s="307">
        <f t="shared" si="255"/>
        <v>1</v>
      </c>
      <c r="S794" s="1387"/>
      <c r="T794" s="314"/>
      <c r="U794" s="314"/>
      <c r="V794" s="314"/>
      <c r="W794" s="314"/>
    </row>
    <row r="795" spans="1:23">
      <c r="A795" s="1706">
        <v>4</v>
      </c>
      <c r="B795" s="1707" t="s">
        <v>1784</v>
      </c>
      <c r="C795" s="1758"/>
      <c r="D795" s="1759"/>
      <c r="E795" s="1759"/>
      <c r="F795" s="1304" t="str">
        <f t="shared" ref="F795" si="256">IF(ISBLANK(C795)," ",ROUND(E795*D795,2))</f>
        <v xml:space="preserve"> </v>
      </c>
      <c r="G795" s="1049"/>
      <c r="H795" s="306"/>
      <c r="I795" s="307"/>
      <c r="J795" s="1046"/>
      <c r="K795" s="306"/>
      <c r="L795" s="307"/>
      <c r="M795" s="1047"/>
      <c r="N795" s="306"/>
      <c r="O795" s="307"/>
      <c r="P795" s="1047"/>
      <c r="Q795" s="306"/>
      <c r="R795" s="307"/>
    </row>
    <row r="796" spans="1:23" s="316" customFormat="1" ht="16.5" customHeight="1">
      <c r="A796" s="1101">
        <v>4.0999999999999996</v>
      </c>
      <c r="B796" s="1102" t="s">
        <v>1785</v>
      </c>
      <c r="C796" s="1760"/>
      <c r="D796" s="1761"/>
      <c r="E796" s="1761"/>
      <c r="F796" s="1404"/>
      <c r="G796" s="1049"/>
      <c r="H796" s="306"/>
      <c r="I796" s="307"/>
      <c r="J796" s="1046"/>
      <c r="K796" s="306"/>
      <c r="L796" s="307"/>
      <c r="M796" s="1047"/>
      <c r="N796" s="306"/>
      <c r="O796" s="307"/>
      <c r="P796" s="1047"/>
      <c r="Q796" s="306"/>
      <c r="R796" s="307"/>
      <c r="S796" s="1387"/>
      <c r="T796" s="314"/>
      <c r="U796" s="314"/>
      <c r="V796" s="314"/>
      <c r="W796" s="314"/>
    </row>
    <row r="797" spans="1:23" s="316" customFormat="1" ht="16.5" customHeight="1">
      <c r="A797" s="1101" t="s">
        <v>1290</v>
      </c>
      <c r="B797" s="1101" t="s">
        <v>1788</v>
      </c>
      <c r="C797" s="1104" t="s">
        <v>2148</v>
      </c>
      <c r="D797" s="1723">
        <v>138.52000000000001</v>
      </c>
      <c r="E797" s="1135">
        <v>123.91</v>
      </c>
      <c r="F797" s="1756">
        <f t="shared" ref="F797:F871" si="257">+D797*E797</f>
        <v>17164.013200000001</v>
      </c>
      <c r="G797" s="1049">
        <v>0</v>
      </c>
      <c r="H797" s="306">
        <f t="shared" ref="H797" si="258">ROUND($E797*G797,2)</f>
        <v>0</v>
      </c>
      <c r="I797" s="307">
        <f t="shared" ref="I797" si="259">+H797/$F797</f>
        <v>0</v>
      </c>
      <c r="J797" s="1046"/>
      <c r="K797" s="306">
        <f t="shared" ref="K797" si="260">J797*E797</f>
        <v>0</v>
      </c>
      <c r="L797" s="307">
        <f t="shared" ref="L797" si="261">+K797/$F797</f>
        <v>0</v>
      </c>
      <c r="M797" s="1047">
        <f t="shared" ref="M797" si="262">+G797+J797</f>
        <v>0</v>
      </c>
      <c r="N797" s="306">
        <f t="shared" ref="N797" si="263">ROUND(+M797*E797,2)</f>
        <v>0</v>
      </c>
      <c r="O797" s="307">
        <f t="shared" ref="O797" si="264">+N797/$F797</f>
        <v>0</v>
      </c>
      <c r="P797" s="1047">
        <f t="shared" ref="P797" si="265">D797-M797</f>
        <v>138.52000000000001</v>
      </c>
      <c r="Q797" s="306">
        <f t="shared" ref="Q797" si="266">F797-N797</f>
        <v>17164.013200000001</v>
      </c>
      <c r="R797" s="307">
        <f t="shared" ref="R797" si="267">+Q797/$F797</f>
        <v>1</v>
      </c>
      <c r="S797" s="1387"/>
      <c r="T797" s="314"/>
      <c r="U797" s="314"/>
      <c r="V797" s="314"/>
      <c r="W797" s="314"/>
    </row>
    <row r="798" spans="1:23" s="316" customFormat="1" ht="16.5" customHeight="1">
      <c r="A798" s="1762">
        <v>4.2</v>
      </c>
      <c r="B798" s="1763" t="s">
        <v>1791</v>
      </c>
      <c r="C798" s="1764"/>
      <c r="D798" s="1765"/>
      <c r="E798" s="1765"/>
      <c r="F798" s="1756"/>
      <c r="G798" s="1049"/>
      <c r="H798" s="306"/>
      <c r="I798" s="307"/>
      <c r="J798" s="1046"/>
      <c r="K798" s="306"/>
      <c r="L798" s="307"/>
      <c r="M798" s="1047"/>
      <c r="N798" s="306"/>
      <c r="O798" s="307"/>
      <c r="P798" s="1047"/>
      <c r="Q798" s="306"/>
      <c r="R798" s="307"/>
      <c r="S798" s="1387"/>
      <c r="T798" s="314"/>
      <c r="U798" s="314"/>
      <c r="V798" s="314"/>
      <c r="W798" s="314"/>
    </row>
    <row r="799" spans="1:23" s="316" customFormat="1" ht="16.5" customHeight="1">
      <c r="A799" s="1766" t="s">
        <v>1293</v>
      </c>
      <c r="B799" s="1767" t="s">
        <v>1792</v>
      </c>
      <c r="C799" s="1768"/>
      <c r="D799" s="1769"/>
      <c r="E799" s="1769"/>
      <c r="F799" s="1756"/>
      <c r="G799" s="1049"/>
      <c r="H799" s="306"/>
      <c r="I799" s="307"/>
      <c r="J799" s="1046"/>
      <c r="K799" s="306"/>
      <c r="L799" s="307"/>
      <c r="M799" s="1047"/>
      <c r="N799" s="306"/>
      <c r="O799" s="307"/>
      <c r="P799" s="1047"/>
      <c r="Q799" s="306"/>
      <c r="R799" s="307"/>
      <c r="S799" s="1387"/>
      <c r="T799" s="314"/>
      <c r="U799" s="314"/>
      <c r="V799" s="314"/>
      <c r="W799" s="314"/>
    </row>
    <row r="800" spans="1:23" s="316" customFormat="1" ht="16.5" customHeight="1">
      <c r="A800" s="1770" t="s">
        <v>1296</v>
      </c>
      <c r="B800" s="1770" t="s">
        <v>1795</v>
      </c>
      <c r="C800" s="1771" t="s">
        <v>1145</v>
      </c>
      <c r="D800" s="1772">
        <v>21</v>
      </c>
      <c r="E800" s="1773">
        <v>103.1</v>
      </c>
      <c r="F800" s="1756">
        <f t="shared" si="257"/>
        <v>2165.1</v>
      </c>
      <c r="G800" s="1049">
        <v>0</v>
      </c>
      <c r="H800" s="306">
        <f t="shared" ref="H800" si="268">ROUND($E800*G800,2)</f>
        <v>0</v>
      </c>
      <c r="I800" s="307">
        <f t="shared" ref="I800" si="269">+H800/$F800</f>
        <v>0</v>
      </c>
      <c r="J800" s="1046"/>
      <c r="K800" s="306">
        <f t="shared" ref="K800" si="270">J800*E800</f>
        <v>0</v>
      </c>
      <c r="L800" s="307">
        <f t="shared" ref="L800" si="271">+K800/$F800</f>
        <v>0</v>
      </c>
      <c r="M800" s="1047">
        <f t="shared" ref="M800" si="272">+G800+J800</f>
        <v>0</v>
      </c>
      <c r="N800" s="306">
        <f t="shared" ref="N800" si="273">ROUND(+M800*E800,2)</f>
        <v>0</v>
      </c>
      <c r="O800" s="307">
        <f t="shared" ref="O800" si="274">+N800/$F800</f>
        <v>0</v>
      </c>
      <c r="P800" s="1047">
        <f t="shared" ref="P800" si="275">D800-M800</f>
        <v>21</v>
      </c>
      <c r="Q800" s="306">
        <f t="shared" ref="Q800" si="276">F800-N800</f>
        <v>2165.1</v>
      </c>
      <c r="R800" s="307">
        <f t="shared" ref="R800" si="277">+Q800/$F800</f>
        <v>1</v>
      </c>
      <c r="S800" s="1387"/>
      <c r="T800" s="314"/>
      <c r="U800" s="314"/>
      <c r="V800" s="314"/>
      <c r="W800" s="314"/>
    </row>
    <row r="801" spans="1:23" s="316" customFormat="1" ht="16.5" customHeight="1">
      <c r="A801" s="1774" t="s">
        <v>1297</v>
      </c>
      <c r="B801" s="1775" t="s">
        <v>1796</v>
      </c>
      <c r="C801" s="1768"/>
      <c r="D801" s="1769"/>
      <c r="E801" s="1769"/>
      <c r="F801" s="1756"/>
      <c r="G801" s="1049"/>
      <c r="H801" s="306"/>
      <c r="I801" s="307"/>
      <c r="J801" s="1046"/>
      <c r="K801" s="306"/>
      <c r="L801" s="307"/>
      <c r="M801" s="1047"/>
      <c r="N801" s="306"/>
      <c r="O801" s="307"/>
      <c r="P801" s="1047"/>
      <c r="Q801" s="306"/>
      <c r="R801" s="307"/>
      <c r="S801" s="1387"/>
      <c r="T801" s="314"/>
      <c r="U801" s="314"/>
      <c r="V801" s="314"/>
      <c r="W801" s="314"/>
    </row>
    <row r="802" spans="1:23" s="316" customFormat="1" ht="16.5" customHeight="1">
      <c r="A802" s="1401" t="s">
        <v>1300</v>
      </c>
      <c r="B802" s="1401" t="s">
        <v>1799</v>
      </c>
      <c r="C802" s="1444" t="s">
        <v>51</v>
      </c>
      <c r="D802" s="1723">
        <v>39.5</v>
      </c>
      <c r="E802" s="1739">
        <v>103.1</v>
      </c>
      <c r="F802" s="1756">
        <f t="shared" si="257"/>
        <v>4072.45</v>
      </c>
      <c r="G802" s="1049">
        <v>0</v>
      </c>
      <c r="H802" s="306">
        <f t="shared" ref="H802:H804" si="278">ROUND($E802*G802,2)</f>
        <v>0</v>
      </c>
      <c r="I802" s="307">
        <f t="shared" ref="I802:I804" si="279">+H802/$F802</f>
        <v>0</v>
      </c>
      <c r="J802" s="1046"/>
      <c r="K802" s="306">
        <f t="shared" ref="K802:K804" si="280">J802*E802</f>
        <v>0</v>
      </c>
      <c r="L802" s="307">
        <f t="shared" ref="L802:L804" si="281">+K802/$F802</f>
        <v>0</v>
      </c>
      <c r="M802" s="1047">
        <f t="shared" ref="M802:M804" si="282">+G802+J802</f>
        <v>0</v>
      </c>
      <c r="N802" s="306">
        <f t="shared" ref="N802:N804" si="283">ROUND(+M802*E802,2)</f>
        <v>0</v>
      </c>
      <c r="O802" s="307">
        <f t="shared" ref="O802:O804" si="284">+N802/$F802</f>
        <v>0</v>
      </c>
      <c r="P802" s="1047">
        <f t="shared" ref="P802:P804" si="285">D802-M802</f>
        <v>39.5</v>
      </c>
      <c r="Q802" s="306">
        <f t="shared" ref="Q802:Q804" si="286">F802-N802</f>
        <v>4072.45</v>
      </c>
      <c r="R802" s="307">
        <f t="shared" ref="R802:R804" si="287">+Q802/$F802</f>
        <v>1</v>
      </c>
      <c r="S802" s="1387"/>
      <c r="T802" s="314"/>
      <c r="U802" s="314"/>
      <c r="V802" s="314"/>
      <c r="W802" s="314"/>
    </row>
    <row r="803" spans="1:23" s="316" customFormat="1" ht="16.5" customHeight="1">
      <c r="A803" s="1108" t="s">
        <v>1301</v>
      </c>
      <c r="B803" s="1111" t="s">
        <v>1800</v>
      </c>
      <c r="C803" s="1444"/>
      <c r="D803" s="1723"/>
      <c r="E803" s="1739"/>
      <c r="F803" s="1756"/>
      <c r="G803" s="1049"/>
      <c r="H803" s="306"/>
      <c r="I803" s="307"/>
      <c r="J803" s="1046"/>
      <c r="K803" s="306"/>
      <c r="L803" s="307"/>
      <c r="M803" s="1047"/>
      <c r="N803" s="306"/>
      <c r="O803" s="307"/>
      <c r="P803" s="1047"/>
      <c r="Q803" s="306"/>
      <c r="R803" s="307"/>
      <c r="S803" s="1387"/>
      <c r="T803" s="314"/>
      <c r="U803" s="314"/>
      <c r="V803" s="314"/>
      <c r="W803" s="314"/>
    </row>
    <row r="804" spans="1:23" s="316" customFormat="1" ht="16.5" customHeight="1">
      <c r="A804" s="1101" t="s">
        <v>1302</v>
      </c>
      <c r="B804" s="1101" t="s">
        <v>1801</v>
      </c>
      <c r="C804" s="1104" t="s">
        <v>52</v>
      </c>
      <c r="D804" s="1723">
        <v>20</v>
      </c>
      <c r="E804" s="1135">
        <v>77.88</v>
      </c>
      <c r="F804" s="1756">
        <f t="shared" si="257"/>
        <v>1557.6</v>
      </c>
      <c r="G804" s="1049">
        <v>0</v>
      </c>
      <c r="H804" s="306">
        <f t="shared" si="278"/>
        <v>0</v>
      </c>
      <c r="I804" s="307">
        <f t="shared" si="279"/>
        <v>0</v>
      </c>
      <c r="J804" s="1046"/>
      <c r="K804" s="306">
        <f t="shared" si="280"/>
        <v>0</v>
      </c>
      <c r="L804" s="307">
        <f t="shared" si="281"/>
        <v>0</v>
      </c>
      <c r="M804" s="1047">
        <f t="shared" si="282"/>
        <v>0</v>
      </c>
      <c r="N804" s="306">
        <f t="shared" si="283"/>
        <v>0</v>
      </c>
      <c r="O804" s="307">
        <f t="shared" si="284"/>
        <v>0</v>
      </c>
      <c r="P804" s="1047">
        <f t="shared" si="285"/>
        <v>20</v>
      </c>
      <c r="Q804" s="306">
        <f t="shared" si="286"/>
        <v>1557.6</v>
      </c>
      <c r="R804" s="307">
        <f t="shared" si="287"/>
        <v>1</v>
      </c>
      <c r="S804" s="1387"/>
      <c r="T804" s="314"/>
      <c r="U804" s="314"/>
      <c r="V804" s="314"/>
      <c r="W804" s="314"/>
    </row>
    <row r="805" spans="1:23" s="316" customFormat="1" ht="16.5" customHeight="1">
      <c r="A805" s="1447" t="s">
        <v>1303</v>
      </c>
      <c r="B805" s="1403" t="s">
        <v>1802</v>
      </c>
      <c r="C805" s="1768"/>
      <c r="D805" s="1769"/>
      <c r="E805" s="1769"/>
      <c r="F805" s="1756"/>
      <c r="G805" s="1049"/>
      <c r="H805" s="306"/>
      <c r="I805" s="307"/>
      <c r="J805" s="1046"/>
      <c r="K805" s="306"/>
      <c r="L805" s="307"/>
      <c r="M805" s="1047"/>
      <c r="N805" s="306"/>
      <c r="O805" s="307"/>
      <c r="P805" s="1047"/>
      <c r="Q805" s="306"/>
      <c r="R805" s="307"/>
      <c r="S805" s="1387"/>
      <c r="T805" s="314"/>
      <c r="U805" s="314"/>
      <c r="V805" s="314"/>
      <c r="W805" s="314"/>
    </row>
    <row r="806" spans="1:23" s="316" customFormat="1" ht="16.5" customHeight="1">
      <c r="A806" s="1401" t="s">
        <v>1304</v>
      </c>
      <c r="B806" s="1401" t="s">
        <v>1803</v>
      </c>
      <c r="C806" s="1444" t="s">
        <v>52</v>
      </c>
      <c r="D806" s="1723">
        <v>27</v>
      </c>
      <c r="E806" s="1739">
        <v>66.92</v>
      </c>
      <c r="F806" s="1756">
        <f t="shared" si="257"/>
        <v>1806.8400000000001</v>
      </c>
      <c r="G806" s="1049">
        <v>0</v>
      </c>
      <c r="H806" s="306">
        <f t="shared" ref="H806:H808" si="288">ROUND($E806*G806,2)</f>
        <v>0</v>
      </c>
      <c r="I806" s="307">
        <f t="shared" ref="I806:I808" si="289">+H806/$F806</f>
        <v>0</v>
      </c>
      <c r="J806" s="1046"/>
      <c r="K806" s="306">
        <f t="shared" ref="K806:K808" si="290">J806*E806</f>
        <v>0</v>
      </c>
      <c r="L806" s="307">
        <f t="shared" ref="L806:L808" si="291">+K806/$F806</f>
        <v>0</v>
      </c>
      <c r="M806" s="1047">
        <f t="shared" ref="M806:M808" si="292">+G806+J806</f>
        <v>0</v>
      </c>
      <c r="N806" s="306">
        <f t="shared" ref="N806:N808" si="293">ROUND(+M806*E806,2)</f>
        <v>0</v>
      </c>
      <c r="O806" s="307">
        <f t="shared" ref="O806:O808" si="294">+N806/$F806</f>
        <v>0</v>
      </c>
      <c r="P806" s="1047">
        <f t="shared" ref="P806:P808" si="295">D806-M806</f>
        <v>27</v>
      </c>
      <c r="Q806" s="306">
        <f t="shared" ref="Q806:Q808" si="296">F806-N806</f>
        <v>1806.8400000000001</v>
      </c>
      <c r="R806" s="307">
        <f t="shared" ref="R806:R808" si="297">+Q806/$F806</f>
        <v>1</v>
      </c>
      <c r="S806" s="1387"/>
      <c r="T806" s="314"/>
      <c r="U806" s="314"/>
      <c r="V806" s="314"/>
      <c r="W806" s="314"/>
    </row>
    <row r="807" spans="1:23" s="316" customFormat="1" ht="16.5" customHeight="1">
      <c r="A807" s="1401" t="s">
        <v>1305</v>
      </c>
      <c r="B807" s="1401" t="s">
        <v>1804</v>
      </c>
      <c r="C807" s="1444" t="s">
        <v>52</v>
      </c>
      <c r="D807" s="1723">
        <v>41</v>
      </c>
      <c r="E807" s="1739">
        <v>59.4</v>
      </c>
      <c r="F807" s="1756">
        <f t="shared" si="257"/>
        <v>2435.4</v>
      </c>
      <c r="G807" s="1049">
        <v>0</v>
      </c>
      <c r="H807" s="306">
        <f t="shared" si="288"/>
        <v>0</v>
      </c>
      <c r="I807" s="307">
        <f t="shared" si="289"/>
        <v>0</v>
      </c>
      <c r="J807" s="1046"/>
      <c r="K807" s="306">
        <f t="shared" si="290"/>
        <v>0</v>
      </c>
      <c r="L807" s="307">
        <f t="shared" si="291"/>
        <v>0</v>
      </c>
      <c r="M807" s="1047">
        <f t="shared" si="292"/>
        <v>0</v>
      </c>
      <c r="N807" s="306">
        <f t="shared" si="293"/>
        <v>0</v>
      </c>
      <c r="O807" s="307">
        <f t="shared" si="294"/>
        <v>0</v>
      </c>
      <c r="P807" s="1047">
        <f t="shared" si="295"/>
        <v>41</v>
      </c>
      <c r="Q807" s="306">
        <f t="shared" si="296"/>
        <v>2435.4</v>
      </c>
      <c r="R807" s="307">
        <f t="shared" si="297"/>
        <v>1</v>
      </c>
      <c r="S807" s="1387"/>
      <c r="T807" s="314"/>
      <c r="U807" s="314"/>
      <c r="V807" s="314"/>
      <c r="W807" s="314"/>
    </row>
    <row r="808" spans="1:23" s="316" customFormat="1" ht="16.5" customHeight="1">
      <c r="A808" s="1401" t="s">
        <v>1306</v>
      </c>
      <c r="B808" s="1401" t="s">
        <v>1805</v>
      </c>
      <c r="C808" s="1444" t="s">
        <v>52</v>
      </c>
      <c r="D808" s="1723">
        <v>4</v>
      </c>
      <c r="E808" s="1739">
        <v>39.46</v>
      </c>
      <c r="F808" s="1756">
        <f t="shared" si="257"/>
        <v>157.84</v>
      </c>
      <c r="G808" s="1049">
        <v>0</v>
      </c>
      <c r="H808" s="306">
        <f t="shared" si="288"/>
        <v>0</v>
      </c>
      <c r="I808" s="307">
        <f t="shared" si="289"/>
        <v>0</v>
      </c>
      <c r="J808" s="1046"/>
      <c r="K808" s="306">
        <f t="shared" si="290"/>
        <v>0</v>
      </c>
      <c r="L808" s="307">
        <f t="shared" si="291"/>
        <v>0</v>
      </c>
      <c r="M808" s="1047">
        <f t="shared" si="292"/>
        <v>0</v>
      </c>
      <c r="N808" s="306">
        <f t="shared" si="293"/>
        <v>0</v>
      </c>
      <c r="O808" s="307">
        <f t="shared" si="294"/>
        <v>0</v>
      </c>
      <c r="P808" s="1047">
        <f t="shared" si="295"/>
        <v>4</v>
      </c>
      <c r="Q808" s="306">
        <f t="shared" si="296"/>
        <v>157.84</v>
      </c>
      <c r="R808" s="307">
        <f t="shared" si="297"/>
        <v>1</v>
      </c>
      <c r="S808" s="1387"/>
      <c r="T808" s="314"/>
      <c r="U808" s="314"/>
      <c r="V808" s="314"/>
      <c r="W808" s="314"/>
    </row>
    <row r="809" spans="1:23" s="316" customFormat="1" ht="16.5" customHeight="1">
      <c r="A809" s="1108" t="s">
        <v>1313</v>
      </c>
      <c r="B809" s="1111" t="s">
        <v>1812</v>
      </c>
      <c r="C809" s="1444"/>
      <c r="D809" s="1723"/>
      <c r="E809" s="1739"/>
      <c r="F809" s="1756"/>
      <c r="G809" s="1049"/>
      <c r="H809" s="306"/>
      <c r="I809" s="307"/>
      <c r="J809" s="1046"/>
      <c r="K809" s="306"/>
      <c r="L809" s="307"/>
      <c r="M809" s="1047"/>
      <c r="N809" s="306"/>
      <c r="O809" s="307"/>
      <c r="P809" s="1047"/>
      <c r="Q809" s="306"/>
      <c r="R809" s="307"/>
      <c r="S809" s="1387"/>
      <c r="T809" s="1510"/>
      <c r="U809" s="314"/>
      <c r="V809" s="314"/>
      <c r="W809" s="314"/>
    </row>
    <row r="810" spans="1:23" ht="15">
      <c r="A810" s="1101" t="s">
        <v>1314</v>
      </c>
      <c r="B810" s="1101" t="s">
        <v>1813</v>
      </c>
      <c r="C810" s="1104" t="s">
        <v>52</v>
      </c>
      <c r="D810" s="1723">
        <v>9</v>
      </c>
      <c r="E810" s="1135">
        <v>540.63</v>
      </c>
      <c r="F810" s="1756">
        <f t="shared" si="257"/>
        <v>4865.67</v>
      </c>
      <c r="G810" s="1049">
        <v>0</v>
      </c>
      <c r="H810" s="306">
        <f t="shared" ref="H810" si="298">ROUND($E810*G810,2)</f>
        <v>0</v>
      </c>
      <c r="I810" s="307">
        <f t="shared" ref="I810" si="299">+H810/$F810</f>
        <v>0</v>
      </c>
      <c r="J810" s="1046"/>
      <c r="K810" s="306">
        <f t="shared" ref="K810" si="300">J810*E810</f>
        <v>0</v>
      </c>
      <c r="L810" s="307">
        <f t="shared" ref="L810" si="301">+K810/$F810</f>
        <v>0</v>
      </c>
      <c r="M810" s="1047">
        <f t="shared" ref="M810" si="302">+G810+J810</f>
        <v>0</v>
      </c>
      <c r="N810" s="306">
        <f t="shared" ref="N810" si="303">ROUND(+M810*E810,2)</f>
        <v>0</v>
      </c>
      <c r="O810" s="307">
        <f t="shared" ref="O810" si="304">+N810/$F810</f>
        <v>0</v>
      </c>
      <c r="P810" s="1047">
        <f t="shared" ref="P810" si="305">D810-M810</f>
        <v>9</v>
      </c>
      <c r="Q810" s="306">
        <f t="shared" ref="Q810" si="306">F810-N810</f>
        <v>4865.67</v>
      </c>
      <c r="R810" s="307">
        <f t="shared" ref="R810" si="307">+Q810/$F810</f>
        <v>1</v>
      </c>
    </row>
    <row r="811" spans="1:23" s="316" customFormat="1" ht="16.5" customHeight="1">
      <c r="A811" s="1401">
        <v>4.3</v>
      </c>
      <c r="B811" s="1446" t="s">
        <v>1829</v>
      </c>
      <c r="C811" s="1768"/>
      <c r="D811" s="1769"/>
      <c r="E811" s="1769"/>
      <c r="F811" s="1756"/>
      <c r="G811" s="1049"/>
      <c r="H811" s="306"/>
      <c r="I811" s="307"/>
      <c r="J811" s="1046"/>
      <c r="K811" s="306"/>
      <c r="L811" s="307"/>
      <c r="M811" s="1047"/>
      <c r="N811" s="306"/>
      <c r="O811" s="307"/>
      <c r="P811" s="1047"/>
      <c r="Q811" s="306"/>
      <c r="R811" s="307"/>
      <c r="S811" s="1387"/>
      <c r="T811" s="314"/>
      <c r="U811" s="314"/>
      <c r="V811" s="314"/>
      <c r="W811" s="314"/>
    </row>
    <row r="812" spans="1:23" s="316" customFormat="1" ht="16.5" customHeight="1">
      <c r="A812" s="1447" t="s">
        <v>1331</v>
      </c>
      <c r="B812" s="1403" t="s">
        <v>1830</v>
      </c>
      <c r="C812" s="1776"/>
      <c r="D812" s="1777"/>
      <c r="E812" s="1777"/>
      <c r="F812" s="1756"/>
      <c r="G812" s="1049"/>
      <c r="H812" s="306"/>
      <c r="I812" s="307"/>
      <c r="J812" s="1046"/>
      <c r="K812" s="306"/>
      <c r="L812" s="307"/>
      <c r="M812" s="1047"/>
      <c r="N812" s="306"/>
      <c r="O812" s="307"/>
      <c r="P812" s="1047"/>
      <c r="Q812" s="306"/>
      <c r="R812" s="307"/>
      <c r="S812" s="1387"/>
      <c r="T812" s="314"/>
      <c r="U812" s="314"/>
      <c r="V812" s="314"/>
      <c r="W812" s="314"/>
    </row>
    <row r="813" spans="1:23" s="316" customFormat="1" ht="16.5" customHeight="1">
      <c r="A813" s="1401" t="s">
        <v>1332</v>
      </c>
      <c r="B813" s="1401" t="s">
        <v>1831</v>
      </c>
      <c r="C813" s="1444" t="s">
        <v>1145</v>
      </c>
      <c r="D813" s="1723">
        <v>180</v>
      </c>
      <c r="E813" s="1739">
        <v>295.66000000000003</v>
      </c>
      <c r="F813" s="1756">
        <f t="shared" si="257"/>
        <v>53218.8</v>
      </c>
      <c r="G813" s="1049">
        <v>0</v>
      </c>
      <c r="H813" s="306">
        <f t="shared" ref="H813:H814" si="308">ROUND($E813*G813,2)</f>
        <v>0</v>
      </c>
      <c r="I813" s="307">
        <f t="shared" ref="I813:I814" si="309">+H813/$F813</f>
        <v>0</v>
      </c>
      <c r="J813" s="1046"/>
      <c r="K813" s="306">
        <f t="shared" ref="K813:K814" si="310">J813*E813</f>
        <v>0</v>
      </c>
      <c r="L813" s="307">
        <f t="shared" ref="L813:L814" si="311">+K813/$F813</f>
        <v>0</v>
      </c>
      <c r="M813" s="1047">
        <f t="shared" ref="M813:M814" si="312">+G813+J813</f>
        <v>0</v>
      </c>
      <c r="N813" s="306">
        <f t="shared" ref="N813:N814" si="313">ROUND(+M813*E813,2)</f>
        <v>0</v>
      </c>
      <c r="O813" s="307">
        <f t="shared" ref="O813:O814" si="314">+N813/$F813</f>
        <v>0</v>
      </c>
      <c r="P813" s="1047">
        <f t="shared" ref="P813:P814" si="315">D813-M813</f>
        <v>180</v>
      </c>
      <c r="Q813" s="306">
        <f t="shared" ref="Q813:Q814" si="316">F813-N813</f>
        <v>53218.8</v>
      </c>
      <c r="R813" s="307">
        <f t="shared" ref="R813:R814" si="317">+Q813/$F813</f>
        <v>1</v>
      </c>
      <c r="S813" s="1387"/>
      <c r="T813" s="314"/>
      <c r="U813" s="314"/>
      <c r="V813" s="314"/>
      <c r="W813" s="314"/>
    </row>
    <row r="814" spans="1:23" s="316" customFormat="1" ht="16.5" customHeight="1">
      <c r="A814" s="1401" t="s">
        <v>1345</v>
      </c>
      <c r="B814" s="1401" t="s">
        <v>1844</v>
      </c>
      <c r="C814" s="1444" t="s">
        <v>52</v>
      </c>
      <c r="D814" s="1723">
        <v>2</v>
      </c>
      <c r="E814" s="1739">
        <v>24.41</v>
      </c>
      <c r="F814" s="1756">
        <f t="shared" si="257"/>
        <v>48.82</v>
      </c>
      <c r="G814" s="1049">
        <v>0</v>
      </c>
      <c r="H814" s="306">
        <f t="shared" si="308"/>
        <v>0</v>
      </c>
      <c r="I814" s="307">
        <f t="shared" si="309"/>
        <v>0</v>
      </c>
      <c r="J814" s="1046"/>
      <c r="K814" s="306">
        <f t="shared" si="310"/>
        <v>0</v>
      </c>
      <c r="L814" s="307">
        <f t="shared" si="311"/>
        <v>0</v>
      </c>
      <c r="M814" s="1047">
        <f t="shared" si="312"/>
        <v>0</v>
      </c>
      <c r="N814" s="306">
        <f t="shared" si="313"/>
        <v>0</v>
      </c>
      <c r="O814" s="307">
        <f t="shared" si="314"/>
        <v>0</v>
      </c>
      <c r="P814" s="1047">
        <f t="shared" si="315"/>
        <v>2</v>
      </c>
      <c r="Q814" s="306">
        <f t="shared" si="316"/>
        <v>48.82</v>
      </c>
      <c r="R814" s="307">
        <f t="shared" si="317"/>
        <v>1</v>
      </c>
      <c r="S814" s="1387"/>
      <c r="T814" s="314"/>
      <c r="U814" s="314"/>
      <c r="V814" s="314"/>
      <c r="W814" s="314"/>
    </row>
    <row r="815" spans="1:23" s="316" customFormat="1" ht="16.5" customHeight="1">
      <c r="A815" s="1447" t="s">
        <v>1347</v>
      </c>
      <c r="B815" s="1403" t="s">
        <v>1846</v>
      </c>
      <c r="C815" s="1558"/>
      <c r="D815" s="1723"/>
      <c r="E815" s="1778"/>
      <c r="F815" s="1756"/>
      <c r="G815" s="1049"/>
      <c r="H815" s="306"/>
      <c r="I815" s="307"/>
      <c r="J815" s="1046"/>
      <c r="K815" s="306"/>
      <c r="L815" s="307"/>
      <c r="M815" s="1047"/>
      <c r="N815" s="306"/>
      <c r="O815" s="307"/>
      <c r="P815" s="1047"/>
      <c r="Q815" s="306"/>
      <c r="R815" s="307"/>
      <c r="S815" s="1387"/>
      <c r="T815" s="314"/>
      <c r="U815" s="314"/>
      <c r="V815" s="314"/>
      <c r="W815" s="314"/>
    </row>
    <row r="816" spans="1:23" s="316" customFormat="1" ht="16.5" customHeight="1">
      <c r="A816" s="1401" t="s">
        <v>1348</v>
      </c>
      <c r="B816" s="1401" t="s">
        <v>1847</v>
      </c>
      <c r="C816" s="1444" t="s">
        <v>52</v>
      </c>
      <c r="D816" s="1723">
        <v>23</v>
      </c>
      <c r="E816" s="1739">
        <v>124.03</v>
      </c>
      <c r="F816" s="1756">
        <f t="shared" si="257"/>
        <v>2852.69</v>
      </c>
      <c r="G816" s="1049">
        <v>0</v>
      </c>
      <c r="H816" s="306">
        <f t="shared" ref="H816:H817" si="318">ROUND($E816*G816,2)</f>
        <v>0</v>
      </c>
      <c r="I816" s="307">
        <f t="shared" ref="I816:I817" si="319">+H816/$F816</f>
        <v>0</v>
      </c>
      <c r="J816" s="1046"/>
      <c r="K816" s="306">
        <f t="shared" ref="K816:K817" si="320">J816*E816</f>
        <v>0</v>
      </c>
      <c r="L816" s="307">
        <f t="shared" ref="L816:L817" si="321">+K816/$F816</f>
        <v>0</v>
      </c>
      <c r="M816" s="1047">
        <f t="shared" ref="M816:M817" si="322">+G816+J816</f>
        <v>0</v>
      </c>
      <c r="N816" s="306">
        <f t="shared" ref="N816:N817" si="323">ROUND(+M816*E816,2)</f>
        <v>0</v>
      </c>
      <c r="O816" s="307">
        <f t="shared" ref="O816:O817" si="324">+N816/$F816</f>
        <v>0</v>
      </c>
      <c r="P816" s="1047">
        <f t="shared" ref="P816:P817" si="325">D816-M816</f>
        <v>23</v>
      </c>
      <c r="Q816" s="306">
        <f t="shared" ref="Q816:Q817" si="326">F816-N816</f>
        <v>2852.69</v>
      </c>
      <c r="R816" s="307">
        <f t="shared" ref="R816:R817" si="327">+Q816/$F816</f>
        <v>1</v>
      </c>
      <c r="S816" s="1387"/>
      <c r="T816" s="314"/>
      <c r="U816" s="314"/>
      <c r="V816" s="314"/>
      <c r="W816" s="314"/>
    </row>
    <row r="817" spans="1:23" s="316" customFormat="1" ht="16.5" customHeight="1">
      <c r="A817" s="1401" t="s">
        <v>1349</v>
      </c>
      <c r="B817" s="1401" t="s">
        <v>1848</v>
      </c>
      <c r="C817" s="1444" t="s">
        <v>52</v>
      </c>
      <c r="D817" s="1723">
        <v>1</v>
      </c>
      <c r="E817" s="1739">
        <v>347.93</v>
      </c>
      <c r="F817" s="1756">
        <f t="shared" si="257"/>
        <v>347.93</v>
      </c>
      <c r="G817" s="1049">
        <v>0</v>
      </c>
      <c r="H817" s="306">
        <f t="shared" si="318"/>
        <v>0</v>
      </c>
      <c r="I817" s="307">
        <f t="shared" si="319"/>
        <v>0</v>
      </c>
      <c r="J817" s="1046"/>
      <c r="K817" s="306">
        <f t="shared" si="320"/>
        <v>0</v>
      </c>
      <c r="L817" s="307">
        <f t="shared" si="321"/>
        <v>0</v>
      </c>
      <c r="M817" s="1047">
        <f t="shared" si="322"/>
        <v>0</v>
      </c>
      <c r="N817" s="306">
        <f t="shared" si="323"/>
        <v>0</v>
      </c>
      <c r="O817" s="307">
        <f t="shared" si="324"/>
        <v>0</v>
      </c>
      <c r="P817" s="1047">
        <f t="shared" si="325"/>
        <v>1</v>
      </c>
      <c r="Q817" s="306">
        <f t="shared" si="326"/>
        <v>347.93</v>
      </c>
      <c r="R817" s="307">
        <f t="shared" si="327"/>
        <v>1</v>
      </c>
      <c r="S817" s="1387"/>
      <c r="T817" s="314"/>
      <c r="U817" s="314"/>
      <c r="V817" s="314"/>
      <c r="W817" s="314"/>
    </row>
    <row r="818" spans="1:23" s="316" customFormat="1" ht="16.5" customHeight="1">
      <c r="A818" s="1447" t="s">
        <v>1351</v>
      </c>
      <c r="B818" s="1403" t="s">
        <v>1850</v>
      </c>
      <c r="C818" s="1558"/>
      <c r="D818" s="1723"/>
      <c r="E818" s="1778"/>
      <c r="F818" s="1756"/>
      <c r="G818" s="1049"/>
      <c r="H818" s="306"/>
      <c r="I818" s="307"/>
      <c r="J818" s="1046"/>
      <c r="K818" s="306"/>
      <c r="L818" s="307"/>
      <c r="M818" s="1047"/>
      <c r="N818" s="306"/>
      <c r="O818" s="307"/>
      <c r="P818" s="1047"/>
      <c r="Q818" s="306"/>
      <c r="R818" s="307"/>
      <c r="S818" s="1387"/>
      <c r="T818" s="314"/>
      <c r="U818" s="314"/>
      <c r="V818" s="314"/>
      <c r="W818" s="314"/>
    </row>
    <row r="819" spans="1:23" s="316" customFormat="1" ht="16.5" customHeight="1">
      <c r="A819" s="1401" t="s">
        <v>1352</v>
      </c>
      <c r="B819" s="1401" t="s">
        <v>1851</v>
      </c>
      <c r="C819" s="1444" t="s">
        <v>52</v>
      </c>
      <c r="D819" s="1723">
        <v>3</v>
      </c>
      <c r="E819" s="1739">
        <v>6689.27</v>
      </c>
      <c r="F819" s="1756">
        <f t="shared" si="257"/>
        <v>20067.810000000001</v>
      </c>
      <c r="G819" s="1049">
        <v>0</v>
      </c>
      <c r="H819" s="306">
        <f t="shared" ref="H819:H820" si="328">ROUND($E819*G819,2)</f>
        <v>0</v>
      </c>
      <c r="I819" s="307">
        <f t="shared" ref="I819:I820" si="329">+H819/$F819</f>
        <v>0</v>
      </c>
      <c r="J819" s="1046"/>
      <c r="K819" s="306">
        <f t="shared" ref="K819:K820" si="330">J819*E819</f>
        <v>0</v>
      </c>
      <c r="L819" s="307">
        <f t="shared" ref="L819:L820" si="331">+K819/$F819</f>
        <v>0</v>
      </c>
      <c r="M819" s="1047">
        <f t="shared" ref="M819:M820" si="332">+G819+J819</f>
        <v>0</v>
      </c>
      <c r="N819" s="306">
        <f t="shared" ref="N819:N820" si="333">ROUND(+M819*E819,2)</f>
        <v>0</v>
      </c>
      <c r="O819" s="307">
        <f t="shared" ref="O819:O820" si="334">+N819/$F819</f>
        <v>0</v>
      </c>
      <c r="P819" s="1047">
        <f t="shared" ref="P819:P820" si="335">D819-M819</f>
        <v>3</v>
      </c>
      <c r="Q819" s="306">
        <f t="shared" ref="Q819:Q820" si="336">F819-N819</f>
        <v>20067.810000000001</v>
      </c>
      <c r="R819" s="307">
        <f t="shared" ref="R819:R820" si="337">+Q819/$F819</f>
        <v>1</v>
      </c>
      <c r="S819" s="1387"/>
      <c r="T819" s="314"/>
      <c r="U819" s="314"/>
      <c r="V819" s="314"/>
      <c r="W819" s="314"/>
    </row>
    <row r="820" spans="1:23" s="316" customFormat="1" ht="16.5" customHeight="1">
      <c r="A820" s="1401" t="s">
        <v>1353</v>
      </c>
      <c r="B820" s="1401" t="s">
        <v>1852</v>
      </c>
      <c r="C820" s="1444" t="s">
        <v>52</v>
      </c>
      <c r="D820" s="1723">
        <v>1</v>
      </c>
      <c r="E820" s="1739">
        <v>803.37</v>
      </c>
      <c r="F820" s="1756">
        <f t="shared" si="257"/>
        <v>803.37</v>
      </c>
      <c r="G820" s="1049">
        <v>0</v>
      </c>
      <c r="H820" s="306">
        <f t="shared" si="328"/>
        <v>0</v>
      </c>
      <c r="I820" s="307">
        <f t="shared" si="329"/>
        <v>0</v>
      </c>
      <c r="J820" s="1046"/>
      <c r="K820" s="306">
        <f t="shared" si="330"/>
        <v>0</v>
      </c>
      <c r="L820" s="307">
        <f t="shared" si="331"/>
        <v>0</v>
      </c>
      <c r="M820" s="1047">
        <f t="shared" si="332"/>
        <v>0</v>
      </c>
      <c r="N820" s="306">
        <f t="shared" si="333"/>
        <v>0</v>
      </c>
      <c r="O820" s="307">
        <f t="shared" si="334"/>
        <v>0</v>
      </c>
      <c r="P820" s="1047">
        <f t="shared" si="335"/>
        <v>1</v>
      </c>
      <c r="Q820" s="306">
        <f t="shared" si="336"/>
        <v>803.37</v>
      </c>
      <c r="R820" s="307">
        <f t="shared" si="337"/>
        <v>1</v>
      </c>
      <c r="S820" s="1387"/>
      <c r="T820" s="314"/>
      <c r="U820" s="314"/>
      <c r="V820" s="314"/>
      <c r="W820" s="314"/>
    </row>
    <row r="821" spans="1:23" s="316" customFormat="1" ht="16.5" customHeight="1">
      <c r="A821" s="1742">
        <v>4.4000000000000004</v>
      </c>
      <c r="B821" s="1743" t="s">
        <v>1854</v>
      </c>
      <c r="C821" s="1444"/>
      <c r="D821" s="1723"/>
      <c r="E821" s="1739"/>
      <c r="F821" s="1756"/>
      <c r="G821" s="1049"/>
      <c r="H821" s="306"/>
      <c r="I821" s="307"/>
      <c r="J821" s="1046"/>
      <c r="K821" s="306"/>
      <c r="L821" s="307"/>
      <c r="M821" s="1047"/>
      <c r="N821" s="306"/>
      <c r="O821" s="307"/>
      <c r="P821" s="1047"/>
      <c r="Q821" s="306"/>
      <c r="R821" s="307"/>
      <c r="S821" s="1387"/>
      <c r="T821" s="314"/>
      <c r="U821" s="314"/>
      <c r="V821" s="314"/>
      <c r="W821" s="314"/>
    </row>
    <row r="822" spans="1:23" s="316" customFormat="1" ht="16.5" customHeight="1">
      <c r="A822" s="1401" t="s">
        <v>1362</v>
      </c>
      <c r="B822" s="1401" t="s">
        <v>1862</v>
      </c>
      <c r="C822" s="1444" t="s">
        <v>52</v>
      </c>
      <c r="D822" s="1723">
        <v>4</v>
      </c>
      <c r="E822" s="1739">
        <v>130.38999999999999</v>
      </c>
      <c r="F822" s="1756">
        <f t="shared" si="257"/>
        <v>521.55999999999995</v>
      </c>
      <c r="G822" s="1049">
        <v>0</v>
      </c>
      <c r="H822" s="306">
        <f t="shared" ref="H822:H825" si="338">ROUND($E822*G822,2)</f>
        <v>0</v>
      </c>
      <c r="I822" s="307">
        <f t="shared" ref="I822:I825" si="339">+H822/$F822</f>
        <v>0</v>
      </c>
      <c r="J822" s="1046"/>
      <c r="K822" s="306">
        <f t="shared" ref="K822:K825" si="340">J822*E822</f>
        <v>0</v>
      </c>
      <c r="L822" s="307">
        <f t="shared" ref="L822:L825" si="341">+K822/$F822</f>
        <v>0</v>
      </c>
      <c r="M822" s="1047">
        <f t="shared" ref="M822:M825" si="342">+G822+J822</f>
        <v>0</v>
      </c>
      <c r="N822" s="306">
        <f t="shared" ref="N822:N825" si="343">ROUND(+M822*E822,2)</f>
        <v>0</v>
      </c>
      <c r="O822" s="307">
        <f t="shared" ref="O822:O825" si="344">+N822/$F822</f>
        <v>0</v>
      </c>
      <c r="P822" s="1047">
        <f t="shared" ref="P822:P825" si="345">D822-M822</f>
        <v>4</v>
      </c>
      <c r="Q822" s="306">
        <f t="shared" ref="Q822:Q825" si="346">F822-N822</f>
        <v>521.55999999999995</v>
      </c>
      <c r="R822" s="307">
        <f t="shared" ref="R822:R825" si="347">+Q822/$F822</f>
        <v>1</v>
      </c>
      <c r="S822" s="1387"/>
      <c r="T822" s="314"/>
      <c r="U822" s="314"/>
      <c r="V822" s="314"/>
      <c r="W822" s="314"/>
    </row>
    <row r="823" spans="1:23" s="316" customFormat="1" ht="16.5" customHeight="1">
      <c r="A823" s="1401" t="s">
        <v>1357</v>
      </c>
      <c r="B823" s="1401" t="s">
        <v>1857</v>
      </c>
      <c r="C823" s="1444" t="s">
        <v>51</v>
      </c>
      <c r="D823" s="1723">
        <v>126.3</v>
      </c>
      <c r="E823" s="1739">
        <v>110.48</v>
      </c>
      <c r="F823" s="1756">
        <f t="shared" si="257"/>
        <v>13953.624</v>
      </c>
      <c r="G823" s="1049">
        <v>0</v>
      </c>
      <c r="H823" s="306">
        <f t="shared" si="338"/>
        <v>0</v>
      </c>
      <c r="I823" s="307">
        <f t="shared" si="339"/>
        <v>0</v>
      </c>
      <c r="J823" s="1046"/>
      <c r="K823" s="306">
        <f t="shared" si="340"/>
        <v>0</v>
      </c>
      <c r="L823" s="307">
        <f t="shared" si="341"/>
        <v>0</v>
      </c>
      <c r="M823" s="1047">
        <f t="shared" si="342"/>
        <v>0</v>
      </c>
      <c r="N823" s="306">
        <f t="shared" si="343"/>
        <v>0</v>
      </c>
      <c r="O823" s="307">
        <f t="shared" si="344"/>
        <v>0</v>
      </c>
      <c r="P823" s="1047">
        <f t="shared" si="345"/>
        <v>126.3</v>
      </c>
      <c r="Q823" s="306">
        <f t="shared" si="346"/>
        <v>13953.624</v>
      </c>
      <c r="R823" s="307">
        <f t="shared" si="347"/>
        <v>1</v>
      </c>
      <c r="S823" s="1387"/>
      <c r="T823" s="314"/>
      <c r="U823" s="314"/>
      <c r="V823" s="314"/>
      <c r="W823" s="314"/>
    </row>
    <row r="824" spans="1:23" s="316" customFormat="1" ht="16.5" customHeight="1">
      <c r="A824" s="1401" t="s">
        <v>1368</v>
      </c>
      <c r="B824" s="1401" t="s">
        <v>1868</v>
      </c>
      <c r="C824" s="1444" t="s">
        <v>52</v>
      </c>
      <c r="D824" s="1723">
        <v>6</v>
      </c>
      <c r="E824" s="1739">
        <v>101.87</v>
      </c>
      <c r="F824" s="1756">
        <f t="shared" si="257"/>
        <v>611.22</v>
      </c>
      <c r="G824" s="1049">
        <v>0</v>
      </c>
      <c r="H824" s="306">
        <f t="shared" si="338"/>
        <v>0</v>
      </c>
      <c r="I824" s="307">
        <f t="shared" si="339"/>
        <v>0</v>
      </c>
      <c r="J824" s="1046"/>
      <c r="K824" s="306">
        <f t="shared" si="340"/>
        <v>0</v>
      </c>
      <c r="L824" s="307">
        <f t="shared" si="341"/>
        <v>0</v>
      </c>
      <c r="M824" s="1047">
        <f t="shared" si="342"/>
        <v>0</v>
      </c>
      <c r="N824" s="306">
        <f t="shared" si="343"/>
        <v>0</v>
      </c>
      <c r="O824" s="307">
        <f t="shared" si="344"/>
        <v>0</v>
      </c>
      <c r="P824" s="1047">
        <f t="shared" si="345"/>
        <v>6</v>
      </c>
      <c r="Q824" s="306">
        <f t="shared" si="346"/>
        <v>611.22</v>
      </c>
      <c r="R824" s="307">
        <f t="shared" si="347"/>
        <v>1</v>
      </c>
      <c r="S824" s="1387"/>
      <c r="T824" s="314"/>
      <c r="U824" s="314"/>
      <c r="V824" s="314"/>
      <c r="W824" s="314"/>
    </row>
    <row r="825" spans="1:23" s="316" customFormat="1" ht="16.5" customHeight="1">
      <c r="A825" s="1401" t="s">
        <v>1374</v>
      </c>
      <c r="B825" s="1401" t="s">
        <v>1874</v>
      </c>
      <c r="C825" s="1444" t="s">
        <v>52</v>
      </c>
      <c r="D825" s="1723">
        <v>20</v>
      </c>
      <c r="E825" s="1739">
        <v>1774.46</v>
      </c>
      <c r="F825" s="1756">
        <f t="shared" si="257"/>
        <v>35489.199999999997</v>
      </c>
      <c r="G825" s="1049">
        <v>0</v>
      </c>
      <c r="H825" s="306">
        <f t="shared" si="338"/>
        <v>0</v>
      </c>
      <c r="I825" s="307">
        <f t="shared" si="339"/>
        <v>0</v>
      </c>
      <c r="J825" s="1046"/>
      <c r="K825" s="306">
        <f t="shared" si="340"/>
        <v>0</v>
      </c>
      <c r="L825" s="307">
        <f t="shared" si="341"/>
        <v>0</v>
      </c>
      <c r="M825" s="1047">
        <f t="shared" si="342"/>
        <v>0</v>
      </c>
      <c r="N825" s="306">
        <f t="shared" si="343"/>
        <v>0</v>
      </c>
      <c r="O825" s="307">
        <f t="shared" si="344"/>
        <v>0</v>
      </c>
      <c r="P825" s="1047">
        <f t="shared" si="345"/>
        <v>20</v>
      </c>
      <c r="Q825" s="306">
        <f t="shared" si="346"/>
        <v>35489.199999999997</v>
      </c>
      <c r="R825" s="307">
        <f t="shared" si="347"/>
        <v>1</v>
      </c>
      <c r="S825" s="1387"/>
      <c r="T825" s="314"/>
      <c r="U825" s="314"/>
      <c r="V825" s="314"/>
      <c r="W825" s="314"/>
    </row>
    <row r="826" spans="1:23" s="316" customFormat="1" ht="16.5" customHeight="1">
      <c r="A826" s="1401" t="s">
        <v>1378</v>
      </c>
      <c r="B826" s="1403" t="s">
        <v>1878</v>
      </c>
      <c r="C826" s="1444"/>
      <c r="D826" s="1723"/>
      <c r="E826" s="1739"/>
      <c r="F826" s="1756"/>
      <c r="G826" s="1049"/>
      <c r="H826" s="306"/>
      <c r="I826" s="307"/>
      <c r="J826" s="1046"/>
      <c r="K826" s="306"/>
      <c r="L826" s="307"/>
      <c r="M826" s="1047"/>
      <c r="N826" s="306"/>
      <c r="O826" s="307"/>
      <c r="P826" s="1047"/>
      <c r="Q826" s="306"/>
      <c r="R826" s="307"/>
      <c r="S826" s="1387"/>
      <c r="T826" s="314"/>
      <c r="U826" s="314"/>
      <c r="V826" s="314"/>
      <c r="W826" s="314"/>
    </row>
    <row r="827" spans="1:23" s="316" customFormat="1" ht="16.5" customHeight="1">
      <c r="A827" s="1401" t="s">
        <v>1379</v>
      </c>
      <c r="B827" s="1401" t="s">
        <v>1879</v>
      </c>
      <c r="C827" s="1444" t="s">
        <v>52</v>
      </c>
      <c r="D827" s="1723">
        <v>1</v>
      </c>
      <c r="E827" s="1739">
        <v>41800</v>
      </c>
      <c r="F827" s="1756">
        <f t="shared" si="257"/>
        <v>41800</v>
      </c>
      <c r="G827" s="1049">
        <v>0</v>
      </c>
      <c r="H827" s="306">
        <f t="shared" ref="H827:H828" si="348">ROUND($E827*G827,2)</f>
        <v>0</v>
      </c>
      <c r="I827" s="307">
        <f t="shared" ref="I827:I828" si="349">+H827/$F827</f>
        <v>0</v>
      </c>
      <c r="J827" s="1046"/>
      <c r="K827" s="306">
        <f t="shared" ref="K827:K828" si="350">J827*E827</f>
        <v>0</v>
      </c>
      <c r="L827" s="307">
        <f t="shared" ref="L827:L828" si="351">+K827/$F827</f>
        <v>0</v>
      </c>
      <c r="M827" s="1047">
        <f t="shared" ref="M827:M828" si="352">+G827+J827</f>
        <v>0</v>
      </c>
      <c r="N827" s="306">
        <f t="shared" ref="N827:N828" si="353">ROUND(+M827*E827,2)</f>
        <v>0</v>
      </c>
      <c r="O827" s="307">
        <f t="shared" ref="O827:O828" si="354">+N827/$F827</f>
        <v>0</v>
      </c>
      <c r="P827" s="1047">
        <f t="shared" ref="P827:P828" si="355">D827-M827</f>
        <v>1</v>
      </c>
      <c r="Q827" s="306">
        <f t="shared" ref="Q827:Q828" si="356">F827-N827</f>
        <v>41800</v>
      </c>
      <c r="R827" s="307">
        <f t="shared" ref="R827:R828" si="357">+Q827/$F827</f>
        <v>1</v>
      </c>
      <c r="S827" s="1387"/>
      <c r="T827" s="314"/>
      <c r="U827" s="314"/>
      <c r="V827" s="314"/>
      <c r="W827" s="314"/>
    </row>
    <row r="828" spans="1:23" s="316" customFormat="1" ht="16.5" customHeight="1">
      <c r="A828" s="1401" t="s">
        <v>1380</v>
      </c>
      <c r="B828" s="1401" t="s">
        <v>1880</v>
      </c>
      <c r="C828" s="1444" t="s">
        <v>52</v>
      </c>
      <c r="D828" s="1723">
        <v>1</v>
      </c>
      <c r="E828" s="1739">
        <v>5750</v>
      </c>
      <c r="F828" s="1756">
        <f t="shared" si="257"/>
        <v>5750</v>
      </c>
      <c r="G828" s="1049">
        <v>0</v>
      </c>
      <c r="H828" s="306">
        <f t="shared" si="348"/>
        <v>0</v>
      </c>
      <c r="I828" s="307">
        <f t="shared" si="349"/>
        <v>0</v>
      </c>
      <c r="J828" s="1046"/>
      <c r="K828" s="306">
        <f t="shared" si="350"/>
        <v>0</v>
      </c>
      <c r="L828" s="307">
        <f t="shared" si="351"/>
        <v>0</v>
      </c>
      <c r="M828" s="1047">
        <f t="shared" si="352"/>
        <v>0</v>
      </c>
      <c r="N828" s="306">
        <f t="shared" si="353"/>
        <v>0</v>
      </c>
      <c r="O828" s="307">
        <f t="shared" si="354"/>
        <v>0</v>
      </c>
      <c r="P828" s="1047">
        <f t="shared" si="355"/>
        <v>1</v>
      </c>
      <c r="Q828" s="306">
        <f t="shared" si="356"/>
        <v>5750</v>
      </c>
      <c r="R828" s="307">
        <f t="shared" si="357"/>
        <v>1</v>
      </c>
      <c r="S828" s="1387"/>
      <c r="T828" s="314"/>
      <c r="U828" s="314"/>
      <c r="V828" s="314"/>
      <c r="W828" s="314"/>
    </row>
    <row r="829" spans="1:23" s="316" customFormat="1" ht="16.5" customHeight="1">
      <c r="A829" s="1401" t="s">
        <v>1375</v>
      </c>
      <c r="B829" s="1403" t="s">
        <v>1875</v>
      </c>
      <c r="C829" s="1444"/>
      <c r="D829" s="1723"/>
      <c r="E829" s="1739"/>
      <c r="F829" s="1756"/>
      <c r="G829" s="1049"/>
      <c r="H829" s="306"/>
      <c r="I829" s="307"/>
      <c r="J829" s="1046"/>
      <c r="K829" s="306"/>
      <c r="L829" s="307"/>
      <c r="M829" s="1047"/>
      <c r="N829" s="306"/>
      <c r="O829" s="307"/>
      <c r="P829" s="1047"/>
      <c r="Q829" s="306"/>
      <c r="R829" s="307"/>
      <c r="S829" s="1387"/>
      <c r="T829" s="314"/>
      <c r="U829" s="314"/>
      <c r="V829" s="314"/>
      <c r="W829" s="314"/>
    </row>
    <row r="830" spans="1:23" s="316" customFormat="1" ht="16.5" customHeight="1">
      <c r="A830" s="1401" t="s">
        <v>1376</v>
      </c>
      <c r="B830" s="1401" t="s">
        <v>1876</v>
      </c>
      <c r="C830" s="1444" t="s">
        <v>52</v>
      </c>
      <c r="D830" s="1723">
        <v>1</v>
      </c>
      <c r="E830" s="1739">
        <v>109.34</v>
      </c>
      <c r="F830" s="1756">
        <f t="shared" si="257"/>
        <v>109.34</v>
      </c>
      <c r="G830" s="1049">
        <v>0</v>
      </c>
      <c r="H830" s="306">
        <f t="shared" ref="H830:H831" si="358">ROUND($E830*G830,2)</f>
        <v>0</v>
      </c>
      <c r="I830" s="307">
        <f t="shared" ref="I830:I831" si="359">+H830/$F830</f>
        <v>0</v>
      </c>
      <c r="J830" s="1046"/>
      <c r="K830" s="306">
        <f t="shared" ref="K830:K831" si="360">J830*E830</f>
        <v>0</v>
      </c>
      <c r="L830" s="307">
        <f t="shared" ref="L830:L831" si="361">+K830/$F830</f>
        <v>0</v>
      </c>
      <c r="M830" s="1047">
        <f t="shared" ref="M830:M831" si="362">+G830+J830</f>
        <v>0</v>
      </c>
      <c r="N830" s="306">
        <f t="shared" ref="N830:N831" si="363">ROUND(+M830*E830,2)</f>
        <v>0</v>
      </c>
      <c r="O830" s="307">
        <f t="shared" ref="O830:O831" si="364">+N830/$F830</f>
        <v>0</v>
      </c>
      <c r="P830" s="1047">
        <f t="shared" ref="P830:P831" si="365">D830-M830</f>
        <v>1</v>
      </c>
      <c r="Q830" s="306">
        <f t="shared" ref="Q830:Q831" si="366">F830-N830</f>
        <v>109.34</v>
      </c>
      <c r="R830" s="307">
        <f t="shared" ref="R830:R831" si="367">+Q830/$F830</f>
        <v>1</v>
      </c>
      <c r="S830" s="1387"/>
      <c r="T830" s="314"/>
      <c r="U830" s="314"/>
      <c r="V830" s="314"/>
      <c r="W830" s="314"/>
    </row>
    <row r="831" spans="1:23" s="316" customFormat="1" ht="16.5" customHeight="1">
      <c r="A831" s="1401" t="s">
        <v>1377</v>
      </c>
      <c r="B831" s="1401" t="s">
        <v>1877</v>
      </c>
      <c r="C831" s="1444" t="s">
        <v>52</v>
      </c>
      <c r="D831" s="1723">
        <v>20</v>
      </c>
      <c r="E831" s="1739">
        <v>261.55</v>
      </c>
      <c r="F831" s="1756">
        <f t="shared" si="257"/>
        <v>5231</v>
      </c>
      <c r="G831" s="1049">
        <v>0</v>
      </c>
      <c r="H831" s="306">
        <f t="shared" si="358"/>
        <v>0</v>
      </c>
      <c r="I831" s="307">
        <f t="shared" si="359"/>
        <v>0</v>
      </c>
      <c r="J831" s="1046"/>
      <c r="K831" s="306">
        <f t="shared" si="360"/>
        <v>0</v>
      </c>
      <c r="L831" s="307">
        <f t="shared" si="361"/>
        <v>0</v>
      </c>
      <c r="M831" s="1047">
        <f t="shared" si="362"/>
        <v>0</v>
      </c>
      <c r="N831" s="306">
        <f t="shared" si="363"/>
        <v>0</v>
      </c>
      <c r="O831" s="307">
        <f t="shared" si="364"/>
        <v>0</v>
      </c>
      <c r="P831" s="1047">
        <f t="shared" si="365"/>
        <v>20</v>
      </c>
      <c r="Q831" s="306">
        <f t="shared" si="366"/>
        <v>5231</v>
      </c>
      <c r="R831" s="307">
        <f t="shared" si="367"/>
        <v>1</v>
      </c>
      <c r="S831" s="1387"/>
      <c r="T831" s="314"/>
      <c r="U831" s="314"/>
      <c r="V831" s="314"/>
      <c r="W831" s="314"/>
    </row>
    <row r="832" spans="1:23" s="316" customFormat="1" ht="16.5" customHeight="1">
      <c r="A832" s="1706">
        <v>5</v>
      </c>
      <c r="B832" s="1707" t="s">
        <v>1885</v>
      </c>
      <c r="C832" s="1768"/>
      <c r="D832" s="1769"/>
      <c r="E832" s="1769"/>
      <c r="F832" s="1756"/>
      <c r="G832" s="1049"/>
      <c r="H832" s="306"/>
      <c r="I832" s="307"/>
      <c r="J832" s="1046"/>
      <c r="K832" s="306"/>
      <c r="L832" s="307"/>
      <c r="M832" s="1047"/>
      <c r="N832" s="306"/>
      <c r="O832" s="307"/>
      <c r="P832" s="1047"/>
      <c r="Q832" s="306"/>
      <c r="R832" s="307"/>
      <c r="S832" s="1387"/>
      <c r="T832" s="314"/>
      <c r="U832" s="314"/>
      <c r="V832" s="314"/>
      <c r="W832" s="314"/>
    </row>
    <row r="833" spans="1:23" s="316" customFormat="1" ht="16.5" customHeight="1">
      <c r="A833" s="1101">
        <v>5.0999999999999996</v>
      </c>
      <c r="B833" s="1102" t="s">
        <v>1886</v>
      </c>
      <c r="C833" s="1768"/>
      <c r="D833" s="1769"/>
      <c r="E833" s="1769"/>
      <c r="F833" s="1756"/>
      <c r="G833" s="1049"/>
      <c r="H833" s="306"/>
      <c r="I833" s="307"/>
      <c r="J833" s="1046"/>
      <c r="K833" s="306"/>
      <c r="L833" s="307"/>
      <c r="M833" s="1047"/>
      <c r="N833" s="306"/>
      <c r="O833" s="307"/>
      <c r="P833" s="1047"/>
      <c r="Q833" s="306"/>
      <c r="R833" s="307"/>
      <c r="S833" s="1387"/>
      <c r="T833" s="314"/>
      <c r="U833" s="314"/>
      <c r="V833" s="314"/>
      <c r="W833" s="314"/>
    </row>
    <row r="834" spans="1:23" s="316" customFormat="1" ht="16.5" customHeight="1">
      <c r="A834" s="1101" t="s">
        <v>1386</v>
      </c>
      <c r="B834" s="1101" t="s">
        <v>1889</v>
      </c>
      <c r="C834" s="1104" t="s">
        <v>2148</v>
      </c>
      <c r="D834" s="1723">
        <v>3</v>
      </c>
      <c r="E834" s="1135">
        <v>18.38</v>
      </c>
      <c r="F834" s="1756">
        <f t="shared" si="257"/>
        <v>55.14</v>
      </c>
      <c r="G834" s="1049">
        <v>0</v>
      </c>
      <c r="H834" s="306">
        <f t="shared" ref="H834:H835" si="368">ROUND($E834*G834,2)</f>
        <v>0</v>
      </c>
      <c r="I834" s="307">
        <f t="shared" ref="I834:I835" si="369">+H834/$F834</f>
        <v>0</v>
      </c>
      <c r="J834" s="1046"/>
      <c r="K834" s="306">
        <f t="shared" ref="K834:K835" si="370">J834*E834</f>
        <v>0</v>
      </c>
      <c r="L834" s="307">
        <f t="shared" ref="L834:L835" si="371">+K834/$F834</f>
        <v>0</v>
      </c>
      <c r="M834" s="1047">
        <f t="shared" ref="M834:M835" si="372">+G834+J834</f>
        <v>0</v>
      </c>
      <c r="N834" s="306">
        <f t="shared" ref="N834:N835" si="373">ROUND(+M834*E834,2)</f>
        <v>0</v>
      </c>
      <c r="O834" s="307">
        <f t="shared" ref="O834:O835" si="374">+N834/$F834</f>
        <v>0</v>
      </c>
      <c r="P834" s="1047">
        <f t="shared" ref="P834:P835" si="375">D834-M834</f>
        <v>3</v>
      </c>
      <c r="Q834" s="306">
        <f t="shared" ref="Q834:Q835" si="376">F834-N834</f>
        <v>55.14</v>
      </c>
      <c r="R834" s="307">
        <f t="shared" ref="R834:R835" si="377">+Q834/$F834</f>
        <v>1</v>
      </c>
      <c r="S834" s="1387"/>
      <c r="T834" s="314"/>
      <c r="U834" s="314"/>
      <c r="V834" s="314"/>
      <c r="W834" s="314"/>
    </row>
    <row r="835" spans="1:23" s="316" customFormat="1" ht="16.5" customHeight="1">
      <c r="A835" s="1101" t="s">
        <v>1387</v>
      </c>
      <c r="B835" s="1101" t="s">
        <v>1890</v>
      </c>
      <c r="C835" s="1104" t="s">
        <v>2148</v>
      </c>
      <c r="D835" s="1723">
        <v>10.5</v>
      </c>
      <c r="E835" s="1135">
        <v>18.38</v>
      </c>
      <c r="F835" s="1756">
        <f t="shared" si="257"/>
        <v>192.98999999999998</v>
      </c>
      <c r="G835" s="1049">
        <v>0</v>
      </c>
      <c r="H835" s="306">
        <f t="shared" si="368"/>
        <v>0</v>
      </c>
      <c r="I835" s="307">
        <f t="shared" si="369"/>
        <v>0</v>
      </c>
      <c r="J835" s="1046"/>
      <c r="K835" s="306">
        <f t="shared" si="370"/>
        <v>0</v>
      </c>
      <c r="L835" s="307">
        <f t="shared" si="371"/>
        <v>0</v>
      </c>
      <c r="M835" s="1047">
        <f t="shared" si="372"/>
        <v>0</v>
      </c>
      <c r="N835" s="306">
        <f t="shared" si="373"/>
        <v>0</v>
      </c>
      <c r="O835" s="307">
        <f t="shared" si="374"/>
        <v>0</v>
      </c>
      <c r="P835" s="1047">
        <f t="shared" si="375"/>
        <v>10.5</v>
      </c>
      <c r="Q835" s="306">
        <f t="shared" si="376"/>
        <v>192.98999999999998</v>
      </c>
      <c r="R835" s="307">
        <f t="shared" si="377"/>
        <v>1</v>
      </c>
      <c r="S835" s="1387"/>
      <c r="T835" s="1510"/>
      <c r="U835" s="314"/>
      <c r="V835" s="314"/>
      <c r="W835" s="314"/>
    </row>
    <row r="836" spans="1:23">
      <c r="A836" s="1101">
        <v>5.2</v>
      </c>
      <c r="B836" s="1102" t="s">
        <v>1891</v>
      </c>
      <c r="C836" s="1108"/>
      <c r="D836" s="1723"/>
      <c r="E836" s="1139"/>
      <c r="F836" s="1756"/>
      <c r="G836" s="1049"/>
      <c r="H836" s="306"/>
      <c r="I836" s="307"/>
      <c r="J836" s="1046"/>
      <c r="K836" s="306"/>
      <c r="L836" s="307"/>
      <c r="M836" s="1047"/>
      <c r="N836" s="306"/>
      <c r="O836" s="307"/>
      <c r="P836" s="1047"/>
      <c r="Q836" s="306"/>
      <c r="R836" s="307"/>
    </row>
    <row r="837" spans="1:23" s="316" customFormat="1" ht="16.5" customHeight="1">
      <c r="A837" s="1101" t="s">
        <v>1389</v>
      </c>
      <c r="B837" s="1101" t="s">
        <v>1892</v>
      </c>
      <c r="C837" s="1104" t="s">
        <v>52</v>
      </c>
      <c r="D837" s="1723">
        <v>5</v>
      </c>
      <c r="E837" s="1135">
        <v>305.47000000000003</v>
      </c>
      <c r="F837" s="1756">
        <f t="shared" si="257"/>
        <v>1527.3500000000001</v>
      </c>
      <c r="G837" s="1049">
        <v>0</v>
      </c>
      <c r="H837" s="306">
        <f t="shared" ref="H837:H838" si="378">ROUND($E837*G837,2)</f>
        <v>0</v>
      </c>
      <c r="I837" s="307">
        <f t="shared" ref="I837:I838" si="379">+H837/$F837</f>
        <v>0</v>
      </c>
      <c r="J837" s="1046"/>
      <c r="K837" s="306">
        <f t="shared" ref="K837:K838" si="380">J837*E837</f>
        <v>0</v>
      </c>
      <c r="L837" s="307">
        <f t="shared" ref="L837:L838" si="381">+K837/$F837</f>
        <v>0</v>
      </c>
      <c r="M837" s="1047">
        <f t="shared" ref="M837:M838" si="382">+G837+J837</f>
        <v>0</v>
      </c>
      <c r="N837" s="306">
        <f t="shared" ref="N837:N838" si="383">ROUND(+M837*E837,2)</f>
        <v>0</v>
      </c>
      <c r="O837" s="307">
        <f t="shared" ref="O837:O838" si="384">+N837/$F837</f>
        <v>0</v>
      </c>
      <c r="P837" s="1047">
        <f t="shared" ref="P837:P838" si="385">D837-M837</f>
        <v>5</v>
      </c>
      <c r="Q837" s="306">
        <f t="shared" ref="Q837:Q838" si="386">F837-N837</f>
        <v>1527.3500000000001</v>
      </c>
      <c r="R837" s="307">
        <f t="shared" ref="R837:R838" si="387">+Q837/$F837</f>
        <v>1</v>
      </c>
      <c r="S837" s="1387"/>
      <c r="T837" s="314"/>
      <c r="U837" s="314"/>
      <c r="V837" s="314"/>
      <c r="W837" s="314"/>
    </row>
    <row r="838" spans="1:23" s="316" customFormat="1" ht="16.5" customHeight="1">
      <c r="A838" s="1101" t="s">
        <v>1390</v>
      </c>
      <c r="B838" s="1101" t="s">
        <v>1893</v>
      </c>
      <c r="C838" s="1104" t="s">
        <v>52</v>
      </c>
      <c r="D838" s="1723">
        <v>5</v>
      </c>
      <c r="E838" s="1135">
        <v>99.23</v>
      </c>
      <c r="F838" s="1756">
        <f t="shared" si="257"/>
        <v>496.15000000000003</v>
      </c>
      <c r="G838" s="1049">
        <v>0</v>
      </c>
      <c r="H838" s="306">
        <f t="shared" si="378"/>
        <v>0</v>
      </c>
      <c r="I838" s="307">
        <f t="shared" si="379"/>
        <v>0</v>
      </c>
      <c r="J838" s="1046"/>
      <c r="K838" s="306">
        <f t="shared" si="380"/>
        <v>0</v>
      </c>
      <c r="L838" s="307">
        <f t="shared" si="381"/>
        <v>0</v>
      </c>
      <c r="M838" s="1047">
        <f t="shared" si="382"/>
        <v>0</v>
      </c>
      <c r="N838" s="306">
        <f t="shared" si="383"/>
        <v>0</v>
      </c>
      <c r="O838" s="307">
        <f t="shared" si="384"/>
        <v>0</v>
      </c>
      <c r="P838" s="1047">
        <f t="shared" si="385"/>
        <v>5</v>
      </c>
      <c r="Q838" s="306">
        <f t="shared" si="386"/>
        <v>496.15000000000003</v>
      </c>
      <c r="R838" s="307">
        <f t="shared" si="387"/>
        <v>1</v>
      </c>
      <c r="S838" s="1387"/>
      <c r="T838" s="314"/>
      <c r="U838" s="314"/>
      <c r="V838" s="314"/>
      <c r="W838" s="314"/>
    </row>
    <row r="839" spans="1:23" s="316" customFormat="1" ht="16.5" customHeight="1">
      <c r="A839" s="1401">
        <v>5.3</v>
      </c>
      <c r="B839" s="1446" t="s">
        <v>1894</v>
      </c>
      <c r="C839" s="1447"/>
      <c r="D839" s="1723"/>
      <c r="E839" s="1779"/>
      <c r="F839" s="1756"/>
      <c r="G839" s="1049"/>
      <c r="H839" s="306"/>
      <c r="I839" s="307"/>
      <c r="J839" s="1046"/>
      <c r="K839" s="306"/>
      <c r="L839" s="307"/>
      <c r="M839" s="1047"/>
      <c r="N839" s="306"/>
      <c r="O839" s="307"/>
      <c r="P839" s="1047"/>
      <c r="Q839" s="306"/>
      <c r="R839" s="307"/>
      <c r="S839" s="1387"/>
      <c r="T839" s="314"/>
      <c r="U839" s="314"/>
      <c r="V839" s="314"/>
      <c r="W839" s="314"/>
    </row>
    <row r="840" spans="1:23" s="316" customFormat="1" ht="16.5" customHeight="1">
      <c r="A840" s="1401" t="s">
        <v>1391</v>
      </c>
      <c r="B840" s="1401" t="s">
        <v>1895</v>
      </c>
      <c r="C840" s="1444" t="s">
        <v>52</v>
      </c>
      <c r="D840" s="1723">
        <v>13</v>
      </c>
      <c r="E840" s="1739">
        <v>782.78</v>
      </c>
      <c r="F840" s="1756">
        <f t="shared" si="257"/>
        <v>10176.14</v>
      </c>
      <c r="G840" s="1049">
        <v>0</v>
      </c>
      <c r="H840" s="306">
        <f t="shared" ref="H840:H841" si="388">ROUND($E840*G840,2)</f>
        <v>0</v>
      </c>
      <c r="I840" s="307">
        <f t="shared" ref="I840:I841" si="389">+H840/$F840</f>
        <v>0</v>
      </c>
      <c r="J840" s="1046"/>
      <c r="K840" s="306">
        <f t="shared" ref="K840:K841" si="390">J840*E840</f>
        <v>0</v>
      </c>
      <c r="L840" s="307">
        <f t="shared" ref="L840:L841" si="391">+K840/$F840</f>
        <v>0</v>
      </c>
      <c r="M840" s="1047">
        <f t="shared" ref="M840:M841" si="392">+G840+J840</f>
        <v>0</v>
      </c>
      <c r="N840" s="306">
        <f t="shared" ref="N840:N841" si="393">ROUND(+M840*E840,2)</f>
        <v>0</v>
      </c>
      <c r="O840" s="307">
        <f t="shared" ref="O840:O841" si="394">+N840/$F840</f>
        <v>0</v>
      </c>
      <c r="P840" s="1047">
        <f t="shared" ref="P840:P841" si="395">D840-M840</f>
        <v>13</v>
      </c>
      <c r="Q840" s="306">
        <f t="shared" ref="Q840:Q841" si="396">F840-N840</f>
        <v>10176.14</v>
      </c>
      <c r="R840" s="307">
        <f t="shared" ref="R840:R841" si="397">+Q840/$F840</f>
        <v>1</v>
      </c>
      <c r="S840" s="1387"/>
      <c r="T840" s="314"/>
      <c r="U840" s="314"/>
      <c r="V840" s="314"/>
      <c r="W840" s="314"/>
    </row>
    <row r="841" spans="1:23" s="316" customFormat="1" ht="16.5" customHeight="1">
      <c r="A841" s="1101" t="s">
        <v>1392</v>
      </c>
      <c r="B841" s="1101" t="s">
        <v>1896</v>
      </c>
      <c r="C841" s="1104" t="s">
        <v>52</v>
      </c>
      <c r="D841" s="1723">
        <v>13</v>
      </c>
      <c r="E841" s="1135">
        <v>99.23</v>
      </c>
      <c r="F841" s="1756">
        <f t="shared" si="257"/>
        <v>1289.99</v>
      </c>
      <c r="G841" s="1049">
        <v>0</v>
      </c>
      <c r="H841" s="306">
        <f t="shared" si="388"/>
        <v>0</v>
      </c>
      <c r="I841" s="307">
        <f t="shared" si="389"/>
        <v>0</v>
      </c>
      <c r="J841" s="1046"/>
      <c r="K841" s="306">
        <f t="shared" si="390"/>
        <v>0</v>
      </c>
      <c r="L841" s="307">
        <f t="shared" si="391"/>
        <v>0</v>
      </c>
      <c r="M841" s="1047">
        <f t="shared" si="392"/>
        <v>0</v>
      </c>
      <c r="N841" s="306">
        <f t="shared" si="393"/>
        <v>0</v>
      </c>
      <c r="O841" s="307">
        <f t="shared" si="394"/>
        <v>0</v>
      </c>
      <c r="P841" s="1047">
        <f t="shared" si="395"/>
        <v>13</v>
      </c>
      <c r="Q841" s="306">
        <f t="shared" si="396"/>
        <v>1289.99</v>
      </c>
      <c r="R841" s="307">
        <f t="shared" si="397"/>
        <v>1</v>
      </c>
      <c r="S841" s="1387"/>
      <c r="T841" s="314"/>
      <c r="U841" s="314"/>
      <c r="V841" s="314"/>
      <c r="W841" s="314"/>
    </row>
    <row r="842" spans="1:23" s="316" customFormat="1" ht="16.5" customHeight="1">
      <c r="A842" s="1401">
        <v>5.4</v>
      </c>
      <c r="B842" s="1446" t="s">
        <v>1897</v>
      </c>
      <c r="C842" s="1776"/>
      <c r="D842" s="1777"/>
      <c r="E842" s="1777"/>
      <c r="F842" s="1756"/>
      <c r="G842" s="1049"/>
      <c r="H842" s="306"/>
      <c r="I842" s="307"/>
      <c r="J842" s="1046"/>
      <c r="K842" s="306"/>
      <c r="L842" s="307"/>
      <c r="M842" s="1047"/>
      <c r="N842" s="306"/>
      <c r="O842" s="307"/>
      <c r="P842" s="1047"/>
      <c r="Q842" s="306"/>
      <c r="R842" s="307"/>
      <c r="S842" s="1387"/>
      <c r="T842" s="314"/>
      <c r="U842" s="314"/>
      <c r="V842" s="314"/>
      <c r="W842" s="314"/>
    </row>
    <row r="843" spans="1:23" s="316" customFormat="1" ht="16.5" customHeight="1">
      <c r="A843" s="1321" t="s">
        <v>1434</v>
      </c>
      <c r="B843" s="1477" t="s">
        <v>1939</v>
      </c>
      <c r="C843" s="1320"/>
      <c r="D843" s="1303"/>
      <c r="E843" s="1496"/>
      <c r="F843" s="1756"/>
      <c r="G843" s="1049"/>
      <c r="H843" s="306"/>
      <c r="I843" s="307"/>
      <c r="J843" s="1046"/>
      <c r="K843" s="306"/>
      <c r="L843" s="307"/>
      <c r="M843" s="1047"/>
      <c r="N843" s="306"/>
      <c r="O843" s="307"/>
      <c r="P843" s="1047"/>
      <c r="Q843" s="306"/>
      <c r="R843" s="307"/>
      <c r="S843" s="1387"/>
      <c r="T843" s="314"/>
      <c r="U843" s="314"/>
      <c r="V843" s="314"/>
      <c r="W843" s="314"/>
    </row>
    <row r="844" spans="1:23" s="316" customFormat="1" ht="16.5" customHeight="1">
      <c r="A844" s="1309"/>
      <c r="B844" s="1351" t="s">
        <v>1944</v>
      </c>
      <c r="C844" s="1312" t="s">
        <v>51</v>
      </c>
      <c r="D844" s="1723">
        <v>50</v>
      </c>
      <c r="E844" s="1496">
        <v>28.59</v>
      </c>
      <c r="F844" s="1756">
        <f t="shared" si="257"/>
        <v>1429.5</v>
      </c>
      <c r="G844" s="1049">
        <v>0</v>
      </c>
      <c r="H844" s="306">
        <f t="shared" ref="H844:H848" si="398">ROUND($E844*G844,2)</f>
        <v>0</v>
      </c>
      <c r="I844" s="307">
        <f t="shared" ref="I844:I848" si="399">+H844/$F844</f>
        <v>0</v>
      </c>
      <c r="J844" s="1046"/>
      <c r="K844" s="306">
        <f t="shared" ref="K844:K848" si="400">J844*E844</f>
        <v>0</v>
      </c>
      <c r="L844" s="307">
        <f t="shared" ref="L844:L848" si="401">+K844/$F844</f>
        <v>0</v>
      </c>
      <c r="M844" s="1047">
        <f t="shared" ref="M844:M848" si="402">+G844+J844</f>
        <v>0</v>
      </c>
      <c r="N844" s="306">
        <f t="shared" ref="N844:N848" si="403">ROUND(+M844*E844,2)</f>
        <v>0</v>
      </c>
      <c r="O844" s="307">
        <f t="shared" ref="O844:O848" si="404">+N844/$F844</f>
        <v>0</v>
      </c>
      <c r="P844" s="1047">
        <f t="shared" ref="P844:P848" si="405">D844-M844</f>
        <v>50</v>
      </c>
      <c r="Q844" s="306">
        <f t="shared" ref="Q844:Q848" si="406">F844-N844</f>
        <v>1429.5</v>
      </c>
      <c r="R844" s="307">
        <f t="shared" ref="R844:R848" si="407">+Q844/$F844</f>
        <v>1</v>
      </c>
      <c r="S844" s="1387"/>
      <c r="T844" s="314"/>
      <c r="U844" s="314"/>
      <c r="V844" s="314"/>
      <c r="W844" s="314"/>
    </row>
    <row r="845" spans="1:23" s="316" customFormat="1" ht="16.5" customHeight="1">
      <c r="A845" s="1309"/>
      <c r="B845" s="1351" t="s">
        <v>2411</v>
      </c>
      <c r="C845" s="1312" t="s">
        <v>51</v>
      </c>
      <c r="D845" s="1723">
        <v>60</v>
      </c>
      <c r="E845" s="1497">
        <v>20.77</v>
      </c>
      <c r="F845" s="1756">
        <f t="shared" si="257"/>
        <v>1246.2</v>
      </c>
      <c r="G845" s="1049">
        <v>0</v>
      </c>
      <c r="H845" s="306">
        <f t="shared" si="398"/>
        <v>0</v>
      </c>
      <c r="I845" s="307">
        <f t="shared" si="399"/>
        <v>0</v>
      </c>
      <c r="J845" s="1046"/>
      <c r="K845" s="306">
        <f t="shared" si="400"/>
        <v>0</v>
      </c>
      <c r="L845" s="307">
        <f t="shared" si="401"/>
        <v>0</v>
      </c>
      <c r="M845" s="1047">
        <f t="shared" si="402"/>
        <v>0</v>
      </c>
      <c r="N845" s="306">
        <f t="shared" si="403"/>
        <v>0</v>
      </c>
      <c r="O845" s="307">
        <f t="shared" si="404"/>
        <v>0</v>
      </c>
      <c r="P845" s="1047">
        <f t="shared" si="405"/>
        <v>60</v>
      </c>
      <c r="Q845" s="306">
        <f t="shared" si="406"/>
        <v>1246.2</v>
      </c>
      <c r="R845" s="307">
        <f t="shared" si="407"/>
        <v>1</v>
      </c>
      <c r="S845" s="1387"/>
      <c r="T845" s="314"/>
      <c r="U845" s="314"/>
      <c r="V845" s="314"/>
      <c r="W845" s="314"/>
    </row>
    <row r="846" spans="1:23" s="316" customFormat="1" ht="16.5" customHeight="1">
      <c r="A846" s="1309"/>
      <c r="B846" s="1351" t="s">
        <v>2412</v>
      </c>
      <c r="C846" s="1312" t="s">
        <v>51</v>
      </c>
      <c r="D846" s="1723">
        <v>50</v>
      </c>
      <c r="E846" s="1497">
        <v>7.81</v>
      </c>
      <c r="F846" s="1756">
        <f t="shared" si="257"/>
        <v>390.5</v>
      </c>
      <c r="G846" s="1049">
        <v>0</v>
      </c>
      <c r="H846" s="306">
        <f t="shared" si="398"/>
        <v>0</v>
      </c>
      <c r="I846" s="307">
        <f t="shared" si="399"/>
        <v>0</v>
      </c>
      <c r="J846" s="1046"/>
      <c r="K846" s="306">
        <f t="shared" si="400"/>
        <v>0</v>
      </c>
      <c r="L846" s="307">
        <f t="shared" si="401"/>
        <v>0</v>
      </c>
      <c r="M846" s="1047">
        <f t="shared" si="402"/>
        <v>0</v>
      </c>
      <c r="N846" s="306">
        <f t="shared" si="403"/>
        <v>0</v>
      </c>
      <c r="O846" s="307">
        <f t="shared" si="404"/>
        <v>0</v>
      </c>
      <c r="P846" s="1047">
        <f t="shared" si="405"/>
        <v>50</v>
      </c>
      <c r="Q846" s="306">
        <f t="shared" si="406"/>
        <v>390.5</v>
      </c>
      <c r="R846" s="307">
        <f t="shared" si="407"/>
        <v>1</v>
      </c>
      <c r="S846" s="1387"/>
      <c r="T846" s="314"/>
      <c r="U846" s="314"/>
      <c r="V846" s="314"/>
      <c r="W846" s="314"/>
    </row>
    <row r="847" spans="1:23" s="316" customFormat="1" ht="16.5" customHeight="1">
      <c r="A847" s="1309"/>
      <c r="B847" s="1351" t="s">
        <v>2413</v>
      </c>
      <c r="C847" s="1312" t="s">
        <v>51</v>
      </c>
      <c r="D847" s="1723">
        <v>100</v>
      </c>
      <c r="E847" s="1497">
        <v>3.73</v>
      </c>
      <c r="F847" s="1756">
        <f t="shared" si="257"/>
        <v>373</v>
      </c>
      <c r="G847" s="1049">
        <v>0</v>
      </c>
      <c r="H847" s="306">
        <f t="shared" si="398"/>
        <v>0</v>
      </c>
      <c r="I847" s="307">
        <f t="shared" si="399"/>
        <v>0</v>
      </c>
      <c r="J847" s="1046"/>
      <c r="K847" s="306">
        <f t="shared" si="400"/>
        <v>0</v>
      </c>
      <c r="L847" s="307">
        <f t="shared" si="401"/>
        <v>0</v>
      </c>
      <c r="M847" s="1047">
        <f t="shared" si="402"/>
        <v>0</v>
      </c>
      <c r="N847" s="306">
        <f t="shared" si="403"/>
        <v>0</v>
      </c>
      <c r="O847" s="307">
        <f t="shared" si="404"/>
        <v>0</v>
      </c>
      <c r="P847" s="1047">
        <f t="shared" si="405"/>
        <v>100</v>
      </c>
      <c r="Q847" s="306">
        <f t="shared" si="406"/>
        <v>373</v>
      </c>
      <c r="R847" s="307">
        <f t="shared" si="407"/>
        <v>1</v>
      </c>
      <c r="S847" s="1387"/>
      <c r="T847" s="314"/>
      <c r="U847" s="314"/>
      <c r="V847" s="314"/>
      <c r="W847" s="314"/>
    </row>
    <row r="848" spans="1:23" s="316" customFormat="1" ht="16.5" customHeight="1">
      <c r="A848" s="1309"/>
      <c r="B848" s="1351" t="s">
        <v>2414</v>
      </c>
      <c r="C848" s="1312" t="s">
        <v>51</v>
      </c>
      <c r="D848" s="1723">
        <v>500</v>
      </c>
      <c r="E848" s="1497">
        <v>3.98</v>
      </c>
      <c r="F848" s="1756">
        <f t="shared" si="257"/>
        <v>1990</v>
      </c>
      <c r="G848" s="1049">
        <v>0</v>
      </c>
      <c r="H848" s="306">
        <f t="shared" si="398"/>
        <v>0</v>
      </c>
      <c r="I848" s="307">
        <f t="shared" si="399"/>
        <v>0</v>
      </c>
      <c r="J848" s="1046"/>
      <c r="K848" s="306">
        <f t="shared" si="400"/>
        <v>0</v>
      </c>
      <c r="L848" s="307">
        <f t="shared" si="401"/>
        <v>0</v>
      </c>
      <c r="M848" s="1047">
        <f t="shared" si="402"/>
        <v>0</v>
      </c>
      <c r="N848" s="306">
        <f t="shared" si="403"/>
        <v>0</v>
      </c>
      <c r="O848" s="307">
        <f t="shared" si="404"/>
        <v>0</v>
      </c>
      <c r="P848" s="1047">
        <f t="shared" si="405"/>
        <v>500</v>
      </c>
      <c r="Q848" s="306">
        <f t="shared" si="406"/>
        <v>1990</v>
      </c>
      <c r="R848" s="307">
        <f t="shared" si="407"/>
        <v>1</v>
      </c>
      <c r="S848" s="1387"/>
      <c r="T848" s="314"/>
      <c r="U848" s="314"/>
      <c r="V848" s="314"/>
      <c r="W848" s="314"/>
    </row>
    <row r="849" spans="1:23" s="316" customFormat="1" ht="16.5" customHeight="1">
      <c r="A849" s="1447" t="s">
        <v>1393</v>
      </c>
      <c r="B849" s="1403" t="s">
        <v>1898</v>
      </c>
      <c r="C849" s="1776"/>
      <c r="D849" s="1777"/>
      <c r="E849" s="1777"/>
      <c r="F849" s="1756"/>
      <c r="G849" s="1049"/>
      <c r="H849" s="306"/>
      <c r="I849" s="307"/>
      <c r="J849" s="1046"/>
      <c r="K849" s="306"/>
      <c r="L849" s="307"/>
      <c r="M849" s="1047"/>
      <c r="N849" s="306"/>
      <c r="O849" s="307"/>
      <c r="P849" s="1047"/>
      <c r="Q849" s="306"/>
      <c r="R849" s="307"/>
      <c r="S849" s="1387"/>
      <c r="T849" s="314"/>
      <c r="U849" s="314"/>
      <c r="V849" s="314"/>
      <c r="W849" s="314"/>
    </row>
    <row r="850" spans="1:23" s="316" customFormat="1" ht="16.5" customHeight="1">
      <c r="A850" s="1101" t="s">
        <v>1394</v>
      </c>
      <c r="B850" s="1101" t="s">
        <v>1899</v>
      </c>
      <c r="C850" s="1104" t="s">
        <v>52</v>
      </c>
      <c r="D850" s="1723">
        <v>1</v>
      </c>
      <c r="E850" s="1135">
        <v>1402.62</v>
      </c>
      <c r="F850" s="1756">
        <f t="shared" si="257"/>
        <v>1402.62</v>
      </c>
      <c r="G850" s="1049">
        <v>0</v>
      </c>
      <c r="H850" s="306">
        <f t="shared" ref="H850:H860" si="408">ROUND($E850*G850,2)</f>
        <v>0</v>
      </c>
      <c r="I850" s="307">
        <f t="shared" ref="I850:I860" si="409">+H850/$F850</f>
        <v>0</v>
      </c>
      <c r="J850" s="1046"/>
      <c r="K850" s="306">
        <f t="shared" ref="K850:K860" si="410">J850*E850</f>
        <v>0</v>
      </c>
      <c r="L850" s="307">
        <f t="shared" ref="L850:L860" si="411">+K850/$F850</f>
        <v>0</v>
      </c>
      <c r="M850" s="1047">
        <f t="shared" ref="M850:M860" si="412">+G850+J850</f>
        <v>0</v>
      </c>
      <c r="N850" s="306">
        <f t="shared" ref="N850:N860" si="413">ROUND(+M850*E850,2)</f>
        <v>0</v>
      </c>
      <c r="O850" s="307">
        <f t="shared" ref="O850:O860" si="414">+N850/$F850</f>
        <v>0</v>
      </c>
      <c r="P850" s="1047">
        <f t="shared" ref="P850:P860" si="415">D850-M850</f>
        <v>1</v>
      </c>
      <c r="Q850" s="306">
        <f t="shared" ref="Q850:Q860" si="416">F850-N850</f>
        <v>1402.62</v>
      </c>
      <c r="R850" s="307">
        <f t="shared" ref="R850:R860" si="417">+Q850/$F850</f>
        <v>1</v>
      </c>
      <c r="S850" s="1387"/>
      <c r="T850" s="314"/>
      <c r="U850" s="314"/>
      <c r="V850" s="314"/>
      <c r="W850" s="314"/>
    </row>
    <row r="851" spans="1:23" s="316" customFormat="1" ht="16.5" customHeight="1">
      <c r="A851" s="1101" t="s">
        <v>1395</v>
      </c>
      <c r="B851" s="1101" t="s">
        <v>1900</v>
      </c>
      <c r="C851" s="1104" t="s">
        <v>52</v>
      </c>
      <c r="D851" s="1723">
        <v>1</v>
      </c>
      <c r="E851" s="1135">
        <v>640.88</v>
      </c>
      <c r="F851" s="1756">
        <f t="shared" si="257"/>
        <v>640.88</v>
      </c>
      <c r="G851" s="1049">
        <v>0</v>
      </c>
      <c r="H851" s="306">
        <f t="shared" si="408"/>
        <v>0</v>
      </c>
      <c r="I851" s="307">
        <f t="shared" si="409"/>
        <v>0</v>
      </c>
      <c r="J851" s="1049"/>
      <c r="K851" s="306">
        <f t="shared" si="410"/>
        <v>0</v>
      </c>
      <c r="L851" s="307">
        <f t="shared" si="411"/>
        <v>0</v>
      </c>
      <c r="M851" s="1049">
        <f t="shared" si="412"/>
        <v>0</v>
      </c>
      <c r="N851" s="306">
        <f t="shared" si="413"/>
        <v>0</v>
      </c>
      <c r="O851" s="307">
        <f t="shared" si="414"/>
        <v>0</v>
      </c>
      <c r="P851" s="1047">
        <f t="shared" si="415"/>
        <v>1</v>
      </c>
      <c r="Q851" s="306">
        <f t="shared" si="416"/>
        <v>640.88</v>
      </c>
      <c r="R851" s="307">
        <f t="shared" si="417"/>
        <v>1</v>
      </c>
      <c r="S851" s="1387"/>
      <c r="T851" s="314"/>
      <c r="U851" s="314"/>
      <c r="V851" s="314"/>
      <c r="W851" s="314"/>
    </row>
    <row r="852" spans="1:23" s="934" customFormat="1" ht="16.5" customHeight="1">
      <c r="A852" s="1860" t="s">
        <v>1396</v>
      </c>
      <c r="B852" s="1860" t="s">
        <v>1901</v>
      </c>
      <c r="C852" s="1861" t="s">
        <v>52</v>
      </c>
      <c r="D852" s="1862">
        <v>1</v>
      </c>
      <c r="E852" s="1863">
        <v>640.88</v>
      </c>
      <c r="F852" s="1864">
        <f t="shared" si="257"/>
        <v>640.88</v>
      </c>
      <c r="G852" s="1049">
        <v>0</v>
      </c>
      <c r="H852" s="1425">
        <f t="shared" si="408"/>
        <v>0</v>
      </c>
      <c r="I852" s="305">
        <f t="shared" si="409"/>
        <v>0</v>
      </c>
      <c r="J852" s="1049"/>
      <c r="K852" s="1425">
        <f t="shared" si="410"/>
        <v>0</v>
      </c>
      <c r="L852" s="305">
        <f t="shared" si="411"/>
        <v>0</v>
      </c>
      <c r="M852" s="1049">
        <f t="shared" si="412"/>
        <v>0</v>
      </c>
      <c r="N852" s="1425">
        <f t="shared" si="413"/>
        <v>0</v>
      </c>
      <c r="O852" s="305">
        <f t="shared" si="414"/>
        <v>0</v>
      </c>
      <c r="P852" s="1049">
        <f t="shared" si="415"/>
        <v>1</v>
      </c>
      <c r="Q852" s="1425">
        <f t="shared" si="416"/>
        <v>640.88</v>
      </c>
      <c r="R852" s="305">
        <f t="shared" si="417"/>
        <v>1</v>
      </c>
      <c r="S852" s="1865"/>
      <c r="T852" s="1426"/>
      <c r="U852" s="1426"/>
      <c r="V852" s="1426"/>
      <c r="W852" s="1426"/>
    </row>
    <row r="853" spans="1:23" s="934" customFormat="1" ht="16.5" customHeight="1">
      <c r="A853" s="1860" t="s">
        <v>1397</v>
      </c>
      <c r="B853" s="1860" t="s">
        <v>1902</v>
      </c>
      <c r="C853" s="1861" t="s">
        <v>52</v>
      </c>
      <c r="D853" s="1862">
        <v>1</v>
      </c>
      <c r="E853" s="1863">
        <v>640.88</v>
      </c>
      <c r="F853" s="1864">
        <f t="shared" si="257"/>
        <v>640.88</v>
      </c>
      <c r="G853" s="1049">
        <v>0</v>
      </c>
      <c r="H853" s="1425">
        <f t="shared" si="408"/>
        <v>0</v>
      </c>
      <c r="I853" s="305">
        <f t="shared" si="409"/>
        <v>0</v>
      </c>
      <c r="J853" s="1049"/>
      <c r="K853" s="1425">
        <f t="shared" si="410"/>
        <v>0</v>
      </c>
      <c r="L853" s="305">
        <f t="shared" si="411"/>
        <v>0</v>
      </c>
      <c r="M853" s="1049">
        <f t="shared" si="412"/>
        <v>0</v>
      </c>
      <c r="N853" s="1425">
        <f t="shared" si="413"/>
        <v>0</v>
      </c>
      <c r="O853" s="305">
        <f t="shared" si="414"/>
        <v>0</v>
      </c>
      <c r="P853" s="1049">
        <f t="shared" si="415"/>
        <v>1</v>
      </c>
      <c r="Q853" s="1425">
        <f t="shared" si="416"/>
        <v>640.88</v>
      </c>
      <c r="R853" s="305">
        <f t="shared" si="417"/>
        <v>1</v>
      </c>
      <c r="S853" s="1865"/>
      <c r="T853" s="1426"/>
      <c r="U853" s="1426"/>
      <c r="V853" s="1426"/>
      <c r="W853" s="1426"/>
    </row>
    <row r="854" spans="1:23" s="934" customFormat="1" ht="16.5" customHeight="1">
      <c r="A854" s="1116" t="s">
        <v>1412</v>
      </c>
      <c r="B854" s="1116" t="s">
        <v>1917</v>
      </c>
      <c r="C854" s="1866" t="s">
        <v>52</v>
      </c>
      <c r="D854" s="1862">
        <v>1</v>
      </c>
      <c r="E854" s="1867">
        <v>640.88</v>
      </c>
      <c r="F854" s="1864">
        <f t="shared" si="257"/>
        <v>640.88</v>
      </c>
      <c r="G854" s="1049">
        <v>0</v>
      </c>
      <c r="H854" s="1425">
        <f t="shared" si="408"/>
        <v>0</v>
      </c>
      <c r="I854" s="305">
        <f t="shared" si="409"/>
        <v>0</v>
      </c>
      <c r="J854" s="1049"/>
      <c r="K854" s="1425">
        <f t="shared" si="410"/>
        <v>0</v>
      </c>
      <c r="L854" s="305">
        <f t="shared" si="411"/>
        <v>0</v>
      </c>
      <c r="M854" s="1049">
        <f t="shared" si="412"/>
        <v>0</v>
      </c>
      <c r="N854" s="1425">
        <f t="shared" si="413"/>
        <v>0</v>
      </c>
      <c r="O854" s="305">
        <f t="shared" si="414"/>
        <v>0</v>
      </c>
      <c r="P854" s="1049">
        <f t="shared" si="415"/>
        <v>1</v>
      </c>
      <c r="Q854" s="1425">
        <f t="shared" si="416"/>
        <v>640.88</v>
      </c>
      <c r="R854" s="305">
        <f t="shared" si="417"/>
        <v>1</v>
      </c>
      <c r="S854" s="1865"/>
      <c r="T854" s="1426"/>
      <c r="U854" s="1426"/>
      <c r="V854" s="1426"/>
      <c r="W854" s="1426"/>
    </row>
    <row r="855" spans="1:23" s="934" customFormat="1" ht="16.5" customHeight="1">
      <c r="A855" s="1116" t="s">
        <v>1413</v>
      </c>
      <c r="B855" s="1116" t="s">
        <v>1918</v>
      </c>
      <c r="C855" s="1866" t="s">
        <v>52</v>
      </c>
      <c r="D855" s="1862">
        <v>1</v>
      </c>
      <c r="E855" s="1867">
        <v>640.88</v>
      </c>
      <c r="F855" s="1864">
        <f t="shared" si="257"/>
        <v>640.88</v>
      </c>
      <c r="G855" s="1049">
        <v>0</v>
      </c>
      <c r="H855" s="1425">
        <f t="shared" si="408"/>
        <v>0</v>
      </c>
      <c r="I855" s="305">
        <f t="shared" si="409"/>
        <v>0</v>
      </c>
      <c r="J855" s="1049"/>
      <c r="K855" s="1425">
        <f t="shared" si="410"/>
        <v>0</v>
      </c>
      <c r="L855" s="305">
        <f t="shared" si="411"/>
        <v>0</v>
      </c>
      <c r="M855" s="1049">
        <f t="shared" si="412"/>
        <v>0</v>
      </c>
      <c r="N855" s="1425">
        <f t="shared" si="413"/>
        <v>0</v>
      </c>
      <c r="O855" s="305">
        <f t="shared" si="414"/>
        <v>0</v>
      </c>
      <c r="P855" s="1049">
        <f t="shared" si="415"/>
        <v>1</v>
      </c>
      <c r="Q855" s="1425">
        <f t="shared" si="416"/>
        <v>640.88</v>
      </c>
      <c r="R855" s="305">
        <f t="shared" si="417"/>
        <v>1</v>
      </c>
      <c r="S855" s="1865"/>
      <c r="T855" s="1426"/>
      <c r="U855" s="1426"/>
      <c r="V855" s="1426"/>
      <c r="W855" s="1426"/>
    </row>
    <row r="856" spans="1:23" s="934" customFormat="1" ht="16.5" customHeight="1">
      <c r="A856" s="1116" t="s">
        <v>1414</v>
      </c>
      <c r="B856" s="1116" t="s">
        <v>1919</v>
      </c>
      <c r="C856" s="1866" t="s">
        <v>52</v>
      </c>
      <c r="D856" s="1862">
        <v>1</v>
      </c>
      <c r="E856" s="1867">
        <v>640.88</v>
      </c>
      <c r="F856" s="1864">
        <f t="shared" si="257"/>
        <v>640.88</v>
      </c>
      <c r="G856" s="1049">
        <v>0</v>
      </c>
      <c r="H856" s="1425">
        <f t="shared" si="408"/>
        <v>0</v>
      </c>
      <c r="I856" s="305">
        <f t="shared" si="409"/>
        <v>0</v>
      </c>
      <c r="J856" s="1049"/>
      <c r="K856" s="1425">
        <f t="shared" si="410"/>
        <v>0</v>
      </c>
      <c r="L856" s="305">
        <f t="shared" si="411"/>
        <v>0</v>
      </c>
      <c r="M856" s="1049">
        <f t="shared" si="412"/>
        <v>0</v>
      </c>
      <c r="N856" s="1425">
        <f t="shared" si="413"/>
        <v>0</v>
      </c>
      <c r="O856" s="305">
        <f t="shared" si="414"/>
        <v>0</v>
      </c>
      <c r="P856" s="1049">
        <f t="shared" si="415"/>
        <v>1</v>
      </c>
      <c r="Q856" s="1425">
        <f t="shared" si="416"/>
        <v>640.88</v>
      </c>
      <c r="R856" s="305">
        <f t="shared" si="417"/>
        <v>1</v>
      </c>
      <c r="S856" s="1865"/>
      <c r="T856" s="1426"/>
      <c r="U856" s="1426"/>
      <c r="V856" s="1426"/>
      <c r="W856" s="1426"/>
    </row>
    <row r="857" spans="1:23" s="934" customFormat="1" ht="16.5" customHeight="1">
      <c r="A857" s="1116" t="s">
        <v>1415</v>
      </c>
      <c r="B857" s="1116" t="s">
        <v>1920</v>
      </c>
      <c r="C857" s="1866" t="s">
        <v>52</v>
      </c>
      <c r="D857" s="1862">
        <v>1</v>
      </c>
      <c r="E857" s="1867">
        <v>640.88</v>
      </c>
      <c r="F857" s="1864">
        <f t="shared" si="257"/>
        <v>640.88</v>
      </c>
      <c r="G857" s="1049">
        <v>0</v>
      </c>
      <c r="H857" s="1425">
        <f t="shared" si="408"/>
        <v>0</v>
      </c>
      <c r="I857" s="305">
        <f t="shared" si="409"/>
        <v>0</v>
      </c>
      <c r="J857" s="1049"/>
      <c r="K857" s="1425">
        <f t="shared" si="410"/>
        <v>0</v>
      </c>
      <c r="L857" s="305">
        <f t="shared" si="411"/>
        <v>0</v>
      </c>
      <c r="M857" s="1049">
        <f t="shared" si="412"/>
        <v>0</v>
      </c>
      <c r="N857" s="1425">
        <f t="shared" si="413"/>
        <v>0</v>
      </c>
      <c r="O857" s="305">
        <f t="shared" si="414"/>
        <v>0</v>
      </c>
      <c r="P857" s="1049">
        <f t="shared" si="415"/>
        <v>1</v>
      </c>
      <c r="Q857" s="1425">
        <f t="shared" si="416"/>
        <v>640.88</v>
      </c>
      <c r="R857" s="305">
        <f t="shared" si="417"/>
        <v>1</v>
      </c>
      <c r="S857" s="1865"/>
      <c r="T857" s="1868"/>
      <c r="U857" s="1426"/>
      <c r="V857" s="1426"/>
      <c r="W857" s="1426"/>
    </row>
    <row r="858" spans="1:23" s="1869" customFormat="1" ht="15">
      <c r="A858" s="1116" t="s">
        <v>1416</v>
      </c>
      <c r="B858" s="1116" t="s">
        <v>1921</v>
      </c>
      <c r="C858" s="1866" t="s">
        <v>52</v>
      </c>
      <c r="D858" s="1862">
        <v>1</v>
      </c>
      <c r="E858" s="1867">
        <v>640.88</v>
      </c>
      <c r="F858" s="1864">
        <f t="shared" si="257"/>
        <v>640.88</v>
      </c>
      <c r="G858" s="1049">
        <v>0</v>
      </c>
      <c r="H858" s="1425">
        <f t="shared" si="408"/>
        <v>0</v>
      </c>
      <c r="I858" s="305">
        <f t="shared" si="409"/>
        <v>0</v>
      </c>
      <c r="J858" s="1049"/>
      <c r="K858" s="1425">
        <f t="shared" si="410"/>
        <v>0</v>
      </c>
      <c r="L858" s="305">
        <f t="shared" si="411"/>
        <v>0</v>
      </c>
      <c r="M858" s="1049">
        <f t="shared" si="412"/>
        <v>0</v>
      </c>
      <c r="N858" s="1425">
        <f t="shared" si="413"/>
        <v>0</v>
      </c>
      <c r="O858" s="305">
        <f t="shared" si="414"/>
        <v>0</v>
      </c>
      <c r="P858" s="1049">
        <f t="shared" si="415"/>
        <v>1</v>
      </c>
      <c r="Q858" s="1425">
        <f t="shared" si="416"/>
        <v>640.88</v>
      </c>
      <c r="R858" s="305">
        <f t="shared" si="417"/>
        <v>1</v>
      </c>
    </row>
    <row r="859" spans="1:23" s="934" customFormat="1" ht="16.5" customHeight="1">
      <c r="A859" s="1116" t="s">
        <v>1417</v>
      </c>
      <c r="B859" s="1116" t="s">
        <v>1922</v>
      </c>
      <c r="C859" s="1866" t="s">
        <v>52</v>
      </c>
      <c r="D859" s="1862">
        <v>1</v>
      </c>
      <c r="E859" s="1867">
        <v>640.88</v>
      </c>
      <c r="F859" s="1864">
        <f t="shared" si="257"/>
        <v>640.88</v>
      </c>
      <c r="G859" s="1049">
        <v>0</v>
      </c>
      <c r="H859" s="1425">
        <f t="shared" si="408"/>
        <v>0</v>
      </c>
      <c r="I859" s="305">
        <f t="shared" si="409"/>
        <v>0</v>
      </c>
      <c r="J859" s="1049"/>
      <c r="K859" s="1425">
        <f t="shared" si="410"/>
        <v>0</v>
      </c>
      <c r="L859" s="305">
        <f t="shared" si="411"/>
        <v>0</v>
      </c>
      <c r="M859" s="1049">
        <f t="shared" si="412"/>
        <v>0</v>
      </c>
      <c r="N859" s="1425">
        <f t="shared" si="413"/>
        <v>0</v>
      </c>
      <c r="O859" s="305">
        <f t="shared" si="414"/>
        <v>0</v>
      </c>
      <c r="P859" s="1049">
        <f t="shared" si="415"/>
        <v>1</v>
      </c>
      <c r="Q859" s="1425">
        <f t="shared" si="416"/>
        <v>640.88</v>
      </c>
      <c r="R859" s="305">
        <f t="shared" si="417"/>
        <v>1</v>
      </c>
      <c r="S859" s="1865"/>
      <c r="T859" s="1426"/>
      <c r="U859" s="1426"/>
      <c r="V859" s="1426"/>
      <c r="W859" s="1426"/>
    </row>
    <row r="860" spans="1:23" s="934" customFormat="1" ht="16.5" customHeight="1">
      <c r="A860" s="1116" t="s">
        <v>1418</v>
      </c>
      <c r="B860" s="1116" t="s">
        <v>1923</v>
      </c>
      <c r="C860" s="1866" t="s">
        <v>52</v>
      </c>
      <c r="D860" s="1862">
        <v>1</v>
      </c>
      <c r="E860" s="1867">
        <v>640.88</v>
      </c>
      <c r="F860" s="1864">
        <f t="shared" si="257"/>
        <v>640.88</v>
      </c>
      <c r="G860" s="1049">
        <v>0</v>
      </c>
      <c r="H860" s="1425">
        <f t="shared" si="408"/>
        <v>0</v>
      </c>
      <c r="I860" s="305">
        <f t="shared" si="409"/>
        <v>0</v>
      </c>
      <c r="J860" s="1049"/>
      <c r="K860" s="1425">
        <f t="shared" si="410"/>
        <v>0</v>
      </c>
      <c r="L860" s="305">
        <f t="shared" si="411"/>
        <v>0</v>
      </c>
      <c r="M860" s="1049">
        <f t="shared" si="412"/>
        <v>0</v>
      </c>
      <c r="N860" s="1425">
        <f t="shared" si="413"/>
        <v>0</v>
      </c>
      <c r="O860" s="305">
        <f t="shared" si="414"/>
        <v>0</v>
      </c>
      <c r="P860" s="1049">
        <f t="shared" si="415"/>
        <v>1</v>
      </c>
      <c r="Q860" s="1425">
        <f t="shared" si="416"/>
        <v>640.88</v>
      </c>
      <c r="R860" s="305">
        <f t="shared" si="417"/>
        <v>1</v>
      </c>
      <c r="S860" s="1865"/>
      <c r="T860" s="1426"/>
      <c r="U860" s="1426"/>
      <c r="V860" s="1426"/>
      <c r="W860" s="1426"/>
    </row>
    <row r="861" spans="1:23" s="316" customFormat="1" ht="16.5" customHeight="1">
      <c r="A861" s="1108" t="s">
        <v>1419</v>
      </c>
      <c r="B861" s="1111" t="s">
        <v>1924</v>
      </c>
      <c r="C861" s="1103"/>
      <c r="D861" s="1723"/>
      <c r="E861" s="1780"/>
      <c r="F861" s="1756"/>
      <c r="G861" s="1049"/>
      <c r="H861" s="306"/>
      <c r="I861" s="307"/>
      <c r="J861" s="1049"/>
      <c r="K861" s="306"/>
      <c r="L861" s="307"/>
      <c r="M861" s="1049"/>
      <c r="N861" s="306"/>
      <c r="O861" s="307"/>
      <c r="P861" s="1049"/>
      <c r="Q861" s="306"/>
      <c r="R861" s="307"/>
      <c r="S861" s="1387"/>
      <c r="T861" s="314"/>
      <c r="U861" s="314"/>
      <c r="V861" s="314"/>
      <c r="W861" s="314"/>
    </row>
    <row r="862" spans="1:23" s="316" customFormat="1" ht="16.5" customHeight="1">
      <c r="A862" s="1101" t="s">
        <v>1420</v>
      </c>
      <c r="B862" s="1101" t="s">
        <v>1925</v>
      </c>
      <c r="C862" s="1104" t="s">
        <v>52</v>
      </c>
      <c r="D862" s="1723">
        <v>1</v>
      </c>
      <c r="E862" s="1135">
        <v>180.98</v>
      </c>
      <c r="F862" s="1756">
        <f t="shared" si="257"/>
        <v>180.98</v>
      </c>
      <c r="G862" s="1049">
        <v>0</v>
      </c>
      <c r="H862" s="306">
        <f t="shared" ref="H862:H866" si="418">ROUND($E862*G862,2)</f>
        <v>0</v>
      </c>
      <c r="I862" s="307">
        <f t="shared" ref="I862:I866" si="419">+H862/$F862</f>
        <v>0</v>
      </c>
      <c r="J862" s="1049"/>
      <c r="K862" s="306">
        <f t="shared" ref="K862:K866" si="420">J862*E862</f>
        <v>0</v>
      </c>
      <c r="L862" s="307">
        <f t="shared" ref="L862:L866" si="421">+K862/$F862</f>
        <v>0</v>
      </c>
      <c r="M862" s="1049">
        <f t="shared" ref="M862:M866" si="422">+G862+J862</f>
        <v>0</v>
      </c>
      <c r="N862" s="306">
        <f t="shared" ref="N862:N866" si="423">ROUND(+M862*E862,2)</f>
        <v>0</v>
      </c>
      <c r="O862" s="307">
        <f t="shared" ref="O862:O866" si="424">+N862/$F862</f>
        <v>0</v>
      </c>
      <c r="P862" s="1049">
        <f t="shared" ref="P862:P866" si="425">D862-M862</f>
        <v>1</v>
      </c>
      <c r="Q862" s="306">
        <f t="shared" ref="Q862:Q866" si="426">F862-N862</f>
        <v>180.98</v>
      </c>
      <c r="R862" s="307">
        <f t="shared" ref="R862:R866" si="427">+Q862/$F862</f>
        <v>1</v>
      </c>
      <c r="S862" s="1387"/>
      <c r="T862" s="314"/>
      <c r="U862" s="314"/>
      <c r="V862" s="314"/>
      <c r="W862" s="314"/>
    </row>
    <row r="863" spans="1:23" s="316" customFormat="1" ht="16.5" customHeight="1">
      <c r="A863" s="1101" t="s">
        <v>1421</v>
      </c>
      <c r="B863" s="1101" t="s">
        <v>1926</v>
      </c>
      <c r="C863" s="1104" t="s">
        <v>52</v>
      </c>
      <c r="D863" s="1723">
        <v>2</v>
      </c>
      <c r="E863" s="1135">
        <v>236.68</v>
      </c>
      <c r="F863" s="1756">
        <f t="shared" si="257"/>
        <v>473.36</v>
      </c>
      <c r="G863" s="1049">
        <v>0</v>
      </c>
      <c r="H863" s="306">
        <f t="shared" si="418"/>
        <v>0</v>
      </c>
      <c r="I863" s="307">
        <f t="shared" si="419"/>
        <v>0</v>
      </c>
      <c r="J863" s="1049"/>
      <c r="K863" s="306">
        <f t="shared" si="420"/>
        <v>0</v>
      </c>
      <c r="L863" s="307">
        <f t="shared" si="421"/>
        <v>0</v>
      </c>
      <c r="M863" s="1049">
        <f t="shared" si="422"/>
        <v>0</v>
      </c>
      <c r="N863" s="306">
        <f t="shared" si="423"/>
        <v>0</v>
      </c>
      <c r="O863" s="307">
        <f t="shared" si="424"/>
        <v>0</v>
      </c>
      <c r="P863" s="1049">
        <f t="shared" si="425"/>
        <v>2</v>
      </c>
      <c r="Q863" s="306">
        <f t="shared" si="426"/>
        <v>473.36</v>
      </c>
      <c r="R863" s="307">
        <f t="shared" si="427"/>
        <v>1</v>
      </c>
      <c r="S863" s="1387"/>
      <c r="T863" s="314"/>
      <c r="U863" s="314"/>
      <c r="V863" s="314"/>
      <c r="W863" s="314"/>
    </row>
    <row r="864" spans="1:23" s="316" customFormat="1" ht="16.5" customHeight="1">
      <c r="A864" s="1101" t="s">
        <v>1422</v>
      </c>
      <c r="B864" s="1101" t="s">
        <v>1927</v>
      </c>
      <c r="C864" s="1104" t="s">
        <v>52</v>
      </c>
      <c r="D864" s="1723">
        <v>2</v>
      </c>
      <c r="E864" s="1135">
        <v>86.68</v>
      </c>
      <c r="F864" s="1756">
        <f t="shared" si="257"/>
        <v>173.36</v>
      </c>
      <c r="G864" s="1049">
        <v>0</v>
      </c>
      <c r="H864" s="306">
        <f t="shared" si="418"/>
        <v>0</v>
      </c>
      <c r="I864" s="307">
        <f t="shared" si="419"/>
        <v>0</v>
      </c>
      <c r="J864" s="1046"/>
      <c r="K864" s="306">
        <f t="shared" si="420"/>
        <v>0</v>
      </c>
      <c r="L864" s="307">
        <f t="shared" si="421"/>
        <v>0</v>
      </c>
      <c r="M864" s="1047">
        <f t="shared" si="422"/>
        <v>0</v>
      </c>
      <c r="N864" s="306">
        <f t="shared" si="423"/>
        <v>0</v>
      </c>
      <c r="O864" s="307">
        <f t="shared" si="424"/>
        <v>0</v>
      </c>
      <c r="P864" s="1049">
        <f t="shared" si="425"/>
        <v>2</v>
      </c>
      <c r="Q864" s="306">
        <f t="shared" si="426"/>
        <v>173.36</v>
      </c>
      <c r="R864" s="307">
        <f t="shared" si="427"/>
        <v>1</v>
      </c>
      <c r="S864" s="1387"/>
      <c r="T864" s="314"/>
      <c r="U864" s="314"/>
      <c r="V864" s="314"/>
      <c r="W864" s="314"/>
    </row>
    <row r="865" spans="1:23" s="316" customFormat="1" ht="16.5" customHeight="1">
      <c r="A865" s="1101" t="s">
        <v>1423</v>
      </c>
      <c r="B865" s="1101" t="s">
        <v>1928</v>
      </c>
      <c r="C865" s="1104" t="s">
        <v>52</v>
      </c>
      <c r="D865" s="1723">
        <v>3</v>
      </c>
      <c r="E865" s="1135">
        <v>71.680000000000007</v>
      </c>
      <c r="F865" s="1756">
        <f t="shared" si="257"/>
        <v>215.04000000000002</v>
      </c>
      <c r="G865" s="1049">
        <v>0</v>
      </c>
      <c r="H865" s="306">
        <f t="shared" si="418"/>
        <v>0</v>
      </c>
      <c r="I865" s="307">
        <f t="shared" si="419"/>
        <v>0</v>
      </c>
      <c r="J865" s="1046"/>
      <c r="K865" s="306">
        <f t="shared" si="420"/>
        <v>0</v>
      </c>
      <c r="L865" s="307">
        <f t="shared" si="421"/>
        <v>0</v>
      </c>
      <c r="M865" s="1047">
        <f t="shared" si="422"/>
        <v>0</v>
      </c>
      <c r="N865" s="306">
        <f t="shared" si="423"/>
        <v>0</v>
      </c>
      <c r="O865" s="307">
        <f t="shared" si="424"/>
        <v>0</v>
      </c>
      <c r="P865" s="1047">
        <f t="shared" si="425"/>
        <v>3</v>
      </c>
      <c r="Q865" s="306">
        <f t="shared" si="426"/>
        <v>215.04000000000002</v>
      </c>
      <c r="R865" s="307">
        <f t="shared" si="427"/>
        <v>1</v>
      </c>
      <c r="S865" s="1387"/>
      <c r="T865" s="314"/>
      <c r="U865" s="314"/>
      <c r="V865" s="314"/>
      <c r="W865" s="314"/>
    </row>
    <row r="866" spans="1:23" s="316" customFormat="1" ht="16.5" customHeight="1">
      <c r="A866" s="1101" t="s">
        <v>1425</v>
      </c>
      <c r="B866" s="1116" t="s">
        <v>1930</v>
      </c>
      <c r="C866" s="1104" t="s">
        <v>52</v>
      </c>
      <c r="D866" s="1723">
        <v>24</v>
      </c>
      <c r="E866" s="1135">
        <v>41.68</v>
      </c>
      <c r="F866" s="1756">
        <f t="shared" si="257"/>
        <v>1000.3199999999999</v>
      </c>
      <c r="G866" s="1049">
        <v>0</v>
      </c>
      <c r="H866" s="306">
        <f t="shared" si="418"/>
        <v>0</v>
      </c>
      <c r="I866" s="307">
        <f t="shared" si="419"/>
        <v>0</v>
      </c>
      <c r="J866" s="1046"/>
      <c r="K866" s="306">
        <f t="shared" si="420"/>
        <v>0</v>
      </c>
      <c r="L866" s="307">
        <f t="shared" si="421"/>
        <v>0</v>
      </c>
      <c r="M866" s="1047">
        <f t="shared" si="422"/>
        <v>0</v>
      </c>
      <c r="N866" s="306">
        <f t="shared" si="423"/>
        <v>0</v>
      </c>
      <c r="O866" s="307">
        <f t="shared" si="424"/>
        <v>0</v>
      </c>
      <c r="P866" s="1047">
        <f t="shared" si="425"/>
        <v>24</v>
      </c>
      <c r="Q866" s="306">
        <f t="shared" si="426"/>
        <v>1000.3199999999999</v>
      </c>
      <c r="R866" s="307">
        <f t="shared" si="427"/>
        <v>1</v>
      </c>
      <c r="S866" s="1387"/>
      <c r="T866" s="314"/>
      <c r="U866" s="314"/>
      <c r="V866" s="314"/>
      <c r="W866" s="314"/>
    </row>
    <row r="867" spans="1:23" s="316" customFormat="1" ht="16.5" customHeight="1">
      <c r="A867" s="1108" t="s">
        <v>1429</v>
      </c>
      <c r="B867" s="1111" t="s">
        <v>1934</v>
      </c>
      <c r="C867" s="1104"/>
      <c r="D867" s="1723"/>
      <c r="E867" s="1135"/>
      <c r="F867" s="1756"/>
      <c r="G867" s="1049"/>
      <c r="H867" s="306"/>
      <c r="I867" s="307"/>
      <c r="J867" s="1046"/>
      <c r="K867" s="306"/>
      <c r="L867" s="307"/>
      <c r="M867" s="1047"/>
      <c r="N867" s="306"/>
      <c r="O867" s="307"/>
      <c r="P867" s="1047"/>
      <c r="Q867" s="306"/>
      <c r="R867" s="307"/>
      <c r="S867" s="1387"/>
      <c r="T867" s="314"/>
      <c r="U867" s="314"/>
      <c r="V867" s="314"/>
      <c r="W867" s="314"/>
    </row>
    <row r="868" spans="1:23" s="316" customFormat="1" ht="16.5" customHeight="1">
      <c r="A868" s="1101" t="s">
        <v>1430</v>
      </c>
      <c r="B868" s="1101" t="s">
        <v>1935</v>
      </c>
      <c r="C868" s="1104" t="s">
        <v>51</v>
      </c>
      <c r="D868" s="1723">
        <v>18</v>
      </c>
      <c r="E868" s="1135">
        <v>32.700000000000003</v>
      </c>
      <c r="F868" s="1756">
        <f t="shared" si="257"/>
        <v>588.6</v>
      </c>
      <c r="G868" s="1049">
        <v>0</v>
      </c>
      <c r="H868" s="306">
        <f t="shared" ref="H868:H871" si="428">ROUND($E868*G868,2)</f>
        <v>0</v>
      </c>
      <c r="I868" s="307">
        <f t="shared" ref="I868:I871" si="429">+H868/$F868</f>
        <v>0</v>
      </c>
      <c r="J868" s="1046"/>
      <c r="K868" s="306">
        <f t="shared" ref="K868:K871" si="430">J868*E868</f>
        <v>0</v>
      </c>
      <c r="L868" s="307">
        <f t="shared" ref="L868:L871" si="431">+K868/$F868</f>
        <v>0</v>
      </c>
      <c r="M868" s="1047">
        <f t="shared" ref="M868:M871" si="432">+G868+J868</f>
        <v>0</v>
      </c>
      <c r="N868" s="306">
        <f t="shared" ref="N868:N871" si="433">ROUND(+M868*E868,2)</f>
        <v>0</v>
      </c>
      <c r="O868" s="307">
        <f t="shared" ref="O868:O871" si="434">+N868/$F868</f>
        <v>0</v>
      </c>
      <c r="P868" s="1047">
        <f t="shared" ref="P868:P871" si="435">D868-M868</f>
        <v>18</v>
      </c>
      <c r="Q868" s="306">
        <f t="shared" ref="Q868:Q871" si="436">F868-N868</f>
        <v>588.6</v>
      </c>
      <c r="R868" s="307">
        <f t="shared" ref="R868:R871" si="437">+Q868/$F868</f>
        <v>1</v>
      </c>
      <c r="S868" s="1387"/>
      <c r="T868" s="314"/>
      <c r="U868" s="314"/>
      <c r="V868" s="314"/>
      <c r="W868" s="314"/>
    </row>
    <row r="869" spans="1:23" s="316" customFormat="1" ht="16.5" customHeight="1">
      <c r="A869" s="1101" t="s">
        <v>1431</v>
      </c>
      <c r="B869" s="1101" t="s">
        <v>1936</v>
      </c>
      <c r="C869" s="1104" t="s">
        <v>51</v>
      </c>
      <c r="D869" s="1723">
        <v>101</v>
      </c>
      <c r="E869" s="1135">
        <v>28.91</v>
      </c>
      <c r="F869" s="1756">
        <f t="shared" si="257"/>
        <v>2919.91</v>
      </c>
      <c r="G869" s="1049">
        <v>0</v>
      </c>
      <c r="H869" s="306">
        <f t="shared" si="428"/>
        <v>0</v>
      </c>
      <c r="I869" s="307">
        <f t="shared" si="429"/>
        <v>0</v>
      </c>
      <c r="J869" s="1046"/>
      <c r="K869" s="306">
        <f t="shared" si="430"/>
        <v>0</v>
      </c>
      <c r="L869" s="307">
        <f t="shared" si="431"/>
        <v>0</v>
      </c>
      <c r="M869" s="1047">
        <f t="shared" si="432"/>
        <v>0</v>
      </c>
      <c r="N869" s="306">
        <f t="shared" si="433"/>
        <v>0</v>
      </c>
      <c r="O869" s="307">
        <f t="shared" si="434"/>
        <v>0</v>
      </c>
      <c r="P869" s="1047">
        <f t="shared" si="435"/>
        <v>101</v>
      </c>
      <c r="Q869" s="306">
        <f t="shared" si="436"/>
        <v>2919.91</v>
      </c>
      <c r="R869" s="307">
        <f t="shared" si="437"/>
        <v>1</v>
      </c>
      <c r="S869" s="1387"/>
      <c r="T869" s="314"/>
      <c r="U869" s="314"/>
      <c r="V869" s="314"/>
      <c r="W869" s="314"/>
    </row>
    <row r="870" spans="1:23" s="316" customFormat="1" ht="16.5" customHeight="1">
      <c r="A870" s="1101" t="s">
        <v>1432</v>
      </c>
      <c r="B870" s="1101" t="s">
        <v>1937</v>
      </c>
      <c r="C870" s="1104" t="s">
        <v>51</v>
      </c>
      <c r="D870" s="1723">
        <v>280</v>
      </c>
      <c r="E870" s="1135">
        <v>20.84</v>
      </c>
      <c r="F870" s="1756">
        <f t="shared" si="257"/>
        <v>5835.2</v>
      </c>
      <c r="G870" s="1049">
        <v>0</v>
      </c>
      <c r="H870" s="306">
        <f t="shared" si="428"/>
        <v>0</v>
      </c>
      <c r="I870" s="307">
        <f t="shared" si="429"/>
        <v>0</v>
      </c>
      <c r="J870" s="1046"/>
      <c r="K870" s="306">
        <f t="shared" si="430"/>
        <v>0</v>
      </c>
      <c r="L870" s="307">
        <f t="shared" si="431"/>
        <v>0</v>
      </c>
      <c r="M870" s="1047">
        <f t="shared" si="432"/>
        <v>0</v>
      </c>
      <c r="N870" s="306">
        <f t="shared" si="433"/>
        <v>0</v>
      </c>
      <c r="O870" s="307">
        <f t="shared" si="434"/>
        <v>0</v>
      </c>
      <c r="P870" s="1047">
        <f t="shared" si="435"/>
        <v>280</v>
      </c>
      <c r="Q870" s="306">
        <f t="shared" si="436"/>
        <v>5835.2</v>
      </c>
      <c r="R870" s="307">
        <f t="shared" si="437"/>
        <v>1</v>
      </c>
      <c r="S870" s="1387"/>
      <c r="T870" s="314"/>
      <c r="U870" s="314"/>
      <c r="V870" s="314"/>
      <c r="W870" s="314"/>
    </row>
    <row r="871" spans="1:23" s="316" customFormat="1" ht="16.5" customHeight="1">
      <c r="A871" s="1101" t="s">
        <v>1433</v>
      </c>
      <c r="B871" s="1101" t="s">
        <v>1938</v>
      </c>
      <c r="C871" s="1104" t="s">
        <v>51</v>
      </c>
      <c r="D871" s="1723">
        <v>40</v>
      </c>
      <c r="E871" s="1135">
        <v>16.670000000000002</v>
      </c>
      <c r="F871" s="1756">
        <f t="shared" si="257"/>
        <v>666.80000000000007</v>
      </c>
      <c r="G871" s="1049">
        <v>0</v>
      </c>
      <c r="H871" s="306">
        <f t="shared" si="428"/>
        <v>0</v>
      </c>
      <c r="I871" s="307">
        <f t="shared" si="429"/>
        <v>0</v>
      </c>
      <c r="J871" s="1046"/>
      <c r="K871" s="306">
        <f t="shared" si="430"/>
        <v>0</v>
      </c>
      <c r="L871" s="307">
        <f t="shared" si="431"/>
        <v>0</v>
      </c>
      <c r="M871" s="1047">
        <f t="shared" si="432"/>
        <v>0</v>
      </c>
      <c r="N871" s="306">
        <f t="shared" si="433"/>
        <v>0</v>
      </c>
      <c r="O871" s="307">
        <f t="shared" si="434"/>
        <v>0</v>
      </c>
      <c r="P871" s="1047">
        <f t="shared" si="435"/>
        <v>40</v>
      </c>
      <c r="Q871" s="306">
        <f t="shared" si="436"/>
        <v>666.80000000000007</v>
      </c>
      <c r="R871" s="307">
        <f t="shared" si="437"/>
        <v>1</v>
      </c>
      <c r="S871" s="1387"/>
      <c r="T871" s="314"/>
      <c r="U871" s="314"/>
      <c r="V871" s="314"/>
      <c r="W871" s="314"/>
    </row>
    <row r="872" spans="1:23" s="934" customFormat="1" ht="16.5" customHeight="1">
      <c r="A872" s="1939">
        <v>5.6</v>
      </c>
      <c r="B872" s="1940" t="s">
        <v>1960</v>
      </c>
      <c r="C872" s="1941"/>
      <c r="D872" s="1942"/>
      <c r="E872" s="1942"/>
      <c r="F872" s="1864"/>
      <c r="G872" s="1049"/>
      <c r="H872" s="1425"/>
      <c r="I872" s="305"/>
      <c r="J872" s="1049"/>
      <c r="K872" s="1425"/>
      <c r="L872" s="305"/>
      <c r="M872" s="1049"/>
      <c r="N872" s="1425"/>
      <c r="O872" s="305"/>
      <c r="P872" s="1049"/>
      <c r="Q872" s="1425"/>
      <c r="R872" s="305"/>
      <c r="S872" s="1865"/>
      <c r="T872" s="1426"/>
      <c r="U872" s="1426"/>
      <c r="V872" s="1426"/>
      <c r="W872" s="1426"/>
    </row>
    <row r="873" spans="1:23" s="934" customFormat="1" ht="16.5" customHeight="1">
      <c r="A873" s="1943"/>
      <c r="B873" s="1316" t="s">
        <v>2422</v>
      </c>
      <c r="C873" s="1854" t="s">
        <v>52</v>
      </c>
      <c r="D873" s="1862">
        <v>80</v>
      </c>
      <c r="E873" s="1496">
        <v>145.11000000000001</v>
      </c>
      <c r="F873" s="1864">
        <f t="shared" ref="F873:F919" si="438">+D873*E873</f>
        <v>11608.800000000001</v>
      </c>
      <c r="G873" s="1049">
        <v>0</v>
      </c>
      <c r="H873" s="1425">
        <f t="shared" ref="H873:H885" si="439">ROUND($E873*G873,2)</f>
        <v>0</v>
      </c>
      <c r="I873" s="305">
        <f t="shared" ref="I873:I885" si="440">+H873/$F873</f>
        <v>0</v>
      </c>
      <c r="J873" s="1049"/>
      <c r="K873" s="1425">
        <f t="shared" ref="K873:K885" si="441">J873*E873</f>
        <v>0</v>
      </c>
      <c r="L873" s="305">
        <f t="shared" ref="L873:L885" si="442">+K873/$F873</f>
        <v>0</v>
      </c>
      <c r="M873" s="1049">
        <f t="shared" ref="M873:M885" si="443">+G873+J873</f>
        <v>0</v>
      </c>
      <c r="N873" s="1425">
        <f t="shared" ref="N873:N885" si="444">ROUND(+M873*E873,2)</f>
        <v>0</v>
      </c>
      <c r="O873" s="305">
        <f t="shared" ref="O873:O885" si="445">+N873/$F873</f>
        <v>0</v>
      </c>
      <c r="P873" s="1049">
        <f t="shared" ref="P873:P885" si="446">D873-M873</f>
        <v>80</v>
      </c>
      <c r="Q873" s="1425">
        <f t="shared" ref="Q873:Q885" si="447">F873-N873</f>
        <v>11608.800000000001</v>
      </c>
      <c r="R873" s="305">
        <f t="shared" ref="R873:R885" si="448">+Q873/$F873</f>
        <v>1</v>
      </c>
      <c r="S873" s="1865"/>
      <c r="T873" s="1426"/>
      <c r="U873" s="1426"/>
      <c r="V873" s="1426"/>
      <c r="W873" s="1426"/>
    </row>
    <row r="874" spans="1:23" s="934" customFormat="1" ht="16.5" customHeight="1">
      <c r="A874" s="1943"/>
      <c r="B874" s="1316" t="s">
        <v>2423</v>
      </c>
      <c r="C874" s="1854" t="s">
        <v>52</v>
      </c>
      <c r="D874" s="1862">
        <v>30</v>
      </c>
      <c r="E874" s="1496">
        <v>121.41</v>
      </c>
      <c r="F874" s="1864">
        <f t="shared" si="438"/>
        <v>3642.2999999999997</v>
      </c>
      <c r="G874" s="1049">
        <v>0</v>
      </c>
      <c r="H874" s="1425">
        <f t="shared" si="439"/>
        <v>0</v>
      </c>
      <c r="I874" s="305">
        <f t="shared" si="440"/>
        <v>0</v>
      </c>
      <c r="J874" s="1049"/>
      <c r="K874" s="1425">
        <f t="shared" si="441"/>
        <v>0</v>
      </c>
      <c r="L874" s="305">
        <f t="shared" si="442"/>
        <v>0</v>
      </c>
      <c r="M874" s="1049">
        <f t="shared" si="443"/>
        <v>0</v>
      </c>
      <c r="N874" s="1425">
        <f t="shared" si="444"/>
        <v>0</v>
      </c>
      <c r="O874" s="305">
        <f t="shared" si="445"/>
        <v>0</v>
      </c>
      <c r="P874" s="1049">
        <f t="shared" si="446"/>
        <v>30</v>
      </c>
      <c r="Q874" s="1425">
        <f t="shared" si="447"/>
        <v>3642.2999999999997</v>
      </c>
      <c r="R874" s="305">
        <f t="shared" si="448"/>
        <v>1</v>
      </c>
      <c r="S874" s="1865"/>
      <c r="T874" s="1426"/>
      <c r="U874" s="1426"/>
      <c r="V874" s="1426"/>
      <c r="W874" s="1426"/>
    </row>
    <row r="875" spans="1:23" s="934" customFormat="1" ht="16.5" customHeight="1">
      <c r="A875" s="1943"/>
      <c r="B875" s="1316" t="s">
        <v>2424</v>
      </c>
      <c r="C875" s="1854" t="s">
        <v>52</v>
      </c>
      <c r="D875" s="1862">
        <v>110</v>
      </c>
      <c r="E875" s="1496">
        <v>111.41</v>
      </c>
      <c r="F875" s="1864">
        <f t="shared" si="438"/>
        <v>12255.1</v>
      </c>
      <c r="G875" s="1049">
        <v>0</v>
      </c>
      <c r="H875" s="1425">
        <f t="shared" si="439"/>
        <v>0</v>
      </c>
      <c r="I875" s="305">
        <f t="shared" si="440"/>
        <v>0</v>
      </c>
      <c r="J875" s="1049"/>
      <c r="K875" s="1425">
        <f t="shared" si="441"/>
        <v>0</v>
      </c>
      <c r="L875" s="305">
        <f t="shared" si="442"/>
        <v>0</v>
      </c>
      <c r="M875" s="1049">
        <f t="shared" si="443"/>
        <v>0</v>
      </c>
      <c r="N875" s="1425">
        <f t="shared" si="444"/>
        <v>0</v>
      </c>
      <c r="O875" s="305">
        <f t="shared" si="445"/>
        <v>0</v>
      </c>
      <c r="P875" s="1049">
        <f t="shared" si="446"/>
        <v>110</v>
      </c>
      <c r="Q875" s="1425">
        <f t="shared" si="447"/>
        <v>12255.1</v>
      </c>
      <c r="R875" s="305">
        <f t="shared" si="448"/>
        <v>1</v>
      </c>
      <c r="S875" s="1865"/>
      <c r="T875" s="1426"/>
      <c r="U875" s="1426"/>
      <c r="V875" s="1426"/>
      <c r="W875" s="1426"/>
    </row>
    <row r="876" spans="1:23" s="934" customFormat="1" ht="16.5" customHeight="1">
      <c r="A876" s="1943"/>
      <c r="B876" s="1316" t="s">
        <v>2425</v>
      </c>
      <c r="C876" s="1854" t="s">
        <v>52</v>
      </c>
      <c r="D876" s="1862">
        <v>65</v>
      </c>
      <c r="E876" s="1496">
        <v>74.55</v>
      </c>
      <c r="F876" s="1864">
        <f t="shared" si="438"/>
        <v>4845.75</v>
      </c>
      <c r="G876" s="1049">
        <v>0</v>
      </c>
      <c r="H876" s="1425">
        <f t="shared" si="439"/>
        <v>0</v>
      </c>
      <c r="I876" s="305">
        <f t="shared" si="440"/>
        <v>0</v>
      </c>
      <c r="J876" s="1049"/>
      <c r="K876" s="1425">
        <f t="shared" si="441"/>
        <v>0</v>
      </c>
      <c r="L876" s="305">
        <f t="shared" si="442"/>
        <v>0</v>
      </c>
      <c r="M876" s="1049">
        <f t="shared" si="443"/>
        <v>0</v>
      </c>
      <c r="N876" s="1425">
        <f t="shared" si="444"/>
        <v>0</v>
      </c>
      <c r="O876" s="305">
        <f t="shared" si="445"/>
        <v>0</v>
      </c>
      <c r="P876" s="1049">
        <f t="shared" si="446"/>
        <v>65</v>
      </c>
      <c r="Q876" s="1425">
        <f t="shared" si="447"/>
        <v>4845.75</v>
      </c>
      <c r="R876" s="305">
        <f t="shared" si="448"/>
        <v>1</v>
      </c>
      <c r="S876" s="1865"/>
      <c r="T876" s="1426"/>
      <c r="U876" s="1426"/>
      <c r="V876" s="1426"/>
      <c r="W876" s="1426"/>
    </row>
    <row r="877" spans="1:23" s="934" customFormat="1" ht="16.5" customHeight="1">
      <c r="A877" s="1943"/>
      <c r="B877" s="1316" t="s">
        <v>2426</v>
      </c>
      <c r="C877" s="1854" t="s">
        <v>52</v>
      </c>
      <c r="D877" s="1862">
        <v>35</v>
      </c>
      <c r="E877" s="1496">
        <v>74.55</v>
      </c>
      <c r="F877" s="1864">
        <f t="shared" si="438"/>
        <v>2609.25</v>
      </c>
      <c r="G877" s="1049">
        <v>0</v>
      </c>
      <c r="H877" s="1425">
        <f t="shared" si="439"/>
        <v>0</v>
      </c>
      <c r="I877" s="305">
        <f t="shared" si="440"/>
        <v>0</v>
      </c>
      <c r="J877" s="1049"/>
      <c r="K877" s="1425">
        <f t="shared" si="441"/>
        <v>0</v>
      </c>
      <c r="L877" s="305">
        <f t="shared" si="442"/>
        <v>0</v>
      </c>
      <c r="M877" s="1049">
        <f t="shared" si="443"/>
        <v>0</v>
      </c>
      <c r="N877" s="1425">
        <f t="shared" si="444"/>
        <v>0</v>
      </c>
      <c r="O877" s="305">
        <f t="shared" si="445"/>
        <v>0</v>
      </c>
      <c r="P877" s="1049">
        <f t="shared" si="446"/>
        <v>35</v>
      </c>
      <c r="Q877" s="1425">
        <f t="shared" si="447"/>
        <v>2609.25</v>
      </c>
      <c r="R877" s="305">
        <f t="shared" si="448"/>
        <v>1</v>
      </c>
      <c r="S877" s="1865"/>
      <c r="T877" s="1426"/>
      <c r="U877" s="1426"/>
      <c r="V877" s="1426"/>
      <c r="W877" s="1426"/>
    </row>
    <row r="878" spans="1:23" s="934" customFormat="1" ht="16.5" customHeight="1">
      <c r="A878" s="1943"/>
      <c r="B878" s="1316" t="s">
        <v>2427</v>
      </c>
      <c r="C878" s="1854" t="s">
        <v>52</v>
      </c>
      <c r="D878" s="1862">
        <v>12</v>
      </c>
      <c r="E878" s="1496">
        <v>141.41</v>
      </c>
      <c r="F878" s="1864">
        <f t="shared" si="438"/>
        <v>1696.92</v>
      </c>
      <c r="G878" s="1049">
        <v>0</v>
      </c>
      <c r="H878" s="1425">
        <f t="shared" si="439"/>
        <v>0</v>
      </c>
      <c r="I878" s="305">
        <f t="shared" si="440"/>
        <v>0</v>
      </c>
      <c r="J878" s="1049"/>
      <c r="K878" s="1425">
        <f t="shared" si="441"/>
        <v>0</v>
      </c>
      <c r="L878" s="305">
        <f t="shared" si="442"/>
        <v>0</v>
      </c>
      <c r="M878" s="1049">
        <f t="shared" si="443"/>
        <v>0</v>
      </c>
      <c r="N878" s="1425">
        <f t="shared" si="444"/>
        <v>0</v>
      </c>
      <c r="O878" s="305">
        <f t="shared" si="445"/>
        <v>0</v>
      </c>
      <c r="P878" s="1049">
        <f t="shared" si="446"/>
        <v>12</v>
      </c>
      <c r="Q878" s="1425">
        <f t="shared" si="447"/>
        <v>1696.92</v>
      </c>
      <c r="R878" s="305">
        <f t="shared" si="448"/>
        <v>1</v>
      </c>
      <c r="S878" s="1865"/>
      <c r="T878" s="1426"/>
      <c r="U878" s="1426"/>
      <c r="V878" s="1426"/>
      <c r="W878" s="1426"/>
    </row>
    <row r="879" spans="1:23" s="934" customFormat="1" ht="16.5" customHeight="1">
      <c r="A879" s="1943"/>
      <c r="B879" s="1316" t="s">
        <v>2428</v>
      </c>
      <c r="C879" s="1854" t="s">
        <v>52</v>
      </c>
      <c r="D879" s="1862">
        <v>35</v>
      </c>
      <c r="E879" s="1496">
        <v>64.55</v>
      </c>
      <c r="F879" s="1864">
        <f t="shared" si="438"/>
        <v>2259.25</v>
      </c>
      <c r="G879" s="1049">
        <v>0</v>
      </c>
      <c r="H879" s="1425">
        <f t="shared" si="439"/>
        <v>0</v>
      </c>
      <c r="I879" s="305">
        <f t="shared" si="440"/>
        <v>0</v>
      </c>
      <c r="J879" s="1049"/>
      <c r="K879" s="1425">
        <f t="shared" si="441"/>
        <v>0</v>
      </c>
      <c r="L879" s="305">
        <f t="shared" si="442"/>
        <v>0</v>
      </c>
      <c r="M879" s="1049">
        <f t="shared" si="443"/>
        <v>0</v>
      </c>
      <c r="N879" s="1425">
        <f t="shared" si="444"/>
        <v>0</v>
      </c>
      <c r="O879" s="305">
        <f t="shared" si="445"/>
        <v>0</v>
      </c>
      <c r="P879" s="1049">
        <f t="shared" si="446"/>
        <v>35</v>
      </c>
      <c r="Q879" s="1425">
        <f t="shared" si="447"/>
        <v>2259.25</v>
      </c>
      <c r="R879" s="305">
        <f t="shared" si="448"/>
        <v>1</v>
      </c>
      <c r="S879" s="1865"/>
      <c r="T879" s="1426"/>
      <c r="U879" s="1426"/>
      <c r="V879" s="1426"/>
      <c r="W879" s="1426"/>
    </row>
    <row r="880" spans="1:23" s="934" customFormat="1" ht="16.5" customHeight="1">
      <c r="A880" s="1943"/>
      <c r="B880" s="1316" t="s">
        <v>2429</v>
      </c>
      <c r="C880" s="1854" t="s">
        <v>52</v>
      </c>
      <c r="D880" s="1862">
        <v>4</v>
      </c>
      <c r="E880" s="1496">
        <v>712.91</v>
      </c>
      <c r="F880" s="1864">
        <f t="shared" si="438"/>
        <v>2851.64</v>
      </c>
      <c r="G880" s="1049">
        <v>0</v>
      </c>
      <c r="H880" s="1425">
        <f t="shared" si="439"/>
        <v>0</v>
      </c>
      <c r="I880" s="305">
        <f t="shared" si="440"/>
        <v>0</v>
      </c>
      <c r="J880" s="1049"/>
      <c r="K880" s="1425">
        <f t="shared" si="441"/>
        <v>0</v>
      </c>
      <c r="L880" s="305">
        <f t="shared" si="442"/>
        <v>0</v>
      </c>
      <c r="M880" s="1049">
        <f t="shared" si="443"/>
        <v>0</v>
      </c>
      <c r="N880" s="1425">
        <f t="shared" si="444"/>
        <v>0</v>
      </c>
      <c r="O880" s="305">
        <f t="shared" si="445"/>
        <v>0</v>
      </c>
      <c r="P880" s="1049">
        <f t="shared" si="446"/>
        <v>4</v>
      </c>
      <c r="Q880" s="1425">
        <f t="shared" si="447"/>
        <v>2851.64</v>
      </c>
      <c r="R880" s="305">
        <f t="shared" si="448"/>
        <v>1</v>
      </c>
      <c r="S880" s="1865"/>
      <c r="T880" s="1426"/>
      <c r="U880" s="1426"/>
      <c r="V880" s="1426"/>
      <c r="W880" s="1426"/>
    </row>
    <row r="881" spans="1:23" s="934" customFormat="1" ht="16.5" customHeight="1">
      <c r="A881" s="1943"/>
      <c r="B881" s="1316" t="s">
        <v>2430</v>
      </c>
      <c r="C881" s="1854" t="s">
        <v>52</v>
      </c>
      <c r="D881" s="1862">
        <v>4</v>
      </c>
      <c r="E881" s="1496">
        <v>359.55</v>
      </c>
      <c r="F881" s="1864">
        <f t="shared" si="438"/>
        <v>1438.2</v>
      </c>
      <c r="G881" s="1049">
        <v>0</v>
      </c>
      <c r="H881" s="1425">
        <f t="shared" si="439"/>
        <v>0</v>
      </c>
      <c r="I881" s="305">
        <f t="shared" si="440"/>
        <v>0</v>
      </c>
      <c r="J881" s="1049"/>
      <c r="K881" s="1425">
        <f t="shared" si="441"/>
        <v>0</v>
      </c>
      <c r="L881" s="305">
        <f t="shared" si="442"/>
        <v>0</v>
      </c>
      <c r="M881" s="1049">
        <f t="shared" si="443"/>
        <v>0</v>
      </c>
      <c r="N881" s="1425">
        <f t="shared" si="444"/>
        <v>0</v>
      </c>
      <c r="O881" s="305">
        <f t="shared" si="445"/>
        <v>0</v>
      </c>
      <c r="P881" s="1049">
        <f t="shared" si="446"/>
        <v>4</v>
      </c>
      <c r="Q881" s="1425">
        <f t="shared" si="447"/>
        <v>1438.2</v>
      </c>
      <c r="R881" s="305">
        <f t="shared" si="448"/>
        <v>1</v>
      </c>
      <c r="S881" s="1865"/>
      <c r="T881" s="1426"/>
      <c r="U881" s="1426"/>
      <c r="V881" s="1426"/>
      <c r="W881" s="1426"/>
    </row>
    <row r="882" spans="1:23" s="934" customFormat="1" ht="16.5" customHeight="1">
      <c r="A882" s="1943"/>
      <c r="B882" s="1316" t="s">
        <v>2431</v>
      </c>
      <c r="C882" s="1854" t="s">
        <v>52</v>
      </c>
      <c r="D882" s="1862">
        <v>6</v>
      </c>
      <c r="E882" s="1496">
        <v>51.83</v>
      </c>
      <c r="F882" s="1864">
        <f t="shared" si="438"/>
        <v>310.98</v>
      </c>
      <c r="G882" s="1049">
        <v>0</v>
      </c>
      <c r="H882" s="1425">
        <f t="shared" si="439"/>
        <v>0</v>
      </c>
      <c r="I882" s="305">
        <f t="shared" si="440"/>
        <v>0</v>
      </c>
      <c r="J882" s="1049"/>
      <c r="K882" s="1425">
        <f t="shared" si="441"/>
        <v>0</v>
      </c>
      <c r="L882" s="305">
        <f t="shared" si="442"/>
        <v>0</v>
      </c>
      <c r="M882" s="1049">
        <f t="shared" si="443"/>
        <v>0</v>
      </c>
      <c r="N882" s="1425">
        <f t="shared" si="444"/>
        <v>0</v>
      </c>
      <c r="O882" s="305">
        <f t="shared" si="445"/>
        <v>0</v>
      </c>
      <c r="P882" s="1049">
        <f t="shared" si="446"/>
        <v>6</v>
      </c>
      <c r="Q882" s="1425">
        <f t="shared" si="447"/>
        <v>310.98</v>
      </c>
      <c r="R882" s="305">
        <f t="shared" si="448"/>
        <v>1</v>
      </c>
      <c r="S882" s="1865"/>
      <c r="T882" s="1426"/>
      <c r="U882" s="1426"/>
      <c r="V882" s="1426"/>
      <c r="W882" s="1426"/>
    </row>
    <row r="883" spans="1:23" s="934" customFormat="1" ht="16.5" customHeight="1">
      <c r="A883" s="1943"/>
      <c r="B883" s="1316" t="s">
        <v>2432</v>
      </c>
      <c r="C883" s="1854" t="s">
        <v>52</v>
      </c>
      <c r="D883" s="1862">
        <v>8</v>
      </c>
      <c r="E883" s="1496">
        <v>51.83</v>
      </c>
      <c r="F883" s="1864">
        <f t="shared" si="438"/>
        <v>414.64</v>
      </c>
      <c r="G883" s="1049">
        <v>0</v>
      </c>
      <c r="H883" s="1425">
        <f t="shared" si="439"/>
        <v>0</v>
      </c>
      <c r="I883" s="305">
        <f t="shared" si="440"/>
        <v>0</v>
      </c>
      <c r="J883" s="1049"/>
      <c r="K883" s="1425">
        <f t="shared" si="441"/>
        <v>0</v>
      </c>
      <c r="L883" s="305">
        <f t="shared" si="442"/>
        <v>0</v>
      </c>
      <c r="M883" s="1049">
        <f t="shared" si="443"/>
        <v>0</v>
      </c>
      <c r="N883" s="1425">
        <f t="shared" si="444"/>
        <v>0</v>
      </c>
      <c r="O883" s="305">
        <f t="shared" si="445"/>
        <v>0</v>
      </c>
      <c r="P883" s="1049">
        <f t="shared" si="446"/>
        <v>8</v>
      </c>
      <c r="Q883" s="1425">
        <f t="shared" si="447"/>
        <v>414.64</v>
      </c>
      <c r="R883" s="305">
        <f t="shared" si="448"/>
        <v>1</v>
      </c>
      <c r="S883" s="1865"/>
      <c r="T883" s="1426"/>
      <c r="U883" s="1426"/>
      <c r="V883" s="1426"/>
      <c r="W883" s="1426"/>
    </row>
    <row r="884" spans="1:23" s="934" customFormat="1" ht="16.5" customHeight="1">
      <c r="A884" s="1943"/>
      <c r="B884" s="1316" t="s">
        <v>2433</v>
      </c>
      <c r="C884" s="1854" t="s">
        <v>52</v>
      </c>
      <c r="D884" s="1862">
        <v>24</v>
      </c>
      <c r="E884" s="1496">
        <v>46.48</v>
      </c>
      <c r="F884" s="1864">
        <f t="shared" si="438"/>
        <v>1115.52</v>
      </c>
      <c r="G884" s="1049">
        <v>0</v>
      </c>
      <c r="H884" s="1425">
        <f t="shared" si="439"/>
        <v>0</v>
      </c>
      <c r="I884" s="305">
        <f t="shared" si="440"/>
        <v>0</v>
      </c>
      <c r="J884" s="1049"/>
      <c r="K884" s="1425">
        <f t="shared" si="441"/>
        <v>0</v>
      </c>
      <c r="L884" s="305">
        <f t="shared" si="442"/>
        <v>0</v>
      </c>
      <c r="M884" s="1049">
        <f t="shared" si="443"/>
        <v>0</v>
      </c>
      <c r="N884" s="1425">
        <f t="shared" si="444"/>
        <v>0</v>
      </c>
      <c r="O884" s="305">
        <f t="shared" si="445"/>
        <v>0</v>
      </c>
      <c r="P884" s="1049">
        <f t="shared" si="446"/>
        <v>24</v>
      </c>
      <c r="Q884" s="1425">
        <f t="shared" si="447"/>
        <v>1115.52</v>
      </c>
      <c r="R884" s="305">
        <f t="shared" si="448"/>
        <v>1</v>
      </c>
      <c r="S884" s="1865"/>
      <c r="T884" s="1426"/>
      <c r="U884" s="1426"/>
      <c r="V884" s="1426"/>
      <c r="W884" s="1426"/>
    </row>
    <row r="885" spans="1:23" s="934" customFormat="1" ht="16.5" customHeight="1">
      <c r="A885" s="1943"/>
      <c r="B885" s="1316" t="s">
        <v>2434</v>
      </c>
      <c r="C885" s="1854" t="s">
        <v>52</v>
      </c>
      <c r="D885" s="1862">
        <v>5</v>
      </c>
      <c r="E885" s="1496">
        <v>64.650000000000006</v>
      </c>
      <c r="F885" s="1864">
        <f t="shared" si="438"/>
        <v>323.25</v>
      </c>
      <c r="G885" s="1049">
        <v>0</v>
      </c>
      <c r="H885" s="1425">
        <f t="shared" si="439"/>
        <v>0</v>
      </c>
      <c r="I885" s="305">
        <f t="shared" si="440"/>
        <v>0</v>
      </c>
      <c r="J885" s="1049"/>
      <c r="K885" s="1425">
        <f t="shared" si="441"/>
        <v>0</v>
      </c>
      <c r="L885" s="305">
        <f t="shared" si="442"/>
        <v>0</v>
      </c>
      <c r="M885" s="1049">
        <f t="shared" si="443"/>
        <v>0</v>
      </c>
      <c r="N885" s="1425">
        <f t="shared" si="444"/>
        <v>0</v>
      </c>
      <c r="O885" s="305">
        <f t="shared" si="445"/>
        <v>0</v>
      </c>
      <c r="P885" s="1049">
        <f t="shared" si="446"/>
        <v>5</v>
      </c>
      <c r="Q885" s="1425">
        <f t="shared" si="447"/>
        <v>323.25</v>
      </c>
      <c r="R885" s="305">
        <f t="shared" si="448"/>
        <v>1</v>
      </c>
      <c r="S885" s="1865"/>
      <c r="T885" s="1426"/>
      <c r="U885" s="1426"/>
      <c r="V885" s="1426"/>
      <c r="W885" s="1426"/>
    </row>
    <row r="886" spans="1:23" s="934" customFormat="1" ht="16.5" customHeight="1">
      <c r="A886" s="1902">
        <v>5.6</v>
      </c>
      <c r="B886" s="1902" t="s">
        <v>1960</v>
      </c>
      <c r="C886" s="1944"/>
      <c r="D886" s="1945"/>
      <c r="E886" s="1945"/>
      <c r="F886" s="1864"/>
      <c r="G886" s="1049"/>
      <c r="H886" s="1425"/>
      <c r="I886" s="305"/>
      <c r="J886" s="1049"/>
      <c r="K886" s="1425"/>
      <c r="L886" s="305"/>
      <c r="M886" s="1049"/>
      <c r="N886" s="1425"/>
      <c r="O886" s="305"/>
      <c r="P886" s="1049"/>
      <c r="Q886" s="1425"/>
      <c r="R886" s="305"/>
      <c r="S886" s="1865"/>
      <c r="T886" s="1426"/>
      <c r="U886" s="1426"/>
      <c r="V886" s="1426"/>
      <c r="W886" s="1426"/>
    </row>
    <row r="887" spans="1:23" s="934" customFormat="1" ht="16.5" customHeight="1">
      <c r="A887" s="1116" t="s">
        <v>1457</v>
      </c>
      <c r="B887" s="1116" t="s">
        <v>1963</v>
      </c>
      <c r="C887" s="1866" t="s">
        <v>52</v>
      </c>
      <c r="D887" s="1862">
        <v>40</v>
      </c>
      <c r="E887" s="1867">
        <v>126.41</v>
      </c>
      <c r="F887" s="1864">
        <f t="shared" si="438"/>
        <v>5056.3999999999996</v>
      </c>
      <c r="G887" s="1049">
        <v>0</v>
      </c>
      <c r="H887" s="1425">
        <f t="shared" ref="H887:H888" si="449">ROUND($E887*G887,2)</f>
        <v>0</v>
      </c>
      <c r="I887" s="305">
        <f t="shared" ref="I887:I888" si="450">+H887/$F887</f>
        <v>0</v>
      </c>
      <c r="J887" s="1049"/>
      <c r="K887" s="1425">
        <f t="shared" ref="K887:K888" si="451">J887*E887</f>
        <v>0</v>
      </c>
      <c r="L887" s="305">
        <f t="shared" ref="L887:L888" si="452">+K887/$F887</f>
        <v>0</v>
      </c>
      <c r="M887" s="1049">
        <f t="shared" ref="M887:M888" si="453">+G887+J887</f>
        <v>0</v>
      </c>
      <c r="N887" s="1425">
        <f t="shared" ref="N887:N888" si="454">ROUND(+M887*E887,2)</f>
        <v>0</v>
      </c>
      <c r="O887" s="305">
        <f t="shared" ref="O887:O888" si="455">+N887/$F887</f>
        <v>0</v>
      </c>
      <c r="P887" s="1049">
        <f t="shared" ref="P887:P888" si="456">D887-M887</f>
        <v>40</v>
      </c>
      <c r="Q887" s="1425">
        <f t="shared" ref="Q887:Q888" si="457">F887-N887</f>
        <v>5056.3999999999996</v>
      </c>
      <c r="R887" s="305">
        <f t="shared" ref="R887:R888" si="458">+Q887/$F887</f>
        <v>1</v>
      </c>
      <c r="S887" s="1865"/>
      <c r="T887" s="1426"/>
      <c r="U887" s="1426"/>
      <c r="V887" s="1426"/>
      <c r="W887" s="1426"/>
    </row>
    <row r="888" spans="1:23" s="934" customFormat="1" ht="16.5" customHeight="1">
      <c r="A888" s="1116" t="s">
        <v>1458</v>
      </c>
      <c r="B888" s="1116" t="s">
        <v>1964</v>
      </c>
      <c r="C888" s="1866" t="s">
        <v>52</v>
      </c>
      <c r="D888" s="1862">
        <v>15</v>
      </c>
      <c r="E888" s="1867">
        <v>106.41</v>
      </c>
      <c r="F888" s="1864">
        <f t="shared" si="438"/>
        <v>1596.1499999999999</v>
      </c>
      <c r="G888" s="1049">
        <v>0</v>
      </c>
      <c r="H888" s="1425">
        <f t="shared" si="449"/>
        <v>0</v>
      </c>
      <c r="I888" s="305">
        <f t="shared" si="450"/>
        <v>0</v>
      </c>
      <c r="J888" s="1049"/>
      <c r="K888" s="1425">
        <f t="shared" si="451"/>
        <v>0</v>
      </c>
      <c r="L888" s="305">
        <f t="shared" si="452"/>
        <v>0</v>
      </c>
      <c r="M888" s="1049">
        <f t="shared" si="453"/>
        <v>0</v>
      </c>
      <c r="N888" s="1425">
        <f t="shared" si="454"/>
        <v>0</v>
      </c>
      <c r="O888" s="305">
        <f t="shared" si="455"/>
        <v>0</v>
      </c>
      <c r="P888" s="1049">
        <f t="shared" si="456"/>
        <v>15</v>
      </c>
      <c r="Q888" s="1425">
        <f t="shared" si="457"/>
        <v>1596.1499999999999</v>
      </c>
      <c r="R888" s="305">
        <f t="shared" si="458"/>
        <v>1</v>
      </c>
      <c r="S888" s="1865"/>
      <c r="T888" s="1426"/>
      <c r="U888" s="1426"/>
      <c r="V888" s="1426"/>
      <c r="W888" s="1426"/>
    </row>
    <row r="889" spans="1:23" s="316" customFormat="1" ht="16.5" customHeight="1">
      <c r="A889" s="1446">
        <v>5.7</v>
      </c>
      <c r="B889" s="1446" t="s">
        <v>1966</v>
      </c>
      <c r="C889" s="1776"/>
      <c r="D889" s="1723"/>
      <c r="E889" s="1777"/>
      <c r="F889" s="1756"/>
      <c r="G889" s="1049"/>
      <c r="H889" s="306"/>
      <c r="I889" s="307"/>
      <c r="J889" s="1049"/>
      <c r="K889" s="306"/>
      <c r="L889" s="307"/>
      <c r="M889" s="1049"/>
      <c r="N889" s="306"/>
      <c r="O889" s="307"/>
      <c r="P889" s="1049"/>
      <c r="Q889" s="306"/>
      <c r="R889" s="307"/>
      <c r="S889" s="1387"/>
      <c r="T889" s="314"/>
      <c r="U889" s="314"/>
      <c r="V889" s="314"/>
      <c r="W889" s="314"/>
    </row>
    <row r="890" spans="1:23" s="316" customFormat="1" ht="16.5" customHeight="1">
      <c r="A890" s="1401" t="s">
        <v>1461</v>
      </c>
      <c r="B890" s="1401" t="s">
        <v>1968</v>
      </c>
      <c r="C890" s="1444" t="s">
        <v>52</v>
      </c>
      <c r="D890" s="1723">
        <v>1</v>
      </c>
      <c r="E890" s="1739">
        <v>12500</v>
      </c>
      <c r="F890" s="1756">
        <f t="shared" si="438"/>
        <v>12500</v>
      </c>
      <c r="G890" s="1049">
        <v>0</v>
      </c>
      <c r="H890" s="306">
        <f t="shared" ref="H890" si="459">ROUND($E890*G890,2)</f>
        <v>0</v>
      </c>
      <c r="I890" s="307">
        <f t="shared" ref="I890" si="460">+H890/$F890</f>
        <v>0</v>
      </c>
      <c r="J890" s="1046"/>
      <c r="K890" s="306">
        <f t="shared" ref="K890" si="461">J890*E890</f>
        <v>0</v>
      </c>
      <c r="L890" s="307">
        <f t="shared" ref="L890" si="462">+K890/$F890</f>
        <v>0</v>
      </c>
      <c r="M890" s="1047">
        <f t="shared" ref="M890" si="463">+G890+J890</f>
        <v>0</v>
      </c>
      <c r="N890" s="306">
        <f t="shared" ref="N890" si="464">ROUND(+M890*E890,2)</f>
        <v>0</v>
      </c>
      <c r="O890" s="307">
        <f t="shared" ref="O890" si="465">+N890/$F890</f>
        <v>0</v>
      </c>
      <c r="P890" s="1047">
        <f t="shared" ref="P890" si="466">D890-M890</f>
        <v>1</v>
      </c>
      <c r="Q890" s="306">
        <f t="shared" ref="Q890" si="467">F890-N890</f>
        <v>12500</v>
      </c>
      <c r="R890" s="307">
        <f t="shared" ref="R890" si="468">+Q890/$F890</f>
        <v>1</v>
      </c>
      <c r="S890" s="1387"/>
      <c r="T890" s="314"/>
      <c r="U890" s="314"/>
      <c r="V890" s="314"/>
      <c r="W890" s="314"/>
    </row>
    <row r="891" spans="1:23" s="316" customFormat="1" ht="16.5" customHeight="1">
      <c r="A891" s="1108">
        <v>6</v>
      </c>
      <c r="B891" s="1108" t="s">
        <v>1969</v>
      </c>
      <c r="C891" s="1139"/>
      <c r="D891" s="1727"/>
      <c r="E891" s="1260"/>
      <c r="F891" s="1756"/>
      <c r="G891" s="1049"/>
      <c r="H891" s="306"/>
      <c r="I891" s="307"/>
      <c r="J891" s="1046"/>
      <c r="K891" s="306"/>
      <c r="L891" s="307"/>
      <c r="M891" s="1047"/>
      <c r="N891" s="306"/>
      <c r="O891" s="307"/>
      <c r="P891" s="1047"/>
      <c r="Q891" s="306"/>
      <c r="R891" s="307"/>
      <c r="S891" s="1387"/>
      <c r="T891" s="314"/>
      <c r="U891" s="314"/>
      <c r="V891" s="314"/>
      <c r="W891" s="314"/>
    </row>
    <row r="892" spans="1:23" s="316" customFormat="1" ht="16.5" customHeight="1">
      <c r="A892" s="1446">
        <v>6.2</v>
      </c>
      <c r="B892" s="1446" t="s">
        <v>1976</v>
      </c>
      <c r="C892" s="1135"/>
      <c r="D892" s="1727"/>
      <c r="E892" s="1104"/>
      <c r="F892" s="1756"/>
      <c r="G892" s="1049"/>
      <c r="H892" s="306"/>
      <c r="I892" s="307"/>
      <c r="J892" s="1046"/>
      <c r="K892" s="306"/>
      <c r="L892" s="307"/>
      <c r="M892" s="1047"/>
      <c r="N892" s="306"/>
      <c r="O892" s="307"/>
      <c r="P892" s="1047"/>
      <c r="Q892" s="306"/>
      <c r="R892" s="307"/>
      <c r="S892" s="1387"/>
      <c r="T892" s="314"/>
      <c r="U892" s="314"/>
      <c r="V892" s="314"/>
      <c r="W892" s="314"/>
    </row>
    <row r="893" spans="1:23" s="316" customFormat="1" ht="16.5" customHeight="1">
      <c r="A893" s="1745" t="s">
        <v>1467</v>
      </c>
      <c r="B893" s="1746" t="s">
        <v>1977</v>
      </c>
      <c r="C893" s="1309"/>
      <c r="D893" s="1135"/>
      <c r="E893" s="1312"/>
      <c r="F893" s="1756"/>
      <c r="G893" s="1049"/>
      <c r="H893" s="306"/>
      <c r="I893" s="307"/>
      <c r="J893" s="1046"/>
      <c r="K893" s="306"/>
      <c r="L893" s="307"/>
      <c r="M893" s="1047"/>
      <c r="N893" s="306"/>
      <c r="O893" s="307"/>
      <c r="P893" s="1047"/>
      <c r="Q893" s="306"/>
      <c r="R893" s="307"/>
      <c r="S893" s="1387"/>
      <c r="T893" s="314"/>
      <c r="U893" s="314"/>
      <c r="V893" s="314"/>
      <c r="W893" s="314"/>
    </row>
    <row r="894" spans="1:23" s="316" customFormat="1" ht="16.5" customHeight="1">
      <c r="A894" s="1309" t="s">
        <v>1468</v>
      </c>
      <c r="B894" s="1099" t="s">
        <v>1978</v>
      </c>
      <c r="C894" s="1497" t="s">
        <v>51</v>
      </c>
      <c r="D894" s="1781">
        <v>90</v>
      </c>
      <c r="E894" s="1782">
        <v>8.33</v>
      </c>
      <c r="F894" s="1756">
        <f t="shared" si="438"/>
        <v>749.7</v>
      </c>
      <c r="G894" s="1049">
        <v>0</v>
      </c>
      <c r="H894" s="306">
        <f t="shared" ref="H894:H895" si="469">ROUND($E894*G894,2)</f>
        <v>0</v>
      </c>
      <c r="I894" s="307">
        <f t="shared" ref="I894:I895" si="470">+H894/$F894</f>
        <v>0</v>
      </c>
      <c r="J894" s="1046"/>
      <c r="K894" s="306">
        <f t="shared" ref="K894:K895" si="471">J894*E894</f>
        <v>0</v>
      </c>
      <c r="L894" s="307">
        <f t="shared" ref="L894:L895" si="472">+K894/$F894</f>
        <v>0</v>
      </c>
      <c r="M894" s="1047">
        <f t="shared" ref="M894:M895" si="473">+G894+J894</f>
        <v>0</v>
      </c>
      <c r="N894" s="306">
        <f t="shared" ref="N894:N895" si="474">ROUND(+M894*E894,2)</f>
        <v>0</v>
      </c>
      <c r="O894" s="307">
        <f t="shared" ref="O894:O895" si="475">+N894/$F894</f>
        <v>0</v>
      </c>
      <c r="P894" s="1047">
        <f t="shared" ref="P894:P895" si="476">D894-M894</f>
        <v>90</v>
      </c>
      <c r="Q894" s="306">
        <f t="shared" ref="Q894:Q895" si="477">F894-N894</f>
        <v>749.7</v>
      </c>
      <c r="R894" s="307">
        <f t="shared" ref="R894:R895" si="478">+Q894/$F894</f>
        <v>1</v>
      </c>
      <c r="S894" s="1387"/>
      <c r="T894" s="1510"/>
      <c r="U894" s="314"/>
      <c r="V894" s="314"/>
      <c r="W894" s="314"/>
    </row>
    <row r="895" spans="1:23">
      <c r="A895" s="1309" t="s">
        <v>1469</v>
      </c>
      <c r="B895" s="1099" t="s">
        <v>1979</v>
      </c>
      <c r="C895" s="1497" t="s">
        <v>51</v>
      </c>
      <c r="D895" s="1781">
        <v>1053</v>
      </c>
      <c r="E895" s="1782">
        <v>7.94</v>
      </c>
      <c r="F895" s="1756">
        <f t="shared" si="438"/>
        <v>8360.82</v>
      </c>
      <c r="G895" s="1049">
        <v>0</v>
      </c>
      <c r="H895" s="306">
        <f t="shared" si="469"/>
        <v>0</v>
      </c>
      <c r="I895" s="307">
        <f t="shared" si="470"/>
        <v>0</v>
      </c>
      <c r="J895" s="1046"/>
      <c r="K895" s="306">
        <f t="shared" si="471"/>
        <v>0</v>
      </c>
      <c r="L895" s="307">
        <f t="shared" si="472"/>
        <v>0</v>
      </c>
      <c r="M895" s="1047">
        <f t="shared" si="473"/>
        <v>0</v>
      </c>
      <c r="N895" s="306">
        <f t="shared" si="474"/>
        <v>0</v>
      </c>
      <c r="O895" s="307">
        <f t="shared" si="475"/>
        <v>0</v>
      </c>
      <c r="P895" s="1047">
        <f t="shared" si="476"/>
        <v>1053</v>
      </c>
      <c r="Q895" s="306">
        <f t="shared" si="477"/>
        <v>8360.82</v>
      </c>
      <c r="R895" s="307">
        <f t="shared" si="478"/>
        <v>1</v>
      </c>
    </row>
    <row r="896" spans="1:23" s="316" customFormat="1" ht="16.5" customHeight="1">
      <c r="A896" s="1446">
        <v>6.3</v>
      </c>
      <c r="B896" s="1446" t="s">
        <v>3792</v>
      </c>
      <c r="C896" s="1497"/>
      <c r="D896" s="1781"/>
      <c r="E896" s="1782"/>
      <c r="F896" s="1756"/>
      <c r="G896" s="1049"/>
      <c r="H896" s="306"/>
      <c r="I896" s="307"/>
      <c r="J896" s="1046"/>
      <c r="K896" s="306"/>
      <c r="L896" s="307"/>
      <c r="M896" s="1047"/>
      <c r="N896" s="306"/>
      <c r="O896" s="307"/>
      <c r="P896" s="1047"/>
      <c r="Q896" s="306"/>
      <c r="R896" s="307"/>
      <c r="S896" s="1387"/>
      <c r="T896" s="314"/>
      <c r="U896" s="314"/>
      <c r="V896" s="314"/>
      <c r="W896" s="314"/>
    </row>
    <row r="897" spans="1:23" s="316" customFormat="1" ht="16.5" customHeight="1">
      <c r="A897" s="1745" t="s">
        <v>1503</v>
      </c>
      <c r="B897" s="1746" t="s">
        <v>1977</v>
      </c>
      <c r="C897" s="1497"/>
      <c r="D897" s="1781"/>
      <c r="E897" s="1782"/>
      <c r="F897" s="1756"/>
      <c r="G897" s="1049"/>
      <c r="H897" s="306"/>
      <c r="I897" s="307"/>
      <c r="J897" s="1046"/>
      <c r="K897" s="306"/>
      <c r="L897" s="307"/>
      <c r="M897" s="1047"/>
      <c r="N897" s="306"/>
      <c r="O897" s="307"/>
      <c r="P897" s="1047"/>
      <c r="Q897" s="306"/>
      <c r="R897" s="307"/>
      <c r="S897" s="1387"/>
      <c r="T897" s="314"/>
      <c r="U897" s="314"/>
      <c r="V897" s="314"/>
      <c r="W897" s="314"/>
    </row>
    <row r="898" spans="1:23" s="316" customFormat="1" ht="16.5" customHeight="1">
      <c r="A898" s="1309" t="s">
        <v>1504</v>
      </c>
      <c r="B898" s="1099" t="s">
        <v>1978</v>
      </c>
      <c r="C898" s="1497" t="s">
        <v>51</v>
      </c>
      <c r="D898" s="1781">
        <v>35</v>
      </c>
      <c r="E898" s="1782">
        <v>8.33</v>
      </c>
      <c r="F898" s="1756">
        <f t="shared" si="438"/>
        <v>291.55</v>
      </c>
      <c r="G898" s="1049">
        <v>0</v>
      </c>
      <c r="H898" s="306">
        <f t="shared" ref="H898" si="479">ROUND($E898*G898,2)</f>
        <v>0</v>
      </c>
      <c r="I898" s="307">
        <f t="shared" ref="I898" si="480">+H898/$F898</f>
        <v>0</v>
      </c>
      <c r="J898" s="1046"/>
      <c r="K898" s="306">
        <f t="shared" ref="K898" si="481">J898*E898</f>
        <v>0</v>
      </c>
      <c r="L898" s="307">
        <f t="shared" ref="L898" si="482">+K898/$F898</f>
        <v>0</v>
      </c>
      <c r="M898" s="1047">
        <f t="shared" ref="M898" si="483">+G898+J898</f>
        <v>0</v>
      </c>
      <c r="N898" s="306">
        <f t="shared" ref="N898" si="484">ROUND(+M898*E898,2)</f>
        <v>0</v>
      </c>
      <c r="O898" s="307">
        <f t="shared" ref="O898" si="485">+N898/$F898</f>
        <v>0</v>
      </c>
      <c r="P898" s="1047">
        <f t="shared" ref="P898" si="486">D898-M898</f>
        <v>35</v>
      </c>
      <c r="Q898" s="306">
        <f t="shared" ref="Q898" si="487">F898-N898</f>
        <v>291.55</v>
      </c>
      <c r="R898" s="307">
        <f t="shared" ref="R898" si="488">+Q898/$F898</f>
        <v>1</v>
      </c>
      <c r="S898" s="1387"/>
      <c r="T898" s="314"/>
      <c r="U898" s="314"/>
      <c r="V898" s="314"/>
      <c r="W898" s="314"/>
    </row>
    <row r="899" spans="1:23" s="316" customFormat="1" ht="16.5" customHeight="1">
      <c r="A899" s="1446">
        <v>6.4</v>
      </c>
      <c r="B899" s="1446" t="s">
        <v>2031</v>
      </c>
      <c r="C899" s="1497"/>
      <c r="D899" s="1781"/>
      <c r="E899" s="1782"/>
      <c r="F899" s="1756"/>
      <c r="G899" s="1049"/>
      <c r="H899" s="306"/>
      <c r="I899" s="307"/>
      <c r="J899" s="1046"/>
      <c r="K899" s="306"/>
      <c r="L899" s="307"/>
      <c r="M899" s="1047"/>
      <c r="N899" s="306"/>
      <c r="O899" s="307"/>
      <c r="P899" s="1047"/>
      <c r="Q899" s="306"/>
      <c r="R899" s="307"/>
      <c r="S899" s="1387"/>
      <c r="T899" s="314"/>
      <c r="U899" s="314"/>
      <c r="V899" s="314"/>
      <c r="W899" s="314"/>
    </row>
    <row r="900" spans="1:23" s="316" customFormat="1" ht="16.5" customHeight="1">
      <c r="A900" s="1745" t="s">
        <v>1532</v>
      </c>
      <c r="B900" s="1746" t="s">
        <v>1977</v>
      </c>
      <c r="C900" s="1497"/>
      <c r="D900" s="1781"/>
      <c r="E900" s="1782"/>
      <c r="F900" s="1756"/>
      <c r="G900" s="1049"/>
      <c r="H900" s="306"/>
      <c r="I900" s="307"/>
      <c r="J900" s="1046"/>
      <c r="K900" s="306"/>
      <c r="L900" s="307"/>
      <c r="M900" s="1047"/>
      <c r="N900" s="306"/>
      <c r="O900" s="307"/>
      <c r="P900" s="1047"/>
      <c r="Q900" s="306"/>
      <c r="R900" s="307"/>
      <c r="S900" s="1387"/>
      <c r="T900" s="314"/>
      <c r="U900" s="314"/>
      <c r="V900" s="314"/>
      <c r="W900" s="314"/>
    </row>
    <row r="901" spans="1:23" s="316" customFormat="1" ht="16.5" customHeight="1">
      <c r="A901" s="1309" t="s">
        <v>1533</v>
      </c>
      <c r="B901" s="1099" t="s">
        <v>2032</v>
      </c>
      <c r="C901" s="1497" t="s">
        <v>51</v>
      </c>
      <c r="D901" s="1781">
        <v>2539</v>
      </c>
      <c r="E901" s="1782">
        <v>3.15</v>
      </c>
      <c r="F901" s="1756">
        <f t="shared" si="438"/>
        <v>7997.8499999999995</v>
      </c>
      <c r="G901" s="1049">
        <v>0</v>
      </c>
      <c r="H901" s="306">
        <f t="shared" ref="H901:H902" si="489">ROUND($E901*G901,2)</f>
        <v>0</v>
      </c>
      <c r="I901" s="307">
        <f t="shared" ref="I901:I902" si="490">+H901/$F901</f>
        <v>0</v>
      </c>
      <c r="J901" s="1046"/>
      <c r="K901" s="306">
        <f t="shared" ref="K901:K902" si="491">J901*E901</f>
        <v>0</v>
      </c>
      <c r="L901" s="307">
        <f t="shared" ref="L901:L902" si="492">+K901/$F901</f>
        <v>0</v>
      </c>
      <c r="M901" s="1047">
        <f t="shared" ref="M901:M902" si="493">+G901+J901</f>
        <v>0</v>
      </c>
      <c r="N901" s="306">
        <f t="shared" ref="N901:N902" si="494">ROUND(+M901*E901,2)</f>
        <v>0</v>
      </c>
      <c r="O901" s="307">
        <f t="shared" ref="O901:O902" si="495">+N901/$F901</f>
        <v>0</v>
      </c>
      <c r="P901" s="1047">
        <f t="shared" ref="P901:P902" si="496">D901-M901</f>
        <v>2539</v>
      </c>
      <c r="Q901" s="306">
        <f t="shared" ref="Q901:Q902" si="497">F901-N901</f>
        <v>7997.8499999999995</v>
      </c>
      <c r="R901" s="307">
        <f t="shared" ref="R901:R902" si="498">+Q901/$F901</f>
        <v>1</v>
      </c>
      <c r="S901" s="1387"/>
      <c r="T901" s="314"/>
      <c r="U901" s="314"/>
      <c r="V901" s="314"/>
      <c r="W901" s="314"/>
    </row>
    <row r="902" spans="1:23" s="316" customFormat="1" ht="16.5" customHeight="1">
      <c r="A902" s="1309" t="s">
        <v>1534</v>
      </c>
      <c r="B902" s="1099" t="s">
        <v>2033</v>
      </c>
      <c r="C902" s="1497" t="s">
        <v>51</v>
      </c>
      <c r="D902" s="1781">
        <v>901</v>
      </c>
      <c r="E902" s="1782">
        <v>3.36</v>
      </c>
      <c r="F902" s="1756">
        <f t="shared" si="438"/>
        <v>3027.3599999999997</v>
      </c>
      <c r="G902" s="1049">
        <v>0</v>
      </c>
      <c r="H902" s="306">
        <f t="shared" si="489"/>
        <v>0</v>
      </c>
      <c r="I902" s="307">
        <f t="shared" si="490"/>
        <v>0</v>
      </c>
      <c r="J902" s="1046"/>
      <c r="K902" s="306">
        <f t="shared" si="491"/>
        <v>0</v>
      </c>
      <c r="L902" s="307">
        <f t="shared" si="492"/>
        <v>0</v>
      </c>
      <c r="M902" s="1047">
        <f t="shared" si="493"/>
        <v>0</v>
      </c>
      <c r="N902" s="306">
        <f t="shared" si="494"/>
        <v>0</v>
      </c>
      <c r="O902" s="307">
        <f t="shared" si="495"/>
        <v>0</v>
      </c>
      <c r="P902" s="1047">
        <f t="shared" si="496"/>
        <v>901</v>
      </c>
      <c r="Q902" s="306">
        <f t="shared" si="497"/>
        <v>3027.3599999999997</v>
      </c>
      <c r="R902" s="307">
        <f t="shared" si="498"/>
        <v>1</v>
      </c>
      <c r="S902" s="1387"/>
      <c r="T902" s="314"/>
      <c r="U902" s="314"/>
      <c r="V902" s="314"/>
      <c r="W902" s="314"/>
    </row>
    <row r="903" spans="1:23" s="316" customFormat="1" ht="16.5" customHeight="1">
      <c r="A903" s="1446">
        <v>6.5</v>
      </c>
      <c r="B903" s="1446" t="s">
        <v>2059</v>
      </c>
      <c r="C903" s="1497"/>
      <c r="D903" s="1781"/>
      <c r="E903" s="1782"/>
      <c r="F903" s="1756"/>
      <c r="G903" s="1049"/>
      <c r="H903" s="306"/>
      <c r="I903" s="307"/>
      <c r="J903" s="1046"/>
      <c r="K903" s="306"/>
      <c r="L903" s="307"/>
      <c r="M903" s="1047"/>
      <c r="N903" s="306"/>
      <c r="O903" s="307"/>
      <c r="P903" s="1047"/>
      <c r="Q903" s="306"/>
      <c r="R903" s="307"/>
      <c r="S903" s="1387"/>
      <c r="T903" s="314"/>
      <c r="U903" s="314"/>
      <c r="V903" s="314"/>
      <c r="W903" s="314"/>
    </row>
    <row r="904" spans="1:23" s="316" customFormat="1" ht="16.5" customHeight="1">
      <c r="A904" s="1309" t="s">
        <v>1570</v>
      </c>
      <c r="B904" s="1099" t="s">
        <v>2060</v>
      </c>
      <c r="C904" s="1497" t="s">
        <v>52</v>
      </c>
      <c r="D904" s="1781">
        <v>2</v>
      </c>
      <c r="E904" s="1782">
        <v>22850</v>
      </c>
      <c r="F904" s="1756">
        <f t="shared" si="438"/>
        <v>45700</v>
      </c>
      <c r="G904" s="1049">
        <v>0</v>
      </c>
      <c r="H904" s="306">
        <f t="shared" ref="H904:H905" si="499">ROUND($E904*G904,2)</f>
        <v>0</v>
      </c>
      <c r="I904" s="307">
        <f t="shared" ref="I904:I905" si="500">+H904/$F904</f>
        <v>0</v>
      </c>
      <c r="J904" s="1046"/>
      <c r="K904" s="306">
        <f t="shared" ref="K904:K905" si="501">J904*E904</f>
        <v>0</v>
      </c>
      <c r="L904" s="307">
        <f t="shared" ref="L904:L905" si="502">+K904/$F904</f>
        <v>0</v>
      </c>
      <c r="M904" s="1047">
        <f t="shared" ref="M904:M905" si="503">+G904+J904</f>
        <v>0</v>
      </c>
      <c r="N904" s="306">
        <f t="shared" ref="N904:N905" si="504">ROUND(+M904*E904,2)</f>
        <v>0</v>
      </c>
      <c r="O904" s="307">
        <f t="shared" ref="O904:O905" si="505">+N904/$F904</f>
        <v>0</v>
      </c>
      <c r="P904" s="1047">
        <f t="shared" ref="P904:P905" si="506">D904-M904</f>
        <v>2</v>
      </c>
      <c r="Q904" s="306">
        <f t="shared" ref="Q904:Q905" si="507">F904-N904</f>
        <v>45700</v>
      </c>
      <c r="R904" s="307">
        <f t="shared" ref="R904:R905" si="508">+Q904/$F904</f>
        <v>1</v>
      </c>
      <c r="S904" s="1387"/>
      <c r="T904" s="314"/>
      <c r="U904" s="314"/>
      <c r="V904" s="314"/>
      <c r="W904" s="314"/>
    </row>
    <row r="905" spans="1:23" s="316" customFormat="1" ht="16.5" customHeight="1">
      <c r="A905" s="1309" t="s">
        <v>1571</v>
      </c>
      <c r="B905" s="1099" t="s">
        <v>2061</v>
      </c>
      <c r="C905" s="1497" t="s">
        <v>268</v>
      </c>
      <c r="D905" s="1781">
        <v>1</v>
      </c>
      <c r="E905" s="1782">
        <v>1500</v>
      </c>
      <c r="F905" s="1756">
        <f t="shared" si="438"/>
        <v>1500</v>
      </c>
      <c r="G905" s="1049">
        <v>0</v>
      </c>
      <c r="H905" s="306">
        <f t="shared" si="499"/>
        <v>0</v>
      </c>
      <c r="I905" s="307">
        <f t="shared" si="500"/>
        <v>0</v>
      </c>
      <c r="J905" s="1046"/>
      <c r="K905" s="306">
        <f t="shared" si="501"/>
        <v>0</v>
      </c>
      <c r="L905" s="307">
        <f t="shared" si="502"/>
        <v>0</v>
      </c>
      <c r="M905" s="1047">
        <f t="shared" si="503"/>
        <v>0</v>
      </c>
      <c r="N905" s="306">
        <f t="shared" si="504"/>
        <v>0</v>
      </c>
      <c r="O905" s="307">
        <f t="shared" si="505"/>
        <v>0</v>
      </c>
      <c r="P905" s="1047">
        <f t="shared" si="506"/>
        <v>1</v>
      </c>
      <c r="Q905" s="306">
        <f t="shared" si="507"/>
        <v>1500</v>
      </c>
      <c r="R905" s="307">
        <f t="shared" si="508"/>
        <v>1</v>
      </c>
      <c r="S905" s="1387"/>
      <c r="T905" s="314"/>
      <c r="U905" s="314"/>
      <c r="V905" s="314"/>
      <c r="W905" s="314"/>
    </row>
    <row r="906" spans="1:23" s="316" customFormat="1" ht="16.5" customHeight="1">
      <c r="A906" s="1446">
        <v>6.6</v>
      </c>
      <c r="B906" s="1446" t="s">
        <v>2062</v>
      </c>
      <c r="C906" s="1497"/>
      <c r="D906" s="1781"/>
      <c r="E906" s="1782"/>
      <c r="F906" s="1756"/>
      <c r="G906" s="1049"/>
      <c r="H906" s="306"/>
      <c r="I906" s="307"/>
      <c r="J906" s="1046"/>
      <c r="K906" s="306"/>
      <c r="L906" s="307"/>
      <c r="M906" s="1047"/>
      <c r="N906" s="306"/>
      <c r="O906" s="307"/>
      <c r="P906" s="1047"/>
      <c r="Q906" s="306"/>
      <c r="R906" s="307"/>
      <c r="S906" s="1387"/>
      <c r="T906" s="314"/>
      <c r="U906" s="314"/>
      <c r="V906" s="314"/>
      <c r="W906" s="314"/>
    </row>
    <row r="907" spans="1:23" s="316" customFormat="1" ht="16.5" customHeight="1">
      <c r="A907" s="1309" t="s">
        <v>1573</v>
      </c>
      <c r="B907" s="1099" t="s">
        <v>2064</v>
      </c>
      <c r="C907" s="1497" t="s">
        <v>52</v>
      </c>
      <c r="D907" s="1781">
        <v>2</v>
      </c>
      <c r="E907" s="1782">
        <v>8980</v>
      </c>
      <c r="F907" s="1756">
        <f t="shared" si="438"/>
        <v>17960</v>
      </c>
      <c r="G907" s="1049">
        <v>0</v>
      </c>
      <c r="H907" s="306">
        <f t="shared" ref="H907:H909" si="509">ROUND($E907*G907,2)</f>
        <v>0</v>
      </c>
      <c r="I907" s="307">
        <f t="shared" ref="I907:I909" si="510">+H907/$F907</f>
        <v>0</v>
      </c>
      <c r="J907" s="1046"/>
      <c r="K907" s="306">
        <f t="shared" ref="K907:K909" si="511">J907*E907</f>
        <v>0</v>
      </c>
      <c r="L907" s="307">
        <f t="shared" ref="L907:L909" si="512">+K907/$F907</f>
        <v>0</v>
      </c>
      <c r="M907" s="1047">
        <f t="shared" ref="M907:M909" si="513">+G907+J907</f>
        <v>0</v>
      </c>
      <c r="N907" s="306">
        <f t="shared" ref="N907:N909" si="514">ROUND(+M907*E907,2)</f>
        <v>0</v>
      </c>
      <c r="O907" s="307">
        <f t="shared" ref="O907:O909" si="515">+N907/$F907</f>
        <v>0</v>
      </c>
      <c r="P907" s="1047">
        <f t="shared" ref="P907:P909" si="516">D907-M907</f>
        <v>2</v>
      </c>
      <c r="Q907" s="306">
        <f t="shared" ref="Q907:Q909" si="517">F907-N907</f>
        <v>17960</v>
      </c>
      <c r="R907" s="307">
        <f t="shared" ref="R907:R909" si="518">+Q907/$F907</f>
        <v>1</v>
      </c>
      <c r="S907" s="1387"/>
      <c r="T907" s="314"/>
      <c r="U907" s="314"/>
      <c r="V907" s="314"/>
      <c r="W907" s="314"/>
    </row>
    <row r="908" spans="1:23" s="316" customFormat="1" ht="16.5" customHeight="1">
      <c r="A908" s="1309" t="s">
        <v>1574</v>
      </c>
      <c r="B908" s="1099" t="s">
        <v>2065</v>
      </c>
      <c r="C908" s="1497" t="s">
        <v>52</v>
      </c>
      <c r="D908" s="1781">
        <v>12</v>
      </c>
      <c r="E908" s="1782">
        <v>11980</v>
      </c>
      <c r="F908" s="1756">
        <f t="shared" si="438"/>
        <v>143760</v>
      </c>
      <c r="G908" s="1049">
        <v>0</v>
      </c>
      <c r="H908" s="306">
        <f t="shared" si="509"/>
        <v>0</v>
      </c>
      <c r="I908" s="307">
        <f t="shared" si="510"/>
        <v>0</v>
      </c>
      <c r="J908" s="1046"/>
      <c r="K908" s="306">
        <f t="shared" si="511"/>
        <v>0</v>
      </c>
      <c r="L908" s="307">
        <f t="shared" si="512"/>
        <v>0</v>
      </c>
      <c r="M908" s="1047">
        <f t="shared" si="513"/>
        <v>0</v>
      </c>
      <c r="N908" s="306">
        <f t="shared" si="514"/>
        <v>0</v>
      </c>
      <c r="O908" s="307">
        <f t="shared" si="515"/>
        <v>0</v>
      </c>
      <c r="P908" s="1047">
        <f t="shared" si="516"/>
        <v>12</v>
      </c>
      <c r="Q908" s="306">
        <f t="shared" si="517"/>
        <v>143760</v>
      </c>
      <c r="R908" s="307">
        <f t="shared" si="518"/>
        <v>1</v>
      </c>
      <c r="S908" s="1387"/>
      <c r="T908" s="314"/>
      <c r="U908" s="314"/>
      <c r="V908" s="314"/>
      <c r="W908" s="314"/>
    </row>
    <row r="909" spans="1:23" s="316" customFormat="1" ht="16.5" customHeight="1">
      <c r="A909" s="1309" t="s">
        <v>1575</v>
      </c>
      <c r="B909" s="1099" t="s">
        <v>2066</v>
      </c>
      <c r="C909" s="1497" t="s">
        <v>52</v>
      </c>
      <c r="D909" s="1781">
        <v>4</v>
      </c>
      <c r="E909" s="1782">
        <v>947.55</v>
      </c>
      <c r="F909" s="1756">
        <f t="shared" si="438"/>
        <v>3790.2</v>
      </c>
      <c r="G909" s="1049">
        <v>0</v>
      </c>
      <c r="H909" s="306">
        <f t="shared" si="509"/>
        <v>0</v>
      </c>
      <c r="I909" s="307">
        <f t="shared" si="510"/>
        <v>0</v>
      </c>
      <c r="J909" s="1046"/>
      <c r="K909" s="306">
        <f t="shared" si="511"/>
        <v>0</v>
      </c>
      <c r="L909" s="307">
        <f t="shared" si="512"/>
        <v>0</v>
      </c>
      <c r="M909" s="1047">
        <f t="shared" si="513"/>
        <v>0</v>
      </c>
      <c r="N909" s="306">
        <f t="shared" si="514"/>
        <v>0</v>
      </c>
      <c r="O909" s="307">
        <f t="shared" si="515"/>
        <v>0</v>
      </c>
      <c r="P909" s="1047">
        <f t="shared" si="516"/>
        <v>4</v>
      </c>
      <c r="Q909" s="306">
        <f t="shared" si="517"/>
        <v>3790.2</v>
      </c>
      <c r="R909" s="307">
        <f t="shared" si="518"/>
        <v>1</v>
      </c>
      <c r="S909" s="1387"/>
      <c r="T909" s="314"/>
      <c r="U909" s="314"/>
      <c r="V909" s="314"/>
      <c r="W909" s="314"/>
    </row>
    <row r="910" spans="1:23" s="316" customFormat="1" ht="16.5" customHeight="1">
      <c r="A910" s="1446">
        <v>6.8</v>
      </c>
      <c r="B910" s="1446" t="s">
        <v>2076</v>
      </c>
      <c r="C910" s="1497"/>
      <c r="D910" s="1781"/>
      <c r="E910" s="1782"/>
      <c r="F910" s="1756"/>
      <c r="G910" s="1049"/>
      <c r="H910" s="306"/>
      <c r="I910" s="307"/>
      <c r="J910" s="1046"/>
      <c r="K910" s="306"/>
      <c r="L910" s="307"/>
      <c r="M910" s="1047"/>
      <c r="N910" s="306"/>
      <c r="O910" s="307"/>
      <c r="P910" s="1047"/>
      <c r="Q910" s="306"/>
      <c r="R910" s="307"/>
      <c r="S910" s="1387"/>
      <c r="T910" s="314"/>
      <c r="U910" s="314"/>
      <c r="V910" s="314"/>
      <c r="W910" s="314"/>
    </row>
    <row r="911" spans="1:23" s="316" customFormat="1" ht="16.5" customHeight="1">
      <c r="A911" s="1309" t="s">
        <v>1586</v>
      </c>
      <c r="B911" s="1099" t="s">
        <v>2077</v>
      </c>
      <c r="C911" s="1497" t="s">
        <v>52</v>
      </c>
      <c r="D911" s="1781">
        <v>1</v>
      </c>
      <c r="E911" s="1782">
        <v>5440</v>
      </c>
      <c r="F911" s="1756">
        <f t="shared" si="438"/>
        <v>5440</v>
      </c>
      <c r="G911" s="1049">
        <v>0</v>
      </c>
      <c r="H911" s="306">
        <f t="shared" ref="H911:H913" si="519">ROUND($E911*G911,2)</f>
        <v>0</v>
      </c>
      <c r="I911" s="307">
        <f t="shared" ref="I911:I913" si="520">+H911/$F911</f>
        <v>0</v>
      </c>
      <c r="J911" s="1046"/>
      <c r="K911" s="306">
        <f t="shared" ref="K911:K913" si="521">J911*E911</f>
        <v>0</v>
      </c>
      <c r="L911" s="307">
        <f t="shared" ref="L911:L913" si="522">+K911/$F911</f>
        <v>0</v>
      </c>
      <c r="M911" s="1047">
        <f t="shared" ref="M911:M913" si="523">+G911+J911</f>
        <v>0</v>
      </c>
      <c r="N911" s="306">
        <f t="shared" ref="N911:N913" si="524">ROUND(+M911*E911,2)</f>
        <v>0</v>
      </c>
      <c r="O911" s="307">
        <f t="shared" ref="O911:O913" si="525">+N911/$F911</f>
        <v>0</v>
      </c>
      <c r="P911" s="1047">
        <f t="shared" ref="P911:P913" si="526">D911-M911</f>
        <v>1</v>
      </c>
      <c r="Q911" s="306">
        <f t="shared" ref="Q911:Q913" si="527">F911-N911</f>
        <v>5440</v>
      </c>
      <c r="R911" s="307">
        <f t="shared" ref="R911:R913" si="528">+Q911/$F911</f>
        <v>1</v>
      </c>
      <c r="S911" s="1387"/>
      <c r="T911" s="1510"/>
      <c r="U911" s="314"/>
      <c r="V911" s="314"/>
      <c r="W911" s="314"/>
    </row>
    <row r="912" spans="1:23">
      <c r="A912" s="1309" t="s">
        <v>1587</v>
      </c>
      <c r="B912" s="1099" t="s">
        <v>2078</v>
      </c>
      <c r="C912" s="1497" t="s">
        <v>52</v>
      </c>
      <c r="D912" s="1781">
        <v>2</v>
      </c>
      <c r="E912" s="1782">
        <v>4158</v>
      </c>
      <c r="F912" s="1756">
        <f t="shared" si="438"/>
        <v>8316</v>
      </c>
      <c r="G912" s="1049">
        <v>0</v>
      </c>
      <c r="H912" s="306">
        <f t="shared" si="519"/>
        <v>0</v>
      </c>
      <c r="I912" s="307">
        <f t="shared" si="520"/>
        <v>0</v>
      </c>
      <c r="J912" s="1046"/>
      <c r="K912" s="306">
        <f t="shared" si="521"/>
        <v>0</v>
      </c>
      <c r="L912" s="307">
        <f t="shared" si="522"/>
        <v>0</v>
      </c>
      <c r="M912" s="1047">
        <f t="shared" si="523"/>
        <v>0</v>
      </c>
      <c r="N912" s="306">
        <f t="shared" si="524"/>
        <v>0</v>
      </c>
      <c r="O912" s="307">
        <f t="shared" si="525"/>
        <v>0</v>
      </c>
      <c r="P912" s="1047">
        <f t="shared" si="526"/>
        <v>2</v>
      </c>
      <c r="Q912" s="306">
        <f t="shared" si="527"/>
        <v>8316</v>
      </c>
      <c r="R912" s="307">
        <f t="shared" si="528"/>
        <v>1</v>
      </c>
    </row>
    <row r="913" spans="1:23" s="316" customFormat="1" ht="16.5" customHeight="1">
      <c r="A913" s="1309" t="s">
        <v>1588</v>
      </c>
      <c r="B913" s="1099" t="s">
        <v>2079</v>
      </c>
      <c r="C913" s="1497" t="s">
        <v>52</v>
      </c>
      <c r="D913" s="1781">
        <v>1</v>
      </c>
      <c r="E913" s="1782">
        <v>6850</v>
      </c>
      <c r="F913" s="1756">
        <f t="shared" si="438"/>
        <v>6850</v>
      </c>
      <c r="G913" s="1049">
        <v>0</v>
      </c>
      <c r="H913" s="306">
        <f t="shared" si="519"/>
        <v>0</v>
      </c>
      <c r="I913" s="307">
        <f t="shared" si="520"/>
        <v>0</v>
      </c>
      <c r="J913" s="1046"/>
      <c r="K913" s="306">
        <f t="shared" si="521"/>
        <v>0</v>
      </c>
      <c r="L913" s="307">
        <f t="shared" si="522"/>
        <v>0</v>
      </c>
      <c r="M913" s="1047">
        <f t="shared" si="523"/>
        <v>0</v>
      </c>
      <c r="N913" s="306">
        <f t="shared" si="524"/>
        <v>0</v>
      </c>
      <c r="O913" s="307">
        <f t="shared" si="525"/>
        <v>0</v>
      </c>
      <c r="P913" s="1047">
        <f t="shared" si="526"/>
        <v>1</v>
      </c>
      <c r="Q913" s="306">
        <f t="shared" si="527"/>
        <v>6850</v>
      </c>
      <c r="R913" s="307">
        <f t="shared" si="528"/>
        <v>1</v>
      </c>
      <c r="S913" s="1387"/>
      <c r="T913" s="314"/>
      <c r="U913" s="314"/>
      <c r="V913" s="314"/>
      <c r="W913" s="314"/>
    </row>
    <row r="914" spans="1:23" s="316" customFormat="1" ht="16.5" customHeight="1">
      <c r="A914" s="1446">
        <v>6.9</v>
      </c>
      <c r="B914" s="1446" t="s">
        <v>2083</v>
      </c>
      <c r="C914" s="1497"/>
      <c r="D914" s="1781"/>
      <c r="E914" s="1782"/>
      <c r="F914" s="1756"/>
      <c r="G914" s="1049"/>
      <c r="H914" s="306"/>
      <c r="I914" s="307"/>
      <c r="J914" s="1046"/>
      <c r="K914" s="306"/>
      <c r="L914" s="307"/>
      <c r="M914" s="1047"/>
      <c r="N914" s="306"/>
      <c r="O914" s="307"/>
      <c r="P914" s="1047"/>
      <c r="Q914" s="306"/>
      <c r="R914" s="307"/>
      <c r="S914" s="1387"/>
      <c r="T914" s="314"/>
      <c r="U914" s="314"/>
      <c r="V914" s="314"/>
      <c r="W914" s="314"/>
    </row>
    <row r="915" spans="1:23" s="316" customFormat="1" ht="16.5" customHeight="1">
      <c r="A915" s="1745" t="s">
        <v>1592</v>
      </c>
      <c r="B915" s="1746" t="s">
        <v>1977</v>
      </c>
      <c r="C915" s="1497"/>
      <c r="D915" s="1781"/>
      <c r="E915" s="1782"/>
      <c r="F915" s="1756"/>
      <c r="G915" s="1049"/>
      <c r="H915" s="306"/>
      <c r="I915" s="307"/>
      <c r="J915" s="1046"/>
      <c r="K915" s="306"/>
      <c r="L915" s="307"/>
      <c r="M915" s="1047"/>
      <c r="N915" s="306"/>
      <c r="O915" s="307"/>
      <c r="P915" s="1047"/>
      <c r="Q915" s="306"/>
      <c r="R915" s="307"/>
      <c r="S915" s="1387"/>
      <c r="T915" s="314"/>
      <c r="U915" s="314"/>
      <c r="V915" s="314"/>
      <c r="W915" s="314"/>
    </row>
    <row r="916" spans="1:23" s="316" customFormat="1" ht="16.5" customHeight="1">
      <c r="A916" s="1309" t="s">
        <v>1594</v>
      </c>
      <c r="B916" s="1099" t="s">
        <v>1978</v>
      </c>
      <c r="C916" s="1497" t="s">
        <v>51</v>
      </c>
      <c r="D916" s="1781">
        <v>14346</v>
      </c>
      <c r="E916" s="1782">
        <v>8.33</v>
      </c>
      <c r="F916" s="1756">
        <f t="shared" si="438"/>
        <v>119502.18000000001</v>
      </c>
      <c r="G916" s="1049">
        <v>0</v>
      </c>
      <c r="H916" s="306">
        <f t="shared" ref="H916" si="529">ROUND($E916*G916,2)</f>
        <v>0</v>
      </c>
      <c r="I916" s="307">
        <f t="shared" ref="I916" si="530">+H916/$F916</f>
        <v>0</v>
      </c>
      <c r="J916" s="1046"/>
      <c r="K916" s="306">
        <f t="shared" ref="K916" si="531">J916*E916</f>
        <v>0</v>
      </c>
      <c r="L916" s="307">
        <f t="shared" ref="L916" si="532">+K916/$F916</f>
        <v>0</v>
      </c>
      <c r="M916" s="1047">
        <f t="shared" ref="M916" si="533">+G916+J916</f>
        <v>0</v>
      </c>
      <c r="N916" s="306">
        <f t="shared" ref="N916" si="534">ROUND(+M916*E916,2)</f>
        <v>0</v>
      </c>
      <c r="O916" s="307">
        <f t="shared" ref="O916" si="535">+N916/$F916</f>
        <v>0</v>
      </c>
      <c r="P916" s="1047">
        <f t="shared" ref="P916" si="536">D916-M916</f>
        <v>14346</v>
      </c>
      <c r="Q916" s="306">
        <f t="shared" ref="Q916" si="537">F916-N916</f>
        <v>119502.18000000001</v>
      </c>
      <c r="R916" s="307">
        <f t="shared" ref="R916" si="538">+Q916/$F916</f>
        <v>1</v>
      </c>
      <c r="S916" s="1387"/>
      <c r="T916" s="314"/>
      <c r="U916" s="314"/>
      <c r="V916" s="314"/>
      <c r="W916" s="314"/>
    </row>
    <row r="917" spans="1:23" s="316" customFormat="1" ht="16.5" customHeight="1">
      <c r="A917" s="1745" t="s">
        <v>1629</v>
      </c>
      <c r="B917" s="1746" t="s">
        <v>2102</v>
      </c>
      <c r="C917" s="1497"/>
      <c r="D917" s="1781"/>
      <c r="E917" s="1782"/>
      <c r="F917" s="1756"/>
      <c r="G917" s="1049"/>
      <c r="H917" s="306"/>
      <c r="I917" s="307"/>
      <c r="J917" s="1046"/>
      <c r="K917" s="306"/>
      <c r="L917" s="307"/>
      <c r="M917" s="1047"/>
      <c r="N917" s="306"/>
      <c r="O917" s="307"/>
      <c r="P917" s="1047"/>
      <c r="Q917" s="306"/>
      <c r="R917" s="307"/>
      <c r="S917" s="1387"/>
      <c r="T917" s="314"/>
      <c r="U917" s="314"/>
      <c r="V917" s="314"/>
      <c r="W917" s="314"/>
    </row>
    <row r="918" spans="1:23" s="316" customFormat="1" ht="16.5" customHeight="1">
      <c r="A918" s="1309" t="s">
        <v>1630</v>
      </c>
      <c r="B918" s="1099" t="s">
        <v>2103</v>
      </c>
      <c r="C918" s="1497" t="s">
        <v>52</v>
      </c>
      <c r="D918" s="1781">
        <v>2</v>
      </c>
      <c r="E918" s="1782">
        <v>38906</v>
      </c>
      <c r="F918" s="1756">
        <f t="shared" si="438"/>
        <v>77812</v>
      </c>
      <c r="G918" s="1049">
        <v>0</v>
      </c>
      <c r="H918" s="306">
        <f t="shared" ref="H918:H919" si="539">ROUND($E918*G918,2)</f>
        <v>0</v>
      </c>
      <c r="I918" s="307">
        <f t="shared" ref="I918:I919" si="540">+H918/$F918</f>
        <v>0</v>
      </c>
      <c r="J918" s="1046"/>
      <c r="K918" s="306">
        <f t="shared" ref="K918:K919" si="541">J918*E918</f>
        <v>0</v>
      </c>
      <c r="L918" s="307">
        <f t="shared" ref="L918:L919" si="542">+K918/$F918</f>
        <v>0</v>
      </c>
      <c r="M918" s="1047">
        <f t="shared" ref="M918:M919" si="543">+G918+J918</f>
        <v>0</v>
      </c>
      <c r="N918" s="306">
        <f t="shared" ref="N918:N919" si="544">ROUND(+M918*E918,2)</f>
        <v>0</v>
      </c>
      <c r="O918" s="307">
        <f t="shared" ref="O918:O919" si="545">+N918/$F918</f>
        <v>0</v>
      </c>
      <c r="P918" s="1047">
        <f t="shared" ref="P918:P919" si="546">D918-M918</f>
        <v>2</v>
      </c>
      <c r="Q918" s="306">
        <f t="shared" ref="Q918:Q919" si="547">F918-N918</f>
        <v>77812</v>
      </c>
      <c r="R918" s="307">
        <f t="shared" ref="R918:R919" si="548">+Q918/$F918</f>
        <v>1</v>
      </c>
      <c r="S918" s="1387"/>
      <c r="T918" s="314"/>
      <c r="U918" s="314"/>
      <c r="V918" s="314"/>
      <c r="W918" s="314"/>
    </row>
    <row r="919" spans="1:23" s="316" customFormat="1" ht="16.5" customHeight="1">
      <c r="A919" s="1309" t="s">
        <v>1631</v>
      </c>
      <c r="B919" s="1099" t="s">
        <v>2104</v>
      </c>
      <c r="C919" s="1497" t="s">
        <v>52</v>
      </c>
      <c r="D919" s="1781">
        <v>7</v>
      </c>
      <c r="E919" s="1782">
        <v>12526.82</v>
      </c>
      <c r="F919" s="1756">
        <f t="shared" si="438"/>
        <v>87687.739999999991</v>
      </c>
      <c r="G919" s="1049">
        <v>0</v>
      </c>
      <c r="H919" s="306">
        <f t="shared" si="539"/>
        <v>0</v>
      </c>
      <c r="I919" s="307">
        <f t="shared" si="540"/>
        <v>0</v>
      </c>
      <c r="J919" s="1046"/>
      <c r="K919" s="306">
        <f t="shared" si="541"/>
        <v>0</v>
      </c>
      <c r="L919" s="307">
        <f t="shared" si="542"/>
        <v>0</v>
      </c>
      <c r="M919" s="1047">
        <f t="shared" si="543"/>
        <v>0</v>
      </c>
      <c r="N919" s="306">
        <f t="shared" si="544"/>
        <v>0</v>
      </c>
      <c r="O919" s="307">
        <f t="shared" si="545"/>
        <v>0</v>
      </c>
      <c r="P919" s="1047">
        <f t="shared" si="546"/>
        <v>7</v>
      </c>
      <c r="Q919" s="306">
        <f t="shared" si="547"/>
        <v>87687.739999999991</v>
      </c>
      <c r="R919" s="307">
        <f t="shared" si="548"/>
        <v>1</v>
      </c>
      <c r="S919" s="1387"/>
      <c r="T919" s="314"/>
      <c r="U919" s="314"/>
      <c r="V919" s="314"/>
      <c r="W919" s="314"/>
    </row>
    <row r="920" spans="1:23" ht="16.5" thickBot="1">
      <c r="A920" s="1309"/>
      <c r="B920" s="1489"/>
      <c r="C920" s="1502"/>
      <c r="D920" s="1303"/>
      <c r="E920" s="1312"/>
      <c r="F920" s="1304"/>
      <c r="G920" s="1049"/>
      <c r="H920" s="306"/>
      <c r="I920" s="307"/>
      <c r="J920" s="1046"/>
      <c r="K920" s="306"/>
      <c r="L920" s="307"/>
      <c r="M920" s="1047"/>
      <c r="N920" s="306"/>
      <c r="O920" s="307"/>
      <c r="P920" s="1047"/>
      <c r="Q920" s="306"/>
      <c r="R920" s="307"/>
      <c r="T920" s="1511" t="s">
        <v>2691</v>
      </c>
    </row>
    <row r="921" spans="1:23" ht="16.5" thickBot="1">
      <c r="A921" s="933"/>
      <c r="B921" s="2498" t="s">
        <v>18</v>
      </c>
      <c r="C921" s="2499"/>
      <c r="D921" s="2499"/>
      <c r="E921" s="2500"/>
      <c r="F921" s="1051">
        <f>SUM(F765:F919)</f>
        <v>1394520.9335069996</v>
      </c>
      <c r="G921" s="1051"/>
      <c r="H921" s="1050">
        <f>SUM(H761:H920)</f>
        <v>0</v>
      </c>
      <c r="I921" s="1052">
        <f>+H921/$F921</f>
        <v>0</v>
      </c>
      <c r="J921" s="1053"/>
      <c r="K921" s="1050">
        <f>SUM(K761:K920)</f>
        <v>0</v>
      </c>
      <c r="L921" s="1052">
        <f>+K921/$F921</f>
        <v>0</v>
      </c>
      <c r="M921" s="1054"/>
      <c r="N921" s="1050">
        <f>SUM(N761:N920)</f>
        <v>0</v>
      </c>
      <c r="O921" s="1052">
        <f>+N921/$F921</f>
        <v>0</v>
      </c>
      <c r="P921" s="1054"/>
      <c r="Q921" s="1050">
        <f>SUM(Q765:Q920)</f>
        <v>1394520.9335069996</v>
      </c>
      <c r="R921" s="1055">
        <f>+Q921/$F921</f>
        <v>1</v>
      </c>
      <c r="T921" s="1512">
        <f>F744+F588-F921</f>
        <v>3180881.9150930024</v>
      </c>
    </row>
    <row r="923" spans="1:23">
      <c r="B923" s="1783" t="s">
        <v>3793</v>
      </c>
      <c r="C923" s="2544" t="s">
        <v>3794</v>
      </c>
      <c r="D923" s="2545"/>
    </row>
    <row r="924" spans="1:23" ht="15">
      <c r="B924" s="1783" t="s">
        <v>2302</v>
      </c>
      <c r="C924" s="2540">
        <f>F588</f>
        <v>4142136.5430000024</v>
      </c>
      <c r="D924" s="2541"/>
      <c r="E924" s="1786"/>
    </row>
    <row r="925" spans="1:23" ht="15">
      <c r="B925" s="1783" t="s">
        <v>2460</v>
      </c>
      <c r="C925" s="2540">
        <f>F744</f>
        <v>433266.30559999991</v>
      </c>
      <c r="D925" s="2541"/>
    </row>
    <row r="926" spans="1:23" ht="15">
      <c r="B926" s="1783" t="s">
        <v>2290</v>
      </c>
      <c r="C926" s="2540">
        <f>F921</f>
        <v>1394520.9335069996</v>
      </c>
      <c r="D926" s="2541"/>
    </row>
    <row r="927" spans="1:23">
      <c r="B927" s="1784" t="s">
        <v>10</v>
      </c>
      <c r="C927" s="2542">
        <f>C924+C925-C926</f>
        <v>3180881.9150930024</v>
      </c>
      <c r="D927" s="2543"/>
      <c r="F927" s="230">
        <v>3180881.915093</v>
      </c>
    </row>
  </sheetData>
  <mergeCells count="82">
    <mergeCell ref="B1:O1"/>
    <mergeCell ref="B590:O590"/>
    <mergeCell ref="A2:R2"/>
    <mergeCell ref="A591:R591"/>
    <mergeCell ref="A592:R592"/>
    <mergeCell ref="G15:I15"/>
    <mergeCell ref="J15:L15"/>
    <mergeCell ref="M15:O15"/>
    <mergeCell ref="B588:E588"/>
    <mergeCell ref="A14:A16"/>
    <mergeCell ref="B14:B16"/>
    <mergeCell ref="C14:C16"/>
    <mergeCell ref="D14:D16"/>
    <mergeCell ref="E14:E16"/>
    <mergeCell ref="A747:R747"/>
    <mergeCell ref="A4:F4"/>
    <mergeCell ref="J9:K9"/>
    <mergeCell ref="L9:O9"/>
    <mergeCell ref="A3:R3"/>
    <mergeCell ref="P10:R10"/>
    <mergeCell ref="J11:K11"/>
    <mergeCell ref="L11:O11"/>
    <mergeCell ref="P11:R11"/>
    <mergeCell ref="J12:K12"/>
    <mergeCell ref="L12:O12"/>
    <mergeCell ref="P12:R12"/>
    <mergeCell ref="J10:K10"/>
    <mergeCell ref="L10:O10"/>
    <mergeCell ref="F14:F16"/>
    <mergeCell ref="P14:R15"/>
    <mergeCell ref="F602:F604"/>
    <mergeCell ref="A593:F593"/>
    <mergeCell ref="J597:K597"/>
    <mergeCell ref="L597:O597"/>
    <mergeCell ref="J598:K598"/>
    <mergeCell ref="L598:O598"/>
    <mergeCell ref="E602:E604"/>
    <mergeCell ref="P598:R598"/>
    <mergeCell ref="J599:K599"/>
    <mergeCell ref="L599:O599"/>
    <mergeCell ref="P599:R599"/>
    <mergeCell ref="J600:K600"/>
    <mergeCell ref="L600:O600"/>
    <mergeCell ref="P600:R600"/>
    <mergeCell ref="P753:R753"/>
    <mergeCell ref="P602:R603"/>
    <mergeCell ref="G603:I603"/>
    <mergeCell ref="J603:L603"/>
    <mergeCell ref="M603:O603"/>
    <mergeCell ref="J752:K752"/>
    <mergeCell ref="L752:O752"/>
    <mergeCell ref="J753:K753"/>
    <mergeCell ref="L753:O753"/>
    <mergeCell ref="A748:R748"/>
    <mergeCell ref="A746:R746"/>
    <mergeCell ref="B744:E744"/>
    <mergeCell ref="A602:A604"/>
    <mergeCell ref="B602:B604"/>
    <mergeCell ref="C602:C604"/>
    <mergeCell ref="D602:D604"/>
    <mergeCell ref="J754:K754"/>
    <mergeCell ref="L754:O754"/>
    <mergeCell ref="P754:R754"/>
    <mergeCell ref="J755:K755"/>
    <mergeCell ref="L755:O755"/>
    <mergeCell ref="P755:R755"/>
    <mergeCell ref="A757:A759"/>
    <mergeCell ref="B757:B759"/>
    <mergeCell ref="C757:C759"/>
    <mergeCell ref="D757:D759"/>
    <mergeCell ref="E757:E759"/>
    <mergeCell ref="C924:D924"/>
    <mergeCell ref="C925:D925"/>
    <mergeCell ref="C926:D926"/>
    <mergeCell ref="C927:D927"/>
    <mergeCell ref="P757:R758"/>
    <mergeCell ref="G758:I758"/>
    <mergeCell ref="J758:L758"/>
    <mergeCell ref="M758:O758"/>
    <mergeCell ref="B921:E921"/>
    <mergeCell ref="C923:D923"/>
    <mergeCell ref="F757:F759"/>
  </mergeCells>
  <conditionalFormatting sqref="C649:C721">
    <cfRule type="expression" dxfId="45" priority="44">
      <formula>#REF!="T"</formula>
    </cfRule>
  </conditionalFormatting>
  <conditionalFormatting sqref="C724:C742">
    <cfRule type="expression" dxfId="44" priority="54">
      <formula>#REF!="T"</formula>
    </cfRule>
  </conditionalFormatting>
  <conditionalFormatting sqref="C626:D629">
    <cfRule type="expression" dxfId="43" priority="28">
      <formula>#REF!="T"</formula>
    </cfRule>
  </conditionalFormatting>
  <conditionalFormatting sqref="C608:E609">
    <cfRule type="expression" dxfId="42" priority="18">
      <formula>#REF!="T"</formula>
    </cfRule>
  </conditionalFormatting>
  <conditionalFormatting sqref="C645:E646">
    <cfRule type="expression" dxfId="41" priority="85">
      <formula>#REF!="T"</formula>
    </cfRule>
  </conditionalFormatting>
  <conditionalFormatting sqref="C843:E848">
    <cfRule type="expression" dxfId="40" priority="21">
      <formula>#REF!="T"</formula>
    </cfRule>
  </conditionalFormatting>
  <conditionalFormatting sqref="C873:E885">
    <cfRule type="expression" dxfId="39" priority="20">
      <formula>#REF!="T"</formula>
    </cfRule>
  </conditionalFormatting>
  <conditionalFormatting sqref="C891:E892">
    <cfRule type="expression" dxfId="38" priority="33">
      <formula>#REF!="T"</formula>
    </cfRule>
  </conditionalFormatting>
  <conditionalFormatting sqref="C19:F22 F23:F317 C25:C152 D25:E317 C154:C317">
    <cfRule type="expression" dxfId="37" priority="127">
      <formula>#REF!="T"</formula>
    </cfRule>
  </conditionalFormatting>
  <conditionalFormatting sqref="C318:F587">
    <cfRule type="expression" dxfId="36" priority="1">
      <formula>#REF!="T"</formula>
    </cfRule>
  </conditionalFormatting>
  <conditionalFormatting sqref="C623:F625">
    <cfRule type="expression" dxfId="35" priority="10">
      <formula>#REF!="T"</formula>
    </cfRule>
  </conditionalFormatting>
  <conditionalFormatting sqref="C630:F644">
    <cfRule type="expression" dxfId="34" priority="2">
      <formula>#REF!="T"</formula>
    </cfRule>
  </conditionalFormatting>
  <conditionalFormatting sqref="C722:F722 C723:E723">
    <cfRule type="expression" dxfId="33" priority="53">
      <formula>#REF!="T"</formula>
    </cfRule>
  </conditionalFormatting>
  <conditionalFormatting sqref="C743:F743">
    <cfRule type="expression" dxfId="32" priority="69">
      <formula>#REF!="T"</formula>
    </cfRule>
  </conditionalFormatting>
  <conditionalFormatting sqref="C920:F920">
    <cfRule type="expression" dxfId="31" priority="125">
      <formula>#REF!="T"</formula>
    </cfRule>
  </conditionalFormatting>
  <conditionalFormatting sqref="D649:D673">
    <cfRule type="expression" dxfId="30" priority="88">
      <formula>#REF!="T"</formula>
    </cfRule>
  </conditionalFormatting>
  <conditionalFormatting sqref="D887:D890">
    <cfRule type="expression" dxfId="29" priority="19">
      <formula>#REF!="T"</formula>
    </cfRule>
  </conditionalFormatting>
  <conditionalFormatting sqref="D674:E693">
    <cfRule type="expression" dxfId="28" priority="74">
      <formula>#REF!="T"</formula>
    </cfRule>
  </conditionalFormatting>
  <conditionalFormatting sqref="D724:E729">
    <cfRule type="expression" dxfId="27" priority="23">
      <formula>#REF!="T"</formula>
    </cfRule>
  </conditionalFormatting>
  <conditionalFormatting sqref="D694:F721">
    <cfRule type="expression" dxfId="26" priority="24">
      <formula>#REF!="T"</formula>
    </cfRule>
  </conditionalFormatting>
  <conditionalFormatting sqref="D730:F742">
    <cfRule type="expression" dxfId="25" priority="22">
      <formula>#REF!="T"</formula>
    </cfRule>
  </conditionalFormatting>
  <conditionalFormatting sqref="E610:E614 C610:D615">
    <cfRule type="expression" dxfId="24" priority="17">
      <formula>#REF!="T"</formula>
    </cfRule>
  </conditionalFormatting>
  <conditionalFormatting sqref="E649:E663">
    <cfRule type="expression" dxfId="23" priority="84">
      <formula>#REF!="T"</formula>
    </cfRule>
  </conditionalFormatting>
  <conditionalFormatting sqref="E665:E673">
    <cfRule type="expression" dxfId="22" priority="83">
      <formula>#REF!="T"</formula>
    </cfRule>
  </conditionalFormatting>
  <conditionalFormatting sqref="E626:F629">
    <cfRule type="expression" dxfId="21" priority="12">
      <formula>#REF!="T"</formula>
    </cfRule>
  </conditionalFormatting>
  <conditionalFormatting sqref="E664:F664">
    <cfRule type="expression" dxfId="20" priority="118">
      <formula>#REF!="T"</formula>
    </cfRule>
  </conditionalFormatting>
  <conditionalFormatting sqref="F608:F614 E615:F615 C616:F620">
    <cfRule type="expression" dxfId="19" priority="124">
      <formula>#REF!="T"</formula>
    </cfRule>
  </conditionalFormatting>
  <conditionalFormatting sqref="F621">
    <cfRule type="expression" dxfId="18" priority="112">
      <formula>#REF!="T"</formula>
    </cfRule>
  </conditionalFormatting>
  <conditionalFormatting sqref="F645:F663">
    <cfRule type="expression" dxfId="17" priority="96">
      <formula>#REF!="T"</formula>
    </cfRule>
  </conditionalFormatting>
  <conditionalFormatting sqref="F665:F693">
    <cfRule type="expression" dxfId="16" priority="92">
      <formula>#REF!="T"</formula>
    </cfRule>
  </conditionalFormatting>
  <conditionalFormatting sqref="F723:F729">
    <cfRule type="expression" dxfId="15" priority="37">
      <formula>#REF!="T"</formula>
    </cfRule>
  </conditionalFormatting>
  <conditionalFormatting sqref="F762:F919">
    <cfRule type="expression" dxfId="14" priority="31">
      <formula>#REF!="T"</formula>
    </cfRule>
  </conditionalFormatting>
  <printOptions horizontalCentered="1"/>
  <pageMargins left="0.23622047244094491" right="0.23622047244094491" top="0.74803149606299213" bottom="0.74803149606299213" header="0.31496062992125984" footer="0.31496062992125984"/>
  <pageSetup paperSize="9" scale="49" fitToHeight="0" orientation="landscape" r:id="rId1"/>
  <headerFooter>
    <oddFooter>&amp;CPágina &amp;P de &amp;N</oddFooter>
  </headerFooter>
  <rowBreaks count="19" manualBreakCount="19">
    <brk id="58" max="17" man="1"/>
    <brk id="107" max="17" man="1"/>
    <brk id="161" max="17" man="1"/>
    <brk id="216" max="17" man="1"/>
    <brk id="264" max="17" man="1"/>
    <brk id="306" max="17" man="1"/>
    <brk id="358" max="17" man="1"/>
    <brk id="405" max="17" man="1"/>
    <brk id="451" max="17" man="1"/>
    <brk id="496" max="17" man="1"/>
    <brk id="545" max="17" man="1"/>
    <brk id="588" max="16383" man="1"/>
    <brk id="641" max="17" man="1"/>
    <brk id="689" max="17" man="1"/>
    <brk id="732" max="17" man="1"/>
    <brk id="744" max="16383" man="1"/>
    <brk id="791" max="17" man="1"/>
    <brk id="839" max="17" man="1"/>
    <brk id="885" max="17" man="1"/>
  </rowBreaks>
  <ignoredErrors>
    <ignoredError sqref="Q636" unlockedFormula="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4">
    <tabColor theme="8" tint="-0.249977111117893"/>
    <pageSetUpPr fitToPage="1"/>
  </sheetPr>
  <dimension ref="A1:AR236"/>
  <sheetViews>
    <sheetView view="pageBreakPreview" topLeftCell="A221" zoomScale="106" zoomScaleNormal="100" zoomScaleSheetLayoutView="106" workbookViewId="0">
      <selection activeCell="B238" sqref="B238"/>
    </sheetView>
  </sheetViews>
  <sheetFormatPr baseColWidth="10" defaultColWidth="11.5703125" defaultRowHeight="15"/>
  <cols>
    <col min="2" max="2" width="76.140625" customWidth="1"/>
    <col min="6" max="6" width="16.85546875" customWidth="1"/>
    <col min="7" max="7" width="17" customWidth="1"/>
    <col min="8" max="8" width="11.7109375" customWidth="1"/>
    <col min="9" max="9" width="19.28515625" customWidth="1"/>
    <col min="11" max="11" width="20.28515625" customWidth="1"/>
    <col min="13" max="13" width="16.5703125" customWidth="1"/>
    <col min="14" max="14" width="9.28515625" customWidth="1"/>
    <col min="15" max="15" width="17.28515625" customWidth="1"/>
    <col min="20" max="20" width="16.7109375" bestFit="1" customWidth="1"/>
  </cols>
  <sheetData>
    <row r="1" spans="1:44">
      <c r="B1" s="2560" t="s">
        <v>1104</v>
      </c>
      <c r="C1" s="2560"/>
      <c r="D1" s="2560"/>
      <c r="E1" s="2560"/>
      <c r="F1" s="2560"/>
      <c r="G1" s="2560"/>
      <c r="H1" s="2560"/>
      <c r="I1" s="2560"/>
      <c r="J1" s="2560"/>
      <c r="K1" s="2560"/>
      <c r="L1" s="2560"/>
      <c r="M1" s="2560"/>
      <c r="N1" s="2560"/>
    </row>
    <row r="2" spans="1:44" ht="19.5" customHeight="1" thickBot="1">
      <c r="B2" s="2559" t="s">
        <v>1105</v>
      </c>
      <c r="C2" s="2559"/>
      <c r="D2" s="2559"/>
      <c r="E2" s="2559"/>
      <c r="F2" s="2559"/>
      <c r="G2" s="2559"/>
      <c r="H2" s="2559"/>
      <c r="I2" s="2559"/>
      <c r="J2" s="2559"/>
      <c r="K2" s="2559"/>
      <c r="L2" s="2559"/>
      <c r="M2" s="2559"/>
      <c r="N2" s="2559"/>
      <c r="O2" s="929"/>
      <c r="P2" s="929"/>
      <c r="Q2" s="929"/>
      <c r="R2" s="929"/>
      <c r="S2" s="929"/>
      <c r="T2" s="929"/>
      <c r="U2" s="929"/>
      <c r="V2" s="929"/>
      <c r="W2" s="929"/>
      <c r="X2" s="929"/>
      <c r="Y2" s="929"/>
      <c r="Z2" s="929"/>
      <c r="AA2" s="929"/>
      <c r="AB2" s="929"/>
      <c r="AC2" s="929"/>
      <c r="AD2" s="929"/>
      <c r="AE2" s="929"/>
      <c r="AF2" s="929"/>
      <c r="AG2" s="929"/>
      <c r="AH2" s="929"/>
      <c r="AI2" s="929"/>
      <c r="AJ2" s="929"/>
      <c r="AK2" s="929"/>
      <c r="AL2" s="929"/>
      <c r="AM2" s="929"/>
      <c r="AN2" s="929"/>
      <c r="AO2" s="929"/>
      <c r="AP2" s="929"/>
      <c r="AQ2" s="929"/>
      <c r="AR2" s="929"/>
    </row>
    <row r="3" spans="1:44" ht="35.25" customHeight="1" thickBot="1">
      <c r="A3" s="970" t="s">
        <v>718</v>
      </c>
      <c r="B3" s="2566" t="s">
        <v>1092</v>
      </c>
      <c r="C3" s="2567"/>
      <c r="D3" s="2567"/>
      <c r="E3" s="2567"/>
      <c r="F3" s="2567"/>
      <c r="G3" s="2567"/>
      <c r="H3" s="2567"/>
      <c r="I3" s="2567"/>
      <c r="J3" s="2567"/>
      <c r="K3" s="2567"/>
      <c r="L3" s="2567"/>
      <c r="M3" s="2567"/>
      <c r="N3" s="2567"/>
      <c r="O3" s="2567"/>
      <c r="P3" s="2567"/>
      <c r="Q3" s="2567"/>
      <c r="R3" s="2568"/>
    </row>
    <row r="4" spans="1:44" ht="15.75" thickBot="1">
      <c r="A4" s="843"/>
      <c r="B4" s="844"/>
      <c r="C4" s="845"/>
      <c r="D4" s="845"/>
      <c r="E4" s="845"/>
      <c r="F4" s="846"/>
      <c r="G4" s="846"/>
      <c r="H4" s="847"/>
      <c r="I4" s="846"/>
      <c r="J4" s="847"/>
      <c r="K4" s="846"/>
      <c r="L4" s="847"/>
      <c r="M4" s="674"/>
      <c r="N4" s="674"/>
    </row>
    <row r="5" spans="1:44" ht="15" customHeight="1">
      <c r="A5" s="2547" t="s">
        <v>31</v>
      </c>
      <c r="B5" s="2550" t="s">
        <v>2</v>
      </c>
      <c r="C5" s="2553" t="s">
        <v>13</v>
      </c>
      <c r="D5" s="2556" t="s">
        <v>23</v>
      </c>
      <c r="E5" s="2556" t="s">
        <v>131</v>
      </c>
      <c r="F5" s="2562" t="s">
        <v>1094</v>
      </c>
      <c r="G5" s="2570" t="s">
        <v>1095</v>
      </c>
      <c r="H5" s="2571"/>
      <c r="I5" s="2571"/>
      <c r="J5" s="2571"/>
      <c r="K5" s="2571"/>
      <c r="L5" s="2571"/>
      <c r="M5" s="2571"/>
      <c r="N5" s="2571"/>
      <c r="O5" s="2571"/>
      <c r="P5" s="2571"/>
      <c r="Q5" s="2571"/>
      <c r="R5" s="2572"/>
    </row>
    <row r="6" spans="1:44">
      <c r="A6" s="2548"/>
      <c r="B6" s="2551"/>
      <c r="C6" s="2554"/>
      <c r="D6" s="2557"/>
      <c r="E6" s="2557"/>
      <c r="F6" s="2563"/>
      <c r="G6" s="2565" t="s">
        <v>1096</v>
      </c>
      <c r="H6" s="2561"/>
      <c r="I6" s="2561" t="s">
        <v>1097</v>
      </c>
      <c r="J6" s="2561"/>
      <c r="K6" s="2561" t="s">
        <v>409</v>
      </c>
      <c r="L6" s="2561"/>
      <c r="M6" s="2561" t="s">
        <v>1098</v>
      </c>
      <c r="N6" s="2561"/>
      <c r="O6" s="2561" t="s">
        <v>1117</v>
      </c>
      <c r="P6" s="2561"/>
      <c r="Q6" s="2561" t="s">
        <v>1132</v>
      </c>
      <c r="R6" s="2569"/>
    </row>
    <row r="7" spans="1:44" ht="15.75" thickBot="1">
      <c r="A7" s="2549"/>
      <c r="B7" s="2552"/>
      <c r="C7" s="2555"/>
      <c r="D7" s="2558"/>
      <c r="E7" s="2558"/>
      <c r="F7" s="2564"/>
      <c r="G7" s="975" t="s">
        <v>113</v>
      </c>
      <c r="H7" s="976" t="s">
        <v>30</v>
      </c>
      <c r="I7" s="977" t="s">
        <v>113</v>
      </c>
      <c r="J7" s="976" t="s">
        <v>30</v>
      </c>
      <c r="K7" s="977" t="s">
        <v>113</v>
      </c>
      <c r="L7" s="976" t="s">
        <v>30</v>
      </c>
      <c r="M7" s="977" t="s">
        <v>113</v>
      </c>
      <c r="N7" s="976" t="s">
        <v>30</v>
      </c>
      <c r="O7" s="977" t="s">
        <v>113</v>
      </c>
      <c r="P7" s="976" t="s">
        <v>30</v>
      </c>
      <c r="Q7" s="977" t="s">
        <v>113</v>
      </c>
      <c r="R7" s="978" t="s">
        <v>30</v>
      </c>
    </row>
    <row r="8" spans="1:44">
      <c r="A8" s="852"/>
      <c r="B8" s="853"/>
      <c r="C8" s="854"/>
      <c r="D8" s="854"/>
      <c r="E8" s="854"/>
      <c r="F8" s="855">
        <f>F9+F174+F215</f>
        <v>853658.71</v>
      </c>
      <c r="G8" s="972" t="e">
        <f>SUM(G10:G223)</f>
        <v>#REF!</v>
      </c>
      <c r="H8" s="973" t="e">
        <f>G8/F8</f>
        <v>#REF!</v>
      </c>
      <c r="I8" s="974" t="e">
        <f>SUM(I10:I223)</f>
        <v>#REF!</v>
      </c>
      <c r="J8" s="973" t="e">
        <f>I8/F8</f>
        <v>#REF!</v>
      </c>
      <c r="K8" s="974">
        <f>SUM(K9:K223)</f>
        <v>282925.99000000005</v>
      </c>
      <c r="L8" s="973">
        <f>K8/F8</f>
        <v>0.3314275209585808</v>
      </c>
      <c r="M8" s="974">
        <f>SUM(M9:M223)</f>
        <v>76689.840000000011</v>
      </c>
      <c r="N8" s="973">
        <f>M8/F8</f>
        <v>8.9836651464611672E-2</v>
      </c>
      <c r="O8" s="974">
        <v>27791.13</v>
      </c>
      <c r="P8" s="973">
        <v>3.2555317100905583E-2</v>
      </c>
      <c r="Q8" s="974">
        <v>27791.13</v>
      </c>
      <c r="R8" s="973">
        <v>3.2555317100905583E-2</v>
      </c>
      <c r="S8" s="5" t="e">
        <f>H8+J8+L8+N8+P8</f>
        <v>#REF!</v>
      </c>
      <c r="T8" s="932" t="e">
        <f>G8+I8+K8+M8+O8</f>
        <v>#REF!</v>
      </c>
    </row>
    <row r="9" spans="1:44">
      <c r="A9" s="860" t="s">
        <v>34</v>
      </c>
      <c r="B9" s="861" t="s">
        <v>911</v>
      </c>
      <c r="C9" s="861"/>
      <c r="D9" s="861"/>
      <c r="E9" s="861"/>
      <c r="F9" s="959">
        <v>728635.23</v>
      </c>
      <c r="G9" s="863"/>
      <c r="H9" s="966"/>
      <c r="I9" s="863"/>
      <c r="J9" s="864"/>
      <c r="K9" s="863"/>
      <c r="L9" s="864"/>
      <c r="M9" s="863"/>
      <c r="N9" s="864"/>
      <c r="O9" s="863"/>
      <c r="P9" s="864"/>
      <c r="Q9" s="968"/>
      <c r="R9" s="864"/>
      <c r="S9" s="5">
        <f t="shared" ref="S9:S72" si="0">H9+J9+L9+N9+P9</f>
        <v>0</v>
      </c>
      <c r="T9" s="932">
        <f t="shared" ref="T9:T72" si="1">G9+I9+K9+M9+O9</f>
        <v>0</v>
      </c>
    </row>
    <row r="10" spans="1:44">
      <c r="A10" s="866" t="s">
        <v>43</v>
      </c>
      <c r="B10" s="867" t="s">
        <v>536</v>
      </c>
      <c r="C10" s="867"/>
      <c r="D10" s="867"/>
      <c r="E10" s="867"/>
      <c r="F10" s="960">
        <v>3252.71</v>
      </c>
      <c r="G10" s="863"/>
      <c r="H10" s="966"/>
      <c r="I10" s="863"/>
      <c r="J10" s="864"/>
      <c r="K10" s="863"/>
      <c r="L10" s="864"/>
      <c r="M10" s="863"/>
      <c r="N10" s="864"/>
      <c r="O10" s="863"/>
      <c r="P10" s="864"/>
      <c r="Q10" s="968"/>
      <c r="R10" s="864"/>
      <c r="S10" s="5">
        <f t="shared" si="0"/>
        <v>0</v>
      </c>
      <c r="T10" s="932">
        <f t="shared" si="1"/>
        <v>0</v>
      </c>
    </row>
    <row r="11" spans="1:44">
      <c r="A11" s="869" t="s">
        <v>537</v>
      </c>
      <c r="B11" s="870" t="s">
        <v>539</v>
      </c>
      <c r="C11" s="870" t="s">
        <v>52</v>
      </c>
      <c r="D11" s="871">
        <v>1</v>
      </c>
      <c r="E11" s="870"/>
      <c r="F11" s="961">
        <v>990.53</v>
      </c>
      <c r="G11" s="863">
        <f>'FE3-1 '!K317</f>
        <v>0</v>
      </c>
      <c r="H11" s="967">
        <f>G11/F11</f>
        <v>0</v>
      </c>
      <c r="I11" s="863"/>
      <c r="J11" s="864"/>
      <c r="K11" s="863"/>
      <c r="L11" s="864"/>
      <c r="M11" s="863"/>
      <c r="N11" s="864"/>
      <c r="O11" s="863"/>
      <c r="P11" s="864"/>
      <c r="Q11" s="968"/>
      <c r="R11" s="864"/>
      <c r="S11" s="5">
        <f t="shared" si="0"/>
        <v>0</v>
      </c>
      <c r="T11" s="932">
        <f t="shared" si="1"/>
        <v>0</v>
      </c>
    </row>
    <row r="12" spans="1:44">
      <c r="A12" s="869" t="s">
        <v>538</v>
      </c>
      <c r="B12" s="870" t="s">
        <v>912</v>
      </c>
      <c r="C12" s="870" t="s">
        <v>53</v>
      </c>
      <c r="D12" s="871">
        <v>4</v>
      </c>
      <c r="E12" s="870"/>
      <c r="F12" s="961">
        <v>1200</v>
      </c>
      <c r="G12" s="863">
        <f>'FE3-1 '!K318</f>
        <v>0</v>
      </c>
      <c r="H12" s="967">
        <f t="shared" ref="H12:H74" si="2">G12/F12</f>
        <v>0</v>
      </c>
      <c r="I12" s="863">
        <v>300</v>
      </c>
      <c r="J12" s="864">
        <f>I12/F12</f>
        <v>0.25</v>
      </c>
      <c r="K12" s="863">
        <v>300</v>
      </c>
      <c r="L12" s="864">
        <v>0.25</v>
      </c>
      <c r="M12" s="863">
        <v>300</v>
      </c>
      <c r="N12" s="864">
        <v>0.25</v>
      </c>
      <c r="O12" s="863">
        <v>150</v>
      </c>
      <c r="P12" s="864">
        <v>0.125</v>
      </c>
      <c r="Q12" s="968"/>
      <c r="R12" s="864"/>
      <c r="S12" s="5">
        <f t="shared" si="0"/>
        <v>0.875</v>
      </c>
      <c r="T12" s="932">
        <f t="shared" si="1"/>
        <v>1050</v>
      </c>
    </row>
    <row r="13" spans="1:44">
      <c r="A13" s="869" t="s">
        <v>540</v>
      </c>
      <c r="B13" s="870" t="s">
        <v>541</v>
      </c>
      <c r="C13" s="870" t="s">
        <v>50</v>
      </c>
      <c r="D13" s="871">
        <v>3.4632000000000005</v>
      </c>
      <c r="E13" s="870"/>
      <c r="F13" s="961">
        <v>138.37</v>
      </c>
      <c r="G13" s="863">
        <f>'FE3-1 '!K319</f>
        <v>0</v>
      </c>
      <c r="H13" s="967">
        <f t="shared" si="2"/>
        <v>0</v>
      </c>
      <c r="I13" s="863"/>
      <c r="J13" s="864"/>
      <c r="K13" s="863"/>
      <c r="L13" s="864"/>
      <c r="M13" s="863"/>
      <c r="N13" s="864"/>
      <c r="O13" s="863"/>
      <c r="P13" s="864"/>
      <c r="Q13" s="968"/>
      <c r="R13" s="864"/>
      <c r="S13" s="5">
        <f t="shared" si="0"/>
        <v>0</v>
      </c>
      <c r="T13" s="932">
        <f t="shared" si="1"/>
        <v>0</v>
      </c>
    </row>
    <row r="14" spans="1:44">
      <c r="A14" s="869" t="s">
        <v>542</v>
      </c>
      <c r="B14" s="870" t="s">
        <v>543</v>
      </c>
      <c r="C14" s="870" t="s">
        <v>52</v>
      </c>
      <c r="D14" s="871">
        <v>1</v>
      </c>
      <c r="E14" s="930"/>
      <c r="F14" s="961">
        <v>923.81</v>
      </c>
      <c r="G14" s="863"/>
      <c r="I14" s="863">
        <f>F14</f>
        <v>923.81</v>
      </c>
      <c r="J14" s="864">
        <f t="shared" ref="J14:J69" si="3">I14/F14</f>
        <v>1</v>
      </c>
      <c r="K14" s="863"/>
      <c r="L14" s="864"/>
      <c r="M14" s="863"/>
      <c r="N14" s="864"/>
      <c r="O14" s="863"/>
      <c r="P14" s="864"/>
      <c r="Q14" s="968"/>
      <c r="R14" s="864"/>
      <c r="S14" s="5">
        <f>H15+J14+L14+N14+P14</f>
        <v>1</v>
      </c>
      <c r="T14" s="932">
        <f t="shared" si="1"/>
        <v>923.81</v>
      </c>
    </row>
    <row r="15" spans="1:44">
      <c r="A15" s="866" t="s">
        <v>44</v>
      </c>
      <c r="B15" s="867" t="s">
        <v>548</v>
      </c>
      <c r="C15" s="867"/>
      <c r="D15" s="874"/>
      <c r="E15" s="867"/>
      <c r="F15" s="960">
        <v>6304.85</v>
      </c>
      <c r="G15" s="863"/>
      <c r="H15" s="968"/>
      <c r="I15" s="863"/>
      <c r="J15" s="864">
        <f t="shared" si="3"/>
        <v>0</v>
      </c>
      <c r="K15" s="863"/>
      <c r="L15" s="864"/>
      <c r="M15" s="863"/>
      <c r="N15" s="864"/>
      <c r="O15" s="863"/>
      <c r="P15" s="864"/>
      <c r="Q15" s="968"/>
      <c r="R15" s="864"/>
      <c r="S15" s="5" t="e">
        <f>#REF!+J15+L15+N15+P15</f>
        <v>#REF!</v>
      </c>
      <c r="T15" s="932">
        <f t="shared" si="1"/>
        <v>0</v>
      </c>
    </row>
    <row r="16" spans="1:44">
      <c r="A16" s="869" t="s">
        <v>544</v>
      </c>
      <c r="B16" s="870" t="s">
        <v>550</v>
      </c>
      <c r="C16" s="870" t="s">
        <v>49</v>
      </c>
      <c r="D16" s="871">
        <v>1522.9070000000002</v>
      </c>
      <c r="E16" s="870"/>
      <c r="F16" s="961">
        <v>6304.85</v>
      </c>
      <c r="G16" s="863">
        <f>'FE3-1 '!K322</f>
        <v>0</v>
      </c>
      <c r="H16" s="967">
        <f t="shared" si="2"/>
        <v>0</v>
      </c>
      <c r="I16" s="863">
        <f>F16-G16</f>
        <v>6304.85</v>
      </c>
      <c r="J16" s="864">
        <f t="shared" si="3"/>
        <v>1</v>
      </c>
      <c r="K16" s="863"/>
      <c r="L16" s="864"/>
      <c r="M16" s="863"/>
      <c r="N16" s="864"/>
      <c r="O16" s="863"/>
      <c r="P16" s="864"/>
      <c r="Q16" s="968"/>
      <c r="R16" s="864"/>
      <c r="S16" s="5">
        <f t="shared" si="0"/>
        <v>1</v>
      </c>
      <c r="T16" s="932">
        <f t="shared" si="1"/>
        <v>6304.85</v>
      </c>
    </row>
    <row r="17" spans="1:20">
      <c r="A17" s="866" t="s">
        <v>547</v>
      </c>
      <c r="B17" s="867" t="s">
        <v>552</v>
      </c>
      <c r="C17" s="867"/>
      <c r="D17" s="874"/>
      <c r="E17" s="867"/>
      <c r="F17" s="960">
        <v>2000</v>
      </c>
      <c r="G17" s="863"/>
      <c r="H17" s="968"/>
      <c r="I17" s="863"/>
      <c r="J17" s="864">
        <f t="shared" si="3"/>
        <v>0</v>
      </c>
      <c r="K17" s="863"/>
      <c r="L17" s="864"/>
      <c r="M17" s="863"/>
      <c r="N17" s="864"/>
      <c r="O17" s="863"/>
      <c r="P17" s="864"/>
      <c r="Q17" s="968"/>
      <c r="R17" s="864"/>
      <c r="S17" s="5">
        <f t="shared" si="0"/>
        <v>0</v>
      </c>
      <c r="T17" s="932">
        <f t="shared" si="1"/>
        <v>0</v>
      </c>
    </row>
    <row r="18" spans="1:20">
      <c r="A18" s="869" t="s">
        <v>549</v>
      </c>
      <c r="B18" s="870" t="s">
        <v>554</v>
      </c>
      <c r="C18" s="870" t="s">
        <v>913</v>
      </c>
      <c r="D18" s="871">
        <v>2</v>
      </c>
      <c r="E18" s="870"/>
      <c r="F18" s="961">
        <v>2000</v>
      </c>
      <c r="G18" s="863">
        <f>'FE3-1 '!K324</f>
        <v>0</v>
      </c>
      <c r="H18" s="967">
        <f t="shared" si="2"/>
        <v>0</v>
      </c>
      <c r="I18" s="863">
        <v>1000</v>
      </c>
      <c r="J18" s="864">
        <f t="shared" si="3"/>
        <v>0.5</v>
      </c>
      <c r="K18" s="863"/>
      <c r="L18" s="864"/>
      <c r="M18" s="863"/>
      <c r="N18" s="864"/>
      <c r="O18" s="863"/>
      <c r="P18" s="864"/>
      <c r="Q18" s="968"/>
      <c r="R18" s="864"/>
      <c r="S18" s="5">
        <f t="shared" si="0"/>
        <v>0.5</v>
      </c>
      <c r="T18" s="932">
        <f t="shared" si="1"/>
        <v>1000</v>
      </c>
    </row>
    <row r="19" spans="1:20">
      <c r="A19" s="866" t="s">
        <v>551</v>
      </c>
      <c r="B19" s="867" t="s">
        <v>915</v>
      </c>
      <c r="C19" s="867"/>
      <c r="D19" s="874"/>
      <c r="E19" s="867"/>
      <c r="F19" s="960">
        <v>12845</v>
      </c>
      <c r="G19" s="863"/>
      <c r="H19" s="968"/>
      <c r="I19" s="863"/>
      <c r="J19" s="864">
        <f t="shared" si="3"/>
        <v>0</v>
      </c>
      <c r="K19" s="863"/>
      <c r="L19" s="864"/>
      <c r="M19" s="863"/>
      <c r="N19" s="864"/>
      <c r="O19" s="863"/>
      <c r="P19" s="864"/>
      <c r="Q19" s="968"/>
      <c r="R19" s="864"/>
      <c r="S19" s="5">
        <f t="shared" si="0"/>
        <v>0</v>
      </c>
      <c r="T19" s="932">
        <f t="shared" si="1"/>
        <v>0</v>
      </c>
    </row>
    <row r="20" spans="1:20">
      <c r="A20" s="869" t="s">
        <v>553</v>
      </c>
      <c r="B20" s="870" t="s">
        <v>545</v>
      </c>
      <c r="C20" s="870" t="s">
        <v>52</v>
      </c>
      <c r="D20" s="871">
        <v>1</v>
      </c>
      <c r="E20" s="870"/>
      <c r="F20" s="961">
        <v>690</v>
      </c>
      <c r="G20" s="863">
        <f>'FE3-1 '!K326</f>
        <v>0</v>
      </c>
      <c r="H20" s="967">
        <f t="shared" si="2"/>
        <v>0</v>
      </c>
      <c r="I20" s="863"/>
      <c r="J20" s="864">
        <f t="shared" si="3"/>
        <v>0</v>
      </c>
      <c r="K20" s="863"/>
      <c r="L20" s="864"/>
      <c r="M20" s="863"/>
      <c r="N20" s="864"/>
      <c r="O20" s="863"/>
      <c r="P20" s="864"/>
      <c r="Q20" s="968"/>
      <c r="R20" s="864"/>
      <c r="S20" s="5">
        <f t="shared" si="0"/>
        <v>0</v>
      </c>
      <c r="T20" s="932">
        <f t="shared" si="1"/>
        <v>0</v>
      </c>
    </row>
    <row r="21" spans="1:20">
      <c r="A21" s="869" t="s">
        <v>555</v>
      </c>
      <c r="B21" s="870" t="s">
        <v>546</v>
      </c>
      <c r="C21" s="870" t="s">
        <v>53</v>
      </c>
      <c r="D21" s="871">
        <v>4</v>
      </c>
      <c r="E21" s="870"/>
      <c r="F21" s="961">
        <v>4800</v>
      </c>
      <c r="G21" s="863">
        <f>'FE3-1 '!K327</f>
        <v>0</v>
      </c>
      <c r="H21" s="967">
        <f t="shared" si="2"/>
        <v>0</v>
      </c>
      <c r="I21" s="863">
        <v>1200</v>
      </c>
      <c r="J21" s="864">
        <f t="shared" si="3"/>
        <v>0.25</v>
      </c>
      <c r="K21" s="863">
        <v>1200</v>
      </c>
      <c r="L21" s="864">
        <v>0.25</v>
      </c>
      <c r="M21" s="863">
        <v>1200</v>
      </c>
      <c r="N21" s="864">
        <v>0.25</v>
      </c>
      <c r="O21" s="863">
        <v>600</v>
      </c>
      <c r="P21" s="864">
        <v>0.125</v>
      </c>
      <c r="Q21" s="968"/>
      <c r="R21" s="864"/>
      <c r="S21" s="5">
        <f t="shared" si="0"/>
        <v>0.875</v>
      </c>
      <c r="T21" s="932">
        <f t="shared" si="1"/>
        <v>4200</v>
      </c>
    </row>
    <row r="22" spans="1:20">
      <c r="A22" s="869" t="s">
        <v>999</v>
      </c>
      <c r="B22" s="870" t="s">
        <v>916</v>
      </c>
      <c r="C22" s="870" t="s">
        <v>52</v>
      </c>
      <c r="D22" s="871">
        <v>1</v>
      </c>
      <c r="E22" s="870"/>
      <c r="F22" s="961">
        <v>7355</v>
      </c>
      <c r="G22" s="863">
        <f>'FE3-1 '!K328</f>
        <v>0</v>
      </c>
      <c r="H22" s="967">
        <f t="shared" si="2"/>
        <v>0</v>
      </c>
      <c r="I22" s="863"/>
      <c r="J22" s="864">
        <f t="shared" si="3"/>
        <v>0</v>
      </c>
      <c r="K22" s="863"/>
      <c r="L22" s="864"/>
      <c r="M22" s="863"/>
      <c r="N22" s="864"/>
      <c r="O22" s="863"/>
      <c r="P22" s="864"/>
      <c r="Q22" s="968"/>
      <c r="R22" s="864"/>
      <c r="S22" s="5">
        <f t="shared" si="0"/>
        <v>0</v>
      </c>
      <c r="T22" s="932">
        <f t="shared" si="1"/>
        <v>0</v>
      </c>
    </row>
    <row r="23" spans="1:20">
      <c r="A23" s="866" t="s">
        <v>556</v>
      </c>
      <c r="B23" s="867" t="s">
        <v>917</v>
      </c>
      <c r="C23" s="867"/>
      <c r="D23" s="874"/>
      <c r="E23" s="867"/>
      <c r="F23" s="960">
        <v>392042.2</v>
      </c>
      <c r="G23" s="863"/>
      <c r="H23" s="968"/>
      <c r="I23" s="863"/>
      <c r="J23" s="864">
        <f t="shared" si="3"/>
        <v>0</v>
      </c>
      <c r="K23" s="863"/>
      <c r="L23" s="864"/>
      <c r="M23" s="863"/>
      <c r="N23" s="864"/>
      <c r="O23" s="863"/>
      <c r="P23" s="864"/>
      <c r="Q23" s="968"/>
      <c r="R23" s="864"/>
      <c r="S23" s="5">
        <f t="shared" si="0"/>
        <v>0</v>
      </c>
      <c r="T23" s="932">
        <f t="shared" si="1"/>
        <v>0</v>
      </c>
    </row>
    <row r="24" spans="1:20">
      <c r="A24" s="875" t="s">
        <v>557</v>
      </c>
      <c r="B24" s="876" t="s">
        <v>408</v>
      </c>
      <c r="C24" s="876"/>
      <c r="D24" s="877"/>
      <c r="E24" s="876"/>
      <c r="F24" s="962">
        <v>2223.4499999999998</v>
      </c>
      <c r="G24" s="863"/>
      <c r="H24" s="968"/>
      <c r="I24" s="863"/>
      <c r="J24" s="864">
        <f t="shared" si="3"/>
        <v>0</v>
      </c>
      <c r="K24" s="863"/>
      <c r="L24" s="864"/>
      <c r="M24" s="863"/>
      <c r="N24" s="864"/>
      <c r="O24" s="863"/>
      <c r="P24" s="864"/>
      <c r="Q24" s="968"/>
      <c r="R24" s="864"/>
      <c r="S24" s="5">
        <f t="shared" si="0"/>
        <v>0</v>
      </c>
      <c r="T24" s="932">
        <f t="shared" si="1"/>
        <v>0</v>
      </c>
    </row>
    <row r="25" spans="1:20">
      <c r="A25" s="869" t="s">
        <v>558</v>
      </c>
      <c r="B25" s="870" t="s">
        <v>559</v>
      </c>
      <c r="C25" s="870" t="s">
        <v>49</v>
      </c>
      <c r="D25" s="871">
        <v>1522.9070000000002</v>
      </c>
      <c r="E25" s="870"/>
      <c r="F25" s="961">
        <v>2223.4499999999998</v>
      </c>
      <c r="G25" s="863">
        <f>'FE3-1 '!K331</f>
        <v>0</v>
      </c>
      <c r="H25" s="967">
        <f t="shared" si="2"/>
        <v>0</v>
      </c>
      <c r="I25" s="863"/>
      <c r="J25" s="864">
        <f t="shared" si="3"/>
        <v>0</v>
      </c>
      <c r="K25" s="863"/>
      <c r="L25" s="864"/>
      <c r="M25" s="863"/>
      <c r="N25" s="864"/>
      <c r="O25" s="863"/>
      <c r="P25" s="864"/>
      <c r="Q25" s="968"/>
      <c r="R25" s="864"/>
      <c r="S25" s="5">
        <f t="shared" si="0"/>
        <v>0</v>
      </c>
      <c r="T25" s="932">
        <f t="shared" si="1"/>
        <v>0</v>
      </c>
    </row>
    <row r="26" spans="1:20">
      <c r="A26" s="875" t="s">
        <v>560</v>
      </c>
      <c r="B26" s="876" t="s">
        <v>561</v>
      </c>
      <c r="C26" s="876"/>
      <c r="D26" s="877"/>
      <c r="E26" s="876"/>
      <c r="F26" s="962">
        <v>117805.27</v>
      </c>
      <c r="G26" s="863"/>
      <c r="H26" s="968"/>
      <c r="I26" s="863"/>
      <c r="J26" s="864">
        <f t="shared" si="3"/>
        <v>0</v>
      </c>
      <c r="K26" s="863"/>
      <c r="L26" s="864"/>
      <c r="M26" s="863"/>
      <c r="N26" s="864"/>
      <c r="O26" s="863"/>
      <c r="P26" s="864"/>
      <c r="Q26" s="968"/>
      <c r="R26" s="864"/>
      <c r="S26" s="5">
        <f t="shared" si="0"/>
        <v>0</v>
      </c>
      <c r="T26" s="932">
        <f t="shared" si="1"/>
        <v>0</v>
      </c>
    </row>
    <row r="27" spans="1:20">
      <c r="A27" s="869" t="s">
        <v>562</v>
      </c>
      <c r="B27" s="870" t="s">
        <v>563</v>
      </c>
      <c r="C27" s="870" t="s">
        <v>50</v>
      </c>
      <c r="D27" s="871">
        <v>1928.1000000000004</v>
      </c>
      <c r="E27" s="870"/>
      <c r="F27" s="961">
        <v>19531.650000000001</v>
      </c>
      <c r="G27" s="863">
        <f>'FE3-1 '!K333</f>
        <v>0</v>
      </c>
      <c r="H27" s="967">
        <f t="shared" si="2"/>
        <v>0</v>
      </c>
      <c r="I27" s="863"/>
      <c r="J27" s="864">
        <f t="shared" si="3"/>
        <v>0</v>
      </c>
      <c r="K27" s="863"/>
      <c r="L27" s="864"/>
      <c r="M27" s="863"/>
      <c r="N27" s="864"/>
      <c r="O27" s="863"/>
      <c r="P27" s="864"/>
      <c r="Q27" s="968"/>
      <c r="R27" s="864"/>
      <c r="S27" s="5">
        <f t="shared" si="0"/>
        <v>0</v>
      </c>
      <c r="T27" s="932">
        <f t="shared" si="1"/>
        <v>0</v>
      </c>
    </row>
    <row r="28" spans="1:20">
      <c r="A28" s="869" t="s">
        <v>564</v>
      </c>
      <c r="B28" s="870" t="s">
        <v>918</v>
      </c>
      <c r="C28" s="870" t="s">
        <v>49</v>
      </c>
      <c r="D28" s="871">
        <v>1522.9070000000002</v>
      </c>
      <c r="E28" s="870"/>
      <c r="F28" s="961">
        <v>2543.2600000000002</v>
      </c>
      <c r="G28" s="863"/>
      <c r="H28" s="968"/>
      <c r="I28" s="863">
        <f>F28</f>
        <v>2543.2600000000002</v>
      </c>
      <c r="J28" s="864">
        <f t="shared" si="3"/>
        <v>1</v>
      </c>
      <c r="K28" s="863"/>
      <c r="L28" s="864"/>
      <c r="M28" s="863"/>
      <c r="N28" s="864"/>
      <c r="O28" s="863"/>
      <c r="P28" s="864"/>
      <c r="Q28" s="968"/>
      <c r="R28" s="864"/>
      <c r="S28" s="5">
        <f t="shared" si="0"/>
        <v>1</v>
      </c>
      <c r="T28" s="932">
        <f t="shared" si="1"/>
        <v>2543.2600000000002</v>
      </c>
    </row>
    <row r="29" spans="1:20">
      <c r="A29" s="869" t="s">
        <v>1000</v>
      </c>
      <c r="B29" s="870" t="s">
        <v>919</v>
      </c>
      <c r="C29" s="870" t="s">
        <v>50</v>
      </c>
      <c r="D29" s="871">
        <v>2410.1250000000005</v>
      </c>
      <c r="E29" s="870"/>
      <c r="F29" s="961">
        <v>95730.36</v>
      </c>
      <c r="G29" s="863">
        <f>'FE3-1 '!K335</f>
        <v>0</v>
      </c>
      <c r="H29" s="967">
        <f t="shared" si="2"/>
        <v>0</v>
      </c>
      <c r="I29" s="863"/>
      <c r="J29" s="864">
        <f t="shared" si="3"/>
        <v>0</v>
      </c>
      <c r="K29" s="863"/>
      <c r="L29" s="864"/>
      <c r="M29" s="863"/>
      <c r="N29" s="864"/>
      <c r="O29" s="863"/>
      <c r="P29" s="864"/>
      <c r="Q29" s="968"/>
      <c r="R29" s="864"/>
      <c r="S29" s="5">
        <f t="shared" si="0"/>
        <v>0</v>
      </c>
      <c r="T29" s="932">
        <f t="shared" si="1"/>
        <v>0</v>
      </c>
    </row>
    <row r="30" spans="1:20">
      <c r="A30" s="875" t="s">
        <v>565</v>
      </c>
      <c r="B30" s="876" t="s">
        <v>920</v>
      </c>
      <c r="C30" s="876"/>
      <c r="D30" s="877"/>
      <c r="E30" s="876"/>
      <c r="F30" s="962">
        <v>26361.57</v>
      </c>
      <c r="G30" s="863"/>
      <c r="H30" s="968"/>
      <c r="I30" s="863"/>
      <c r="J30" s="864">
        <f t="shared" si="3"/>
        <v>0</v>
      </c>
      <c r="K30" s="863"/>
      <c r="L30" s="864"/>
      <c r="M30" s="863"/>
      <c r="N30" s="864"/>
      <c r="O30" s="863"/>
      <c r="P30" s="864"/>
      <c r="Q30" s="968"/>
      <c r="R30" s="864"/>
      <c r="S30" s="5">
        <f t="shared" si="0"/>
        <v>0</v>
      </c>
      <c r="T30" s="932">
        <f t="shared" si="1"/>
        <v>0</v>
      </c>
    </row>
    <row r="31" spans="1:20">
      <c r="A31" s="869" t="s">
        <v>566</v>
      </c>
      <c r="B31" s="870" t="s">
        <v>921</v>
      </c>
      <c r="C31" s="870" t="s">
        <v>49</v>
      </c>
      <c r="D31" s="871">
        <v>1522.9070000000002</v>
      </c>
      <c r="E31" s="870"/>
      <c r="F31" s="961">
        <v>26361.57</v>
      </c>
      <c r="G31" s="863"/>
      <c r="H31" s="968"/>
      <c r="I31" s="863">
        <v>26361.57</v>
      </c>
      <c r="J31" s="864">
        <f t="shared" si="3"/>
        <v>1</v>
      </c>
      <c r="K31" s="863"/>
      <c r="L31" s="864"/>
      <c r="M31" s="863"/>
      <c r="N31" s="864"/>
      <c r="O31" s="863"/>
      <c r="P31" s="864"/>
      <c r="Q31" s="968"/>
      <c r="R31" s="864"/>
      <c r="S31" s="5">
        <f t="shared" si="0"/>
        <v>1</v>
      </c>
      <c r="T31" s="932">
        <f t="shared" si="1"/>
        <v>26361.57</v>
      </c>
    </row>
    <row r="32" spans="1:20">
      <c r="A32" s="875" t="s">
        <v>567</v>
      </c>
      <c r="B32" s="876" t="s">
        <v>922</v>
      </c>
      <c r="C32" s="876"/>
      <c r="D32" s="877"/>
      <c r="E32" s="876"/>
      <c r="F32" s="962">
        <v>36549.839999999997</v>
      </c>
      <c r="G32" s="863"/>
      <c r="H32" s="968"/>
      <c r="I32" s="863"/>
      <c r="J32" s="864"/>
      <c r="K32" s="863"/>
      <c r="L32" s="864"/>
      <c r="M32" s="863"/>
      <c r="N32" s="864"/>
      <c r="O32" s="863"/>
      <c r="P32" s="864"/>
      <c r="Q32" s="968"/>
      <c r="R32" s="864"/>
      <c r="S32" s="5">
        <f t="shared" si="0"/>
        <v>0</v>
      </c>
      <c r="T32" s="932">
        <f t="shared" si="1"/>
        <v>0</v>
      </c>
    </row>
    <row r="33" spans="1:20">
      <c r="A33" s="869" t="s">
        <v>569</v>
      </c>
      <c r="B33" s="870" t="s">
        <v>923</v>
      </c>
      <c r="C33" s="870" t="s">
        <v>49</v>
      </c>
      <c r="D33" s="871">
        <v>1522.9070000000002</v>
      </c>
      <c r="E33" s="870"/>
      <c r="F33" s="961">
        <v>36549.839999999997</v>
      </c>
      <c r="G33" s="863"/>
      <c r="H33" s="968"/>
      <c r="I33" s="863">
        <v>36549.839999999997</v>
      </c>
      <c r="J33" s="864">
        <f t="shared" si="3"/>
        <v>1</v>
      </c>
      <c r="K33" s="863"/>
      <c r="L33" s="864"/>
      <c r="M33" s="863"/>
      <c r="N33" s="864"/>
      <c r="O33" s="863"/>
      <c r="P33" s="864"/>
      <c r="Q33" s="968"/>
      <c r="R33" s="864"/>
      <c r="S33" s="5">
        <f t="shared" si="0"/>
        <v>1</v>
      </c>
      <c r="T33" s="932">
        <f t="shared" si="1"/>
        <v>36549.839999999997</v>
      </c>
    </row>
    <row r="34" spans="1:20">
      <c r="A34" s="875" t="s">
        <v>1001</v>
      </c>
      <c r="B34" s="876" t="s">
        <v>568</v>
      </c>
      <c r="C34" s="876"/>
      <c r="D34" s="877"/>
      <c r="E34" s="876"/>
      <c r="F34" s="962">
        <v>209102.07</v>
      </c>
      <c r="G34" s="863"/>
      <c r="H34" s="968"/>
      <c r="I34" s="863"/>
      <c r="J34" s="864"/>
      <c r="K34" s="863"/>
      <c r="L34" s="864"/>
      <c r="M34" s="863"/>
      <c r="N34" s="864"/>
      <c r="O34" s="863"/>
      <c r="P34" s="864"/>
      <c r="Q34" s="968"/>
      <c r="R34" s="864"/>
      <c r="S34" s="5">
        <f t="shared" si="0"/>
        <v>0</v>
      </c>
      <c r="T34" s="932">
        <f t="shared" si="1"/>
        <v>0</v>
      </c>
    </row>
    <row r="35" spans="1:20">
      <c r="A35" s="869" t="s">
        <v>1002</v>
      </c>
      <c r="B35" s="870" t="s">
        <v>570</v>
      </c>
      <c r="C35" s="870" t="s">
        <v>49</v>
      </c>
      <c r="D35" s="871">
        <v>271.20799999999997</v>
      </c>
      <c r="E35" s="870"/>
      <c r="F35" s="961">
        <v>9058.41</v>
      </c>
      <c r="G35" s="863"/>
      <c r="H35" s="968"/>
      <c r="I35" s="863">
        <v>9058.41</v>
      </c>
      <c r="J35" s="864">
        <f t="shared" si="3"/>
        <v>1</v>
      </c>
      <c r="K35" s="863"/>
      <c r="L35" s="864"/>
      <c r="M35" s="863"/>
      <c r="N35" s="864"/>
      <c r="O35" s="863"/>
      <c r="P35" s="864"/>
      <c r="Q35" s="968"/>
      <c r="R35" s="864"/>
      <c r="S35" s="5">
        <f t="shared" si="0"/>
        <v>1</v>
      </c>
      <c r="T35" s="932">
        <f t="shared" si="1"/>
        <v>9058.41</v>
      </c>
    </row>
    <row r="36" spans="1:20">
      <c r="A36" s="869" t="s">
        <v>1003</v>
      </c>
      <c r="B36" s="870" t="s">
        <v>924</v>
      </c>
      <c r="C36" s="870" t="s">
        <v>50</v>
      </c>
      <c r="D36" s="871">
        <v>304.58140000000003</v>
      </c>
      <c r="E36" s="870"/>
      <c r="F36" s="961">
        <v>149993.47</v>
      </c>
      <c r="G36" s="863"/>
      <c r="H36" s="968"/>
      <c r="I36" s="863">
        <f t="shared" ref="I36:I38" si="4">F36-K36</f>
        <v>67738.990000000005</v>
      </c>
      <c r="J36" s="864">
        <f t="shared" si="3"/>
        <v>0.45161292688275034</v>
      </c>
      <c r="K36" s="863">
        <v>82254.48</v>
      </c>
      <c r="L36" s="864">
        <v>0.54838707311724966</v>
      </c>
      <c r="M36" s="863"/>
      <c r="N36" s="864"/>
      <c r="O36" s="863"/>
      <c r="P36" s="864"/>
      <c r="Q36" s="968"/>
      <c r="R36" s="864"/>
      <c r="S36" s="5">
        <f t="shared" si="0"/>
        <v>1</v>
      </c>
      <c r="T36" s="932">
        <f t="shared" si="1"/>
        <v>149993.47</v>
      </c>
    </row>
    <row r="37" spans="1:20">
      <c r="A37" s="869" t="s">
        <v>1004</v>
      </c>
      <c r="B37" s="870" t="s">
        <v>925</v>
      </c>
      <c r="C37" s="870" t="s">
        <v>420</v>
      </c>
      <c r="D37" s="871">
        <v>1355.2</v>
      </c>
      <c r="E37" s="870"/>
      <c r="F37" s="961">
        <v>8307.3799999999992</v>
      </c>
      <c r="G37" s="863"/>
      <c r="H37" s="968"/>
      <c r="I37" s="863">
        <f>F37/2</f>
        <v>4153.6899999999996</v>
      </c>
      <c r="J37" s="864">
        <f t="shared" si="3"/>
        <v>0.5</v>
      </c>
      <c r="K37" s="863">
        <f>8307.38/2</f>
        <v>4153.6899999999996</v>
      </c>
      <c r="L37" s="864">
        <f>K37/F37</f>
        <v>0.5</v>
      </c>
      <c r="M37" s="863"/>
      <c r="N37" s="864"/>
      <c r="O37" s="863"/>
      <c r="P37" s="864"/>
      <c r="Q37" s="968"/>
      <c r="R37" s="864"/>
      <c r="S37" s="5">
        <f t="shared" si="0"/>
        <v>1</v>
      </c>
      <c r="T37" s="932">
        <f t="shared" si="1"/>
        <v>8307.3799999999992</v>
      </c>
    </row>
    <row r="38" spans="1:20">
      <c r="A38" s="869" t="s">
        <v>1005</v>
      </c>
      <c r="B38" s="870" t="s">
        <v>926</v>
      </c>
      <c r="C38" s="870" t="s">
        <v>420</v>
      </c>
      <c r="D38" s="871">
        <v>1780.4099999999999</v>
      </c>
      <c r="E38" s="870"/>
      <c r="F38" s="961">
        <v>10913.91</v>
      </c>
      <c r="G38" s="863"/>
      <c r="H38" s="968"/>
      <c r="I38" s="863">
        <f t="shared" si="4"/>
        <v>606.32999999999993</v>
      </c>
      <c r="J38" s="864">
        <f t="shared" si="3"/>
        <v>5.5555708265873548E-2</v>
      </c>
      <c r="K38" s="863">
        <v>10307.58</v>
      </c>
      <c r="L38" s="864">
        <v>0.94444429173412647</v>
      </c>
      <c r="M38" s="863"/>
      <c r="N38" s="864"/>
      <c r="O38" s="863"/>
      <c r="P38" s="864"/>
      <c r="Q38" s="968"/>
      <c r="R38" s="864"/>
      <c r="S38" s="5">
        <f t="shared" si="0"/>
        <v>1</v>
      </c>
      <c r="T38" s="932">
        <f t="shared" si="1"/>
        <v>10913.91</v>
      </c>
    </row>
    <row r="39" spans="1:20">
      <c r="A39" s="869" t="s">
        <v>1006</v>
      </c>
      <c r="B39" s="870" t="s">
        <v>927</v>
      </c>
      <c r="C39" s="870" t="s">
        <v>51</v>
      </c>
      <c r="D39" s="871">
        <v>1487.8933333333334</v>
      </c>
      <c r="E39" s="870"/>
      <c r="F39" s="961">
        <v>13703.47</v>
      </c>
      <c r="G39" s="863"/>
      <c r="H39" s="968"/>
      <c r="I39" s="863">
        <f>F39-K39</f>
        <v>5938.1699999999992</v>
      </c>
      <c r="J39" s="864">
        <f t="shared" si="3"/>
        <v>0.43333330900859413</v>
      </c>
      <c r="K39" s="863">
        <v>7765.3</v>
      </c>
      <c r="L39" s="864">
        <v>0.56666669099140587</v>
      </c>
      <c r="M39" s="863"/>
      <c r="N39" s="864"/>
      <c r="O39" s="863"/>
      <c r="P39" s="864"/>
      <c r="Q39" s="968"/>
      <c r="R39" s="864"/>
      <c r="S39" s="5">
        <f t="shared" si="0"/>
        <v>1</v>
      </c>
      <c r="T39" s="932">
        <f t="shared" si="1"/>
        <v>13703.47</v>
      </c>
    </row>
    <row r="40" spans="1:20">
      <c r="A40" s="869" t="s">
        <v>1007</v>
      </c>
      <c r="B40" s="870" t="s">
        <v>571</v>
      </c>
      <c r="C40" s="870" t="s">
        <v>49</v>
      </c>
      <c r="D40" s="871">
        <v>1522.9070000000002</v>
      </c>
      <c r="E40" s="870"/>
      <c r="F40" s="961">
        <v>5208.3500000000004</v>
      </c>
      <c r="G40" s="863"/>
      <c r="H40" s="968"/>
      <c r="I40" s="863">
        <f>F40-K40</f>
        <v>1802.8900000000003</v>
      </c>
      <c r="J40" s="864">
        <f t="shared" si="3"/>
        <v>0.34615377230792865</v>
      </c>
      <c r="K40" s="863">
        <v>3405.46</v>
      </c>
      <c r="L40" s="864">
        <v>0.65384622769207135</v>
      </c>
      <c r="M40" s="863"/>
      <c r="N40" s="864"/>
      <c r="O40" s="863"/>
      <c r="P40" s="864"/>
      <c r="Q40" s="968"/>
      <c r="R40" s="864"/>
      <c r="S40" s="5">
        <f t="shared" si="0"/>
        <v>1</v>
      </c>
      <c r="T40" s="932">
        <f t="shared" si="1"/>
        <v>5208.3500000000004</v>
      </c>
    </row>
    <row r="41" spans="1:20">
      <c r="A41" s="869" t="s">
        <v>1008</v>
      </c>
      <c r="B41" s="870" t="s">
        <v>573</v>
      </c>
      <c r="C41" s="870" t="s">
        <v>49</v>
      </c>
      <c r="D41" s="871">
        <v>1522.9070000000002</v>
      </c>
      <c r="E41" s="870"/>
      <c r="F41" s="961">
        <v>3685.44</v>
      </c>
      <c r="G41" s="863"/>
      <c r="H41" s="968"/>
      <c r="I41" s="863"/>
      <c r="J41" s="864"/>
      <c r="K41" s="863">
        <v>3685.44</v>
      </c>
      <c r="L41" s="864">
        <v>1</v>
      </c>
      <c r="M41" s="863"/>
      <c r="N41" s="864"/>
      <c r="O41" s="863"/>
      <c r="P41" s="864"/>
      <c r="Q41" s="968"/>
      <c r="R41" s="864"/>
      <c r="S41" s="5">
        <f t="shared" si="0"/>
        <v>1</v>
      </c>
      <c r="T41" s="932">
        <f t="shared" si="1"/>
        <v>3685.44</v>
      </c>
    </row>
    <row r="42" spans="1:20">
      <c r="A42" s="869" t="s">
        <v>1009</v>
      </c>
      <c r="B42" s="870" t="s">
        <v>572</v>
      </c>
      <c r="C42" s="870" t="s">
        <v>51</v>
      </c>
      <c r="D42" s="871">
        <v>1345.04</v>
      </c>
      <c r="E42" s="870"/>
      <c r="F42" s="961">
        <v>8231.64</v>
      </c>
      <c r="G42" s="863"/>
      <c r="H42" s="968"/>
      <c r="I42" s="863"/>
      <c r="J42" s="864"/>
      <c r="K42" s="863">
        <v>8231.64</v>
      </c>
      <c r="L42" s="864">
        <v>1</v>
      </c>
      <c r="M42" s="863"/>
      <c r="N42" s="864"/>
      <c r="O42" s="863"/>
      <c r="P42" s="864"/>
      <c r="Q42" s="968"/>
      <c r="R42" s="864"/>
      <c r="S42" s="5">
        <f t="shared" si="0"/>
        <v>1</v>
      </c>
      <c r="T42" s="932">
        <f t="shared" si="1"/>
        <v>8231.64</v>
      </c>
    </row>
    <row r="43" spans="1:20">
      <c r="A43" s="866" t="s">
        <v>574</v>
      </c>
      <c r="B43" s="867" t="s">
        <v>928</v>
      </c>
      <c r="C43" s="867"/>
      <c r="D43" s="874"/>
      <c r="E43" s="867"/>
      <c r="F43" s="960">
        <v>37220.44</v>
      </c>
      <c r="G43" s="863"/>
      <c r="H43" s="968"/>
      <c r="I43" s="863"/>
      <c r="J43" s="864"/>
      <c r="K43" s="863"/>
      <c r="L43" s="864"/>
      <c r="M43" s="863"/>
      <c r="N43" s="864"/>
      <c r="O43" s="863"/>
      <c r="P43" s="864"/>
      <c r="Q43" s="968"/>
      <c r="R43" s="864"/>
      <c r="S43" s="5">
        <f t="shared" si="0"/>
        <v>0</v>
      </c>
      <c r="T43" s="932">
        <f t="shared" si="1"/>
        <v>0</v>
      </c>
    </row>
    <row r="44" spans="1:20">
      <c r="A44" s="875" t="s">
        <v>575</v>
      </c>
      <c r="B44" s="876" t="s">
        <v>408</v>
      </c>
      <c r="C44" s="876"/>
      <c r="D44" s="877"/>
      <c r="E44" s="876"/>
      <c r="F44" s="962">
        <v>270.38</v>
      </c>
      <c r="G44" s="863"/>
      <c r="H44" s="968"/>
      <c r="I44" s="863"/>
      <c r="J44" s="864"/>
      <c r="K44" s="863"/>
      <c r="L44" s="864"/>
      <c r="M44" s="863"/>
      <c r="N44" s="864"/>
      <c r="O44" s="863"/>
      <c r="P44" s="864"/>
      <c r="Q44" s="968"/>
      <c r="R44" s="864"/>
      <c r="S44" s="5">
        <f t="shared" si="0"/>
        <v>0</v>
      </c>
      <c r="T44" s="932">
        <f t="shared" si="1"/>
        <v>0</v>
      </c>
    </row>
    <row r="45" spans="1:20">
      <c r="A45" s="869" t="s">
        <v>576</v>
      </c>
      <c r="B45" s="870" t="s">
        <v>559</v>
      </c>
      <c r="C45" s="870" t="s">
        <v>49</v>
      </c>
      <c r="D45" s="871">
        <v>185.18899999999996</v>
      </c>
      <c r="E45" s="870"/>
      <c r="F45" s="961">
        <v>270.38</v>
      </c>
      <c r="G45" s="863">
        <f>'FE3-1 '!K351</f>
        <v>0</v>
      </c>
      <c r="H45" s="967">
        <f t="shared" si="2"/>
        <v>0</v>
      </c>
      <c r="I45" s="863"/>
      <c r="J45" s="864"/>
      <c r="K45" s="863"/>
      <c r="L45" s="864"/>
      <c r="M45" s="863"/>
      <c r="N45" s="864"/>
      <c r="O45" s="863"/>
      <c r="P45" s="864"/>
      <c r="Q45" s="968"/>
      <c r="R45" s="864"/>
      <c r="S45" s="5">
        <f t="shared" si="0"/>
        <v>0</v>
      </c>
      <c r="T45" s="932">
        <f t="shared" si="1"/>
        <v>0</v>
      </c>
    </row>
    <row r="46" spans="1:20">
      <c r="A46" s="875" t="s">
        <v>578</v>
      </c>
      <c r="B46" s="876" t="s">
        <v>561</v>
      </c>
      <c r="C46" s="876"/>
      <c r="D46" s="877"/>
      <c r="E46" s="876"/>
      <c r="F46" s="962">
        <v>4737.37</v>
      </c>
      <c r="G46" s="863"/>
      <c r="H46" s="968"/>
      <c r="I46" s="863"/>
      <c r="J46" s="864"/>
      <c r="K46" s="863"/>
      <c r="L46" s="864"/>
      <c r="M46" s="863"/>
      <c r="N46" s="864"/>
      <c r="O46" s="863"/>
      <c r="P46" s="864"/>
      <c r="Q46" s="968"/>
      <c r="R46" s="864"/>
      <c r="S46" s="5">
        <f t="shared" si="0"/>
        <v>0</v>
      </c>
      <c r="T46" s="932">
        <f t="shared" si="1"/>
        <v>0</v>
      </c>
    </row>
    <row r="47" spans="1:20">
      <c r="A47" s="869" t="s">
        <v>579</v>
      </c>
      <c r="B47" s="870" t="s">
        <v>563</v>
      </c>
      <c r="C47" s="870" t="s">
        <v>50</v>
      </c>
      <c r="D47" s="871">
        <v>74.075600000000009</v>
      </c>
      <c r="E47" s="870"/>
      <c r="F47" s="961">
        <v>750.43</v>
      </c>
      <c r="G47" s="863">
        <f>'FE3-1 '!K353</f>
        <v>0</v>
      </c>
      <c r="H47" s="967">
        <f t="shared" si="2"/>
        <v>0</v>
      </c>
      <c r="I47" s="863"/>
      <c r="J47" s="864"/>
      <c r="K47" s="863"/>
      <c r="L47" s="864"/>
      <c r="M47" s="863"/>
      <c r="N47" s="864"/>
      <c r="O47" s="863"/>
      <c r="P47" s="864"/>
      <c r="Q47" s="968"/>
      <c r="R47" s="864"/>
      <c r="S47" s="5">
        <f t="shared" si="0"/>
        <v>0</v>
      </c>
      <c r="T47" s="932">
        <f t="shared" si="1"/>
        <v>0</v>
      </c>
    </row>
    <row r="48" spans="1:20">
      <c r="A48" s="869" t="s">
        <v>580</v>
      </c>
      <c r="B48" s="870" t="s">
        <v>918</v>
      </c>
      <c r="C48" s="870" t="s">
        <v>49</v>
      </c>
      <c r="D48" s="871">
        <v>185.18899999999996</v>
      </c>
      <c r="E48" s="870"/>
      <c r="F48" s="961">
        <v>309.27</v>
      </c>
      <c r="G48" s="863">
        <f>'FE3-1 '!K354</f>
        <v>0</v>
      </c>
      <c r="H48" s="967">
        <f t="shared" si="2"/>
        <v>0</v>
      </c>
      <c r="I48" s="863"/>
      <c r="J48" s="864"/>
      <c r="K48" s="863"/>
      <c r="L48" s="864"/>
      <c r="M48" s="863"/>
      <c r="N48" s="864"/>
      <c r="O48" s="863"/>
      <c r="P48" s="864"/>
      <c r="Q48" s="968"/>
      <c r="R48" s="864"/>
      <c r="S48" s="5">
        <f t="shared" si="0"/>
        <v>0</v>
      </c>
      <c r="T48" s="932">
        <f t="shared" si="1"/>
        <v>0</v>
      </c>
    </row>
    <row r="49" spans="1:20">
      <c r="A49" s="869" t="s">
        <v>581</v>
      </c>
      <c r="B49" s="870" t="s">
        <v>919</v>
      </c>
      <c r="C49" s="870" t="s">
        <v>50</v>
      </c>
      <c r="D49" s="871">
        <v>92.594500000000011</v>
      </c>
      <c r="E49" s="870"/>
      <c r="F49" s="961">
        <v>3677.67</v>
      </c>
      <c r="G49" s="863"/>
      <c r="H49" s="968"/>
      <c r="I49" s="863">
        <f>F49</f>
        <v>3677.67</v>
      </c>
      <c r="J49" s="864">
        <f t="shared" si="3"/>
        <v>1</v>
      </c>
      <c r="K49" s="863"/>
      <c r="L49" s="864"/>
      <c r="M49" s="863"/>
      <c r="N49" s="864"/>
      <c r="O49" s="863"/>
      <c r="P49" s="864"/>
      <c r="Q49" s="968"/>
      <c r="R49" s="864"/>
      <c r="S49" s="5">
        <f t="shared" si="0"/>
        <v>1</v>
      </c>
      <c r="T49" s="932">
        <f t="shared" si="1"/>
        <v>3677.67</v>
      </c>
    </row>
    <row r="50" spans="1:20">
      <c r="A50" s="875" t="s">
        <v>1010</v>
      </c>
      <c r="B50" s="876" t="s">
        <v>920</v>
      </c>
      <c r="C50" s="876"/>
      <c r="D50" s="877"/>
      <c r="E50" s="876"/>
      <c r="F50" s="962">
        <v>3205.64</v>
      </c>
      <c r="G50" s="863"/>
      <c r="H50" s="968"/>
      <c r="I50" s="863"/>
      <c r="J50" s="864"/>
      <c r="K50" s="863"/>
      <c r="L50" s="864"/>
      <c r="M50" s="863"/>
      <c r="N50" s="864"/>
      <c r="O50" s="863"/>
      <c r="P50" s="864"/>
      <c r="Q50" s="968"/>
      <c r="R50" s="864"/>
      <c r="S50" s="5">
        <f t="shared" si="0"/>
        <v>0</v>
      </c>
      <c r="T50" s="932">
        <f t="shared" si="1"/>
        <v>0</v>
      </c>
    </row>
    <row r="51" spans="1:20">
      <c r="A51" s="869" t="s">
        <v>1011</v>
      </c>
      <c r="B51" s="870" t="s">
        <v>921</v>
      </c>
      <c r="C51" s="870" t="s">
        <v>49</v>
      </c>
      <c r="D51" s="871">
        <v>185.18899999999996</v>
      </c>
      <c r="E51" s="870"/>
      <c r="F51" s="961">
        <v>3205.64</v>
      </c>
      <c r="G51" s="863"/>
      <c r="H51" s="968"/>
      <c r="I51" s="863">
        <v>3205.64</v>
      </c>
      <c r="J51" s="864">
        <f t="shared" si="3"/>
        <v>1</v>
      </c>
      <c r="K51" s="863"/>
      <c r="L51" s="864"/>
      <c r="M51" s="863"/>
      <c r="N51" s="864"/>
      <c r="O51" s="863"/>
      <c r="P51" s="864"/>
      <c r="Q51" s="968"/>
      <c r="R51" s="864"/>
      <c r="S51" s="5">
        <f t="shared" si="0"/>
        <v>1</v>
      </c>
      <c r="T51" s="932">
        <f t="shared" si="1"/>
        <v>3205.64</v>
      </c>
    </row>
    <row r="52" spans="1:20">
      <c r="A52" s="875" t="s">
        <v>1012</v>
      </c>
      <c r="B52" s="876" t="s">
        <v>922</v>
      </c>
      <c r="C52" s="876"/>
      <c r="D52" s="877"/>
      <c r="E52" s="876"/>
      <c r="F52" s="962">
        <v>4444.5600000000004</v>
      </c>
      <c r="G52" s="863"/>
      <c r="H52" s="968"/>
      <c r="I52" s="863"/>
      <c r="J52" s="864">
        <f t="shared" si="3"/>
        <v>0</v>
      </c>
      <c r="K52" s="863"/>
      <c r="L52" s="864"/>
      <c r="M52" s="863"/>
      <c r="N52" s="864"/>
      <c r="O52" s="863"/>
      <c r="P52" s="864"/>
      <c r="Q52" s="968"/>
      <c r="R52" s="864"/>
      <c r="S52" s="5">
        <f t="shared" si="0"/>
        <v>0</v>
      </c>
      <c r="T52" s="932">
        <f t="shared" si="1"/>
        <v>0</v>
      </c>
    </row>
    <row r="53" spans="1:20">
      <c r="A53" s="869" t="s">
        <v>1013</v>
      </c>
      <c r="B53" s="870" t="s">
        <v>923</v>
      </c>
      <c r="C53" s="870" t="s">
        <v>49</v>
      </c>
      <c r="D53" s="871">
        <v>185.18899999999996</v>
      </c>
      <c r="E53" s="870"/>
      <c r="F53" s="961">
        <v>4444.5600000000004</v>
      </c>
      <c r="G53" s="863"/>
      <c r="H53" s="968"/>
      <c r="I53" s="863">
        <v>4444.5600000000004</v>
      </c>
      <c r="J53" s="864">
        <f t="shared" si="3"/>
        <v>1</v>
      </c>
      <c r="K53" s="863"/>
      <c r="L53" s="864"/>
      <c r="M53" s="863"/>
      <c r="N53" s="864"/>
      <c r="O53" s="863"/>
      <c r="P53" s="864"/>
      <c r="Q53" s="968"/>
      <c r="R53" s="864"/>
      <c r="S53" s="5">
        <f t="shared" si="0"/>
        <v>1</v>
      </c>
      <c r="T53" s="932">
        <f t="shared" si="1"/>
        <v>4444.5600000000004</v>
      </c>
    </row>
    <row r="54" spans="1:20">
      <c r="A54" s="875" t="s">
        <v>1014</v>
      </c>
      <c r="B54" s="876" t="s">
        <v>929</v>
      </c>
      <c r="C54" s="876"/>
      <c r="D54" s="877"/>
      <c r="E54" s="876"/>
      <c r="F54" s="962">
        <v>24562.49</v>
      </c>
      <c r="G54" s="863"/>
      <c r="H54" s="968"/>
      <c r="I54" s="863"/>
      <c r="J54" s="864"/>
      <c r="K54" s="863"/>
      <c r="L54" s="864"/>
      <c r="M54" s="863"/>
      <c r="N54" s="864"/>
      <c r="O54" s="863"/>
      <c r="P54" s="864"/>
      <c r="Q54" s="968"/>
      <c r="R54" s="864"/>
      <c r="S54" s="5">
        <f t="shared" si="0"/>
        <v>0</v>
      </c>
      <c r="T54" s="932">
        <f t="shared" si="1"/>
        <v>0</v>
      </c>
    </row>
    <row r="55" spans="1:20">
      <c r="A55" s="869" t="s">
        <v>1015</v>
      </c>
      <c r="B55" s="870" t="s">
        <v>930</v>
      </c>
      <c r="C55" s="870" t="s">
        <v>49</v>
      </c>
      <c r="D55" s="871">
        <v>116.60940000000001</v>
      </c>
      <c r="E55" s="870"/>
      <c r="F55" s="961">
        <v>4757.6899999999996</v>
      </c>
      <c r="G55" s="863"/>
      <c r="H55" s="968"/>
      <c r="I55" s="863">
        <v>4757.6899999999996</v>
      </c>
      <c r="J55" s="864">
        <f t="shared" si="3"/>
        <v>1</v>
      </c>
      <c r="K55" s="863"/>
      <c r="L55" s="864"/>
      <c r="M55" s="863"/>
      <c r="N55" s="864"/>
      <c r="O55" s="863"/>
      <c r="P55" s="864"/>
      <c r="Q55" s="968"/>
      <c r="R55" s="864"/>
      <c r="S55" s="5">
        <f t="shared" si="0"/>
        <v>1</v>
      </c>
      <c r="T55" s="932">
        <f t="shared" si="1"/>
        <v>4757.6899999999996</v>
      </c>
    </row>
    <row r="56" spans="1:20">
      <c r="A56" s="869" t="s">
        <v>1016</v>
      </c>
      <c r="B56" s="870" t="s">
        <v>931</v>
      </c>
      <c r="C56" s="870" t="s">
        <v>50</v>
      </c>
      <c r="D56" s="871">
        <v>37.037800000000004</v>
      </c>
      <c r="E56" s="870"/>
      <c r="F56" s="961">
        <v>17193.23</v>
      </c>
      <c r="G56" s="863"/>
      <c r="H56" s="968"/>
      <c r="I56" s="863">
        <v>17193.23</v>
      </c>
      <c r="J56" s="864">
        <f t="shared" si="3"/>
        <v>1</v>
      </c>
      <c r="K56" s="863"/>
      <c r="L56" s="864"/>
      <c r="M56" s="863"/>
      <c r="N56" s="864"/>
      <c r="O56" s="863"/>
      <c r="P56" s="864"/>
      <c r="Q56" s="968"/>
      <c r="R56" s="864"/>
      <c r="S56" s="5">
        <f t="shared" si="0"/>
        <v>1</v>
      </c>
      <c r="T56" s="932">
        <f t="shared" si="1"/>
        <v>17193.23</v>
      </c>
    </row>
    <row r="57" spans="1:20">
      <c r="A57" s="869" t="s">
        <v>1017</v>
      </c>
      <c r="B57" s="870" t="s">
        <v>932</v>
      </c>
      <c r="C57" s="870" t="s">
        <v>49</v>
      </c>
      <c r="D57" s="871">
        <v>185.18899999999996</v>
      </c>
      <c r="E57" s="870"/>
      <c r="F57" s="961">
        <v>633.35</v>
      </c>
      <c r="G57" s="863"/>
      <c r="H57" s="968"/>
      <c r="I57" s="863"/>
      <c r="J57" s="864"/>
      <c r="K57" s="863">
        <v>633.35</v>
      </c>
      <c r="L57" s="864">
        <v>1</v>
      </c>
      <c r="M57" s="863"/>
      <c r="N57" s="864"/>
      <c r="O57" s="863"/>
      <c r="P57" s="864"/>
      <c r="Q57" s="968"/>
      <c r="R57" s="864"/>
      <c r="S57" s="5">
        <f t="shared" si="0"/>
        <v>1</v>
      </c>
      <c r="T57" s="932">
        <f t="shared" si="1"/>
        <v>633.35</v>
      </c>
    </row>
    <row r="58" spans="1:20">
      <c r="A58" s="869" t="s">
        <v>1018</v>
      </c>
      <c r="B58" s="870" t="s">
        <v>573</v>
      </c>
      <c r="C58" s="870" t="s">
        <v>49</v>
      </c>
      <c r="D58" s="871">
        <v>185.18899999999996</v>
      </c>
      <c r="E58" s="870"/>
      <c r="F58" s="961">
        <v>448.16</v>
      </c>
      <c r="G58" s="863"/>
      <c r="H58" s="968"/>
      <c r="I58" s="863"/>
      <c r="J58" s="864"/>
      <c r="K58" s="863">
        <v>448.16</v>
      </c>
      <c r="L58" s="864">
        <v>1</v>
      </c>
      <c r="M58" s="863"/>
      <c r="N58" s="864"/>
      <c r="O58" s="863"/>
      <c r="P58" s="864"/>
      <c r="Q58" s="968"/>
      <c r="R58" s="864"/>
      <c r="S58" s="5">
        <f t="shared" si="0"/>
        <v>1</v>
      </c>
      <c r="T58" s="932">
        <f t="shared" si="1"/>
        <v>448.16</v>
      </c>
    </row>
    <row r="59" spans="1:20">
      <c r="A59" s="869" t="s">
        <v>1019</v>
      </c>
      <c r="B59" s="870" t="s">
        <v>572</v>
      </c>
      <c r="C59" s="870" t="s">
        <v>51</v>
      </c>
      <c r="D59" s="871">
        <v>250.00515000000004</v>
      </c>
      <c r="E59" s="870"/>
      <c r="F59" s="961">
        <v>1530.06</v>
      </c>
      <c r="G59" s="863"/>
      <c r="H59" s="968"/>
      <c r="I59" s="863"/>
      <c r="J59" s="864"/>
      <c r="K59" s="863">
        <v>1530.06</v>
      </c>
      <c r="L59" s="864">
        <v>1</v>
      </c>
      <c r="M59" s="863"/>
      <c r="N59" s="864"/>
      <c r="O59" s="863"/>
      <c r="P59" s="864"/>
      <c r="Q59" s="968"/>
      <c r="R59" s="864"/>
      <c r="S59" s="5">
        <f t="shared" si="0"/>
        <v>1</v>
      </c>
      <c r="T59" s="932">
        <f t="shared" si="1"/>
        <v>1530.06</v>
      </c>
    </row>
    <row r="60" spans="1:20">
      <c r="A60" s="866" t="s">
        <v>582</v>
      </c>
      <c r="B60" s="867" t="s">
        <v>595</v>
      </c>
      <c r="C60" s="867"/>
      <c r="D60" s="874"/>
      <c r="E60" s="867"/>
      <c r="F60" s="960">
        <v>6921.11</v>
      </c>
      <c r="G60" s="863"/>
      <c r="H60" s="968"/>
      <c r="I60" s="863"/>
      <c r="J60" s="864"/>
      <c r="K60" s="863"/>
      <c r="L60" s="864"/>
      <c r="M60" s="863"/>
      <c r="N60" s="864"/>
      <c r="O60" s="863"/>
      <c r="P60" s="864"/>
      <c r="Q60" s="968"/>
      <c r="R60" s="864"/>
      <c r="S60" s="5">
        <f t="shared" si="0"/>
        <v>0</v>
      </c>
      <c r="T60" s="932">
        <f t="shared" si="1"/>
        <v>0</v>
      </c>
    </row>
    <row r="61" spans="1:20">
      <c r="A61" s="875" t="s">
        <v>583</v>
      </c>
      <c r="B61" s="876" t="s">
        <v>561</v>
      </c>
      <c r="C61" s="876"/>
      <c r="D61" s="877"/>
      <c r="E61" s="876"/>
      <c r="F61" s="962">
        <v>3011.81</v>
      </c>
      <c r="G61" s="863"/>
      <c r="H61" s="968"/>
      <c r="I61" s="863"/>
      <c r="J61" s="864"/>
      <c r="K61" s="863"/>
      <c r="L61" s="864"/>
      <c r="M61" s="863"/>
      <c r="N61" s="864"/>
      <c r="O61" s="863"/>
      <c r="P61" s="864"/>
      <c r="Q61" s="968"/>
      <c r="R61" s="864"/>
      <c r="S61" s="5">
        <f t="shared" si="0"/>
        <v>0</v>
      </c>
      <c r="T61" s="932">
        <f t="shared" si="1"/>
        <v>0</v>
      </c>
    </row>
    <row r="62" spans="1:20">
      <c r="A62" s="869" t="s">
        <v>584</v>
      </c>
      <c r="B62" s="870" t="s">
        <v>933</v>
      </c>
      <c r="C62" s="870" t="s">
        <v>50</v>
      </c>
      <c r="D62" s="871">
        <v>28.799999999999997</v>
      </c>
      <c r="E62" s="870"/>
      <c r="F62" s="961">
        <v>1111.97</v>
      </c>
      <c r="G62" s="863">
        <f>'FE3-1 '!K368</f>
        <v>0</v>
      </c>
      <c r="H62" s="967">
        <f t="shared" si="2"/>
        <v>0</v>
      </c>
      <c r="I62" s="863"/>
      <c r="J62" s="864"/>
      <c r="K62" s="863"/>
      <c r="L62" s="864"/>
      <c r="M62" s="863"/>
      <c r="N62" s="864"/>
      <c r="O62" s="863"/>
      <c r="P62" s="864"/>
      <c r="Q62" s="968"/>
      <c r="R62" s="864"/>
      <c r="S62" s="5">
        <f t="shared" si="0"/>
        <v>0</v>
      </c>
      <c r="T62" s="932">
        <f t="shared" si="1"/>
        <v>0</v>
      </c>
    </row>
    <row r="63" spans="1:20">
      <c r="A63" s="869" t="s">
        <v>586</v>
      </c>
      <c r="B63" s="870" t="s">
        <v>587</v>
      </c>
      <c r="C63" s="870" t="s">
        <v>49</v>
      </c>
      <c r="D63" s="871">
        <v>24</v>
      </c>
      <c r="E63" s="870"/>
      <c r="F63" s="961">
        <v>129.84</v>
      </c>
      <c r="G63" s="863">
        <f>'FE3-1 '!K369</f>
        <v>0</v>
      </c>
      <c r="H63" s="967">
        <f t="shared" si="2"/>
        <v>0</v>
      </c>
      <c r="I63" s="863"/>
      <c r="J63" s="864"/>
      <c r="K63" s="863"/>
      <c r="L63" s="864"/>
      <c r="M63" s="863"/>
      <c r="N63" s="864"/>
      <c r="O63" s="863"/>
      <c r="P63" s="864"/>
      <c r="Q63" s="968"/>
      <c r="R63" s="864"/>
      <c r="S63" s="5">
        <f t="shared" si="0"/>
        <v>0</v>
      </c>
      <c r="T63" s="932">
        <f t="shared" si="1"/>
        <v>0</v>
      </c>
    </row>
    <row r="64" spans="1:20">
      <c r="A64" s="869" t="s">
        <v>588</v>
      </c>
      <c r="B64" s="870" t="s">
        <v>589</v>
      </c>
      <c r="C64" s="870" t="s">
        <v>50</v>
      </c>
      <c r="D64" s="871">
        <v>2.4000000000000004</v>
      </c>
      <c r="E64" s="870"/>
      <c r="F64" s="961">
        <v>102.84</v>
      </c>
      <c r="G64" s="863">
        <f>'FE3-1 '!K370</f>
        <v>0</v>
      </c>
      <c r="H64" s="967">
        <f t="shared" si="2"/>
        <v>0</v>
      </c>
      <c r="I64" s="863"/>
      <c r="J64" s="864"/>
      <c r="K64" s="863"/>
      <c r="L64" s="864"/>
      <c r="M64" s="863"/>
      <c r="N64" s="864"/>
      <c r="O64" s="863"/>
      <c r="P64" s="864"/>
      <c r="Q64" s="968"/>
      <c r="R64" s="864"/>
      <c r="S64" s="5">
        <f t="shared" si="0"/>
        <v>0</v>
      </c>
      <c r="T64" s="932">
        <f t="shared" si="1"/>
        <v>0</v>
      </c>
    </row>
    <row r="65" spans="1:20">
      <c r="A65" s="869" t="s">
        <v>590</v>
      </c>
      <c r="B65" s="870" t="s">
        <v>591</v>
      </c>
      <c r="C65" s="870" t="s">
        <v>50</v>
      </c>
      <c r="D65" s="871">
        <v>12.000000000000002</v>
      </c>
      <c r="E65" s="870"/>
      <c r="F65" s="961">
        <v>952.2</v>
      </c>
      <c r="G65" s="863"/>
      <c r="H65" s="968"/>
      <c r="I65" s="863">
        <f>F65</f>
        <v>952.2</v>
      </c>
      <c r="J65" s="864">
        <f t="shared" si="3"/>
        <v>1</v>
      </c>
      <c r="K65" s="863"/>
      <c r="L65" s="864"/>
      <c r="M65" s="863"/>
      <c r="N65" s="864"/>
      <c r="O65" s="863"/>
      <c r="P65" s="864"/>
      <c r="Q65" s="968"/>
      <c r="R65" s="864"/>
      <c r="S65" s="5">
        <f t="shared" si="0"/>
        <v>1</v>
      </c>
      <c r="T65" s="932">
        <f t="shared" si="1"/>
        <v>952.2</v>
      </c>
    </row>
    <row r="66" spans="1:20">
      <c r="A66" s="869" t="s">
        <v>1020</v>
      </c>
      <c r="B66" s="870" t="s">
        <v>919</v>
      </c>
      <c r="C66" s="870" t="s">
        <v>50</v>
      </c>
      <c r="D66" s="871">
        <v>17.999999999999993</v>
      </c>
      <c r="E66" s="870"/>
      <c r="F66" s="961">
        <v>714.96</v>
      </c>
      <c r="G66" s="863"/>
      <c r="H66" s="968"/>
      <c r="I66" s="863">
        <f>F66</f>
        <v>714.96</v>
      </c>
      <c r="J66" s="864">
        <f t="shared" si="3"/>
        <v>1</v>
      </c>
      <c r="K66" s="863"/>
      <c r="L66" s="864"/>
      <c r="M66" s="863"/>
      <c r="N66" s="864"/>
      <c r="O66" s="863"/>
      <c r="P66" s="864"/>
      <c r="Q66" s="968"/>
      <c r="R66" s="864"/>
      <c r="S66" s="5">
        <f t="shared" si="0"/>
        <v>1</v>
      </c>
      <c r="T66" s="932">
        <f t="shared" si="1"/>
        <v>714.96</v>
      </c>
    </row>
    <row r="67" spans="1:20">
      <c r="A67" s="875" t="s">
        <v>592</v>
      </c>
      <c r="B67" s="876" t="s">
        <v>934</v>
      </c>
      <c r="C67" s="876"/>
      <c r="D67" s="877"/>
      <c r="E67" s="876"/>
      <c r="F67" s="962">
        <v>3909.3</v>
      </c>
      <c r="G67" s="863"/>
      <c r="H67" s="968"/>
      <c r="I67" s="863"/>
      <c r="J67" s="864"/>
      <c r="K67" s="863"/>
      <c r="L67" s="864"/>
      <c r="M67" s="863"/>
      <c r="N67" s="864"/>
      <c r="O67" s="863"/>
      <c r="P67" s="864"/>
      <c r="Q67" s="968"/>
      <c r="R67" s="864"/>
      <c r="S67" s="5">
        <f t="shared" si="0"/>
        <v>0</v>
      </c>
      <c r="T67" s="932">
        <f t="shared" si="1"/>
        <v>0</v>
      </c>
    </row>
    <row r="68" spans="1:20">
      <c r="A68" s="869" t="s">
        <v>593</v>
      </c>
      <c r="B68" s="870" t="s">
        <v>603</v>
      </c>
      <c r="C68" s="870" t="s">
        <v>51</v>
      </c>
      <c r="D68" s="871">
        <v>60</v>
      </c>
      <c r="E68" s="870"/>
      <c r="F68" s="961">
        <v>1986.6</v>
      </c>
      <c r="G68" s="863"/>
      <c r="H68" s="968"/>
      <c r="I68" s="863">
        <v>1986.6</v>
      </c>
      <c r="J68" s="864">
        <f t="shared" si="3"/>
        <v>1</v>
      </c>
      <c r="K68" s="863"/>
      <c r="L68" s="864"/>
      <c r="M68" s="863"/>
      <c r="N68" s="864"/>
      <c r="O68" s="863"/>
      <c r="P68" s="864"/>
      <c r="Q68" s="968"/>
      <c r="R68" s="864"/>
      <c r="S68" s="5">
        <f t="shared" si="0"/>
        <v>1</v>
      </c>
      <c r="T68" s="932">
        <f t="shared" si="1"/>
        <v>1986.6</v>
      </c>
    </row>
    <row r="69" spans="1:20">
      <c r="A69" s="869" t="s">
        <v>1021</v>
      </c>
      <c r="B69" s="870" t="s">
        <v>605</v>
      </c>
      <c r="C69" s="870" t="s">
        <v>52</v>
      </c>
      <c r="D69" s="871">
        <v>10</v>
      </c>
      <c r="E69" s="870"/>
      <c r="F69" s="961">
        <v>1922.7</v>
      </c>
      <c r="G69" s="863"/>
      <c r="H69" s="968"/>
      <c r="I69" s="863">
        <v>1922.7</v>
      </c>
      <c r="J69" s="864">
        <f t="shared" si="3"/>
        <v>1</v>
      </c>
      <c r="K69" s="863"/>
      <c r="L69" s="864"/>
      <c r="M69" s="863"/>
      <c r="N69" s="864"/>
      <c r="O69" s="863"/>
      <c r="P69" s="864"/>
      <c r="Q69" s="968"/>
      <c r="R69" s="864"/>
      <c r="S69" s="5">
        <f t="shared" si="0"/>
        <v>1</v>
      </c>
      <c r="T69" s="932">
        <f t="shared" si="1"/>
        <v>1922.7</v>
      </c>
    </row>
    <row r="70" spans="1:20">
      <c r="A70" s="866" t="s">
        <v>594</v>
      </c>
      <c r="B70" s="867" t="s">
        <v>935</v>
      </c>
      <c r="C70" s="867"/>
      <c r="D70" s="874"/>
      <c r="E70" s="867"/>
      <c r="F70" s="960">
        <v>3677.9</v>
      </c>
      <c r="G70" s="863"/>
      <c r="H70" s="968"/>
      <c r="I70" s="863"/>
      <c r="J70" s="864"/>
      <c r="K70" s="863"/>
      <c r="L70" s="864"/>
      <c r="M70" s="863"/>
      <c r="N70" s="864"/>
      <c r="O70" s="863"/>
      <c r="P70" s="864"/>
      <c r="Q70" s="968"/>
      <c r="R70" s="864"/>
      <c r="S70" s="5">
        <f t="shared" si="0"/>
        <v>0</v>
      </c>
      <c r="T70" s="932">
        <f t="shared" si="1"/>
        <v>0</v>
      </c>
    </row>
    <row r="71" spans="1:20">
      <c r="A71" s="875" t="s">
        <v>596</v>
      </c>
      <c r="B71" s="876" t="s">
        <v>561</v>
      </c>
      <c r="C71" s="876"/>
      <c r="D71" s="877"/>
      <c r="E71" s="876"/>
      <c r="F71" s="962">
        <v>2038</v>
      </c>
      <c r="G71" s="863"/>
      <c r="H71" s="968"/>
      <c r="I71" s="863"/>
      <c r="J71" s="864"/>
      <c r="K71" s="863"/>
      <c r="L71" s="864"/>
      <c r="M71" s="863"/>
      <c r="N71" s="864"/>
      <c r="O71" s="863"/>
      <c r="P71" s="864"/>
      <c r="Q71" s="968"/>
      <c r="R71" s="864"/>
      <c r="S71" s="5">
        <f t="shared" si="0"/>
        <v>0</v>
      </c>
      <c r="T71" s="932">
        <f t="shared" si="1"/>
        <v>0</v>
      </c>
    </row>
    <row r="72" spans="1:20">
      <c r="A72" s="869" t="s">
        <v>597</v>
      </c>
      <c r="B72" s="870" t="s">
        <v>933</v>
      </c>
      <c r="C72" s="870" t="s">
        <v>50</v>
      </c>
      <c r="D72" s="871">
        <v>20</v>
      </c>
      <c r="E72" s="870"/>
      <c r="F72" s="961">
        <v>772.2</v>
      </c>
      <c r="G72" s="863">
        <f>'FE3-1 '!K378</f>
        <v>0</v>
      </c>
      <c r="H72" s="967">
        <f t="shared" si="2"/>
        <v>0</v>
      </c>
      <c r="I72" s="863"/>
      <c r="J72" s="864"/>
      <c r="K72" s="863"/>
      <c r="L72" s="864"/>
      <c r="M72" s="863"/>
      <c r="N72" s="864"/>
      <c r="O72" s="863"/>
      <c r="P72" s="864"/>
      <c r="Q72" s="968"/>
      <c r="R72" s="864"/>
      <c r="S72" s="5">
        <f t="shared" si="0"/>
        <v>0</v>
      </c>
      <c r="T72" s="932">
        <f t="shared" si="1"/>
        <v>0</v>
      </c>
    </row>
    <row r="73" spans="1:20">
      <c r="A73" s="869" t="s">
        <v>598</v>
      </c>
      <c r="B73" s="870" t="s">
        <v>587</v>
      </c>
      <c r="C73" s="870" t="s">
        <v>49</v>
      </c>
      <c r="D73" s="871">
        <v>20</v>
      </c>
      <c r="E73" s="870"/>
      <c r="F73" s="961">
        <v>108.2</v>
      </c>
      <c r="G73" s="863">
        <f>'FE3-1 '!K379</f>
        <v>0</v>
      </c>
      <c r="H73" s="967">
        <f t="shared" si="2"/>
        <v>0</v>
      </c>
      <c r="I73" s="863"/>
      <c r="J73" s="864"/>
      <c r="K73" s="863"/>
      <c r="L73" s="864"/>
      <c r="M73" s="863"/>
      <c r="N73" s="864"/>
      <c r="O73" s="863"/>
      <c r="P73" s="864"/>
      <c r="Q73" s="968"/>
      <c r="R73" s="864"/>
      <c r="S73" s="5">
        <f t="shared" ref="S73:S136" si="5">H73+J73+L73+N73+P73</f>
        <v>0</v>
      </c>
      <c r="T73" s="932">
        <f t="shared" ref="T73:T136" si="6">G73+I73+K73+M73+O73</f>
        <v>0</v>
      </c>
    </row>
    <row r="74" spans="1:20">
      <c r="A74" s="869" t="s">
        <v>599</v>
      </c>
      <c r="B74" s="870" t="s">
        <v>589</v>
      </c>
      <c r="C74" s="870" t="s">
        <v>50</v>
      </c>
      <c r="D74" s="871">
        <v>2</v>
      </c>
      <c r="E74" s="870"/>
      <c r="F74" s="961">
        <v>85.7</v>
      </c>
      <c r="G74" s="863">
        <f>'FE3-1 '!K380</f>
        <v>0</v>
      </c>
      <c r="H74" s="967">
        <f t="shared" si="2"/>
        <v>0</v>
      </c>
      <c r="I74" s="863"/>
      <c r="J74" s="864"/>
      <c r="K74" s="863"/>
      <c r="L74" s="864"/>
      <c r="M74" s="863"/>
      <c r="N74" s="864"/>
      <c r="O74" s="863"/>
      <c r="P74" s="864"/>
      <c r="Q74" s="968"/>
      <c r="R74" s="864"/>
      <c r="S74" s="5">
        <f t="shared" si="5"/>
        <v>0</v>
      </c>
      <c r="T74" s="932">
        <f t="shared" si="6"/>
        <v>0</v>
      </c>
    </row>
    <row r="75" spans="1:20">
      <c r="A75" s="869" t="s">
        <v>600</v>
      </c>
      <c r="B75" s="870" t="s">
        <v>591</v>
      </c>
      <c r="C75" s="870" t="s">
        <v>50</v>
      </c>
      <c r="D75" s="871">
        <v>6</v>
      </c>
      <c r="E75" s="870"/>
      <c r="F75" s="961">
        <v>476.1</v>
      </c>
      <c r="G75" s="863"/>
      <c r="H75" s="968"/>
      <c r="I75" s="863">
        <f>F75</f>
        <v>476.1</v>
      </c>
      <c r="J75" s="864">
        <f t="shared" ref="J75:J76" si="7">I75/F75</f>
        <v>1</v>
      </c>
      <c r="K75" s="863"/>
      <c r="L75" s="864"/>
      <c r="M75" s="863"/>
      <c r="N75" s="864"/>
      <c r="O75" s="863"/>
      <c r="P75" s="864"/>
      <c r="Q75" s="968"/>
      <c r="R75" s="864"/>
      <c r="S75" s="5">
        <f t="shared" si="5"/>
        <v>1</v>
      </c>
      <c r="T75" s="932">
        <f t="shared" si="6"/>
        <v>476.1</v>
      </c>
    </row>
    <row r="76" spans="1:20">
      <c r="A76" s="869" t="s">
        <v>1022</v>
      </c>
      <c r="B76" s="870" t="s">
        <v>919</v>
      </c>
      <c r="C76" s="870" t="s">
        <v>50</v>
      </c>
      <c r="D76" s="871">
        <v>15</v>
      </c>
      <c r="E76" s="870"/>
      <c r="F76" s="961">
        <v>595.79999999999995</v>
      </c>
      <c r="G76" s="863"/>
      <c r="H76" s="968"/>
      <c r="I76" s="863">
        <f>F76</f>
        <v>595.79999999999995</v>
      </c>
      <c r="J76" s="864">
        <f t="shared" si="7"/>
        <v>1</v>
      </c>
      <c r="K76" s="863"/>
      <c r="L76" s="864"/>
      <c r="M76" s="863"/>
      <c r="N76" s="864"/>
      <c r="O76" s="863"/>
      <c r="P76" s="864"/>
      <c r="Q76" s="968"/>
      <c r="R76" s="864"/>
      <c r="S76" s="5">
        <f t="shared" si="5"/>
        <v>1</v>
      </c>
      <c r="T76" s="932">
        <f t="shared" si="6"/>
        <v>595.79999999999995</v>
      </c>
    </row>
    <row r="77" spans="1:20">
      <c r="A77" s="875" t="s">
        <v>601</v>
      </c>
      <c r="B77" s="876" t="s">
        <v>936</v>
      </c>
      <c r="C77" s="876"/>
      <c r="D77" s="877"/>
      <c r="E77" s="876"/>
      <c r="F77" s="962">
        <v>1639.9</v>
      </c>
      <c r="G77" s="863"/>
      <c r="H77" s="968"/>
      <c r="I77" s="863"/>
      <c r="J77" s="864"/>
      <c r="K77" s="863"/>
      <c r="L77" s="864"/>
      <c r="M77" s="863"/>
      <c r="N77" s="864"/>
      <c r="O77" s="863"/>
      <c r="P77" s="864"/>
      <c r="Q77" s="968"/>
      <c r="R77" s="864"/>
      <c r="S77" s="5">
        <f t="shared" si="5"/>
        <v>0</v>
      </c>
      <c r="T77" s="932">
        <f t="shared" si="6"/>
        <v>0</v>
      </c>
    </row>
    <row r="78" spans="1:20">
      <c r="A78" s="869" t="s">
        <v>602</v>
      </c>
      <c r="B78" s="870" t="s">
        <v>622</v>
      </c>
      <c r="C78" s="870" t="s">
        <v>51</v>
      </c>
      <c r="D78" s="871">
        <v>50</v>
      </c>
      <c r="E78" s="870"/>
      <c r="F78" s="961">
        <v>559</v>
      </c>
      <c r="G78" s="863"/>
      <c r="H78" s="968"/>
      <c r="I78" s="863">
        <v>559</v>
      </c>
      <c r="J78" s="864">
        <f t="shared" ref="J78:J140" si="8">I78/F78</f>
        <v>1</v>
      </c>
      <c r="K78" s="863"/>
      <c r="L78" s="864"/>
      <c r="M78" s="863"/>
      <c r="N78" s="864"/>
      <c r="O78" s="863"/>
      <c r="P78" s="864"/>
      <c r="Q78" s="968"/>
      <c r="R78" s="864"/>
      <c r="S78" s="5">
        <f t="shared" si="5"/>
        <v>1</v>
      </c>
      <c r="T78" s="932">
        <f t="shared" si="6"/>
        <v>559</v>
      </c>
    </row>
    <row r="79" spans="1:20">
      <c r="A79" s="869" t="s">
        <v>604</v>
      </c>
      <c r="B79" s="870" t="s">
        <v>624</v>
      </c>
      <c r="C79" s="870" t="s">
        <v>52</v>
      </c>
      <c r="D79" s="871">
        <v>10</v>
      </c>
      <c r="E79" s="870"/>
      <c r="F79" s="961">
        <v>1080.9000000000001</v>
      </c>
      <c r="G79" s="863"/>
      <c r="H79" s="968"/>
      <c r="I79" s="863">
        <v>1080.9000000000001</v>
      </c>
      <c r="J79" s="864">
        <f t="shared" si="8"/>
        <v>1</v>
      </c>
      <c r="K79" s="863"/>
      <c r="L79" s="864"/>
      <c r="M79" s="863"/>
      <c r="N79" s="864"/>
      <c r="O79" s="863"/>
      <c r="P79" s="864"/>
      <c r="Q79" s="968"/>
      <c r="R79" s="864"/>
      <c r="S79" s="5">
        <f t="shared" si="5"/>
        <v>1</v>
      </c>
      <c r="T79" s="932">
        <f t="shared" si="6"/>
        <v>1080.9000000000001</v>
      </c>
    </row>
    <row r="80" spans="1:20">
      <c r="A80" s="866" t="s">
        <v>606</v>
      </c>
      <c r="B80" s="867" t="s">
        <v>626</v>
      </c>
      <c r="C80" s="867"/>
      <c r="D80" s="874"/>
      <c r="E80" s="867"/>
      <c r="F80" s="960">
        <v>11006.36</v>
      </c>
      <c r="G80" s="863"/>
      <c r="H80" s="968"/>
      <c r="I80" s="863"/>
      <c r="J80" s="864"/>
      <c r="K80" s="863"/>
      <c r="L80" s="864"/>
      <c r="M80" s="863"/>
      <c r="N80" s="864"/>
      <c r="O80" s="863"/>
      <c r="P80" s="864"/>
      <c r="Q80" s="968"/>
      <c r="R80" s="864"/>
      <c r="S80" s="5">
        <f t="shared" si="5"/>
        <v>0</v>
      </c>
      <c r="T80" s="932">
        <f t="shared" si="6"/>
        <v>0</v>
      </c>
    </row>
    <row r="81" spans="1:20">
      <c r="A81" s="875" t="s">
        <v>607</v>
      </c>
      <c r="B81" s="876" t="s">
        <v>561</v>
      </c>
      <c r="C81" s="876"/>
      <c r="D81" s="877"/>
      <c r="E81" s="876"/>
      <c r="F81" s="962">
        <v>796.88</v>
      </c>
      <c r="G81" s="863"/>
      <c r="H81" s="968"/>
      <c r="I81" s="863"/>
      <c r="J81" s="864"/>
      <c r="K81" s="863"/>
      <c r="L81" s="864"/>
      <c r="M81" s="863"/>
      <c r="N81" s="864"/>
      <c r="O81" s="863"/>
      <c r="P81" s="864"/>
      <c r="Q81" s="968"/>
      <c r="R81" s="864"/>
      <c r="S81" s="5">
        <f t="shared" si="5"/>
        <v>0</v>
      </c>
      <c r="T81" s="932">
        <f t="shared" si="6"/>
        <v>0</v>
      </c>
    </row>
    <row r="82" spans="1:20">
      <c r="A82" s="869" t="s">
        <v>608</v>
      </c>
      <c r="B82" s="870" t="s">
        <v>585</v>
      </c>
      <c r="C82" s="870" t="s">
        <v>50</v>
      </c>
      <c r="D82" s="871">
        <v>13.559999999999999</v>
      </c>
      <c r="E82" s="870"/>
      <c r="F82" s="961">
        <v>523.54999999999995</v>
      </c>
      <c r="G82" s="863"/>
      <c r="H82" s="968"/>
      <c r="I82" s="863">
        <v>523.54999999999995</v>
      </c>
      <c r="J82" s="864">
        <f t="shared" si="8"/>
        <v>1</v>
      </c>
      <c r="K82" s="863"/>
      <c r="L82" s="864"/>
      <c r="M82" s="863"/>
      <c r="N82" s="864"/>
      <c r="O82" s="863"/>
      <c r="P82" s="864"/>
      <c r="Q82" s="968"/>
      <c r="R82" s="864"/>
      <c r="S82" s="5">
        <f t="shared" si="5"/>
        <v>1</v>
      </c>
      <c r="T82" s="932">
        <f t="shared" si="6"/>
        <v>523.54999999999995</v>
      </c>
    </row>
    <row r="83" spans="1:20">
      <c r="A83" s="869" t="s">
        <v>609</v>
      </c>
      <c r="B83" s="870" t="s">
        <v>587</v>
      </c>
      <c r="C83" s="870" t="s">
        <v>49</v>
      </c>
      <c r="D83" s="871">
        <v>9.0399999999999991</v>
      </c>
      <c r="E83" s="870"/>
      <c r="F83" s="961">
        <v>48.91</v>
      </c>
      <c r="G83" s="863"/>
      <c r="H83" s="968"/>
      <c r="I83" s="863">
        <v>48.91</v>
      </c>
      <c r="J83" s="864">
        <f t="shared" si="8"/>
        <v>1</v>
      </c>
      <c r="K83" s="863"/>
      <c r="L83" s="864"/>
      <c r="M83" s="863"/>
      <c r="N83" s="864"/>
      <c r="O83" s="863"/>
      <c r="P83" s="864"/>
      <c r="Q83" s="968"/>
      <c r="R83" s="864"/>
      <c r="S83" s="5">
        <f t="shared" si="5"/>
        <v>1</v>
      </c>
      <c r="T83" s="932">
        <f t="shared" si="6"/>
        <v>48.91</v>
      </c>
    </row>
    <row r="84" spans="1:20">
      <c r="A84" s="869" t="s">
        <v>610</v>
      </c>
      <c r="B84" s="870" t="s">
        <v>919</v>
      </c>
      <c r="C84" s="870" t="s">
        <v>50</v>
      </c>
      <c r="D84" s="871">
        <v>5.6499999999999995</v>
      </c>
      <c r="E84" s="870"/>
      <c r="F84" s="961">
        <v>224.42</v>
      </c>
      <c r="G84" s="863"/>
      <c r="H84" s="968"/>
      <c r="I84" s="863">
        <v>224.42</v>
      </c>
      <c r="J84" s="864">
        <f t="shared" si="8"/>
        <v>1</v>
      </c>
      <c r="K84" s="863"/>
      <c r="L84" s="864"/>
      <c r="M84" s="863"/>
      <c r="N84" s="864"/>
      <c r="O84" s="863"/>
      <c r="P84" s="864"/>
      <c r="Q84" s="968"/>
      <c r="R84" s="864"/>
      <c r="S84" s="5">
        <f t="shared" si="5"/>
        <v>1</v>
      </c>
      <c r="T84" s="932">
        <f t="shared" si="6"/>
        <v>224.42</v>
      </c>
    </row>
    <row r="85" spans="1:20">
      <c r="A85" s="875" t="s">
        <v>611</v>
      </c>
      <c r="B85" s="876" t="s">
        <v>632</v>
      </c>
      <c r="C85" s="876"/>
      <c r="D85" s="877"/>
      <c r="E85" s="876"/>
      <c r="F85" s="962">
        <v>10209.48</v>
      </c>
      <c r="G85" s="863"/>
      <c r="H85" s="968"/>
      <c r="I85" s="863"/>
      <c r="J85" s="864"/>
      <c r="K85" s="863"/>
      <c r="L85" s="864"/>
      <c r="M85" s="863"/>
      <c r="N85" s="864"/>
      <c r="O85" s="863"/>
      <c r="P85" s="864"/>
      <c r="Q85" s="968"/>
      <c r="R85" s="864"/>
      <c r="S85" s="5">
        <f t="shared" si="5"/>
        <v>0</v>
      </c>
      <c r="T85" s="932">
        <f t="shared" si="6"/>
        <v>0</v>
      </c>
    </row>
    <row r="86" spans="1:20">
      <c r="A86" s="869" t="s">
        <v>612</v>
      </c>
      <c r="B86" s="870" t="s">
        <v>638</v>
      </c>
      <c r="C86" s="870" t="s">
        <v>52</v>
      </c>
      <c r="D86" s="871">
        <v>8</v>
      </c>
      <c r="E86" s="870"/>
      <c r="F86" s="961">
        <v>1264.72</v>
      </c>
      <c r="G86" s="863"/>
      <c r="H86" s="968"/>
      <c r="I86" s="863">
        <v>1264.72</v>
      </c>
      <c r="J86" s="864">
        <f t="shared" si="8"/>
        <v>1</v>
      </c>
      <c r="K86" s="863"/>
      <c r="L86" s="864"/>
      <c r="M86" s="863"/>
      <c r="N86" s="864"/>
      <c r="O86" s="863"/>
      <c r="P86" s="864"/>
      <c r="Q86" s="968"/>
      <c r="R86" s="864"/>
      <c r="S86" s="5">
        <f t="shared" si="5"/>
        <v>1</v>
      </c>
      <c r="T86" s="932">
        <f t="shared" si="6"/>
        <v>1264.72</v>
      </c>
    </row>
    <row r="87" spans="1:20">
      <c r="A87" s="869" t="s">
        <v>613</v>
      </c>
      <c r="B87" s="870" t="s">
        <v>937</v>
      </c>
      <c r="C87" s="870" t="s">
        <v>50</v>
      </c>
      <c r="D87" s="871">
        <v>7.5600000000000005</v>
      </c>
      <c r="E87" s="870"/>
      <c r="F87" s="961">
        <v>3509.2</v>
      </c>
      <c r="G87" s="863"/>
      <c r="H87" s="968"/>
      <c r="I87" s="863">
        <v>3509.2</v>
      </c>
      <c r="J87" s="864">
        <f t="shared" si="8"/>
        <v>1</v>
      </c>
      <c r="K87" s="863"/>
      <c r="L87" s="864"/>
      <c r="M87" s="863"/>
      <c r="N87" s="864"/>
      <c r="O87" s="863"/>
      <c r="P87" s="864"/>
      <c r="Q87" s="968"/>
      <c r="R87" s="864"/>
      <c r="S87" s="5">
        <f t="shared" si="5"/>
        <v>1</v>
      </c>
      <c r="T87" s="932">
        <f t="shared" si="6"/>
        <v>3509.2</v>
      </c>
    </row>
    <row r="88" spans="1:20">
      <c r="A88" s="869" t="s">
        <v>1023</v>
      </c>
      <c r="B88" s="870" t="s">
        <v>938</v>
      </c>
      <c r="C88" s="870" t="s">
        <v>50</v>
      </c>
      <c r="D88" s="871">
        <v>0.8</v>
      </c>
      <c r="E88" s="870"/>
      <c r="F88" s="961">
        <v>393.97</v>
      </c>
      <c r="G88" s="863"/>
      <c r="H88" s="968"/>
      <c r="I88" s="863">
        <v>393.97</v>
      </c>
      <c r="J88" s="864">
        <f t="shared" si="8"/>
        <v>1</v>
      </c>
      <c r="K88" s="863"/>
      <c r="L88" s="864"/>
      <c r="M88" s="863"/>
      <c r="N88" s="864"/>
      <c r="O88" s="863"/>
      <c r="P88" s="864"/>
      <c r="Q88" s="968"/>
      <c r="R88" s="864"/>
      <c r="S88" s="5">
        <f t="shared" si="5"/>
        <v>1</v>
      </c>
      <c r="T88" s="932">
        <f t="shared" si="6"/>
        <v>393.97</v>
      </c>
    </row>
    <row r="89" spans="1:20">
      <c r="A89" s="869" t="s">
        <v>1024</v>
      </c>
      <c r="B89" s="870" t="s">
        <v>636</v>
      </c>
      <c r="C89" s="870" t="s">
        <v>420</v>
      </c>
      <c r="D89" s="871">
        <v>188.49600000000004</v>
      </c>
      <c r="E89" s="870"/>
      <c r="F89" s="961">
        <v>901.03</v>
      </c>
      <c r="G89" s="863"/>
      <c r="H89" s="968"/>
      <c r="I89" s="863">
        <v>901.03</v>
      </c>
      <c r="J89" s="864">
        <f t="shared" si="8"/>
        <v>1</v>
      </c>
      <c r="K89" s="863"/>
      <c r="L89" s="864"/>
      <c r="M89" s="863"/>
      <c r="N89" s="864"/>
      <c r="O89" s="863"/>
      <c r="P89" s="864"/>
      <c r="Q89" s="968"/>
      <c r="R89" s="864"/>
      <c r="S89" s="5">
        <f t="shared" si="5"/>
        <v>1</v>
      </c>
      <c r="T89" s="932">
        <f t="shared" si="6"/>
        <v>901.03</v>
      </c>
    </row>
    <row r="90" spans="1:20">
      <c r="A90" s="869" t="s">
        <v>1025</v>
      </c>
      <c r="B90" s="870" t="s">
        <v>639</v>
      </c>
      <c r="C90" s="870" t="s">
        <v>52</v>
      </c>
      <c r="D90" s="871">
        <v>8</v>
      </c>
      <c r="E90" s="870"/>
      <c r="F90" s="961">
        <v>4140.5600000000004</v>
      </c>
      <c r="G90" s="863"/>
      <c r="H90" s="968"/>
      <c r="I90" s="863">
        <v>4140.5600000000004</v>
      </c>
      <c r="J90" s="864">
        <f t="shared" si="8"/>
        <v>1</v>
      </c>
      <c r="K90" s="863"/>
      <c r="L90" s="864"/>
      <c r="M90" s="863"/>
      <c r="N90" s="864"/>
      <c r="O90" s="863"/>
      <c r="P90" s="864"/>
      <c r="Q90" s="968"/>
      <c r="R90" s="864"/>
      <c r="S90" s="5">
        <f t="shared" si="5"/>
        <v>1</v>
      </c>
      <c r="T90" s="932">
        <f t="shared" si="6"/>
        <v>4140.5600000000004</v>
      </c>
    </row>
    <row r="91" spans="1:20">
      <c r="A91" s="866" t="s">
        <v>614</v>
      </c>
      <c r="B91" s="867" t="s">
        <v>939</v>
      </c>
      <c r="C91" s="867"/>
      <c r="D91" s="874"/>
      <c r="E91" s="867"/>
      <c r="F91" s="960">
        <v>21205.33</v>
      </c>
      <c r="G91" s="863"/>
      <c r="H91" s="968"/>
      <c r="I91" s="863"/>
      <c r="J91" s="864"/>
      <c r="K91" s="863"/>
      <c r="L91" s="864"/>
      <c r="M91" s="863"/>
      <c r="N91" s="864"/>
      <c r="O91" s="863"/>
      <c r="P91" s="864"/>
      <c r="Q91" s="968"/>
      <c r="R91" s="864"/>
      <c r="S91" s="5">
        <f t="shared" si="5"/>
        <v>0</v>
      </c>
      <c r="T91" s="932">
        <f t="shared" si="6"/>
        <v>0</v>
      </c>
    </row>
    <row r="92" spans="1:20">
      <c r="A92" s="875" t="s">
        <v>615</v>
      </c>
      <c r="B92" s="876" t="s">
        <v>561</v>
      </c>
      <c r="C92" s="876"/>
      <c r="D92" s="877"/>
      <c r="E92" s="876"/>
      <c r="F92" s="962">
        <v>631.91999999999996</v>
      </c>
      <c r="G92" s="863"/>
      <c r="H92" s="968"/>
      <c r="I92" s="863"/>
      <c r="J92" s="864"/>
      <c r="K92" s="863"/>
      <c r="L92" s="864"/>
      <c r="M92" s="863"/>
      <c r="N92" s="864"/>
      <c r="O92" s="863"/>
      <c r="P92" s="864"/>
      <c r="Q92" s="968"/>
      <c r="R92" s="864"/>
      <c r="S92" s="5">
        <f t="shared" si="5"/>
        <v>0</v>
      </c>
      <c r="T92" s="932">
        <f t="shared" si="6"/>
        <v>0</v>
      </c>
    </row>
    <row r="93" spans="1:20">
      <c r="A93" s="869" t="s">
        <v>616</v>
      </c>
      <c r="B93" s="870" t="s">
        <v>585</v>
      </c>
      <c r="C93" s="870" t="s">
        <v>50</v>
      </c>
      <c r="D93" s="871">
        <v>5.7360000000000007</v>
      </c>
      <c r="E93" s="870"/>
      <c r="F93" s="961">
        <v>221.62</v>
      </c>
      <c r="G93" s="863"/>
      <c r="H93" s="968"/>
      <c r="I93" s="863">
        <v>221.62</v>
      </c>
      <c r="J93" s="864">
        <f t="shared" si="8"/>
        <v>1</v>
      </c>
      <c r="K93" s="863"/>
      <c r="L93" s="864"/>
      <c r="M93" s="863"/>
      <c r="N93" s="864"/>
      <c r="O93" s="863"/>
      <c r="P93" s="864"/>
      <c r="Q93" s="968"/>
      <c r="R93" s="864"/>
      <c r="S93" s="5">
        <f t="shared" si="5"/>
        <v>1</v>
      </c>
      <c r="T93" s="932">
        <f t="shared" si="6"/>
        <v>221.62</v>
      </c>
    </row>
    <row r="94" spans="1:20">
      <c r="A94" s="869" t="s">
        <v>617</v>
      </c>
      <c r="B94" s="870" t="s">
        <v>587</v>
      </c>
      <c r="C94" s="870" t="s">
        <v>49</v>
      </c>
      <c r="D94" s="871">
        <v>8.16</v>
      </c>
      <c r="E94" s="870"/>
      <c r="F94" s="961">
        <v>44.15</v>
      </c>
      <c r="G94" s="863"/>
      <c r="H94" s="968"/>
      <c r="I94" s="863">
        <v>44.15</v>
      </c>
      <c r="J94" s="864">
        <f t="shared" si="8"/>
        <v>1</v>
      </c>
      <c r="K94" s="863"/>
      <c r="L94" s="864"/>
      <c r="M94" s="863"/>
      <c r="N94" s="864"/>
      <c r="O94" s="863"/>
      <c r="P94" s="864"/>
      <c r="Q94" s="968"/>
      <c r="R94" s="864"/>
      <c r="S94" s="5">
        <f t="shared" si="5"/>
        <v>1</v>
      </c>
      <c r="T94" s="932">
        <f t="shared" si="6"/>
        <v>44.15</v>
      </c>
    </row>
    <row r="95" spans="1:20">
      <c r="A95" s="869" t="s">
        <v>618</v>
      </c>
      <c r="B95" s="870" t="s">
        <v>577</v>
      </c>
      <c r="C95" s="870" t="s">
        <v>49</v>
      </c>
      <c r="D95" s="871">
        <v>8.16</v>
      </c>
      <c r="E95" s="870"/>
      <c r="F95" s="961">
        <v>81.36</v>
      </c>
      <c r="G95" s="863"/>
      <c r="H95" s="968"/>
      <c r="I95" s="863">
        <v>81.36</v>
      </c>
      <c r="J95" s="864">
        <f t="shared" si="8"/>
        <v>1</v>
      </c>
      <c r="K95" s="863"/>
      <c r="L95" s="864"/>
      <c r="M95" s="863"/>
      <c r="N95" s="864"/>
      <c r="O95" s="863"/>
      <c r="P95" s="864"/>
      <c r="Q95" s="968"/>
      <c r="R95" s="864"/>
      <c r="S95" s="5">
        <f t="shared" si="5"/>
        <v>1</v>
      </c>
      <c r="T95" s="932">
        <f t="shared" si="6"/>
        <v>81.36</v>
      </c>
    </row>
    <row r="96" spans="1:20">
      <c r="A96" s="869" t="s">
        <v>619</v>
      </c>
      <c r="B96" s="870" t="s">
        <v>919</v>
      </c>
      <c r="C96" s="870" t="s">
        <v>50</v>
      </c>
      <c r="D96" s="871">
        <v>7.1700000000000008</v>
      </c>
      <c r="E96" s="870"/>
      <c r="F96" s="961">
        <v>284.79000000000002</v>
      </c>
      <c r="G96" s="863"/>
      <c r="H96" s="968"/>
      <c r="I96" s="863">
        <v>284.79000000000002</v>
      </c>
      <c r="J96" s="864">
        <f t="shared" si="8"/>
        <v>1</v>
      </c>
      <c r="K96" s="863"/>
      <c r="L96" s="864"/>
      <c r="M96" s="863"/>
      <c r="N96" s="864"/>
      <c r="O96" s="863"/>
      <c r="P96" s="864"/>
      <c r="Q96" s="968"/>
      <c r="R96" s="864"/>
      <c r="S96" s="5">
        <f t="shared" si="5"/>
        <v>1</v>
      </c>
      <c r="T96" s="932">
        <f t="shared" si="6"/>
        <v>284.79000000000002</v>
      </c>
    </row>
    <row r="97" spans="1:20">
      <c r="A97" s="875" t="s">
        <v>620</v>
      </c>
      <c r="B97" s="876" t="s">
        <v>940</v>
      </c>
      <c r="C97" s="876"/>
      <c r="D97" s="877"/>
      <c r="E97" s="876"/>
      <c r="F97" s="962">
        <v>852.83</v>
      </c>
      <c r="G97" s="863"/>
      <c r="H97" s="968"/>
      <c r="I97" s="863"/>
      <c r="J97" s="864"/>
      <c r="K97" s="863"/>
      <c r="L97" s="864"/>
      <c r="M97" s="863"/>
      <c r="N97" s="864"/>
      <c r="O97" s="863"/>
      <c r="P97" s="864"/>
      <c r="Q97" s="968"/>
      <c r="R97" s="864"/>
      <c r="S97" s="5">
        <f t="shared" si="5"/>
        <v>0</v>
      </c>
      <c r="T97" s="932">
        <f t="shared" si="6"/>
        <v>0</v>
      </c>
    </row>
    <row r="98" spans="1:20">
      <c r="A98" s="869" t="s">
        <v>621</v>
      </c>
      <c r="B98" s="870" t="s">
        <v>941</v>
      </c>
      <c r="C98" s="870" t="s">
        <v>49</v>
      </c>
      <c r="D98" s="871">
        <v>8.67</v>
      </c>
      <c r="E98" s="870"/>
      <c r="F98" s="961">
        <v>353.74</v>
      </c>
      <c r="G98" s="863"/>
      <c r="H98" s="968"/>
      <c r="I98" s="863">
        <v>353.74</v>
      </c>
      <c r="J98" s="864">
        <f t="shared" si="8"/>
        <v>1</v>
      </c>
      <c r="K98" s="863"/>
      <c r="L98" s="864"/>
      <c r="M98" s="863"/>
      <c r="N98" s="864"/>
      <c r="O98" s="863"/>
      <c r="P98" s="864"/>
      <c r="Q98" s="968"/>
      <c r="R98" s="864"/>
      <c r="S98" s="5">
        <f t="shared" si="5"/>
        <v>1</v>
      </c>
      <c r="T98" s="932">
        <f t="shared" si="6"/>
        <v>353.74</v>
      </c>
    </row>
    <row r="99" spans="1:20">
      <c r="A99" s="869" t="s">
        <v>623</v>
      </c>
      <c r="B99" s="870" t="s">
        <v>942</v>
      </c>
      <c r="C99" s="870" t="s">
        <v>50</v>
      </c>
      <c r="D99" s="871">
        <v>1.026</v>
      </c>
      <c r="E99" s="870"/>
      <c r="F99" s="961">
        <v>478.11</v>
      </c>
      <c r="G99" s="863"/>
      <c r="H99" s="968"/>
      <c r="I99" s="863">
        <v>478.11</v>
      </c>
      <c r="J99" s="864">
        <f t="shared" si="8"/>
        <v>1</v>
      </c>
      <c r="K99" s="863"/>
      <c r="L99" s="864"/>
      <c r="M99" s="863"/>
      <c r="N99" s="864"/>
      <c r="O99" s="863"/>
      <c r="P99" s="864"/>
      <c r="Q99" s="968"/>
      <c r="R99" s="864"/>
      <c r="S99" s="5">
        <f t="shared" si="5"/>
        <v>1</v>
      </c>
      <c r="T99" s="932">
        <f t="shared" si="6"/>
        <v>478.11</v>
      </c>
    </row>
    <row r="100" spans="1:20">
      <c r="A100" s="869" t="s">
        <v>1026</v>
      </c>
      <c r="B100" s="870" t="s">
        <v>573</v>
      </c>
      <c r="C100" s="870" t="s">
        <v>49</v>
      </c>
      <c r="D100" s="871">
        <v>8.67</v>
      </c>
      <c r="E100" s="870"/>
      <c r="F100" s="961">
        <v>20.98</v>
      </c>
      <c r="G100" s="863"/>
      <c r="H100" s="968"/>
      <c r="I100" s="863">
        <v>20.98</v>
      </c>
      <c r="J100" s="864">
        <f t="shared" si="8"/>
        <v>1</v>
      </c>
      <c r="K100" s="863"/>
      <c r="L100" s="864"/>
      <c r="M100" s="863"/>
      <c r="N100" s="864"/>
      <c r="O100" s="863"/>
      <c r="P100" s="864"/>
      <c r="Q100" s="968"/>
      <c r="R100" s="864"/>
      <c r="S100" s="5">
        <f t="shared" si="5"/>
        <v>1</v>
      </c>
      <c r="T100" s="932">
        <f t="shared" si="6"/>
        <v>20.98</v>
      </c>
    </row>
    <row r="101" spans="1:20">
      <c r="A101" s="875" t="s">
        <v>1027</v>
      </c>
      <c r="B101" s="876" t="s">
        <v>943</v>
      </c>
      <c r="C101" s="876"/>
      <c r="D101" s="877"/>
      <c r="E101" s="876"/>
      <c r="F101" s="962">
        <v>2763.71</v>
      </c>
      <c r="G101" s="863"/>
      <c r="H101" s="968"/>
      <c r="I101" s="863"/>
      <c r="J101" s="864"/>
      <c r="K101" s="863"/>
      <c r="L101" s="864"/>
      <c r="M101" s="863"/>
      <c r="N101" s="864"/>
      <c r="O101" s="863"/>
      <c r="P101" s="864"/>
      <c r="Q101" s="968"/>
      <c r="R101" s="864"/>
      <c r="S101" s="5">
        <f t="shared" si="5"/>
        <v>0</v>
      </c>
      <c r="T101" s="932">
        <f t="shared" si="6"/>
        <v>0</v>
      </c>
    </row>
    <row r="102" spans="1:20">
      <c r="A102" s="869" t="s">
        <v>1028</v>
      </c>
      <c r="B102" s="870" t="s">
        <v>944</v>
      </c>
      <c r="C102" s="870" t="s">
        <v>49</v>
      </c>
      <c r="D102" s="871">
        <v>16.900000000000002</v>
      </c>
      <c r="E102" s="870"/>
      <c r="F102" s="961">
        <v>689.52</v>
      </c>
      <c r="G102" s="863"/>
      <c r="H102" s="968"/>
      <c r="I102" s="863">
        <v>689.52</v>
      </c>
      <c r="J102" s="864">
        <f t="shared" si="8"/>
        <v>1</v>
      </c>
      <c r="K102" s="863"/>
      <c r="L102" s="864"/>
      <c r="M102" s="863"/>
      <c r="N102" s="864"/>
      <c r="O102" s="863"/>
      <c r="P102" s="864"/>
      <c r="Q102" s="968"/>
      <c r="R102" s="864"/>
      <c r="S102" s="5">
        <f t="shared" si="5"/>
        <v>1</v>
      </c>
      <c r="T102" s="932">
        <f t="shared" si="6"/>
        <v>689.52</v>
      </c>
    </row>
    <row r="103" spans="1:20">
      <c r="A103" s="869" t="s">
        <v>1029</v>
      </c>
      <c r="B103" s="870" t="s">
        <v>945</v>
      </c>
      <c r="C103" s="870" t="s">
        <v>50</v>
      </c>
      <c r="D103" s="871">
        <v>2.4585000000000004</v>
      </c>
      <c r="E103" s="870"/>
      <c r="F103" s="961">
        <v>1141.8800000000001</v>
      </c>
      <c r="G103" s="863"/>
      <c r="H103" s="968"/>
      <c r="I103" s="863">
        <v>1141.8800000000001</v>
      </c>
      <c r="J103" s="864">
        <f t="shared" si="8"/>
        <v>1</v>
      </c>
      <c r="K103" s="863"/>
      <c r="L103" s="864"/>
      <c r="M103" s="863"/>
      <c r="N103" s="864"/>
      <c r="O103" s="863"/>
      <c r="P103" s="864"/>
      <c r="Q103" s="968"/>
      <c r="R103" s="864"/>
      <c r="S103" s="5">
        <f t="shared" si="5"/>
        <v>1</v>
      </c>
      <c r="T103" s="932">
        <f t="shared" si="6"/>
        <v>1141.8800000000001</v>
      </c>
    </row>
    <row r="104" spans="1:20">
      <c r="A104" s="869" t="s">
        <v>1030</v>
      </c>
      <c r="B104" s="870" t="s">
        <v>946</v>
      </c>
      <c r="C104" s="870" t="s">
        <v>420</v>
      </c>
      <c r="D104" s="871">
        <v>192.98400000000001</v>
      </c>
      <c r="E104" s="870"/>
      <c r="F104" s="961">
        <v>922.44</v>
      </c>
      <c r="G104" s="863"/>
      <c r="H104" s="968"/>
      <c r="I104" s="863">
        <v>922.44</v>
      </c>
      <c r="J104" s="864">
        <f t="shared" si="8"/>
        <v>1</v>
      </c>
      <c r="K104" s="863"/>
      <c r="L104" s="864"/>
      <c r="M104" s="863"/>
      <c r="N104" s="864"/>
      <c r="O104" s="863"/>
      <c r="P104" s="864"/>
      <c r="Q104" s="968"/>
      <c r="R104" s="864"/>
      <c r="S104" s="5">
        <f t="shared" si="5"/>
        <v>1</v>
      </c>
      <c r="T104" s="932">
        <f t="shared" si="6"/>
        <v>922.44</v>
      </c>
    </row>
    <row r="105" spans="1:20">
      <c r="A105" s="869" t="s">
        <v>1031</v>
      </c>
      <c r="B105" s="870" t="s">
        <v>573</v>
      </c>
      <c r="C105" s="870" t="s">
        <v>49</v>
      </c>
      <c r="D105" s="871">
        <v>4.08</v>
      </c>
      <c r="E105" s="870"/>
      <c r="F105" s="961">
        <v>9.8699999999999992</v>
      </c>
      <c r="G105" s="863"/>
      <c r="H105" s="968"/>
      <c r="I105" s="863">
        <v>9.8699999999999992</v>
      </c>
      <c r="J105" s="864">
        <f t="shared" si="8"/>
        <v>1</v>
      </c>
      <c r="K105" s="863"/>
      <c r="L105" s="864"/>
      <c r="M105" s="863"/>
      <c r="N105" s="864"/>
      <c r="O105" s="863"/>
      <c r="P105" s="864"/>
      <c r="Q105" s="968"/>
      <c r="R105" s="864"/>
      <c r="S105" s="5">
        <f t="shared" si="5"/>
        <v>1</v>
      </c>
      <c r="T105" s="932">
        <f t="shared" si="6"/>
        <v>9.8699999999999992</v>
      </c>
    </row>
    <row r="106" spans="1:20">
      <c r="A106" s="875" t="s">
        <v>1032</v>
      </c>
      <c r="B106" s="876" t="s">
        <v>651</v>
      </c>
      <c r="C106" s="876"/>
      <c r="D106" s="877"/>
      <c r="E106" s="876"/>
      <c r="F106" s="962">
        <v>1118.46</v>
      </c>
      <c r="G106" s="863"/>
      <c r="H106" s="968"/>
      <c r="I106" s="863"/>
      <c r="J106" s="864"/>
      <c r="K106" s="863"/>
      <c r="L106" s="864"/>
      <c r="M106" s="863"/>
      <c r="N106" s="864"/>
      <c r="O106" s="863"/>
      <c r="P106" s="864"/>
      <c r="Q106" s="968"/>
      <c r="R106" s="864"/>
      <c r="S106" s="5">
        <f t="shared" si="5"/>
        <v>0</v>
      </c>
      <c r="T106" s="932">
        <f t="shared" si="6"/>
        <v>0</v>
      </c>
    </row>
    <row r="107" spans="1:20">
      <c r="A107" s="869" t="s">
        <v>1033</v>
      </c>
      <c r="B107" s="870" t="s">
        <v>652</v>
      </c>
      <c r="C107" s="870" t="s">
        <v>51</v>
      </c>
      <c r="D107" s="871">
        <v>21</v>
      </c>
      <c r="E107" s="870"/>
      <c r="F107" s="961">
        <v>1118.46</v>
      </c>
      <c r="G107" s="863"/>
      <c r="H107" s="968"/>
      <c r="I107" s="863">
        <v>1118.46</v>
      </c>
      <c r="J107" s="864">
        <f t="shared" si="8"/>
        <v>1</v>
      </c>
      <c r="K107" s="863"/>
      <c r="L107" s="864"/>
      <c r="M107" s="863"/>
      <c r="N107" s="864"/>
      <c r="O107" s="863"/>
      <c r="P107" s="864"/>
      <c r="Q107" s="968"/>
      <c r="R107" s="864"/>
      <c r="S107" s="5">
        <f t="shared" si="5"/>
        <v>1</v>
      </c>
      <c r="T107" s="932">
        <f t="shared" si="6"/>
        <v>1118.46</v>
      </c>
    </row>
    <row r="108" spans="1:20">
      <c r="A108" s="875" t="s">
        <v>1034</v>
      </c>
      <c r="B108" s="876" t="s">
        <v>649</v>
      </c>
      <c r="C108" s="876"/>
      <c r="D108" s="877"/>
      <c r="E108" s="876"/>
      <c r="F108" s="962">
        <v>15838.41</v>
      </c>
      <c r="G108" s="863"/>
      <c r="H108" s="968"/>
      <c r="I108" s="863"/>
      <c r="J108" s="864"/>
      <c r="K108" s="863"/>
      <c r="L108" s="864"/>
      <c r="M108" s="863"/>
      <c r="N108" s="864"/>
      <c r="O108" s="863"/>
      <c r="P108" s="864"/>
      <c r="Q108" s="968"/>
      <c r="R108" s="864"/>
      <c r="S108" s="5">
        <f t="shared" si="5"/>
        <v>0</v>
      </c>
      <c r="T108" s="932">
        <f t="shared" si="6"/>
        <v>0</v>
      </c>
    </row>
    <row r="109" spans="1:20">
      <c r="A109" s="869" t="s">
        <v>1035</v>
      </c>
      <c r="B109" s="870" t="s">
        <v>650</v>
      </c>
      <c r="C109" s="870" t="s">
        <v>49</v>
      </c>
      <c r="D109" s="871">
        <v>10.32</v>
      </c>
      <c r="E109" s="870"/>
      <c r="F109" s="961">
        <v>15838.41</v>
      </c>
      <c r="G109" s="863"/>
      <c r="H109" s="968"/>
      <c r="I109" s="863">
        <v>15838.41</v>
      </c>
      <c r="J109" s="864">
        <f t="shared" si="8"/>
        <v>1</v>
      </c>
      <c r="K109" s="863"/>
      <c r="L109" s="864"/>
      <c r="M109" s="863"/>
      <c r="N109" s="864"/>
      <c r="O109" s="863"/>
      <c r="P109" s="864"/>
      <c r="Q109" s="968"/>
      <c r="R109" s="864"/>
      <c r="S109" s="5">
        <f t="shared" si="5"/>
        <v>1</v>
      </c>
      <c r="T109" s="932">
        <f t="shared" si="6"/>
        <v>15838.41</v>
      </c>
    </row>
    <row r="110" spans="1:20">
      <c r="A110" s="866" t="s">
        <v>625</v>
      </c>
      <c r="B110" s="867" t="s">
        <v>654</v>
      </c>
      <c r="C110" s="867"/>
      <c r="D110" s="874"/>
      <c r="E110" s="867"/>
      <c r="F110" s="960">
        <v>116015.77</v>
      </c>
      <c r="G110" s="863"/>
      <c r="H110" s="968"/>
      <c r="I110" s="863"/>
      <c r="J110" s="864"/>
      <c r="K110" s="863"/>
      <c r="L110" s="864"/>
      <c r="M110" s="863"/>
      <c r="N110" s="864"/>
      <c r="O110" s="863"/>
      <c r="P110" s="864"/>
      <c r="Q110" s="968"/>
      <c r="R110" s="864"/>
      <c r="S110" s="5">
        <f t="shared" si="5"/>
        <v>0</v>
      </c>
      <c r="T110" s="932">
        <f t="shared" si="6"/>
        <v>0</v>
      </c>
    </row>
    <row r="111" spans="1:20">
      <c r="A111" s="875" t="s">
        <v>627</v>
      </c>
      <c r="B111" s="876" t="s">
        <v>561</v>
      </c>
      <c r="C111" s="876"/>
      <c r="D111" s="877"/>
      <c r="E111" s="876"/>
      <c r="F111" s="962">
        <v>20122.07</v>
      </c>
      <c r="G111" s="863"/>
      <c r="H111" s="968"/>
      <c r="I111" s="863"/>
      <c r="J111" s="864"/>
      <c r="K111" s="863"/>
      <c r="L111" s="864"/>
      <c r="M111" s="863"/>
      <c r="N111" s="864"/>
      <c r="O111" s="863"/>
      <c r="P111" s="864"/>
      <c r="Q111" s="968"/>
      <c r="R111" s="864"/>
      <c r="S111" s="5">
        <f t="shared" si="5"/>
        <v>0</v>
      </c>
      <c r="T111" s="932">
        <f t="shared" si="6"/>
        <v>0</v>
      </c>
    </row>
    <row r="112" spans="1:20">
      <c r="A112" s="869" t="s">
        <v>628</v>
      </c>
      <c r="B112" s="870" t="s">
        <v>585</v>
      </c>
      <c r="C112" s="870" t="s">
        <v>50</v>
      </c>
      <c r="D112" s="871">
        <v>189.19640000000001</v>
      </c>
      <c r="E112" s="870"/>
      <c r="F112" s="961">
        <v>7305.01</v>
      </c>
      <c r="G112" s="863"/>
      <c r="H112" s="968"/>
      <c r="I112" s="863">
        <f>F112-K112</f>
        <v>4967.41</v>
      </c>
      <c r="J112" s="864">
        <f t="shared" si="8"/>
        <v>0.68000043805552624</v>
      </c>
      <c r="K112" s="863">
        <v>2337.6</v>
      </c>
      <c r="L112" s="864">
        <v>0.31999956194447371</v>
      </c>
      <c r="M112" s="863"/>
      <c r="N112" s="864"/>
      <c r="O112" s="863"/>
      <c r="P112" s="864"/>
      <c r="Q112" s="968"/>
      <c r="R112" s="864"/>
      <c r="S112" s="5">
        <f t="shared" si="5"/>
        <v>1</v>
      </c>
      <c r="T112" s="932">
        <f t="shared" si="6"/>
        <v>7305.01</v>
      </c>
    </row>
    <row r="113" spans="1:20">
      <c r="A113" s="869" t="s">
        <v>629</v>
      </c>
      <c r="B113" s="870" t="s">
        <v>587</v>
      </c>
      <c r="C113" s="870" t="s">
        <v>49</v>
      </c>
      <c r="D113" s="871">
        <v>222.58400000000003</v>
      </c>
      <c r="E113" s="870"/>
      <c r="F113" s="961">
        <v>1204.1600000000001</v>
      </c>
      <c r="G113" s="863"/>
      <c r="H113" s="968"/>
      <c r="I113" s="863">
        <v>1204.1600000000001</v>
      </c>
      <c r="J113" s="864">
        <f t="shared" si="8"/>
        <v>1</v>
      </c>
      <c r="K113" s="863"/>
      <c r="L113" s="864"/>
      <c r="M113" s="863"/>
      <c r="N113" s="864"/>
      <c r="O113" s="863"/>
      <c r="P113" s="864"/>
      <c r="Q113" s="968"/>
      <c r="R113" s="864"/>
      <c r="S113" s="5">
        <f t="shared" si="5"/>
        <v>1</v>
      </c>
      <c r="T113" s="932">
        <f t="shared" si="6"/>
        <v>1204.1600000000001</v>
      </c>
    </row>
    <row r="114" spans="1:20">
      <c r="A114" s="869" t="s">
        <v>630</v>
      </c>
      <c r="B114" s="870" t="s">
        <v>577</v>
      </c>
      <c r="C114" s="870" t="s">
        <v>49</v>
      </c>
      <c r="D114" s="871">
        <v>222.58400000000003</v>
      </c>
      <c r="E114" s="870"/>
      <c r="F114" s="961">
        <v>2219.12</v>
      </c>
      <c r="G114" s="863"/>
      <c r="H114" s="968"/>
      <c r="I114" s="863">
        <v>2219.12</v>
      </c>
      <c r="J114" s="864">
        <f t="shared" si="8"/>
        <v>1</v>
      </c>
      <c r="K114" s="863"/>
      <c r="L114" s="864"/>
      <c r="M114" s="863"/>
      <c r="N114" s="864"/>
      <c r="O114" s="863"/>
      <c r="P114" s="864"/>
      <c r="Q114" s="968"/>
      <c r="R114" s="864"/>
      <c r="S114" s="5">
        <f t="shared" si="5"/>
        <v>1</v>
      </c>
      <c r="T114" s="932">
        <f t="shared" si="6"/>
        <v>2219.12</v>
      </c>
    </row>
    <row r="115" spans="1:20">
      <c r="A115" s="869" t="s">
        <v>1036</v>
      </c>
      <c r="B115" s="870" t="s">
        <v>919</v>
      </c>
      <c r="C115" s="870" t="s">
        <v>50</v>
      </c>
      <c r="D115" s="871">
        <v>236.49550000000002</v>
      </c>
      <c r="E115" s="870"/>
      <c r="F115" s="961">
        <v>9393.7800000000007</v>
      </c>
      <c r="G115" s="863"/>
      <c r="H115" s="968"/>
      <c r="I115" s="863">
        <v>9393.7800000000007</v>
      </c>
      <c r="J115" s="864">
        <f t="shared" si="8"/>
        <v>1</v>
      </c>
      <c r="K115" s="863"/>
      <c r="L115" s="864"/>
      <c r="M115" s="863"/>
      <c r="N115" s="864"/>
      <c r="O115" s="863"/>
      <c r="P115" s="864"/>
      <c r="Q115" s="968"/>
      <c r="R115" s="864"/>
      <c r="S115" s="5">
        <f t="shared" si="5"/>
        <v>1</v>
      </c>
      <c r="T115" s="932">
        <f t="shared" si="6"/>
        <v>9393.7800000000007</v>
      </c>
    </row>
    <row r="116" spans="1:20">
      <c r="A116" s="875" t="s">
        <v>631</v>
      </c>
      <c r="B116" s="876" t="s">
        <v>940</v>
      </c>
      <c r="C116" s="876"/>
      <c r="D116" s="877"/>
      <c r="E116" s="876"/>
      <c r="F116" s="962">
        <v>68758.759999999995</v>
      </c>
      <c r="G116" s="863"/>
      <c r="H116" s="968"/>
      <c r="I116" s="863"/>
      <c r="J116" s="864"/>
      <c r="K116" s="863"/>
      <c r="L116" s="864" t="s">
        <v>283</v>
      </c>
      <c r="M116" s="863"/>
      <c r="N116" s="864"/>
      <c r="O116" s="863"/>
      <c r="P116" s="864"/>
      <c r="Q116" s="968"/>
      <c r="R116" s="864"/>
      <c r="S116" s="5"/>
      <c r="T116" s="932">
        <f t="shared" si="6"/>
        <v>0</v>
      </c>
    </row>
    <row r="117" spans="1:20">
      <c r="A117" s="869" t="s">
        <v>633</v>
      </c>
      <c r="B117" s="870" t="s">
        <v>657</v>
      </c>
      <c r="C117" s="870" t="s">
        <v>49</v>
      </c>
      <c r="D117" s="871">
        <v>472.99100000000004</v>
      </c>
      <c r="E117" s="870"/>
      <c r="F117" s="961">
        <v>19297.990000000002</v>
      </c>
      <c r="G117" s="863"/>
      <c r="H117" s="968"/>
      <c r="I117" s="863"/>
      <c r="J117" s="864"/>
      <c r="K117" s="863">
        <v>19297.990000000002</v>
      </c>
      <c r="L117" s="864">
        <v>1</v>
      </c>
      <c r="M117" s="863"/>
      <c r="N117" s="864"/>
      <c r="O117" s="863"/>
      <c r="P117" s="864"/>
      <c r="Q117" s="968"/>
      <c r="R117" s="864"/>
      <c r="S117" s="5">
        <f t="shared" si="5"/>
        <v>1</v>
      </c>
      <c r="T117" s="932">
        <f t="shared" si="6"/>
        <v>19297.990000000002</v>
      </c>
    </row>
    <row r="118" spans="1:20">
      <c r="A118" s="869" t="s">
        <v>634</v>
      </c>
      <c r="B118" s="870" t="s">
        <v>947</v>
      </c>
      <c r="C118" s="870" t="s">
        <v>50</v>
      </c>
      <c r="D118" s="871">
        <v>97.380499999999998</v>
      </c>
      <c r="E118" s="870"/>
      <c r="F118" s="961">
        <v>45201.85</v>
      </c>
      <c r="G118" s="863"/>
      <c r="H118" s="968"/>
      <c r="I118" s="863"/>
      <c r="J118" s="864"/>
      <c r="K118" s="863">
        <v>1458.12</v>
      </c>
      <c r="L118" s="864">
        <v>3.2257971742307004E-2</v>
      </c>
      <c r="M118" s="863">
        <v>43743.73</v>
      </c>
      <c r="N118" s="864">
        <v>0.96774202825769307</v>
      </c>
      <c r="O118" s="863"/>
      <c r="P118" s="864"/>
      <c r="Q118" s="968"/>
      <c r="R118" s="864"/>
      <c r="S118" s="5">
        <f t="shared" si="5"/>
        <v>1</v>
      </c>
      <c r="T118" s="932">
        <f t="shared" si="6"/>
        <v>45201.850000000006</v>
      </c>
    </row>
    <row r="119" spans="1:20">
      <c r="A119" s="869" t="s">
        <v>635</v>
      </c>
      <c r="B119" s="870" t="s">
        <v>573</v>
      </c>
      <c r="C119" s="870" t="s">
        <v>49</v>
      </c>
      <c r="D119" s="871">
        <v>472.99100000000004</v>
      </c>
      <c r="E119" s="870"/>
      <c r="F119" s="961">
        <v>1144.6400000000001</v>
      </c>
      <c r="G119" s="863"/>
      <c r="H119" s="968"/>
      <c r="I119" s="863"/>
      <c r="J119" s="864"/>
      <c r="K119" s="863"/>
      <c r="L119" s="864"/>
      <c r="M119" s="863">
        <v>1144.6400000000001</v>
      </c>
      <c r="N119" s="864">
        <v>1</v>
      </c>
      <c r="O119" s="863"/>
      <c r="P119" s="864"/>
      <c r="Q119" s="968"/>
      <c r="R119" s="864"/>
      <c r="S119" s="5">
        <f t="shared" si="5"/>
        <v>1</v>
      </c>
      <c r="T119" s="932">
        <f t="shared" si="6"/>
        <v>1144.6400000000001</v>
      </c>
    </row>
    <row r="120" spans="1:20">
      <c r="A120" s="869" t="s">
        <v>637</v>
      </c>
      <c r="B120" s="870" t="s">
        <v>572</v>
      </c>
      <c r="C120" s="870" t="s">
        <v>51</v>
      </c>
      <c r="D120" s="871">
        <v>508.87</v>
      </c>
      <c r="E120" s="870"/>
      <c r="F120" s="961">
        <v>3114.28</v>
      </c>
      <c r="G120" s="863"/>
      <c r="H120" s="968"/>
      <c r="I120" s="863"/>
      <c r="J120" s="864"/>
      <c r="K120" s="863"/>
      <c r="L120" s="864"/>
      <c r="M120" s="863">
        <v>3114.28</v>
      </c>
      <c r="N120" s="864">
        <v>1</v>
      </c>
      <c r="O120" s="863"/>
      <c r="P120" s="864"/>
      <c r="Q120" s="968"/>
      <c r="R120" s="864"/>
      <c r="S120" s="5">
        <f t="shared" si="5"/>
        <v>1</v>
      </c>
      <c r="T120" s="932">
        <f t="shared" si="6"/>
        <v>3114.28</v>
      </c>
    </row>
    <row r="121" spans="1:20">
      <c r="A121" s="875" t="s">
        <v>1037</v>
      </c>
      <c r="B121" s="876" t="s">
        <v>948</v>
      </c>
      <c r="C121" s="876"/>
      <c r="D121" s="877"/>
      <c r="E121" s="876"/>
      <c r="F121" s="962">
        <v>4389.83</v>
      </c>
      <c r="G121" s="863"/>
      <c r="H121" s="968"/>
      <c r="I121" s="863"/>
      <c r="J121" s="864"/>
      <c r="K121" s="863"/>
      <c r="L121" s="864"/>
      <c r="M121" s="863"/>
      <c r="N121" s="864"/>
      <c r="O121" s="863"/>
      <c r="P121" s="864"/>
      <c r="Q121" s="968"/>
      <c r="R121" s="864"/>
      <c r="S121" s="5">
        <f t="shared" si="5"/>
        <v>0</v>
      </c>
      <c r="T121" s="932">
        <f t="shared" si="6"/>
        <v>0</v>
      </c>
    </row>
    <row r="122" spans="1:20">
      <c r="A122" s="869" t="s">
        <v>1038</v>
      </c>
      <c r="B122" s="870" t="s">
        <v>949</v>
      </c>
      <c r="C122" s="870" t="s">
        <v>52</v>
      </c>
      <c r="D122" s="871">
        <v>19</v>
      </c>
      <c r="E122" s="870"/>
      <c r="F122" s="961">
        <v>4240.99</v>
      </c>
      <c r="G122" s="863"/>
      <c r="H122" s="968"/>
      <c r="I122" s="863"/>
      <c r="J122" s="864"/>
      <c r="K122" s="863"/>
      <c r="L122" s="864"/>
      <c r="M122" s="863">
        <v>4240.99</v>
      </c>
      <c r="N122" s="864">
        <v>1</v>
      </c>
      <c r="O122" s="863"/>
      <c r="P122" s="864"/>
      <c r="Q122" s="968"/>
      <c r="R122" s="864"/>
      <c r="S122" s="5">
        <f t="shared" si="5"/>
        <v>1</v>
      </c>
      <c r="T122" s="932">
        <f t="shared" si="6"/>
        <v>4240.99</v>
      </c>
    </row>
    <row r="123" spans="1:20">
      <c r="A123" s="869" t="s">
        <v>1039</v>
      </c>
      <c r="B123" s="870" t="s">
        <v>572</v>
      </c>
      <c r="C123" s="870" t="s">
        <v>51</v>
      </c>
      <c r="D123" s="871">
        <v>24.32</v>
      </c>
      <c r="E123" s="870"/>
      <c r="F123" s="961">
        <v>148.84</v>
      </c>
      <c r="G123" s="863"/>
      <c r="H123" s="968"/>
      <c r="I123" s="863"/>
      <c r="J123" s="864"/>
      <c r="K123" s="863"/>
      <c r="L123" s="864"/>
      <c r="M123" s="863"/>
      <c r="N123" s="864"/>
      <c r="O123" s="863">
        <v>148.84</v>
      </c>
      <c r="P123" s="864">
        <v>1</v>
      </c>
      <c r="Q123" s="968"/>
      <c r="R123" s="864"/>
      <c r="S123" s="5">
        <f t="shared" si="5"/>
        <v>1</v>
      </c>
      <c r="T123" s="932">
        <f t="shared" si="6"/>
        <v>148.84</v>
      </c>
    </row>
    <row r="124" spans="1:20">
      <c r="A124" s="875" t="s">
        <v>1040</v>
      </c>
      <c r="B124" s="876" t="s">
        <v>950</v>
      </c>
      <c r="C124" s="876"/>
      <c r="D124" s="877"/>
      <c r="E124" s="876"/>
      <c r="F124" s="962">
        <v>22745.11</v>
      </c>
      <c r="G124" s="863"/>
      <c r="H124" s="968"/>
      <c r="I124" s="863"/>
      <c r="J124" s="864"/>
      <c r="K124" s="863"/>
      <c r="L124" s="864"/>
      <c r="M124" s="863"/>
      <c r="N124" s="864"/>
      <c r="O124" s="863"/>
      <c r="P124" s="864"/>
      <c r="Q124" s="968"/>
      <c r="R124" s="864"/>
      <c r="S124" s="5">
        <f t="shared" si="5"/>
        <v>0</v>
      </c>
      <c r="T124" s="932">
        <f t="shared" si="6"/>
        <v>0</v>
      </c>
    </row>
    <row r="125" spans="1:20">
      <c r="A125" s="869" t="s">
        <v>1041</v>
      </c>
      <c r="B125" s="870" t="s">
        <v>951</v>
      </c>
      <c r="C125" s="870" t="s">
        <v>49</v>
      </c>
      <c r="D125" s="871">
        <v>53.745999999999995</v>
      </c>
      <c r="E125" s="870"/>
      <c r="F125" s="961">
        <v>1764.61</v>
      </c>
      <c r="G125" s="863"/>
      <c r="H125" s="968"/>
      <c r="I125" s="863"/>
      <c r="J125" s="864"/>
      <c r="K125" s="863"/>
      <c r="L125" s="864"/>
      <c r="M125" s="863">
        <v>1764.61</v>
      </c>
      <c r="N125" s="864">
        <v>1</v>
      </c>
      <c r="O125" s="863"/>
      <c r="P125" s="864"/>
      <c r="Q125" s="968"/>
      <c r="R125" s="864"/>
      <c r="S125" s="5">
        <f t="shared" si="5"/>
        <v>1</v>
      </c>
      <c r="T125" s="932">
        <f t="shared" si="6"/>
        <v>1764.61</v>
      </c>
    </row>
    <row r="126" spans="1:20">
      <c r="A126" s="869" t="s">
        <v>1042</v>
      </c>
      <c r="B126" s="870" t="s">
        <v>946</v>
      </c>
      <c r="C126" s="870" t="s">
        <v>420</v>
      </c>
      <c r="D126" s="871">
        <v>2241.5764799999997</v>
      </c>
      <c r="E126" s="870"/>
      <c r="F126" s="961">
        <v>10714.75</v>
      </c>
      <c r="G126" s="863"/>
      <c r="H126" s="968"/>
      <c r="I126" s="863"/>
      <c r="J126" s="864"/>
      <c r="K126" s="863"/>
      <c r="L126" s="864"/>
      <c r="M126" s="863">
        <v>10714.75</v>
      </c>
      <c r="N126" s="864">
        <v>1</v>
      </c>
      <c r="O126" s="863"/>
      <c r="P126" s="864"/>
      <c r="Q126" s="968"/>
      <c r="R126" s="864"/>
      <c r="S126" s="5">
        <f t="shared" si="5"/>
        <v>1</v>
      </c>
      <c r="T126" s="932">
        <f t="shared" si="6"/>
        <v>10714.75</v>
      </c>
    </row>
    <row r="127" spans="1:20">
      <c r="A127" s="869" t="s">
        <v>1043</v>
      </c>
      <c r="B127" s="870" t="s">
        <v>952</v>
      </c>
      <c r="C127" s="870" t="s">
        <v>50</v>
      </c>
      <c r="D127" s="871">
        <v>19.978400000000001</v>
      </c>
      <c r="E127" s="870"/>
      <c r="F127" s="961">
        <v>9274.32</v>
      </c>
      <c r="G127" s="863"/>
      <c r="H127" s="968"/>
      <c r="I127" s="863"/>
      <c r="J127" s="864"/>
      <c r="K127" s="863"/>
      <c r="L127" s="864"/>
      <c r="M127" s="863">
        <v>9274.32</v>
      </c>
      <c r="N127" s="864">
        <v>1</v>
      </c>
      <c r="O127" s="863"/>
      <c r="P127" s="864"/>
      <c r="Q127" s="968"/>
      <c r="R127" s="864"/>
      <c r="S127" s="5">
        <f t="shared" si="5"/>
        <v>1</v>
      </c>
      <c r="T127" s="932">
        <f t="shared" si="6"/>
        <v>9274.32</v>
      </c>
    </row>
    <row r="128" spans="1:20">
      <c r="A128" s="869" t="s">
        <v>1044</v>
      </c>
      <c r="B128" s="870" t="s">
        <v>573</v>
      </c>
      <c r="C128" s="870" t="s">
        <v>49</v>
      </c>
      <c r="D128" s="871">
        <v>199.78399999999999</v>
      </c>
      <c r="E128" s="870"/>
      <c r="F128" s="961">
        <v>483.47</v>
      </c>
      <c r="G128" s="863"/>
      <c r="H128" s="968"/>
      <c r="I128" s="863"/>
      <c r="J128" s="864"/>
      <c r="K128" s="863"/>
      <c r="L128" s="864"/>
      <c r="M128" s="863"/>
      <c r="N128" s="864"/>
      <c r="O128" s="863">
        <v>483.47</v>
      </c>
      <c r="P128" s="864">
        <v>1</v>
      </c>
      <c r="Q128" s="968"/>
      <c r="R128" s="864"/>
      <c r="S128" s="5">
        <f t="shared" si="5"/>
        <v>1</v>
      </c>
      <c r="T128" s="932">
        <f t="shared" si="6"/>
        <v>483.47</v>
      </c>
    </row>
    <row r="129" spans="1:20">
      <c r="A129" s="869" t="s">
        <v>1045</v>
      </c>
      <c r="B129" s="870" t="s">
        <v>572</v>
      </c>
      <c r="C129" s="870" t="s">
        <v>51</v>
      </c>
      <c r="D129" s="871">
        <v>83</v>
      </c>
      <c r="E129" s="870"/>
      <c r="F129" s="961">
        <v>507.96</v>
      </c>
      <c r="G129" s="863"/>
      <c r="H129" s="968"/>
      <c r="I129" s="863"/>
      <c r="J129" s="864"/>
      <c r="K129" s="863"/>
      <c r="L129" s="864"/>
      <c r="M129" s="863"/>
      <c r="N129" s="864"/>
      <c r="O129" s="863">
        <v>507.96</v>
      </c>
      <c r="P129" s="864">
        <v>1</v>
      </c>
      <c r="Q129" s="968"/>
      <c r="R129" s="864"/>
      <c r="S129" s="5">
        <f t="shared" si="5"/>
        <v>1</v>
      </c>
      <c r="T129" s="932">
        <f t="shared" si="6"/>
        <v>507.96</v>
      </c>
    </row>
    <row r="130" spans="1:20">
      <c r="A130" s="866" t="s">
        <v>640</v>
      </c>
      <c r="B130" s="867" t="s">
        <v>953</v>
      </c>
      <c r="C130" s="867"/>
      <c r="D130" s="874"/>
      <c r="E130" s="867"/>
      <c r="F130" s="960">
        <v>85589.33</v>
      </c>
      <c r="G130" s="863"/>
      <c r="H130" s="968"/>
      <c r="I130" s="863"/>
      <c r="J130" s="864"/>
      <c r="K130" s="863"/>
      <c r="L130" s="864"/>
      <c r="M130" s="863"/>
      <c r="N130" s="864"/>
      <c r="O130" s="863"/>
      <c r="P130" s="864"/>
      <c r="Q130" s="968"/>
      <c r="R130" s="864"/>
      <c r="S130" s="5">
        <f t="shared" si="5"/>
        <v>0</v>
      </c>
      <c r="T130" s="932">
        <f t="shared" si="6"/>
        <v>0</v>
      </c>
    </row>
    <row r="131" spans="1:20">
      <c r="A131" s="875" t="s">
        <v>641</v>
      </c>
      <c r="B131" s="876" t="s">
        <v>954</v>
      </c>
      <c r="C131" s="876"/>
      <c r="D131" s="877"/>
      <c r="E131" s="876"/>
      <c r="F131" s="962">
        <v>80419.47</v>
      </c>
      <c r="G131" s="863"/>
      <c r="H131" s="968"/>
      <c r="I131" s="863"/>
      <c r="J131" s="864"/>
      <c r="K131" s="863"/>
      <c r="L131" s="864"/>
      <c r="M131" s="863"/>
      <c r="N131" s="864"/>
      <c r="O131" s="863"/>
      <c r="P131" s="864"/>
      <c r="Q131" s="968"/>
      <c r="R131" s="864"/>
      <c r="S131" s="5">
        <f t="shared" si="5"/>
        <v>0</v>
      </c>
      <c r="T131" s="932">
        <f t="shared" si="6"/>
        <v>0</v>
      </c>
    </row>
    <row r="132" spans="1:20">
      <c r="A132" s="879" t="s">
        <v>642</v>
      </c>
      <c r="B132" s="880" t="s">
        <v>955</v>
      </c>
      <c r="C132" s="880"/>
      <c r="D132" s="881"/>
      <c r="E132" s="880"/>
      <c r="F132" s="963">
        <v>127.69</v>
      </c>
      <c r="G132" s="863"/>
      <c r="H132" s="968"/>
      <c r="I132" s="863"/>
      <c r="J132" s="864"/>
      <c r="K132" s="863"/>
      <c r="L132" s="864"/>
      <c r="M132" s="863"/>
      <c r="N132" s="864"/>
      <c r="O132" s="863"/>
      <c r="P132" s="864"/>
      <c r="Q132" s="968"/>
      <c r="R132" s="864"/>
      <c r="S132" s="5">
        <f t="shared" si="5"/>
        <v>0</v>
      </c>
      <c r="T132" s="932">
        <f t="shared" si="6"/>
        <v>0</v>
      </c>
    </row>
    <row r="133" spans="1:20">
      <c r="A133" s="869" t="s">
        <v>1046</v>
      </c>
      <c r="B133" s="870" t="s">
        <v>956</v>
      </c>
      <c r="C133" s="870" t="s">
        <v>49</v>
      </c>
      <c r="D133" s="871">
        <v>87.457499999999996</v>
      </c>
      <c r="E133" s="870"/>
      <c r="F133" s="961">
        <v>127.69</v>
      </c>
      <c r="G133" s="863">
        <f>'FE3-1 '!K439</f>
        <v>0</v>
      </c>
      <c r="H133" s="967">
        <f t="shared" ref="H133" si="9">G133/F133</f>
        <v>0</v>
      </c>
      <c r="I133" s="863"/>
      <c r="J133" s="864"/>
      <c r="K133" s="863"/>
      <c r="L133" s="864"/>
      <c r="M133" s="863"/>
      <c r="N133" s="864"/>
      <c r="O133" s="863"/>
      <c r="P133" s="864"/>
      <c r="Q133" s="968"/>
      <c r="R133" s="864"/>
      <c r="S133" s="5">
        <f t="shared" si="5"/>
        <v>0</v>
      </c>
      <c r="T133" s="932">
        <f t="shared" si="6"/>
        <v>0</v>
      </c>
    </row>
    <row r="134" spans="1:20">
      <c r="A134" s="879" t="s">
        <v>643</v>
      </c>
      <c r="B134" s="880" t="s">
        <v>957</v>
      </c>
      <c r="C134" s="880"/>
      <c r="D134" s="881"/>
      <c r="E134" s="880"/>
      <c r="F134" s="963">
        <v>10232.700000000001</v>
      </c>
      <c r="G134" s="863"/>
      <c r="H134" s="968"/>
      <c r="I134" s="863"/>
      <c r="J134" s="864"/>
      <c r="K134" s="863"/>
      <c r="L134" s="864"/>
      <c r="M134" s="863"/>
      <c r="N134" s="864"/>
      <c r="O134" s="863"/>
      <c r="P134" s="864"/>
      <c r="Q134" s="968"/>
      <c r="R134" s="864"/>
      <c r="S134" s="5">
        <f t="shared" si="5"/>
        <v>0</v>
      </c>
      <c r="T134" s="932">
        <f t="shared" si="6"/>
        <v>0</v>
      </c>
    </row>
    <row r="135" spans="1:20">
      <c r="A135" s="869" t="s">
        <v>1047</v>
      </c>
      <c r="B135" s="870" t="s">
        <v>958</v>
      </c>
      <c r="C135" s="870" t="s">
        <v>50</v>
      </c>
      <c r="D135" s="871">
        <v>244.92262499999995</v>
      </c>
      <c r="E135" s="870"/>
      <c r="F135" s="961">
        <v>6233.21</v>
      </c>
      <c r="G135" s="863"/>
      <c r="H135" s="968"/>
      <c r="I135" s="863">
        <f>F135</f>
        <v>6233.21</v>
      </c>
      <c r="J135" s="864">
        <f t="shared" si="8"/>
        <v>1</v>
      </c>
      <c r="K135" s="863"/>
      <c r="L135" s="864"/>
      <c r="M135" s="863"/>
      <c r="N135" s="864"/>
      <c r="O135" s="863"/>
      <c r="P135" s="864"/>
      <c r="Q135" s="968"/>
      <c r="R135" s="864"/>
      <c r="S135" s="5">
        <f t="shared" si="5"/>
        <v>1</v>
      </c>
      <c r="T135" s="932">
        <f t="shared" si="6"/>
        <v>6233.21</v>
      </c>
    </row>
    <row r="136" spans="1:20">
      <c r="A136" s="869" t="s">
        <v>1048</v>
      </c>
      <c r="B136" s="870" t="s">
        <v>959</v>
      </c>
      <c r="C136" s="870" t="s">
        <v>50</v>
      </c>
      <c r="D136" s="871">
        <v>306.06200000000001</v>
      </c>
      <c r="E136" s="870"/>
      <c r="F136" s="961">
        <v>964.09</v>
      </c>
      <c r="G136" s="863"/>
      <c r="H136" s="968"/>
      <c r="I136" s="863">
        <f>F136</f>
        <v>964.09</v>
      </c>
      <c r="J136" s="864">
        <f t="shared" si="8"/>
        <v>1</v>
      </c>
      <c r="K136" s="863"/>
      <c r="L136" s="864"/>
      <c r="M136" s="863"/>
      <c r="N136" s="864"/>
      <c r="O136" s="863"/>
      <c r="P136" s="864"/>
      <c r="Q136" s="968"/>
      <c r="R136" s="864"/>
      <c r="S136" s="5">
        <f t="shared" si="5"/>
        <v>1</v>
      </c>
      <c r="T136" s="932">
        <f t="shared" si="6"/>
        <v>964.09</v>
      </c>
    </row>
    <row r="137" spans="1:20">
      <c r="A137" s="869" t="s">
        <v>1049</v>
      </c>
      <c r="B137" s="870" t="s">
        <v>960</v>
      </c>
      <c r="C137" s="870" t="s">
        <v>50</v>
      </c>
      <c r="D137" s="871">
        <v>76.42421875000008</v>
      </c>
      <c r="E137" s="870"/>
      <c r="F137" s="961">
        <v>3035.4</v>
      </c>
      <c r="G137" s="863"/>
      <c r="H137" s="968"/>
      <c r="I137" s="863">
        <f>F137</f>
        <v>3035.4</v>
      </c>
      <c r="J137" s="864"/>
      <c r="K137" s="863"/>
      <c r="L137" s="864"/>
      <c r="M137" s="863"/>
      <c r="N137" s="864"/>
      <c r="O137" s="863"/>
      <c r="P137" s="864"/>
      <c r="Q137" s="968"/>
      <c r="R137" s="864"/>
      <c r="S137" s="5">
        <f t="shared" ref="S137:S200" si="10">H137+J137+L137+N137+P137</f>
        <v>0</v>
      </c>
      <c r="T137" s="932">
        <f t="shared" ref="T137:T200" si="11">G137+I137+K137+M137+O137</f>
        <v>3035.4</v>
      </c>
    </row>
    <row r="138" spans="1:20">
      <c r="A138" s="879" t="s">
        <v>644</v>
      </c>
      <c r="B138" s="880" t="s">
        <v>961</v>
      </c>
      <c r="C138" s="880"/>
      <c r="D138" s="881"/>
      <c r="E138" s="880"/>
      <c r="F138" s="963">
        <v>70059.08</v>
      </c>
      <c r="G138" s="863"/>
      <c r="H138" s="968"/>
      <c r="I138" s="863"/>
      <c r="J138" s="864">
        <f t="shared" si="8"/>
        <v>0</v>
      </c>
      <c r="K138" s="863"/>
      <c r="L138" s="864"/>
      <c r="M138" s="863"/>
      <c r="N138" s="864"/>
      <c r="O138" s="863"/>
      <c r="P138" s="864"/>
      <c r="Q138" s="968"/>
      <c r="R138" s="864"/>
      <c r="S138" s="5">
        <f t="shared" si="10"/>
        <v>0</v>
      </c>
      <c r="T138" s="932">
        <f t="shared" si="11"/>
        <v>0</v>
      </c>
    </row>
    <row r="139" spans="1:20">
      <c r="A139" s="869" t="s">
        <v>1050</v>
      </c>
      <c r="B139" s="870" t="s">
        <v>962</v>
      </c>
      <c r="C139" s="870" t="s">
        <v>49</v>
      </c>
      <c r="D139" s="871">
        <v>92.05749999999999</v>
      </c>
      <c r="E139" s="870"/>
      <c r="F139" s="961">
        <v>1774</v>
      </c>
      <c r="G139" s="863"/>
      <c r="H139" s="968"/>
      <c r="I139" s="863">
        <v>1774</v>
      </c>
      <c r="J139" s="864">
        <f t="shared" si="8"/>
        <v>1</v>
      </c>
      <c r="K139" s="863"/>
      <c r="L139" s="864"/>
      <c r="M139" s="863"/>
      <c r="N139" s="864"/>
      <c r="O139" s="863"/>
      <c r="P139" s="864"/>
      <c r="Q139" s="968"/>
      <c r="R139" s="864"/>
      <c r="S139" s="5">
        <f t="shared" si="10"/>
        <v>1</v>
      </c>
      <c r="T139" s="932">
        <f t="shared" si="11"/>
        <v>1774</v>
      </c>
    </row>
    <row r="140" spans="1:20">
      <c r="A140" s="869" t="s">
        <v>1051</v>
      </c>
      <c r="B140" s="870" t="s">
        <v>963</v>
      </c>
      <c r="C140" s="870" t="s">
        <v>49</v>
      </c>
      <c r="D140" s="871">
        <v>215.625</v>
      </c>
      <c r="E140" s="870"/>
      <c r="F140" s="961">
        <v>7079.13</v>
      </c>
      <c r="G140" s="863"/>
      <c r="H140" s="968"/>
      <c r="I140" s="863">
        <v>7079.13</v>
      </c>
      <c r="J140" s="864">
        <f t="shared" si="8"/>
        <v>1</v>
      </c>
      <c r="K140" s="863"/>
      <c r="L140" s="864"/>
      <c r="M140" s="863"/>
      <c r="N140" s="864"/>
      <c r="O140" s="863"/>
      <c r="P140" s="864"/>
      <c r="Q140" s="968"/>
      <c r="R140" s="864"/>
      <c r="S140" s="5">
        <f t="shared" si="10"/>
        <v>1</v>
      </c>
      <c r="T140" s="932">
        <f t="shared" si="11"/>
        <v>7079.13</v>
      </c>
    </row>
    <row r="141" spans="1:20">
      <c r="A141" s="869" t="s">
        <v>1052</v>
      </c>
      <c r="B141" s="870" t="s">
        <v>964</v>
      </c>
      <c r="C141" s="870" t="s">
        <v>50</v>
      </c>
      <c r="D141" s="871">
        <v>78.605999999999995</v>
      </c>
      <c r="E141" s="870"/>
      <c r="F141" s="961">
        <v>38712.28</v>
      </c>
      <c r="G141" s="863"/>
      <c r="H141" s="968"/>
      <c r="I141" s="863"/>
      <c r="J141" s="864"/>
      <c r="K141" s="863">
        <v>38712.28</v>
      </c>
      <c r="L141" s="864">
        <v>1</v>
      </c>
      <c r="M141" s="863"/>
      <c r="N141" s="864"/>
      <c r="O141" s="863"/>
      <c r="P141" s="864"/>
      <c r="Q141" s="968"/>
      <c r="R141" s="864"/>
      <c r="S141" s="5">
        <f t="shared" si="10"/>
        <v>1</v>
      </c>
      <c r="T141" s="932">
        <f t="shared" si="11"/>
        <v>38712.28</v>
      </c>
    </row>
    <row r="142" spans="1:20">
      <c r="A142" s="869" t="s">
        <v>1053</v>
      </c>
      <c r="B142" s="870" t="s">
        <v>965</v>
      </c>
      <c r="C142" s="870" t="s">
        <v>420</v>
      </c>
      <c r="D142" s="871">
        <v>4585.3917999999994</v>
      </c>
      <c r="E142" s="870"/>
      <c r="F142" s="961">
        <v>21780.6</v>
      </c>
      <c r="G142" s="863"/>
      <c r="H142" s="968"/>
      <c r="I142" s="863">
        <v>11463.47</v>
      </c>
      <c r="J142" s="864">
        <f t="shared" ref="J142:J204" si="12">I142/F142</f>
        <v>0.52631562032267243</v>
      </c>
      <c r="K142" s="863">
        <v>10317.129999999999</v>
      </c>
      <c r="L142" s="864">
        <v>0.47368437967732752</v>
      </c>
      <c r="M142" s="863"/>
      <c r="N142" s="864"/>
      <c r="O142" s="863"/>
      <c r="P142" s="864"/>
      <c r="Q142" s="968"/>
      <c r="R142" s="864"/>
      <c r="S142" s="5">
        <f t="shared" si="10"/>
        <v>1</v>
      </c>
      <c r="T142" s="932">
        <f t="shared" si="11"/>
        <v>21780.6</v>
      </c>
    </row>
    <row r="143" spans="1:20">
      <c r="A143" s="869" t="s">
        <v>1054</v>
      </c>
      <c r="B143" s="870" t="s">
        <v>966</v>
      </c>
      <c r="C143" s="870" t="s">
        <v>49</v>
      </c>
      <c r="D143" s="871">
        <v>215.625</v>
      </c>
      <c r="E143" s="870"/>
      <c r="F143" s="961">
        <v>521.82000000000005</v>
      </c>
      <c r="G143" s="863"/>
      <c r="H143" s="968"/>
      <c r="I143" s="863"/>
      <c r="J143" s="864"/>
      <c r="K143" s="863">
        <v>521.82000000000005</v>
      </c>
      <c r="L143" s="864">
        <v>1</v>
      </c>
      <c r="M143" s="863"/>
      <c r="N143" s="864"/>
      <c r="O143" s="863"/>
      <c r="P143" s="864"/>
      <c r="Q143" s="968"/>
      <c r="R143" s="864"/>
      <c r="S143" s="5">
        <f t="shared" si="10"/>
        <v>1</v>
      </c>
      <c r="T143" s="932">
        <f t="shared" si="11"/>
        <v>521.82000000000005</v>
      </c>
    </row>
    <row r="144" spans="1:20">
      <c r="A144" s="869" t="s">
        <v>1055</v>
      </c>
      <c r="B144" s="870" t="s">
        <v>967</v>
      </c>
      <c r="C144" s="870" t="s">
        <v>51</v>
      </c>
      <c r="D144" s="871">
        <v>31.25</v>
      </c>
      <c r="E144" s="870"/>
      <c r="F144" s="961">
        <v>191.25</v>
      </c>
      <c r="G144" s="863"/>
      <c r="H144" s="968"/>
      <c r="I144" s="863"/>
      <c r="J144" s="864"/>
      <c r="K144" s="863">
        <v>191.25</v>
      </c>
      <c r="L144" s="864">
        <v>1</v>
      </c>
      <c r="M144" s="863"/>
      <c r="N144" s="864"/>
      <c r="O144" s="863"/>
      <c r="P144" s="864"/>
      <c r="Q144" s="968"/>
      <c r="R144" s="864"/>
      <c r="S144" s="5">
        <f t="shared" si="10"/>
        <v>1</v>
      </c>
      <c r="T144" s="932">
        <f t="shared" si="11"/>
        <v>191.25</v>
      </c>
    </row>
    <row r="145" spans="1:20">
      <c r="A145" s="875" t="s">
        <v>645</v>
      </c>
      <c r="B145" s="876" t="s">
        <v>968</v>
      </c>
      <c r="C145" s="876"/>
      <c r="D145" s="877"/>
      <c r="E145" s="876"/>
      <c r="F145" s="962">
        <v>5169.8599999999997</v>
      </c>
      <c r="G145" s="863"/>
      <c r="H145" s="968"/>
      <c r="I145" s="863"/>
      <c r="J145" s="864"/>
      <c r="K145" s="863"/>
      <c r="L145" s="864"/>
      <c r="M145" s="863"/>
      <c r="N145" s="864"/>
      <c r="O145" s="863"/>
      <c r="P145" s="864"/>
      <c r="Q145" s="968"/>
      <c r="R145" s="864"/>
      <c r="S145" s="5">
        <f t="shared" si="10"/>
        <v>0</v>
      </c>
      <c r="T145" s="932">
        <f t="shared" si="11"/>
        <v>0</v>
      </c>
    </row>
    <row r="146" spans="1:20">
      <c r="A146" s="879" t="s">
        <v>646</v>
      </c>
      <c r="B146" s="880" t="s">
        <v>955</v>
      </c>
      <c r="C146" s="880"/>
      <c r="D146" s="881"/>
      <c r="E146" s="880"/>
      <c r="F146" s="963">
        <v>15.42</v>
      </c>
      <c r="G146" s="863"/>
      <c r="H146" s="968"/>
      <c r="I146" s="863"/>
      <c r="J146" s="864"/>
      <c r="K146" s="863"/>
      <c r="L146" s="864"/>
      <c r="M146" s="863"/>
      <c r="N146" s="864"/>
      <c r="O146" s="863"/>
      <c r="P146" s="864"/>
      <c r="Q146" s="968"/>
      <c r="R146" s="864"/>
      <c r="S146" s="5">
        <f t="shared" si="10"/>
        <v>0</v>
      </c>
      <c r="T146" s="932">
        <f t="shared" si="11"/>
        <v>0</v>
      </c>
    </row>
    <row r="147" spans="1:20">
      <c r="A147" s="869" t="s">
        <v>1056</v>
      </c>
      <c r="B147" s="870" t="s">
        <v>956</v>
      </c>
      <c r="C147" s="870" t="s">
        <v>49</v>
      </c>
      <c r="D147" s="871">
        <v>10.56</v>
      </c>
      <c r="E147" s="870"/>
      <c r="F147" s="961">
        <v>15.42</v>
      </c>
      <c r="G147" s="863">
        <f>'FE3-1 '!K453</f>
        <v>0</v>
      </c>
      <c r="H147" s="967">
        <f t="shared" ref="H147:H189" si="13">G147/F147</f>
        <v>0</v>
      </c>
      <c r="I147" s="863"/>
      <c r="J147" s="864"/>
      <c r="K147" s="863"/>
      <c r="L147" s="864"/>
      <c r="M147" s="863"/>
      <c r="N147" s="864"/>
      <c r="O147" s="863"/>
      <c r="P147" s="864"/>
      <c r="Q147" s="968"/>
      <c r="R147" s="864"/>
      <c r="S147" s="5">
        <f t="shared" si="10"/>
        <v>0</v>
      </c>
      <c r="T147" s="932">
        <f t="shared" si="11"/>
        <v>0</v>
      </c>
    </row>
    <row r="148" spans="1:20">
      <c r="A148" s="879" t="s">
        <v>647</v>
      </c>
      <c r="B148" s="880" t="s">
        <v>957</v>
      </c>
      <c r="C148" s="880"/>
      <c r="D148" s="881"/>
      <c r="E148" s="880"/>
      <c r="F148" s="963">
        <v>751.92</v>
      </c>
      <c r="G148" s="863"/>
      <c r="H148" s="968"/>
      <c r="I148" s="863"/>
      <c r="J148" s="864"/>
      <c r="K148" s="863"/>
      <c r="L148" s="864"/>
      <c r="M148" s="863"/>
      <c r="N148" s="864"/>
      <c r="O148" s="863"/>
      <c r="P148" s="864"/>
      <c r="Q148" s="968"/>
      <c r="R148" s="864"/>
      <c r="S148" s="5">
        <f t="shared" si="10"/>
        <v>0</v>
      </c>
      <c r="T148" s="932">
        <f t="shared" si="11"/>
        <v>0</v>
      </c>
    </row>
    <row r="149" spans="1:20">
      <c r="A149" s="869" t="s">
        <v>1057</v>
      </c>
      <c r="B149" s="870" t="s">
        <v>958</v>
      </c>
      <c r="C149" s="870" t="s">
        <v>50</v>
      </c>
      <c r="D149" s="871">
        <v>6.1644000000000005</v>
      </c>
      <c r="E149" s="870"/>
      <c r="F149" s="961">
        <v>156.77000000000001</v>
      </c>
      <c r="G149" s="863"/>
      <c r="H149" s="968"/>
      <c r="I149" s="863">
        <f>F149</f>
        <v>156.77000000000001</v>
      </c>
      <c r="J149" s="864">
        <f t="shared" si="12"/>
        <v>1</v>
      </c>
      <c r="K149" s="863"/>
      <c r="L149" s="864"/>
      <c r="M149" s="863"/>
      <c r="N149" s="864"/>
      <c r="O149" s="863"/>
      <c r="P149" s="864"/>
      <c r="Q149" s="968"/>
      <c r="R149" s="864"/>
      <c r="S149" s="5">
        <f t="shared" si="10"/>
        <v>1</v>
      </c>
      <c r="T149" s="932">
        <f t="shared" si="11"/>
        <v>156.77000000000001</v>
      </c>
    </row>
    <row r="150" spans="1:20">
      <c r="A150" s="869" t="s">
        <v>1058</v>
      </c>
      <c r="B150" s="870" t="s">
        <v>959</v>
      </c>
      <c r="C150" s="870" t="s">
        <v>50</v>
      </c>
      <c r="D150" s="871">
        <v>17.071999999999999</v>
      </c>
      <c r="E150" s="870"/>
      <c r="F150" s="961">
        <v>53.77</v>
      </c>
      <c r="G150" s="863"/>
      <c r="H150" s="968"/>
      <c r="I150" s="863">
        <f>F150</f>
        <v>53.77</v>
      </c>
      <c r="J150" s="864"/>
      <c r="K150" s="863"/>
      <c r="L150" s="864"/>
      <c r="M150" s="863"/>
      <c r="N150" s="864"/>
      <c r="O150" s="863"/>
      <c r="P150" s="864"/>
      <c r="Q150" s="968"/>
      <c r="R150" s="864"/>
      <c r="S150" s="5">
        <f t="shared" si="10"/>
        <v>0</v>
      </c>
      <c r="T150" s="932">
        <f t="shared" si="11"/>
        <v>53.77</v>
      </c>
    </row>
    <row r="151" spans="1:20">
      <c r="A151" s="869" t="s">
        <v>1059</v>
      </c>
      <c r="B151" s="870" t="s">
        <v>960</v>
      </c>
      <c r="C151" s="870" t="s">
        <v>50</v>
      </c>
      <c r="D151" s="871">
        <v>13.634499999999999</v>
      </c>
      <c r="E151" s="870"/>
      <c r="F151" s="961">
        <v>541.38</v>
      </c>
      <c r="G151" s="863"/>
      <c r="H151" s="968"/>
      <c r="I151" s="863">
        <f>F151</f>
        <v>541.38</v>
      </c>
      <c r="J151" s="864"/>
      <c r="K151" s="863"/>
      <c r="L151" s="864"/>
      <c r="M151" s="863"/>
      <c r="N151" s="864"/>
      <c r="O151" s="863"/>
      <c r="P151" s="864"/>
      <c r="Q151" s="968"/>
      <c r="R151" s="864"/>
      <c r="S151" s="5">
        <f t="shared" si="10"/>
        <v>0</v>
      </c>
      <c r="T151" s="932">
        <f t="shared" si="11"/>
        <v>541.38</v>
      </c>
    </row>
    <row r="152" spans="1:20">
      <c r="A152" s="879" t="s">
        <v>648</v>
      </c>
      <c r="B152" s="880" t="s">
        <v>969</v>
      </c>
      <c r="C152" s="880"/>
      <c r="D152" s="881"/>
      <c r="E152" s="880"/>
      <c r="F152" s="963">
        <v>4402.5200000000004</v>
      </c>
      <c r="G152" s="863"/>
      <c r="H152" s="968"/>
      <c r="I152" s="863"/>
      <c r="J152" s="864"/>
      <c r="K152" s="863"/>
      <c r="L152" s="864"/>
      <c r="M152" s="863"/>
      <c r="N152" s="864"/>
      <c r="O152" s="863"/>
      <c r="P152" s="864"/>
      <c r="Q152" s="968"/>
      <c r="R152" s="864"/>
      <c r="S152" s="5">
        <f t="shared" si="10"/>
        <v>0</v>
      </c>
      <c r="T152" s="932">
        <f t="shared" si="11"/>
        <v>0</v>
      </c>
    </row>
    <row r="153" spans="1:20">
      <c r="A153" s="869" t="s">
        <v>1060</v>
      </c>
      <c r="B153" s="870" t="s">
        <v>963</v>
      </c>
      <c r="C153" s="870" t="s">
        <v>49</v>
      </c>
      <c r="D153" s="871">
        <v>45.1</v>
      </c>
      <c r="E153" s="870"/>
      <c r="F153" s="961">
        <v>1480.63</v>
      </c>
      <c r="G153" s="863"/>
      <c r="H153" s="968"/>
      <c r="I153" s="863">
        <v>1480.63</v>
      </c>
      <c r="J153" s="864">
        <f t="shared" si="12"/>
        <v>1</v>
      </c>
      <c r="K153" s="863"/>
      <c r="L153" s="864"/>
      <c r="M153" s="863"/>
      <c r="N153" s="864"/>
      <c r="O153" s="863"/>
      <c r="P153" s="864"/>
      <c r="Q153" s="968"/>
      <c r="R153" s="864"/>
      <c r="S153" s="5">
        <f t="shared" si="10"/>
        <v>1</v>
      </c>
      <c r="T153" s="932">
        <f t="shared" si="11"/>
        <v>1480.63</v>
      </c>
    </row>
    <row r="154" spans="1:20">
      <c r="A154" s="869" t="s">
        <v>1061</v>
      </c>
      <c r="B154" s="870" t="s">
        <v>970</v>
      </c>
      <c r="C154" s="870" t="s">
        <v>50</v>
      </c>
      <c r="D154" s="871">
        <v>8.9760000000000009</v>
      </c>
      <c r="E154" s="870"/>
      <c r="F154" s="961">
        <v>2787.66</v>
      </c>
      <c r="G154" s="863"/>
      <c r="H154" s="968"/>
      <c r="I154" s="863">
        <v>2787.66</v>
      </c>
      <c r="J154" s="864">
        <f t="shared" si="12"/>
        <v>1</v>
      </c>
      <c r="K154" s="863"/>
      <c r="L154" s="864"/>
      <c r="M154" s="863"/>
      <c r="N154" s="864"/>
      <c r="O154" s="863"/>
      <c r="P154" s="864"/>
      <c r="Q154" s="968"/>
      <c r="R154" s="864"/>
      <c r="S154" s="5">
        <f t="shared" si="10"/>
        <v>1</v>
      </c>
      <c r="T154" s="932">
        <f t="shared" si="11"/>
        <v>2787.66</v>
      </c>
    </row>
    <row r="155" spans="1:20">
      <c r="A155" s="869" t="s">
        <v>1062</v>
      </c>
      <c r="B155" s="870" t="s">
        <v>966</v>
      </c>
      <c r="C155" s="870" t="s">
        <v>49</v>
      </c>
      <c r="D155" s="871">
        <v>45.1</v>
      </c>
      <c r="E155" s="870"/>
      <c r="F155" s="961">
        <v>109.14</v>
      </c>
      <c r="G155" s="863"/>
      <c r="H155" s="968"/>
      <c r="I155" s="863">
        <v>109.14</v>
      </c>
      <c r="J155" s="864">
        <f t="shared" si="12"/>
        <v>1</v>
      </c>
      <c r="K155" s="863"/>
      <c r="L155" s="864"/>
      <c r="M155" s="863"/>
      <c r="N155" s="864"/>
      <c r="O155" s="863"/>
      <c r="P155" s="864"/>
      <c r="Q155" s="968"/>
      <c r="R155" s="864"/>
      <c r="S155" s="5">
        <f t="shared" si="10"/>
        <v>1</v>
      </c>
      <c r="T155" s="932">
        <f t="shared" si="11"/>
        <v>109.14</v>
      </c>
    </row>
    <row r="156" spans="1:20">
      <c r="A156" s="869" t="s">
        <v>1063</v>
      </c>
      <c r="B156" s="870" t="s">
        <v>967</v>
      </c>
      <c r="C156" s="870" t="s">
        <v>51</v>
      </c>
      <c r="D156" s="871">
        <v>4.0999999999999996</v>
      </c>
      <c r="E156" s="870"/>
      <c r="F156" s="961">
        <v>25.09</v>
      </c>
      <c r="G156" s="863"/>
      <c r="H156" s="968"/>
      <c r="I156" s="863">
        <v>25.09</v>
      </c>
      <c r="J156" s="864">
        <f t="shared" si="12"/>
        <v>1</v>
      </c>
      <c r="K156" s="863"/>
      <c r="L156" s="864"/>
      <c r="M156" s="863"/>
      <c r="N156" s="864"/>
      <c r="O156" s="863"/>
      <c r="P156" s="864"/>
      <c r="Q156" s="968"/>
      <c r="R156" s="864"/>
      <c r="S156" s="5">
        <f t="shared" si="10"/>
        <v>1</v>
      </c>
      <c r="T156" s="932">
        <f t="shared" si="11"/>
        <v>25.09</v>
      </c>
    </row>
    <row r="157" spans="1:20">
      <c r="A157" s="866" t="s">
        <v>653</v>
      </c>
      <c r="B157" s="867" t="s">
        <v>663</v>
      </c>
      <c r="C157" s="867"/>
      <c r="D157" s="874"/>
      <c r="E157" s="867"/>
      <c r="F157" s="960">
        <v>1970</v>
      </c>
      <c r="G157" s="863"/>
      <c r="H157" s="968"/>
      <c r="I157" s="863"/>
      <c r="J157" s="864"/>
      <c r="K157" s="863"/>
      <c r="L157" s="864"/>
      <c r="M157" s="863"/>
      <c r="N157" s="864"/>
      <c r="O157" s="863"/>
      <c r="P157" s="864"/>
      <c r="Q157" s="968"/>
      <c r="R157" s="864"/>
      <c r="S157" s="5">
        <f t="shared" si="10"/>
        <v>0</v>
      </c>
      <c r="T157" s="932">
        <f t="shared" si="11"/>
        <v>0</v>
      </c>
    </row>
    <row r="158" spans="1:20">
      <c r="A158" s="869" t="s">
        <v>655</v>
      </c>
      <c r="B158" s="870" t="s">
        <v>666</v>
      </c>
      <c r="C158" s="870" t="s">
        <v>52</v>
      </c>
      <c r="D158" s="871">
        <v>18</v>
      </c>
      <c r="E158" s="870"/>
      <c r="F158" s="961">
        <v>630</v>
      </c>
      <c r="G158" s="863"/>
      <c r="H158" s="968"/>
      <c r="I158" s="863"/>
      <c r="J158" s="864"/>
      <c r="K158" s="863"/>
      <c r="L158" s="864"/>
      <c r="M158" s="863">
        <v>105</v>
      </c>
      <c r="N158" s="864">
        <v>0.16666666666666666</v>
      </c>
      <c r="O158" s="863">
        <v>525</v>
      </c>
      <c r="P158" s="864">
        <v>0.83333333333333337</v>
      </c>
      <c r="Q158" s="968"/>
      <c r="R158" s="864"/>
      <c r="S158" s="5">
        <f t="shared" si="10"/>
        <v>1</v>
      </c>
      <c r="T158" s="932">
        <f t="shared" si="11"/>
        <v>630</v>
      </c>
    </row>
    <row r="159" spans="1:20">
      <c r="A159" s="869" t="s">
        <v>656</v>
      </c>
      <c r="B159" s="870" t="s">
        <v>667</v>
      </c>
      <c r="C159" s="870" t="s">
        <v>52</v>
      </c>
      <c r="D159" s="871">
        <v>4</v>
      </c>
      <c r="E159" s="870"/>
      <c r="F159" s="961">
        <v>140</v>
      </c>
      <c r="G159" s="863"/>
      <c r="H159" s="968"/>
      <c r="I159" s="863">
        <v>140</v>
      </c>
      <c r="J159" s="864">
        <f t="shared" si="12"/>
        <v>1</v>
      </c>
      <c r="K159" s="863"/>
      <c r="L159" s="864"/>
      <c r="M159" s="863"/>
      <c r="N159" s="864"/>
      <c r="O159" s="863"/>
      <c r="P159" s="864"/>
      <c r="Q159" s="968"/>
      <c r="R159" s="864"/>
      <c r="S159" s="5">
        <f t="shared" si="10"/>
        <v>1</v>
      </c>
      <c r="T159" s="932">
        <f t="shared" si="11"/>
        <v>140</v>
      </c>
    </row>
    <row r="160" spans="1:20">
      <c r="A160" s="869" t="s">
        <v>658</v>
      </c>
      <c r="B160" s="870" t="s">
        <v>971</v>
      </c>
      <c r="C160" s="870" t="s">
        <v>52</v>
      </c>
      <c r="D160" s="871">
        <v>2</v>
      </c>
      <c r="E160" s="870"/>
      <c r="F160" s="961">
        <v>900</v>
      </c>
      <c r="G160" s="863"/>
      <c r="H160" s="968"/>
      <c r="I160" s="863">
        <v>900</v>
      </c>
      <c r="J160" s="864">
        <f t="shared" si="12"/>
        <v>1</v>
      </c>
      <c r="K160" s="863"/>
      <c r="L160" s="864"/>
      <c r="M160" s="863"/>
      <c r="N160" s="864"/>
      <c r="O160" s="863"/>
      <c r="P160" s="864"/>
      <c r="Q160" s="968"/>
      <c r="R160" s="864"/>
      <c r="S160" s="5">
        <f t="shared" si="10"/>
        <v>1</v>
      </c>
      <c r="T160" s="932">
        <f t="shared" si="11"/>
        <v>900</v>
      </c>
    </row>
    <row r="161" spans="1:20">
      <c r="A161" s="869" t="s">
        <v>659</v>
      </c>
      <c r="B161" s="870" t="s">
        <v>665</v>
      </c>
      <c r="C161" s="870" t="s">
        <v>52</v>
      </c>
      <c r="D161" s="871">
        <v>2</v>
      </c>
      <c r="E161" s="870"/>
      <c r="F161" s="961">
        <v>300</v>
      </c>
      <c r="G161" s="863"/>
      <c r="H161" s="968"/>
      <c r="I161" s="863">
        <v>300</v>
      </c>
      <c r="J161" s="864">
        <f t="shared" si="12"/>
        <v>1</v>
      </c>
      <c r="K161" s="863"/>
      <c r="L161" s="864"/>
      <c r="M161" s="863"/>
      <c r="N161" s="864"/>
      <c r="O161" s="863"/>
      <c r="P161" s="864"/>
      <c r="Q161" s="968"/>
      <c r="R161" s="864"/>
      <c r="S161" s="5">
        <f t="shared" si="10"/>
        <v>1</v>
      </c>
      <c r="T161" s="932">
        <f t="shared" si="11"/>
        <v>300</v>
      </c>
    </row>
    <row r="162" spans="1:20">
      <c r="A162" s="866" t="s">
        <v>660</v>
      </c>
      <c r="B162" s="867" t="s">
        <v>705</v>
      </c>
      <c r="C162" s="867"/>
      <c r="D162" s="874"/>
      <c r="E162" s="867"/>
      <c r="F162" s="960">
        <v>548.25</v>
      </c>
      <c r="G162" s="863"/>
      <c r="H162" s="968"/>
      <c r="I162" s="863"/>
      <c r="J162" s="864"/>
      <c r="K162" s="863"/>
      <c r="L162" s="864"/>
      <c r="M162" s="863"/>
      <c r="N162" s="864"/>
      <c r="O162" s="863"/>
      <c r="P162" s="864"/>
      <c r="Q162" s="968"/>
      <c r="R162" s="864"/>
      <c r="S162" s="5">
        <f t="shared" si="10"/>
        <v>0</v>
      </c>
      <c r="T162" s="932">
        <f t="shared" si="11"/>
        <v>0</v>
      </c>
    </row>
    <row r="163" spans="1:20">
      <c r="A163" s="869" t="s">
        <v>661</v>
      </c>
      <c r="B163" s="870" t="s">
        <v>972</v>
      </c>
      <c r="C163" s="870" t="s">
        <v>49</v>
      </c>
      <c r="D163" s="871">
        <v>1522.9070000000002</v>
      </c>
      <c r="E163" s="870"/>
      <c r="F163" s="961">
        <v>548.25</v>
      </c>
      <c r="G163" s="863"/>
      <c r="H163" s="968"/>
      <c r="I163" s="863"/>
      <c r="J163" s="864"/>
      <c r="K163" s="863"/>
      <c r="L163" s="864"/>
      <c r="M163" s="863"/>
      <c r="N163" s="864"/>
      <c r="O163" s="863">
        <v>548.25</v>
      </c>
      <c r="P163" s="864">
        <v>1</v>
      </c>
      <c r="Q163" s="968"/>
      <c r="R163" s="864"/>
      <c r="S163" s="5">
        <f t="shared" si="10"/>
        <v>1</v>
      </c>
      <c r="T163" s="932">
        <f t="shared" si="11"/>
        <v>548.25</v>
      </c>
    </row>
    <row r="164" spans="1:20">
      <c r="A164" s="866" t="s">
        <v>662</v>
      </c>
      <c r="B164" s="867" t="s">
        <v>973</v>
      </c>
      <c r="C164" s="867"/>
      <c r="D164" s="874"/>
      <c r="E164" s="867"/>
      <c r="F164" s="960">
        <v>16205.35</v>
      </c>
      <c r="G164" s="863"/>
      <c r="H164" s="968"/>
      <c r="I164" s="863"/>
      <c r="J164" s="864"/>
      <c r="K164" s="863"/>
      <c r="L164" s="864"/>
      <c r="M164" s="863"/>
      <c r="N164" s="864"/>
      <c r="O164" s="863"/>
      <c r="P164" s="864"/>
      <c r="Q164" s="968"/>
      <c r="R164" s="864"/>
      <c r="S164" s="5">
        <f t="shared" si="10"/>
        <v>0</v>
      </c>
      <c r="T164" s="932">
        <f t="shared" si="11"/>
        <v>0</v>
      </c>
    </row>
    <row r="165" spans="1:20">
      <c r="A165" s="875" t="s">
        <v>664</v>
      </c>
      <c r="B165" s="876" t="s">
        <v>974</v>
      </c>
      <c r="C165" s="876"/>
      <c r="D165" s="877"/>
      <c r="E165" s="876"/>
      <c r="F165" s="962">
        <v>16205.35</v>
      </c>
      <c r="G165" s="863"/>
      <c r="H165" s="968"/>
      <c r="I165" s="863"/>
      <c r="J165" s="864"/>
      <c r="K165" s="863"/>
      <c r="L165" s="864"/>
      <c r="M165" s="863"/>
      <c r="N165" s="864"/>
      <c r="O165" s="863"/>
      <c r="P165" s="864"/>
      <c r="Q165" s="968"/>
      <c r="R165" s="864"/>
      <c r="S165" s="5">
        <f t="shared" si="10"/>
        <v>0</v>
      </c>
      <c r="T165" s="958">
        <f>SUM(T166:T169)</f>
        <v>16205.350000000002</v>
      </c>
    </row>
    <row r="166" spans="1:20">
      <c r="A166" s="869" t="s">
        <v>1064</v>
      </c>
      <c r="B166" s="870" t="s">
        <v>975</v>
      </c>
      <c r="C166" s="870" t="s">
        <v>49</v>
      </c>
      <c r="D166" s="871">
        <v>54.68</v>
      </c>
      <c r="E166" s="870"/>
      <c r="F166" s="961">
        <v>757.86</v>
      </c>
      <c r="G166" s="863"/>
      <c r="H166" s="968"/>
      <c r="I166" s="863"/>
      <c r="J166" s="864"/>
      <c r="K166" s="863"/>
      <c r="L166" s="864"/>
      <c r="M166" s="863"/>
      <c r="N166" s="864"/>
      <c r="O166" s="863">
        <v>757.86</v>
      </c>
      <c r="P166" s="864">
        <v>1</v>
      </c>
      <c r="Q166" s="968"/>
      <c r="R166" s="864"/>
      <c r="S166" s="5">
        <f t="shared" si="10"/>
        <v>1</v>
      </c>
      <c r="T166" s="932">
        <f t="shared" si="11"/>
        <v>757.86</v>
      </c>
    </row>
    <row r="167" spans="1:20">
      <c r="A167" s="869" t="s">
        <v>1065</v>
      </c>
      <c r="B167" s="870" t="s">
        <v>976</v>
      </c>
      <c r="C167" s="870" t="s">
        <v>51</v>
      </c>
      <c r="D167" s="871">
        <v>837.54</v>
      </c>
      <c r="E167" s="870"/>
      <c r="F167" s="961">
        <v>8718.7900000000009</v>
      </c>
      <c r="G167" s="863"/>
      <c r="H167" s="968"/>
      <c r="I167" s="863"/>
      <c r="J167" s="864"/>
      <c r="K167" s="863"/>
      <c r="L167" s="864"/>
      <c r="M167" s="863"/>
      <c r="N167" s="864"/>
      <c r="O167" s="863">
        <v>8718.7900000000009</v>
      </c>
      <c r="P167" s="864">
        <v>1</v>
      </c>
      <c r="Q167" s="968"/>
      <c r="R167" s="864"/>
      <c r="S167" s="5">
        <f t="shared" si="10"/>
        <v>1</v>
      </c>
      <c r="T167" s="932">
        <f t="shared" si="11"/>
        <v>8718.7900000000009</v>
      </c>
    </row>
    <row r="168" spans="1:20">
      <c r="A168" s="869" t="s">
        <v>1066</v>
      </c>
      <c r="B168" s="870" t="s">
        <v>977</v>
      </c>
      <c r="C168" s="870" t="s">
        <v>51</v>
      </c>
      <c r="D168" s="871">
        <v>558.36</v>
      </c>
      <c r="E168" s="870"/>
      <c r="F168" s="961">
        <v>6024.7</v>
      </c>
      <c r="G168" s="863"/>
      <c r="H168" s="968"/>
      <c r="I168" s="863"/>
      <c r="J168" s="864"/>
      <c r="K168" s="863"/>
      <c r="L168" s="864"/>
      <c r="M168" s="863"/>
      <c r="N168" s="864"/>
      <c r="O168" s="863">
        <v>6024.7</v>
      </c>
      <c r="P168" s="864">
        <v>1</v>
      </c>
      <c r="Q168" s="968"/>
      <c r="R168" s="864"/>
      <c r="S168" s="5">
        <f t="shared" si="10"/>
        <v>1</v>
      </c>
      <c r="T168" s="932">
        <f t="shared" si="11"/>
        <v>6024.7</v>
      </c>
    </row>
    <row r="169" spans="1:20">
      <c r="A169" s="869" t="s">
        <v>1067</v>
      </c>
      <c r="B169" s="870" t="s">
        <v>978</v>
      </c>
      <c r="C169" s="870" t="s">
        <v>52</v>
      </c>
      <c r="D169" s="871">
        <v>4</v>
      </c>
      <c r="E169" s="870"/>
      <c r="F169" s="961">
        <v>704</v>
      </c>
      <c r="G169" s="863"/>
      <c r="H169" s="968"/>
      <c r="I169" s="863"/>
      <c r="J169" s="864"/>
      <c r="K169" s="863"/>
      <c r="L169" s="864"/>
      <c r="M169" s="863"/>
      <c r="N169" s="864"/>
      <c r="O169" s="863">
        <v>704</v>
      </c>
      <c r="P169" s="864">
        <v>1</v>
      </c>
      <c r="Q169" s="968"/>
      <c r="R169" s="864"/>
      <c r="S169" s="5">
        <f t="shared" si="10"/>
        <v>1</v>
      </c>
      <c r="T169" s="932">
        <f t="shared" si="11"/>
        <v>704</v>
      </c>
    </row>
    <row r="170" spans="1:20">
      <c r="A170" s="866" t="s">
        <v>668</v>
      </c>
      <c r="B170" s="867" t="s">
        <v>671</v>
      </c>
      <c r="C170" s="867"/>
      <c r="D170" s="874"/>
      <c r="E170" s="867"/>
      <c r="F170" s="960">
        <v>450</v>
      </c>
      <c r="G170" s="863"/>
      <c r="H170" s="968"/>
      <c r="I170" s="863"/>
      <c r="J170" s="864"/>
      <c r="K170" s="863"/>
      <c r="L170" s="864"/>
      <c r="M170" s="863"/>
      <c r="N170" s="864"/>
      <c r="O170" s="863"/>
      <c r="P170" s="864"/>
      <c r="Q170" s="968"/>
      <c r="R170" s="864"/>
      <c r="S170" s="5">
        <f t="shared" si="10"/>
        <v>0</v>
      </c>
      <c r="T170" s="932">
        <f t="shared" si="11"/>
        <v>0</v>
      </c>
    </row>
    <row r="171" spans="1:20">
      <c r="A171" s="869" t="s">
        <v>669</v>
      </c>
      <c r="B171" s="870" t="s">
        <v>673</v>
      </c>
      <c r="C171" s="870" t="s">
        <v>52</v>
      </c>
      <c r="D171" s="871">
        <v>1</v>
      </c>
      <c r="E171" s="870"/>
      <c r="F171" s="961">
        <v>450</v>
      </c>
      <c r="G171" s="863"/>
      <c r="H171" s="968"/>
      <c r="I171" s="863">
        <v>450</v>
      </c>
      <c r="J171" s="864">
        <f t="shared" si="12"/>
        <v>1</v>
      </c>
      <c r="K171" s="863"/>
      <c r="L171" s="864"/>
      <c r="M171" s="863"/>
      <c r="N171" s="864"/>
      <c r="O171" s="863"/>
      <c r="P171" s="864"/>
      <c r="Q171" s="968"/>
      <c r="R171" s="864"/>
      <c r="S171" s="5">
        <f t="shared" si="10"/>
        <v>1</v>
      </c>
      <c r="T171" s="932">
        <f t="shared" si="11"/>
        <v>450</v>
      </c>
    </row>
    <row r="172" spans="1:20">
      <c r="A172" s="866" t="s">
        <v>670</v>
      </c>
      <c r="B172" s="867" t="s">
        <v>979</v>
      </c>
      <c r="C172" s="867"/>
      <c r="D172" s="874"/>
      <c r="E172" s="867"/>
      <c r="F172" s="960">
        <v>11380.63</v>
      </c>
      <c r="G172" s="863"/>
      <c r="H172" s="968"/>
      <c r="I172" s="863"/>
      <c r="J172" s="864"/>
      <c r="K172" s="863"/>
      <c r="L172" s="864"/>
      <c r="M172" s="863"/>
      <c r="N172" s="864"/>
      <c r="O172" s="863"/>
      <c r="P172" s="864"/>
      <c r="Q172" s="968"/>
      <c r="R172" s="864"/>
      <c r="S172" s="5">
        <f t="shared" si="10"/>
        <v>0</v>
      </c>
      <c r="T172" s="932">
        <f t="shared" si="11"/>
        <v>0</v>
      </c>
    </row>
    <row r="173" spans="1:20">
      <c r="A173" s="869" t="s">
        <v>672</v>
      </c>
      <c r="B173" s="870" t="s">
        <v>980</v>
      </c>
      <c r="C173" s="870" t="s">
        <v>291</v>
      </c>
      <c r="D173" s="871">
        <v>1</v>
      </c>
      <c r="E173" s="870"/>
      <c r="F173" s="961">
        <v>11380.63</v>
      </c>
      <c r="G173" s="863"/>
      <c r="H173" s="968"/>
      <c r="I173" s="863">
        <v>11380.63</v>
      </c>
      <c r="J173" s="864">
        <f t="shared" si="12"/>
        <v>1</v>
      </c>
      <c r="K173" s="863"/>
      <c r="L173" s="864"/>
      <c r="M173" s="863"/>
      <c r="N173" s="864"/>
      <c r="O173" s="863"/>
      <c r="P173" s="864"/>
      <c r="Q173" s="968"/>
      <c r="R173" s="864"/>
      <c r="S173" s="5">
        <f t="shared" si="10"/>
        <v>1</v>
      </c>
      <c r="T173" s="932">
        <f t="shared" si="11"/>
        <v>11380.63</v>
      </c>
    </row>
    <row r="174" spans="1:20">
      <c r="A174" s="883" t="s">
        <v>35</v>
      </c>
      <c r="B174" s="884" t="s">
        <v>981</v>
      </c>
      <c r="C174" s="884"/>
      <c r="D174" s="885"/>
      <c r="E174" s="884"/>
      <c r="F174" s="964">
        <v>115313.7</v>
      </c>
      <c r="G174" s="863"/>
      <c r="H174" s="968"/>
      <c r="I174" s="863"/>
      <c r="J174" s="864"/>
      <c r="K174" s="863"/>
      <c r="L174" s="864"/>
      <c r="M174" s="863"/>
      <c r="N174" s="864"/>
      <c r="O174" s="863"/>
      <c r="P174" s="864"/>
      <c r="Q174" s="968"/>
      <c r="R174" s="864"/>
      <c r="S174" s="5">
        <f t="shared" si="10"/>
        <v>0</v>
      </c>
      <c r="T174" s="957" t="e">
        <f>SUM(T175:T214)</f>
        <v>#REF!</v>
      </c>
    </row>
    <row r="175" spans="1:20">
      <c r="A175" s="866" t="s">
        <v>45</v>
      </c>
      <c r="B175" s="867" t="s">
        <v>688</v>
      </c>
      <c r="C175" s="867"/>
      <c r="D175" s="874"/>
      <c r="E175" s="867"/>
      <c r="F175" s="960">
        <v>38013.22</v>
      </c>
      <c r="G175" s="863"/>
      <c r="H175" s="968"/>
      <c r="I175" s="863"/>
      <c r="J175" s="864"/>
      <c r="K175" s="863"/>
      <c r="L175" s="864"/>
      <c r="M175" s="863"/>
      <c r="N175" s="864"/>
      <c r="O175" s="863"/>
      <c r="P175" s="864"/>
      <c r="Q175" s="968"/>
      <c r="R175" s="864"/>
      <c r="S175" s="5">
        <f t="shared" si="10"/>
        <v>0</v>
      </c>
      <c r="T175" s="932">
        <f t="shared" si="11"/>
        <v>0</v>
      </c>
    </row>
    <row r="176" spans="1:20">
      <c r="A176" s="875" t="s">
        <v>675</v>
      </c>
      <c r="B176" s="876" t="s">
        <v>561</v>
      </c>
      <c r="C176" s="876"/>
      <c r="D176" s="877"/>
      <c r="E176" s="876"/>
      <c r="F176" s="962">
        <v>2336.59</v>
      </c>
      <c r="G176" s="863"/>
      <c r="H176" s="968"/>
      <c r="I176" s="863"/>
      <c r="J176" s="864"/>
      <c r="K176" s="863"/>
      <c r="L176" s="864"/>
      <c r="M176" s="863"/>
      <c r="N176" s="864"/>
      <c r="O176" s="863"/>
      <c r="P176" s="864"/>
      <c r="Q176" s="968"/>
      <c r="R176" s="864"/>
      <c r="S176" s="5">
        <f t="shared" si="10"/>
        <v>0</v>
      </c>
      <c r="T176" s="932">
        <f t="shared" si="11"/>
        <v>0</v>
      </c>
    </row>
    <row r="177" spans="1:20">
      <c r="A177" s="869" t="s">
        <v>676</v>
      </c>
      <c r="B177" s="870" t="s">
        <v>691</v>
      </c>
      <c r="C177" s="870" t="s">
        <v>50</v>
      </c>
      <c r="D177" s="871">
        <v>38.082599999999992</v>
      </c>
      <c r="E177" s="870"/>
      <c r="F177" s="961">
        <v>1470.27</v>
      </c>
      <c r="G177" s="863"/>
      <c r="H177" s="968"/>
      <c r="I177" s="863">
        <v>1470.27</v>
      </c>
      <c r="J177" s="864">
        <f t="shared" si="12"/>
        <v>1</v>
      </c>
      <c r="K177" s="863"/>
      <c r="L177" s="864"/>
      <c r="M177" s="863"/>
      <c r="N177" s="864"/>
      <c r="O177" s="863"/>
      <c r="P177" s="864"/>
      <c r="Q177" s="968"/>
      <c r="R177" s="864"/>
      <c r="S177" s="5">
        <f t="shared" si="10"/>
        <v>1</v>
      </c>
      <c r="T177" s="932">
        <f t="shared" si="11"/>
        <v>1470.27</v>
      </c>
    </row>
    <row r="178" spans="1:20">
      <c r="A178" s="869" t="s">
        <v>678</v>
      </c>
      <c r="B178" s="870" t="s">
        <v>919</v>
      </c>
      <c r="C178" s="870" t="s">
        <v>50</v>
      </c>
      <c r="D178" s="871">
        <v>47.603249999999989</v>
      </c>
      <c r="E178" s="870"/>
      <c r="F178" s="961">
        <v>866.32</v>
      </c>
      <c r="G178" s="863"/>
      <c r="H178" s="968"/>
      <c r="I178" s="863">
        <v>866.32</v>
      </c>
      <c r="J178" s="864">
        <f t="shared" si="12"/>
        <v>1</v>
      </c>
      <c r="K178" s="863"/>
      <c r="L178" s="864"/>
      <c r="M178" s="863"/>
      <c r="N178" s="864"/>
      <c r="O178" s="863"/>
      <c r="P178" s="864"/>
      <c r="Q178" s="968"/>
      <c r="R178" s="864"/>
      <c r="S178" s="5">
        <f t="shared" si="10"/>
        <v>1</v>
      </c>
      <c r="T178" s="932">
        <f t="shared" si="11"/>
        <v>866.32</v>
      </c>
    </row>
    <row r="179" spans="1:20">
      <c r="A179" s="875" t="s">
        <v>679</v>
      </c>
      <c r="B179" s="876" t="s">
        <v>694</v>
      </c>
      <c r="C179" s="876"/>
      <c r="D179" s="877"/>
      <c r="E179" s="876"/>
      <c r="F179" s="962">
        <v>35676.629999999997</v>
      </c>
      <c r="G179" s="863"/>
      <c r="H179" s="968"/>
      <c r="I179" s="863"/>
      <c r="J179" s="864"/>
      <c r="K179" s="863"/>
      <c r="L179" s="864"/>
      <c r="M179" s="863"/>
      <c r="N179" s="864"/>
      <c r="O179" s="863"/>
      <c r="P179" s="864"/>
      <c r="Q179" s="968"/>
      <c r="R179" s="864"/>
      <c r="S179" s="5">
        <f t="shared" si="10"/>
        <v>0</v>
      </c>
      <c r="T179" s="932">
        <f t="shared" si="11"/>
        <v>0</v>
      </c>
    </row>
    <row r="180" spans="1:20">
      <c r="A180" s="869" t="s">
        <v>681</v>
      </c>
      <c r="B180" s="870" t="s">
        <v>696</v>
      </c>
      <c r="C180" s="870" t="s">
        <v>49</v>
      </c>
      <c r="D180" s="871">
        <v>677.02399999999989</v>
      </c>
      <c r="E180" s="870"/>
      <c r="F180" s="961">
        <v>9011.14</v>
      </c>
      <c r="G180" s="863"/>
      <c r="H180" s="968"/>
      <c r="I180" s="863">
        <f>F180-K180</f>
        <v>1930.9599999999991</v>
      </c>
      <c r="J180" s="864">
        <f t="shared" si="12"/>
        <v>0.21428587281964315</v>
      </c>
      <c r="K180" s="863">
        <v>7080.18</v>
      </c>
      <c r="L180" s="864">
        <v>0.78571412718035682</v>
      </c>
      <c r="M180" s="863"/>
      <c r="N180" s="864"/>
      <c r="O180" s="863"/>
      <c r="P180" s="864"/>
      <c r="Q180" s="968"/>
      <c r="R180" s="864"/>
      <c r="S180" s="5">
        <f t="shared" si="10"/>
        <v>1</v>
      </c>
      <c r="T180" s="932">
        <f t="shared" si="11"/>
        <v>9011.14</v>
      </c>
    </row>
    <row r="181" spans="1:20">
      <c r="A181" s="869" t="s">
        <v>682</v>
      </c>
      <c r="B181" s="870" t="s">
        <v>982</v>
      </c>
      <c r="C181" s="870" t="s">
        <v>50</v>
      </c>
      <c r="D181" s="871">
        <v>51.6858</v>
      </c>
      <c r="E181" s="870"/>
      <c r="F181" s="961">
        <v>23993.46</v>
      </c>
      <c r="G181" s="863"/>
      <c r="H181" s="968"/>
      <c r="I181" s="863"/>
      <c r="J181" s="864"/>
      <c r="K181" s="863">
        <v>23993.46</v>
      </c>
      <c r="L181" s="864">
        <v>1</v>
      </c>
      <c r="M181" s="863"/>
      <c r="N181" s="864"/>
      <c r="O181" s="863"/>
      <c r="P181" s="864"/>
      <c r="Q181" s="968"/>
      <c r="R181" s="864"/>
      <c r="S181" s="5">
        <f t="shared" si="10"/>
        <v>1</v>
      </c>
      <c r="T181" s="932">
        <f t="shared" si="11"/>
        <v>23993.46</v>
      </c>
    </row>
    <row r="182" spans="1:20">
      <c r="A182" s="869" t="s">
        <v>684</v>
      </c>
      <c r="B182" s="870" t="s">
        <v>573</v>
      </c>
      <c r="C182" s="870" t="s">
        <v>49</v>
      </c>
      <c r="D182" s="871">
        <v>236.95839999999995</v>
      </c>
      <c r="E182" s="870"/>
      <c r="F182" s="961">
        <v>1853.03</v>
      </c>
      <c r="G182" s="863"/>
      <c r="H182" s="968"/>
      <c r="I182" s="863"/>
      <c r="J182" s="864"/>
      <c r="K182" s="863">
        <v>1853.03</v>
      </c>
      <c r="L182" s="864">
        <v>1</v>
      </c>
      <c r="M182" s="863"/>
      <c r="N182" s="864"/>
      <c r="O182" s="863"/>
      <c r="P182" s="864"/>
      <c r="Q182" s="968"/>
      <c r="R182" s="864"/>
      <c r="S182" s="5">
        <f t="shared" si="10"/>
        <v>1</v>
      </c>
      <c r="T182" s="932">
        <f t="shared" si="11"/>
        <v>1853.03</v>
      </c>
    </row>
    <row r="183" spans="1:20">
      <c r="A183" s="869" t="s">
        <v>685</v>
      </c>
      <c r="B183" s="870" t="s">
        <v>572</v>
      </c>
      <c r="C183" s="870" t="s">
        <v>51</v>
      </c>
      <c r="D183" s="871">
        <v>109.19999999999997</v>
      </c>
      <c r="E183" s="870"/>
      <c r="F183" s="961">
        <v>819</v>
      </c>
      <c r="G183" s="863"/>
      <c r="H183" s="968"/>
      <c r="I183" s="863"/>
      <c r="J183" s="864"/>
      <c r="K183" s="863">
        <v>819</v>
      </c>
      <c r="L183" s="864">
        <v>1</v>
      </c>
      <c r="M183" s="863"/>
      <c r="N183" s="864"/>
      <c r="O183" s="863"/>
      <c r="P183" s="864"/>
      <c r="Q183" s="968"/>
      <c r="R183" s="864"/>
      <c r="S183" s="5">
        <f t="shared" si="10"/>
        <v>1</v>
      </c>
      <c r="T183" s="932">
        <f t="shared" si="11"/>
        <v>819</v>
      </c>
    </row>
    <row r="184" spans="1:20">
      <c r="A184" s="866" t="s">
        <v>116</v>
      </c>
      <c r="B184" s="867" t="s">
        <v>674</v>
      </c>
      <c r="C184" s="867"/>
      <c r="D184" s="874"/>
      <c r="E184" s="867"/>
      <c r="F184" s="960">
        <v>72868.899999999994</v>
      </c>
      <c r="G184" s="863"/>
      <c r="H184" s="968"/>
      <c r="I184" s="863"/>
      <c r="J184" s="864"/>
      <c r="K184" s="863"/>
      <c r="L184" s="864"/>
      <c r="M184" s="863"/>
      <c r="N184" s="864"/>
      <c r="O184" s="863"/>
      <c r="P184" s="864"/>
      <c r="Q184" s="968"/>
      <c r="R184" s="864"/>
      <c r="S184" s="5">
        <f t="shared" si="10"/>
        <v>0</v>
      </c>
      <c r="T184" s="932">
        <f t="shared" si="11"/>
        <v>0</v>
      </c>
    </row>
    <row r="185" spans="1:20">
      <c r="A185" s="875" t="s">
        <v>689</v>
      </c>
      <c r="B185" s="876" t="s">
        <v>408</v>
      </c>
      <c r="C185" s="876"/>
      <c r="D185" s="877"/>
      <c r="E185" s="876"/>
      <c r="F185" s="962">
        <v>3350.37</v>
      </c>
      <c r="G185" s="863"/>
      <c r="H185" s="968"/>
      <c r="I185" s="863"/>
      <c r="J185" s="864"/>
      <c r="K185" s="863"/>
      <c r="L185" s="864"/>
      <c r="M185" s="863"/>
      <c r="N185" s="864"/>
      <c r="O185" s="863"/>
      <c r="P185" s="864"/>
      <c r="Q185" s="968"/>
      <c r="R185" s="864"/>
      <c r="S185" s="5">
        <f t="shared" si="10"/>
        <v>0</v>
      </c>
      <c r="T185" s="932">
        <f t="shared" si="11"/>
        <v>0</v>
      </c>
    </row>
    <row r="186" spans="1:20">
      <c r="A186" s="869" t="s">
        <v>690</v>
      </c>
      <c r="B186" s="870" t="s">
        <v>559</v>
      </c>
      <c r="C186" s="870" t="s">
        <v>49</v>
      </c>
      <c r="D186" s="871">
        <v>598.27499999999998</v>
      </c>
      <c r="E186" s="870"/>
      <c r="F186" s="961">
        <v>873.49</v>
      </c>
      <c r="G186" s="863">
        <f>'FE3-1 '!K492</f>
        <v>0</v>
      </c>
      <c r="H186" s="967">
        <f t="shared" si="13"/>
        <v>0</v>
      </c>
      <c r="I186" s="863"/>
      <c r="J186" s="864"/>
      <c r="K186" s="863"/>
      <c r="L186" s="864"/>
      <c r="M186" s="863"/>
      <c r="N186" s="864"/>
      <c r="O186" s="863"/>
      <c r="P186" s="864"/>
      <c r="Q186" s="968"/>
      <c r="R186" s="864"/>
      <c r="S186" s="5">
        <f t="shared" si="10"/>
        <v>0</v>
      </c>
      <c r="T186" s="932">
        <f t="shared" si="11"/>
        <v>0</v>
      </c>
    </row>
    <row r="187" spans="1:20">
      <c r="A187" s="869" t="s">
        <v>692</v>
      </c>
      <c r="B187" s="870" t="s">
        <v>983</v>
      </c>
      <c r="C187" s="870" t="s">
        <v>49</v>
      </c>
      <c r="D187" s="871">
        <v>598.27499999999998</v>
      </c>
      <c r="E187" s="870"/>
      <c r="F187" s="961">
        <v>2476.88</v>
      </c>
      <c r="G187" s="863">
        <f>'FE3-1 '!K493</f>
        <v>0</v>
      </c>
      <c r="H187" s="967">
        <f t="shared" si="13"/>
        <v>0</v>
      </c>
      <c r="I187" s="863">
        <f>G187</f>
        <v>0</v>
      </c>
      <c r="J187" s="864">
        <f t="shared" si="12"/>
        <v>0</v>
      </c>
      <c r="K187" s="863"/>
      <c r="L187" s="864"/>
      <c r="M187" s="863"/>
      <c r="N187" s="864"/>
      <c r="O187" s="863"/>
      <c r="P187" s="864"/>
      <c r="Q187" s="968"/>
      <c r="R187" s="864"/>
      <c r="S187" s="5">
        <f t="shared" si="10"/>
        <v>0</v>
      </c>
      <c r="T187" s="932">
        <f t="shared" si="11"/>
        <v>0</v>
      </c>
    </row>
    <row r="188" spans="1:20">
      <c r="A188" s="875" t="s">
        <v>693</v>
      </c>
      <c r="B188" s="876" t="s">
        <v>561</v>
      </c>
      <c r="C188" s="876"/>
      <c r="D188" s="877"/>
      <c r="E188" s="876"/>
      <c r="F188" s="962">
        <v>17089.560000000001</v>
      </c>
      <c r="G188" s="863"/>
      <c r="H188" s="968"/>
      <c r="I188" s="863"/>
      <c r="J188" s="864"/>
      <c r="K188" s="863"/>
      <c r="L188" s="864"/>
      <c r="M188" s="863"/>
      <c r="N188" s="864"/>
      <c r="O188" s="863"/>
      <c r="P188" s="864"/>
      <c r="Q188" s="968"/>
      <c r="R188" s="864"/>
      <c r="S188" s="5">
        <f t="shared" si="10"/>
        <v>0</v>
      </c>
      <c r="T188" s="932">
        <f t="shared" si="11"/>
        <v>0</v>
      </c>
    </row>
    <row r="189" spans="1:20">
      <c r="A189" s="869" t="s">
        <v>695</v>
      </c>
      <c r="B189" s="870" t="s">
        <v>677</v>
      </c>
      <c r="C189" s="870" t="s">
        <v>50</v>
      </c>
      <c r="D189" s="871">
        <v>239.31000000000003</v>
      </c>
      <c r="E189" s="870"/>
      <c r="F189" s="961">
        <v>6360.86</v>
      </c>
      <c r="G189" s="863" t="e">
        <f>'FE3-1 '!#REF!</f>
        <v>#REF!</v>
      </c>
      <c r="H189" s="967" t="e">
        <f t="shared" si="13"/>
        <v>#REF!</v>
      </c>
      <c r="I189" s="863" t="e">
        <f>F189-G189</f>
        <v>#REF!</v>
      </c>
      <c r="J189" s="864" t="e">
        <f t="shared" si="12"/>
        <v>#REF!</v>
      </c>
      <c r="K189" s="863"/>
      <c r="L189" s="864"/>
      <c r="M189" s="863"/>
      <c r="N189" s="864"/>
      <c r="O189" s="863"/>
      <c r="P189" s="864"/>
      <c r="Q189" s="968"/>
      <c r="R189" s="864"/>
      <c r="S189" s="5" t="e">
        <f t="shared" si="10"/>
        <v>#REF!</v>
      </c>
      <c r="T189" s="932" t="e">
        <f t="shared" si="11"/>
        <v>#REF!</v>
      </c>
    </row>
    <row r="190" spans="1:20">
      <c r="A190" s="869" t="s">
        <v>697</v>
      </c>
      <c r="B190" s="870" t="s">
        <v>577</v>
      </c>
      <c r="C190" s="870" t="s">
        <v>49</v>
      </c>
      <c r="D190" s="871">
        <v>598.27499999999998</v>
      </c>
      <c r="E190" s="870"/>
      <c r="F190" s="961">
        <v>5964.85</v>
      </c>
      <c r="G190" s="863"/>
      <c r="H190" s="968"/>
      <c r="I190" s="863">
        <v>5964.85</v>
      </c>
      <c r="J190" s="864">
        <f t="shared" si="12"/>
        <v>1</v>
      </c>
      <c r="K190" s="863"/>
      <c r="L190" s="864"/>
      <c r="M190" s="863"/>
      <c r="N190" s="864"/>
      <c r="O190" s="863"/>
      <c r="P190" s="864"/>
      <c r="Q190" s="968"/>
      <c r="R190" s="864"/>
      <c r="S190" s="5">
        <f t="shared" si="10"/>
        <v>1</v>
      </c>
      <c r="T190" s="932">
        <f t="shared" si="11"/>
        <v>5964.85</v>
      </c>
    </row>
    <row r="191" spans="1:20">
      <c r="A191" s="869" t="s">
        <v>698</v>
      </c>
      <c r="B191" s="870" t="s">
        <v>919</v>
      </c>
      <c r="C191" s="870" t="s">
        <v>50</v>
      </c>
      <c r="D191" s="871">
        <v>261.74531250000007</v>
      </c>
      <c r="E191" s="870"/>
      <c r="F191" s="961">
        <v>4763.8500000000004</v>
      </c>
      <c r="G191" s="863"/>
      <c r="H191" s="968"/>
      <c r="I191" s="863">
        <f>F191-G191</f>
        <v>4763.8500000000004</v>
      </c>
      <c r="J191" s="864">
        <f t="shared" si="12"/>
        <v>1</v>
      </c>
      <c r="K191" s="863"/>
      <c r="L191" s="864"/>
      <c r="M191" s="863"/>
      <c r="N191" s="864"/>
      <c r="O191" s="863"/>
      <c r="P191" s="864"/>
      <c r="Q191" s="968"/>
      <c r="R191" s="864"/>
      <c r="S191" s="5">
        <f t="shared" si="10"/>
        <v>1</v>
      </c>
      <c r="T191" s="932">
        <f t="shared" si="11"/>
        <v>4763.8500000000004</v>
      </c>
    </row>
    <row r="192" spans="1:20">
      <c r="A192" s="875" t="s">
        <v>1068</v>
      </c>
      <c r="B192" s="876" t="s">
        <v>680</v>
      </c>
      <c r="C192" s="876"/>
      <c r="D192" s="877"/>
      <c r="E192" s="876"/>
      <c r="F192" s="962">
        <v>52428.97</v>
      </c>
      <c r="G192" s="863"/>
      <c r="H192" s="968"/>
      <c r="I192" s="863"/>
      <c r="J192" s="864"/>
      <c r="K192" s="863"/>
      <c r="L192" s="864"/>
      <c r="M192" s="863"/>
      <c r="N192" s="864"/>
      <c r="O192" s="863"/>
      <c r="P192" s="864"/>
      <c r="Q192" s="968"/>
      <c r="R192" s="864"/>
      <c r="S192" s="5">
        <f t="shared" si="10"/>
        <v>0</v>
      </c>
      <c r="T192" s="932">
        <f t="shared" si="11"/>
        <v>0</v>
      </c>
    </row>
    <row r="193" spans="1:20">
      <c r="A193" s="869" t="s">
        <v>1069</v>
      </c>
      <c r="B193" s="870" t="s">
        <v>984</v>
      </c>
      <c r="C193" s="870" t="s">
        <v>49</v>
      </c>
      <c r="D193" s="871">
        <v>598.27499999999998</v>
      </c>
      <c r="E193" s="870"/>
      <c r="F193" s="961">
        <v>8160.54</v>
      </c>
      <c r="G193" s="863"/>
      <c r="H193" s="968"/>
      <c r="I193" s="863"/>
      <c r="J193" s="864"/>
      <c r="K193" s="863">
        <v>8160.54</v>
      </c>
      <c r="L193" s="864">
        <v>1</v>
      </c>
      <c r="M193" s="863"/>
      <c r="N193" s="864"/>
      <c r="O193" s="863"/>
      <c r="P193" s="864"/>
      <c r="Q193" s="968"/>
      <c r="R193" s="864"/>
      <c r="S193" s="5">
        <f t="shared" si="10"/>
        <v>1</v>
      </c>
      <c r="T193" s="932">
        <f t="shared" si="11"/>
        <v>8160.54</v>
      </c>
    </row>
    <row r="194" spans="1:20">
      <c r="A194" s="869" t="s">
        <v>1070</v>
      </c>
      <c r="B194" s="870" t="s">
        <v>683</v>
      </c>
      <c r="C194" s="870" t="s">
        <v>49</v>
      </c>
      <c r="D194" s="871">
        <v>74.665999999999997</v>
      </c>
      <c r="E194" s="870"/>
      <c r="F194" s="961">
        <v>3046.54</v>
      </c>
      <c r="G194" s="863"/>
      <c r="H194" s="968"/>
      <c r="I194" s="863"/>
      <c r="J194" s="864"/>
      <c r="K194" s="863">
        <v>3046.54</v>
      </c>
      <c r="L194" s="864">
        <v>1</v>
      </c>
      <c r="M194" s="863"/>
      <c r="N194" s="864"/>
      <c r="O194" s="863"/>
      <c r="P194" s="864"/>
      <c r="Q194" s="968"/>
      <c r="R194" s="864"/>
      <c r="S194" s="5">
        <f t="shared" si="10"/>
        <v>1</v>
      </c>
      <c r="T194" s="932">
        <f t="shared" si="11"/>
        <v>3046.54</v>
      </c>
    </row>
    <row r="195" spans="1:20">
      <c r="A195" s="869" t="s">
        <v>1071</v>
      </c>
      <c r="B195" s="870" t="s">
        <v>985</v>
      </c>
      <c r="C195" s="870" t="s">
        <v>50</v>
      </c>
      <c r="D195" s="871">
        <v>59.827500000000008</v>
      </c>
      <c r="E195" s="870"/>
      <c r="F195" s="961">
        <v>27771.89</v>
      </c>
      <c r="G195" s="863"/>
      <c r="H195" s="968"/>
      <c r="I195" s="863"/>
      <c r="J195" s="864"/>
      <c r="K195" s="863">
        <v>27771.89</v>
      </c>
      <c r="L195" s="864">
        <v>1</v>
      </c>
      <c r="M195" s="863"/>
      <c r="N195" s="864"/>
      <c r="O195" s="863"/>
      <c r="P195" s="864"/>
      <c r="Q195" s="968"/>
      <c r="R195" s="864"/>
      <c r="S195" s="5">
        <f t="shared" si="10"/>
        <v>1</v>
      </c>
      <c r="T195" s="932">
        <f t="shared" si="11"/>
        <v>27771.89</v>
      </c>
    </row>
    <row r="196" spans="1:20">
      <c r="A196" s="869" t="s">
        <v>1072</v>
      </c>
      <c r="B196" s="870" t="s">
        <v>686</v>
      </c>
      <c r="C196" s="870" t="s">
        <v>49</v>
      </c>
      <c r="D196" s="871">
        <v>598.27499999999998</v>
      </c>
      <c r="E196" s="870"/>
      <c r="F196" s="961">
        <v>4307.62</v>
      </c>
      <c r="G196" s="863"/>
      <c r="H196" s="968"/>
      <c r="I196" s="863"/>
      <c r="J196" s="864"/>
      <c r="K196" s="863">
        <v>4307.62</v>
      </c>
      <c r="L196" s="864">
        <v>1</v>
      </c>
      <c r="M196" s="863"/>
      <c r="N196" s="864"/>
      <c r="O196" s="863"/>
      <c r="P196" s="864"/>
      <c r="Q196" s="968"/>
      <c r="R196" s="864"/>
      <c r="S196" s="5">
        <f t="shared" si="10"/>
        <v>1</v>
      </c>
      <c r="T196" s="932">
        <f t="shared" si="11"/>
        <v>4307.62</v>
      </c>
    </row>
    <row r="197" spans="1:20">
      <c r="A197" s="869" t="s">
        <v>1073</v>
      </c>
      <c r="B197" s="870" t="s">
        <v>687</v>
      </c>
      <c r="C197" s="870" t="s">
        <v>51</v>
      </c>
      <c r="D197" s="871">
        <v>831.66000000000008</v>
      </c>
      <c r="E197" s="870"/>
      <c r="F197" s="961">
        <v>3068.83</v>
      </c>
      <c r="G197" s="863"/>
      <c r="H197" s="968"/>
      <c r="I197" s="863"/>
      <c r="J197" s="864"/>
      <c r="K197" s="863">
        <v>3068.83</v>
      </c>
      <c r="L197" s="864">
        <v>1</v>
      </c>
      <c r="M197" s="863"/>
      <c r="N197" s="864"/>
      <c r="O197" s="863"/>
      <c r="P197" s="864"/>
      <c r="Q197" s="968"/>
      <c r="R197" s="864"/>
      <c r="S197" s="5">
        <f t="shared" si="10"/>
        <v>1</v>
      </c>
      <c r="T197" s="932">
        <f t="shared" si="11"/>
        <v>3068.83</v>
      </c>
    </row>
    <row r="198" spans="1:20">
      <c r="A198" s="869" t="s">
        <v>1074</v>
      </c>
      <c r="B198" s="870" t="s">
        <v>573</v>
      </c>
      <c r="C198" s="870" t="s">
        <v>49</v>
      </c>
      <c r="D198" s="871">
        <v>598.27499999999998</v>
      </c>
      <c r="E198" s="870"/>
      <c r="F198" s="961">
        <v>4678.55</v>
      </c>
      <c r="G198" s="863"/>
      <c r="H198" s="968"/>
      <c r="I198" s="863"/>
      <c r="J198" s="864"/>
      <c r="K198" s="863">
        <v>4678.55</v>
      </c>
      <c r="L198" s="864">
        <v>1</v>
      </c>
      <c r="M198" s="863"/>
      <c r="N198" s="864"/>
      <c r="O198" s="863"/>
      <c r="P198" s="864"/>
      <c r="Q198" s="968"/>
      <c r="R198" s="864"/>
      <c r="S198" s="5">
        <f t="shared" si="10"/>
        <v>1</v>
      </c>
      <c r="T198" s="932">
        <f t="shared" si="11"/>
        <v>4678.55</v>
      </c>
    </row>
    <row r="199" spans="1:20">
      <c r="A199" s="869" t="s">
        <v>1075</v>
      </c>
      <c r="B199" s="870" t="s">
        <v>572</v>
      </c>
      <c r="C199" s="870" t="s">
        <v>51</v>
      </c>
      <c r="D199" s="871">
        <v>186</v>
      </c>
      <c r="E199" s="870"/>
      <c r="F199" s="961">
        <v>1395</v>
      </c>
      <c r="G199" s="863"/>
      <c r="H199" s="968"/>
      <c r="I199" s="863"/>
      <c r="J199" s="864"/>
      <c r="K199" s="863">
        <v>1395</v>
      </c>
      <c r="L199" s="864">
        <v>1</v>
      </c>
      <c r="M199" s="863"/>
      <c r="N199" s="864"/>
      <c r="O199" s="863"/>
      <c r="P199" s="864"/>
      <c r="Q199" s="968"/>
      <c r="R199" s="864"/>
      <c r="S199" s="5">
        <f t="shared" si="10"/>
        <v>1</v>
      </c>
      <c r="T199" s="932">
        <f t="shared" si="11"/>
        <v>1395</v>
      </c>
    </row>
    <row r="200" spans="1:20">
      <c r="A200" s="866" t="s">
        <v>699</v>
      </c>
      <c r="B200" s="867" t="s">
        <v>986</v>
      </c>
      <c r="C200" s="867"/>
      <c r="D200" s="874"/>
      <c r="E200" s="867"/>
      <c r="F200" s="960">
        <v>1283.71</v>
      </c>
      <c r="G200" s="863"/>
      <c r="H200" s="968"/>
      <c r="I200" s="863"/>
      <c r="J200" s="864"/>
      <c r="K200" s="863"/>
      <c r="L200" s="864"/>
      <c r="M200" s="863"/>
      <c r="N200" s="864"/>
      <c r="O200" s="863"/>
      <c r="P200" s="864"/>
      <c r="Q200" s="968"/>
      <c r="R200" s="864"/>
      <c r="S200" s="5">
        <f t="shared" si="10"/>
        <v>0</v>
      </c>
      <c r="T200" s="932">
        <f t="shared" si="11"/>
        <v>0</v>
      </c>
    </row>
    <row r="201" spans="1:20">
      <c r="A201" s="875" t="s">
        <v>700</v>
      </c>
      <c r="B201" s="876" t="s">
        <v>561</v>
      </c>
      <c r="C201" s="876"/>
      <c r="D201" s="877"/>
      <c r="E201" s="876"/>
      <c r="F201" s="962">
        <v>156.41</v>
      </c>
      <c r="G201" s="863"/>
      <c r="H201" s="968"/>
      <c r="I201" s="863"/>
      <c r="J201" s="864"/>
      <c r="K201" s="863"/>
      <c r="L201" s="864"/>
      <c r="M201" s="863"/>
      <c r="N201" s="864"/>
      <c r="O201" s="863"/>
      <c r="P201" s="864"/>
      <c r="Q201" s="968"/>
      <c r="R201" s="864"/>
      <c r="S201" s="5">
        <f t="shared" ref="S201:S223" si="14">H201+J201+L201+N201+P201</f>
        <v>0</v>
      </c>
      <c r="T201" s="932">
        <f t="shared" ref="T201:T223" si="15">G201+I201+K201+M201+O201</f>
        <v>0</v>
      </c>
    </row>
    <row r="202" spans="1:20">
      <c r="A202" s="869" t="s">
        <v>1076</v>
      </c>
      <c r="B202" s="870" t="s">
        <v>987</v>
      </c>
      <c r="C202" s="870" t="s">
        <v>50</v>
      </c>
      <c r="D202" s="871">
        <v>1.5750000000000002</v>
      </c>
      <c r="E202" s="870"/>
      <c r="F202" s="961">
        <v>42</v>
      </c>
      <c r="G202" s="863"/>
      <c r="H202" s="968"/>
      <c r="I202" s="863">
        <v>42</v>
      </c>
      <c r="J202" s="864">
        <f t="shared" si="12"/>
        <v>1</v>
      </c>
      <c r="K202" s="863"/>
      <c r="L202" s="864"/>
      <c r="M202" s="863"/>
      <c r="N202" s="864"/>
      <c r="O202" s="863"/>
      <c r="P202" s="864"/>
      <c r="Q202" s="968"/>
      <c r="R202" s="864"/>
      <c r="S202" s="5">
        <f t="shared" si="14"/>
        <v>1</v>
      </c>
      <c r="T202" s="932">
        <f t="shared" si="15"/>
        <v>42</v>
      </c>
    </row>
    <row r="203" spans="1:20">
      <c r="A203" s="869" t="s">
        <v>1077</v>
      </c>
      <c r="B203" s="870" t="s">
        <v>577</v>
      </c>
      <c r="C203" s="870" t="s">
        <v>49</v>
      </c>
      <c r="D203" s="871">
        <v>7.875</v>
      </c>
      <c r="E203" s="870"/>
      <c r="F203" s="961">
        <v>78.56</v>
      </c>
      <c r="G203" s="863"/>
      <c r="H203" s="968"/>
      <c r="I203" s="863">
        <v>78.56</v>
      </c>
      <c r="J203" s="864">
        <f t="shared" si="12"/>
        <v>1</v>
      </c>
      <c r="K203" s="863"/>
      <c r="L203" s="864"/>
      <c r="M203" s="863"/>
      <c r="N203" s="864"/>
      <c r="O203" s="863"/>
      <c r="P203" s="864"/>
      <c r="Q203" s="968"/>
      <c r="R203" s="864"/>
      <c r="S203" s="5">
        <f t="shared" si="14"/>
        <v>1</v>
      </c>
      <c r="T203" s="932">
        <f t="shared" si="15"/>
        <v>78.56</v>
      </c>
    </row>
    <row r="204" spans="1:20">
      <c r="A204" s="869" t="s">
        <v>1078</v>
      </c>
      <c r="B204" s="870" t="s">
        <v>919</v>
      </c>
      <c r="C204" s="870" t="s">
        <v>50</v>
      </c>
      <c r="D204" s="871">
        <v>1.9687500000000002</v>
      </c>
      <c r="E204" s="870"/>
      <c r="F204" s="961">
        <v>35.85</v>
      </c>
      <c r="G204" s="863"/>
      <c r="H204" s="968"/>
      <c r="I204" s="863">
        <v>35.85</v>
      </c>
      <c r="J204" s="864">
        <f t="shared" si="12"/>
        <v>1</v>
      </c>
      <c r="K204" s="863"/>
      <c r="L204" s="864"/>
      <c r="M204" s="863"/>
      <c r="N204" s="864"/>
      <c r="O204" s="863"/>
      <c r="P204" s="864"/>
      <c r="Q204" s="968"/>
      <c r="R204" s="864"/>
      <c r="S204" s="5">
        <f t="shared" si="14"/>
        <v>1</v>
      </c>
      <c r="T204" s="932">
        <f t="shared" si="15"/>
        <v>35.85</v>
      </c>
    </row>
    <row r="205" spans="1:20">
      <c r="A205" s="875" t="s">
        <v>701</v>
      </c>
      <c r="B205" s="876" t="s">
        <v>988</v>
      </c>
      <c r="C205" s="876"/>
      <c r="D205" s="877"/>
      <c r="E205" s="876"/>
      <c r="F205" s="962">
        <v>1127.3</v>
      </c>
      <c r="G205" s="863"/>
      <c r="H205" s="968"/>
      <c r="I205" s="863"/>
      <c r="J205" s="864"/>
      <c r="K205" s="863"/>
      <c r="L205" s="864"/>
      <c r="M205" s="863"/>
      <c r="N205" s="864"/>
      <c r="O205" s="863"/>
      <c r="P205" s="864"/>
      <c r="Q205" s="968"/>
      <c r="R205" s="864"/>
      <c r="S205" s="5">
        <f t="shared" si="14"/>
        <v>0</v>
      </c>
      <c r="T205" s="932">
        <f t="shared" si="15"/>
        <v>0</v>
      </c>
    </row>
    <row r="206" spans="1:20">
      <c r="A206" s="869" t="s">
        <v>1079</v>
      </c>
      <c r="B206" s="870" t="s">
        <v>984</v>
      </c>
      <c r="C206" s="870" t="s">
        <v>49</v>
      </c>
      <c r="D206" s="871">
        <v>7.875</v>
      </c>
      <c r="E206" s="870"/>
      <c r="F206" s="961">
        <v>107.48</v>
      </c>
      <c r="G206" s="863"/>
      <c r="H206" s="968"/>
      <c r="I206" s="863">
        <v>107.48</v>
      </c>
      <c r="J206" s="864">
        <f t="shared" ref="J206:J214" si="16">I206/F206</f>
        <v>1</v>
      </c>
      <c r="K206" s="863"/>
      <c r="L206" s="864"/>
      <c r="M206" s="863"/>
      <c r="N206" s="864"/>
      <c r="O206" s="863"/>
      <c r="P206" s="864"/>
      <c r="Q206" s="968"/>
      <c r="R206" s="864"/>
      <c r="S206" s="5">
        <f t="shared" si="14"/>
        <v>1</v>
      </c>
      <c r="T206" s="932">
        <f t="shared" si="15"/>
        <v>107.48</v>
      </c>
    </row>
    <row r="207" spans="1:20">
      <c r="A207" s="869" t="s">
        <v>1080</v>
      </c>
      <c r="B207" s="870" t="s">
        <v>989</v>
      </c>
      <c r="C207" s="870" t="s">
        <v>49</v>
      </c>
      <c r="D207" s="871">
        <v>2.6774999999999998</v>
      </c>
      <c r="E207" s="870"/>
      <c r="F207" s="961">
        <v>109.34</v>
      </c>
      <c r="G207" s="863"/>
      <c r="H207" s="968"/>
      <c r="I207" s="863">
        <v>109.34</v>
      </c>
      <c r="J207" s="864">
        <f t="shared" si="16"/>
        <v>1</v>
      </c>
      <c r="K207" s="863"/>
      <c r="L207" s="864"/>
      <c r="M207" s="863"/>
      <c r="N207" s="864"/>
      <c r="O207" s="863"/>
      <c r="P207" s="864"/>
      <c r="Q207" s="968"/>
      <c r="R207" s="864"/>
      <c r="S207" s="5">
        <f t="shared" si="14"/>
        <v>1</v>
      </c>
      <c r="T207" s="932">
        <f t="shared" si="15"/>
        <v>109.34</v>
      </c>
    </row>
    <row r="208" spans="1:20">
      <c r="A208" s="869" t="s">
        <v>1081</v>
      </c>
      <c r="B208" s="870" t="s">
        <v>990</v>
      </c>
      <c r="C208" s="870" t="s">
        <v>50</v>
      </c>
      <c r="D208" s="871">
        <v>1.1812499999999999</v>
      </c>
      <c r="E208" s="870"/>
      <c r="F208" s="961">
        <v>547.73</v>
      </c>
      <c r="G208" s="863"/>
      <c r="H208" s="968"/>
      <c r="I208" s="863">
        <v>547.73</v>
      </c>
      <c r="J208" s="864">
        <f t="shared" si="16"/>
        <v>1</v>
      </c>
      <c r="K208" s="863"/>
      <c r="L208" s="864"/>
      <c r="M208" s="863"/>
      <c r="N208" s="864"/>
      <c r="O208" s="863"/>
      <c r="P208" s="864"/>
      <c r="Q208" s="968"/>
      <c r="R208" s="864"/>
      <c r="S208" s="5">
        <f t="shared" si="14"/>
        <v>1</v>
      </c>
      <c r="T208" s="932">
        <f t="shared" si="15"/>
        <v>547.73</v>
      </c>
    </row>
    <row r="209" spans="1:20">
      <c r="A209" s="869" t="s">
        <v>1082</v>
      </c>
      <c r="B209" s="870" t="s">
        <v>991</v>
      </c>
      <c r="C209" s="870" t="s">
        <v>49</v>
      </c>
      <c r="D209" s="871">
        <v>7.875</v>
      </c>
      <c r="E209" s="870"/>
      <c r="F209" s="961">
        <v>56.74</v>
      </c>
      <c r="G209" s="863"/>
      <c r="H209" s="968"/>
      <c r="I209" s="863">
        <v>56.74</v>
      </c>
      <c r="J209" s="864">
        <f t="shared" si="16"/>
        <v>1</v>
      </c>
      <c r="K209" s="863"/>
      <c r="L209" s="864"/>
      <c r="M209" s="863"/>
      <c r="N209" s="864"/>
      <c r="O209" s="863"/>
      <c r="P209" s="864"/>
      <c r="Q209" s="968"/>
      <c r="R209" s="864"/>
      <c r="S209" s="5">
        <f t="shared" si="14"/>
        <v>1</v>
      </c>
      <c r="T209" s="932">
        <f t="shared" si="15"/>
        <v>56.74</v>
      </c>
    </row>
    <row r="210" spans="1:20">
      <c r="A210" s="869" t="s">
        <v>1083</v>
      </c>
      <c r="B210" s="870" t="s">
        <v>992</v>
      </c>
      <c r="C210" s="870" t="s">
        <v>51</v>
      </c>
      <c r="D210" s="871">
        <v>21.84</v>
      </c>
      <c r="E210" s="870"/>
      <c r="F210" s="961">
        <v>80.59</v>
      </c>
      <c r="G210" s="863"/>
      <c r="H210" s="968"/>
      <c r="I210" s="863">
        <v>80.59</v>
      </c>
      <c r="J210" s="864">
        <f t="shared" si="16"/>
        <v>1</v>
      </c>
      <c r="K210" s="863"/>
      <c r="L210" s="864"/>
      <c r="M210" s="863"/>
      <c r="N210" s="864"/>
      <c r="O210" s="863"/>
      <c r="P210" s="864"/>
      <c r="Q210" s="968"/>
      <c r="R210" s="864"/>
      <c r="S210" s="5">
        <f t="shared" si="14"/>
        <v>1</v>
      </c>
      <c r="T210" s="932">
        <f t="shared" si="15"/>
        <v>80.59</v>
      </c>
    </row>
    <row r="211" spans="1:20">
      <c r="A211" s="869" t="s">
        <v>1084</v>
      </c>
      <c r="B211" s="870" t="s">
        <v>573</v>
      </c>
      <c r="C211" s="870" t="s">
        <v>49</v>
      </c>
      <c r="D211" s="871">
        <v>7.875</v>
      </c>
      <c r="E211" s="870"/>
      <c r="F211" s="961">
        <v>61.62</v>
      </c>
      <c r="G211" s="863"/>
      <c r="H211" s="968"/>
      <c r="I211" s="863">
        <v>61.62</v>
      </c>
      <c r="J211" s="864">
        <f t="shared" si="16"/>
        <v>1</v>
      </c>
      <c r="K211" s="863"/>
      <c r="L211" s="864"/>
      <c r="M211" s="863"/>
      <c r="N211" s="864"/>
      <c r="O211" s="863"/>
      <c r="P211" s="864"/>
      <c r="Q211" s="968"/>
      <c r="R211" s="864"/>
      <c r="S211" s="5">
        <f t="shared" si="14"/>
        <v>1</v>
      </c>
      <c r="T211" s="932">
        <f t="shared" si="15"/>
        <v>61.62</v>
      </c>
    </row>
    <row r="212" spans="1:20">
      <c r="A212" s="869" t="s">
        <v>1085</v>
      </c>
      <c r="B212" s="870" t="s">
        <v>572</v>
      </c>
      <c r="C212" s="870" t="s">
        <v>51</v>
      </c>
      <c r="D212" s="871">
        <v>21.84</v>
      </c>
      <c r="E212" s="870"/>
      <c r="F212" s="961">
        <v>163.80000000000001</v>
      </c>
      <c r="G212" s="863"/>
      <c r="H212" s="968"/>
      <c r="I212" s="863">
        <v>163.80000000000001</v>
      </c>
      <c r="J212" s="864">
        <f t="shared" si="16"/>
        <v>1</v>
      </c>
      <c r="K212" s="863"/>
      <c r="L212" s="864"/>
      <c r="M212" s="863"/>
      <c r="N212" s="864"/>
      <c r="O212" s="863"/>
      <c r="P212" s="864"/>
      <c r="Q212" s="968"/>
      <c r="R212" s="864"/>
      <c r="S212" s="5">
        <f t="shared" si="14"/>
        <v>1</v>
      </c>
      <c r="T212" s="932">
        <f t="shared" si="15"/>
        <v>163.80000000000001</v>
      </c>
    </row>
    <row r="213" spans="1:20">
      <c r="A213" s="866" t="s">
        <v>1086</v>
      </c>
      <c r="B213" s="867" t="s">
        <v>979</v>
      </c>
      <c r="C213" s="867"/>
      <c r="D213" s="874"/>
      <c r="E213" s="867"/>
      <c r="F213" s="960">
        <v>3147.87</v>
      </c>
      <c r="G213" s="863"/>
      <c r="H213" s="968"/>
      <c r="I213" s="863"/>
      <c r="J213" s="864"/>
      <c r="K213" s="863"/>
      <c r="L213" s="864"/>
      <c r="M213" s="863"/>
      <c r="N213" s="864"/>
      <c r="O213" s="863"/>
      <c r="P213" s="864"/>
      <c r="Q213" s="968"/>
      <c r="R213" s="864"/>
      <c r="S213" s="5">
        <f t="shared" si="14"/>
        <v>0</v>
      </c>
      <c r="T213" s="932">
        <f t="shared" si="15"/>
        <v>0</v>
      </c>
    </row>
    <row r="214" spans="1:20">
      <c r="A214" s="869" t="s">
        <v>1087</v>
      </c>
      <c r="B214" s="870" t="s">
        <v>993</v>
      </c>
      <c r="C214" s="870" t="s">
        <v>291</v>
      </c>
      <c r="D214" s="871">
        <v>1</v>
      </c>
      <c r="E214" s="870"/>
      <c r="F214" s="961">
        <v>3147.87</v>
      </c>
      <c r="G214" s="863" t="e">
        <f>'FE3-1 '!#REF!</f>
        <v>#REF!</v>
      </c>
      <c r="H214" s="967" t="e">
        <f t="shared" ref="H214" si="17">G214/F214</f>
        <v>#REF!</v>
      </c>
      <c r="I214" s="863" t="e">
        <f>F214-G214</f>
        <v>#REF!</v>
      </c>
      <c r="J214" s="864" t="e">
        <f t="shared" si="16"/>
        <v>#REF!</v>
      </c>
      <c r="K214" s="863"/>
      <c r="L214" s="864"/>
      <c r="M214" s="863"/>
      <c r="N214" s="864"/>
      <c r="O214" s="863"/>
      <c r="P214" s="864"/>
      <c r="Q214" s="968"/>
      <c r="R214" s="864"/>
      <c r="S214" s="5" t="e">
        <f t="shared" si="14"/>
        <v>#REF!</v>
      </c>
      <c r="T214" s="932" t="e">
        <f t="shared" si="15"/>
        <v>#REF!</v>
      </c>
    </row>
    <row r="215" spans="1:20">
      <c r="A215" s="883" t="s">
        <v>46</v>
      </c>
      <c r="B215" s="884" t="s">
        <v>994</v>
      </c>
      <c r="C215" s="884"/>
      <c r="D215" s="885"/>
      <c r="E215" s="884"/>
      <c r="F215" s="964">
        <v>9709.7800000000007</v>
      </c>
      <c r="G215" s="863"/>
      <c r="H215" s="966"/>
      <c r="I215" s="863"/>
      <c r="J215" s="864"/>
      <c r="K215" s="863"/>
      <c r="L215" s="864"/>
      <c r="M215" s="863"/>
      <c r="N215" s="864"/>
      <c r="O215" s="863"/>
      <c r="P215" s="864"/>
      <c r="Q215" s="968"/>
      <c r="R215" s="864"/>
      <c r="S215" s="5">
        <f t="shared" si="14"/>
        <v>0</v>
      </c>
      <c r="T215" s="957">
        <f>SUM(T216:T223)</f>
        <v>9709.7800000000007</v>
      </c>
    </row>
    <row r="216" spans="1:20">
      <c r="A216" s="866" t="s">
        <v>47</v>
      </c>
      <c r="B216" s="867" t="s">
        <v>300</v>
      </c>
      <c r="C216" s="867"/>
      <c r="D216" s="874"/>
      <c r="E216" s="867"/>
      <c r="F216" s="960">
        <v>3460.1</v>
      </c>
      <c r="G216" s="863"/>
      <c r="H216" s="966"/>
      <c r="I216" s="863"/>
      <c r="J216" s="864"/>
      <c r="K216" s="863"/>
      <c r="L216" s="864"/>
      <c r="M216" s="863"/>
      <c r="N216" s="864"/>
      <c r="O216" s="863"/>
      <c r="P216" s="864"/>
      <c r="Q216" s="968"/>
      <c r="R216" s="864"/>
      <c r="S216" s="5">
        <f t="shared" si="14"/>
        <v>0</v>
      </c>
      <c r="T216" s="932">
        <f t="shared" si="15"/>
        <v>0</v>
      </c>
    </row>
    <row r="217" spans="1:20">
      <c r="A217" s="869" t="s">
        <v>406</v>
      </c>
      <c r="B217" s="870" t="s">
        <v>995</v>
      </c>
      <c r="C217" s="870" t="s">
        <v>50</v>
      </c>
      <c r="D217" s="871">
        <v>70.142600000000016</v>
      </c>
      <c r="E217" s="870"/>
      <c r="F217" s="961">
        <v>1864.32</v>
      </c>
      <c r="G217" s="863"/>
      <c r="H217" s="966"/>
      <c r="I217" s="863"/>
      <c r="J217" s="864"/>
      <c r="K217" s="863"/>
      <c r="L217" s="864"/>
      <c r="M217" s="863">
        <v>1087.52</v>
      </c>
      <c r="N217" s="864">
        <v>0.58333333333333337</v>
      </c>
      <c r="O217" s="863">
        <v>776.8</v>
      </c>
      <c r="P217" s="864">
        <v>0.41666666666666663</v>
      </c>
      <c r="Q217" s="968"/>
      <c r="R217" s="864"/>
      <c r="S217" s="5">
        <f t="shared" si="14"/>
        <v>1</v>
      </c>
      <c r="T217" s="932">
        <f t="shared" si="15"/>
        <v>1864.32</v>
      </c>
    </row>
    <row r="218" spans="1:20">
      <c r="A218" s="869" t="s">
        <v>1088</v>
      </c>
      <c r="B218" s="870" t="s">
        <v>996</v>
      </c>
      <c r="C218" s="870" t="s">
        <v>50</v>
      </c>
      <c r="D218" s="871">
        <v>87.67825000000002</v>
      </c>
      <c r="E218" s="870"/>
      <c r="F218" s="961">
        <v>1595.78</v>
      </c>
      <c r="G218" s="863"/>
      <c r="H218" s="966"/>
      <c r="I218" s="863"/>
      <c r="J218" s="864"/>
      <c r="K218" s="863"/>
      <c r="L218" s="864"/>
      <c r="M218" s="863"/>
      <c r="N218" s="864"/>
      <c r="O218" s="863">
        <v>1595.78</v>
      </c>
      <c r="P218" s="864">
        <v>1</v>
      </c>
      <c r="Q218" s="968"/>
      <c r="R218" s="864"/>
      <c r="S218" s="5">
        <f t="shared" si="14"/>
        <v>1</v>
      </c>
      <c r="T218" s="932">
        <f t="shared" si="15"/>
        <v>1595.78</v>
      </c>
    </row>
    <row r="219" spans="1:20">
      <c r="A219" s="866" t="s">
        <v>48</v>
      </c>
      <c r="B219" s="867" t="s">
        <v>997</v>
      </c>
      <c r="C219" s="867"/>
      <c r="D219" s="874"/>
      <c r="E219" s="867"/>
      <c r="F219" s="960">
        <v>6249.68</v>
      </c>
      <c r="G219" s="863"/>
      <c r="H219" s="966"/>
      <c r="I219" s="863"/>
      <c r="J219" s="864"/>
      <c r="K219" s="863"/>
      <c r="L219" s="864"/>
      <c r="M219" s="863"/>
      <c r="N219" s="864"/>
      <c r="O219" s="863"/>
      <c r="P219" s="864"/>
      <c r="Q219" s="968"/>
      <c r="R219" s="864"/>
      <c r="S219" s="5">
        <f t="shared" si="14"/>
        <v>0</v>
      </c>
      <c r="T219" s="932">
        <f t="shared" si="15"/>
        <v>0</v>
      </c>
    </row>
    <row r="220" spans="1:20">
      <c r="A220" s="869" t="s">
        <v>407</v>
      </c>
      <c r="B220" s="870" t="s">
        <v>702</v>
      </c>
      <c r="C220" s="870" t="s">
        <v>50</v>
      </c>
      <c r="D220" s="871">
        <v>35.071300000000008</v>
      </c>
      <c r="E220" s="870"/>
      <c r="F220" s="961">
        <v>1465.22</v>
      </c>
      <c r="G220" s="863"/>
      <c r="H220" s="966"/>
      <c r="I220" s="863"/>
      <c r="J220" s="864"/>
      <c r="K220" s="863"/>
      <c r="L220" s="864"/>
      <c r="M220" s="863"/>
      <c r="N220" s="864"/>
      <c r="O220" s="863">
        <v>1465.22</v>
      </c>
      <c r="P220" s="864">
        <v>1</v>
      </c>
      <c r="Q220" s="968"/>
      <c r="R220" s="864"/>
      <c r="S220" s="5">
        <f t="shared" si="14"/>
        <v>1</v>
      </c>
      <c r="T220" s="932">
        <f t="shared" si="15"/>
        <v>1465.22</v>
      </c>
    </row>
    <row r="221" spans="1:20">
      <c r="A221" s="869" t="s">
        <v>1089</v>
      </c>
      <c r="B221" s="870" t="s">
        <v>703</v>
      </c>
      <c r="C221" s="870" t="s">
        <v>49</v>
      </c>
      <c r="D221" s="871">
        <v>350.71300000000002</v>
      </c>
      <c r="E221" s="870"/>
      <c r="F221" s="961">
        <v>1788.62</v>
      </c>
      <c r="G221" s="863"/>
      <c r="H221" s="966"/>
      <c r="I221" s="863"/>
      <c r="J221" s="864"/>
      <c r="K221" s="863"/>
      <c r="L221" s="864"/>
      <c r="M221" s="863"/>
      <c r="N221" s="864"/>
      <c r="O221" s="863">
        <v>1788.62</v>
      </c>
      <c r="P221" s="864">
        <v>1</v>
      </c>
      <c r="Q221" s="968"/>
      <c r="R221" s="864"/>
      <c r="S221" s="5">
        <f t="shared" si="14"/>
        <v>1</v>
      </c>
      <c r="T221" s="932">
        <f t="shared" si="15"/>
        <v>1788.62</v>
      </c>
    </row>
    <row r="222" spans="1:20">
      <c r="A222" s="869" t="s">
        <v>1090</v>
      </c>
      <c r="B222" s="870" t="s">
        <v>704</v>
      </c>
      <c r="C222" s="870" t="s">
        <v>49</v>
      </c>
      <c r="D222" s="871">
        <v>350.71300000000002</v>
      </c>
      <c r="E222" s="870"/>
      <c r="F222" s="961">
        <v>1848.24</v>
      </c>
      <c r="G222" s="863"/>
      <c r="H222" s="966"/>
      <c r="I222" s="887"/>
      <c r="J222" s="864"/>
      <c r="K222" s="887"/>
      <c r="L222" s="888"/>
      <c r="M222" s="887"/>
      <c r="N222" s="864"/>
      <c r="O222" s="887">
        <v>1848.24</v>
      </c>
      <c r="P222" s="888">
        <v>1</v>
      </c>
      <c r="Q222" s="979"/>
      <c r="R222" s="864"/>
      <c r="S222" s="5">
        <f t="shared" si="14"/>
        <v>1</v>
      </c>
      <c r="T222" s="932">
        <f t="shared" si="15"/>
        <v>1848.24</v>
      </c>
    </row>
    <row r="223" spans="1:20" ht="15.75" thickBot="1">
      <c r="A223" s="889" t="s">
        <v>1091</v>
      </c>
      <c r="B223" s="890" t="s">
        <v>998</v>
      </c>
      <c r="C223" s="890"/>
      <c r="D223" s="891">
        <v>40</v>
      </c>
      <c r="E223" s="890"/>
      <c r="F223" s="965">
        <v>1147.5999999999999</v>
      </c>
      <c r="G223" s="893"/>
      <c r="H223" s="969"/>
      <c r="I223" s="893"/>
      <c r="J223" s="893"/>
      <c r="K223" s="893"/>
      <c r="L223" s="894"/>
      <c r="M223" s="893"/>
      <c r="N223" s="893"/>
      <c r="O223" s="893">
        <v>1147.5999999999999</v>
      </c>
      <c r="P223" s="894">
        <v>1</v>
      </c>
      <c r="Q223" s="969"/>
      <c r="R223" s="893"/>
      <c r="S223" s="5">
        <f t="shared" si="14"/>
        <v>1</v>
      </c>
      <c r="T223" s="932">
        <f t="shared" si="15"/>
        <v>1147.5999999999999</v>
      </c>
    </row>
    <row r="224" spans="1:20">
      <c r="A224" s="896"/>
      <c r="B224" s="896"/>
      <c r="C224" s="896"/>
      <c r="D224" s="896"/>
      <c r="E224" s="896"/>
      <c r="F224" s="897"/>
      <c r="G224" s="898"/>
      <c r="H224" s="899"/>
      <c r="I224" s="898"/>
      <c r="J224" s="899"/>
      <c r="K224" s="898"/>
      <c r="L224" s="899"/>
      <c r="M224" s="898"/>
      <c r="N224" s="899"/>
    </row>
    <row r="225" spans="1:19" ht="15.75" thickBot="1">
      <c r="A225" s="844"/>
      <c r="B225" s="844"/>
      <c r="C225" s="845"/>
      <c r="D225" s="845"/>
      <c r="E225" s="845"/>
      <c r="F225" s="846"/>
      <c r="G225" s="846"/>
      <c r="H225" s="847"/>
      <c r="I225" s="846"/>
      <c r="J225" s="847"/>
      <c r="K225" s="846"/>
      <c r="L225" s="847"/>
      <c r="M225" s="846"/>
      <c r="N225" s="847"/>
    </row>
    <row r="226" spans="1:19">
      <c r="A226" s="844"/>
      <c r="B226" s="980" t="s">
        <v>33</v>
      </c>
      <c r="C226" s="901"/>
      <c r="D226" s="901"/>
      <c r="E226" s="901"/>
      <c r="F226" s="902">
        <f>F8</f>
        <v>853658.71</v>
      </c>
      <c r="G226" s="902" t="e">
        <f>SUM(G9:G223)</f>
        <v>#REF!</v>
      </c>
      <c r="H226" s="903" t="e">
        <f>G226/F226</f>
        <v>#REF!</v>
      </c>
      <c r="I226" s="902" t="e">
        <f>SUM(I9:I223)</f>
        <v>#REF!</v>
      </c>
      <c r="J226" s="903" t="e">
        <f>I226/F226</f>
        <v>#REF!</v>
      </c>
      <c r="K226" s="902">
        <f>SUM(K9:K223)</f>
        <v>282925.99000000005</v>
      </c>
      <c r="L226" s="903">
        <f>K226/F226</f>
        <v>0.3314275209585808</v>
      </c>
      <c r="M226" s="902">
        <f>SUM(M9:M223)</f>
        <v>76689.840000000011</v>
      </c>
      <c r="N226" s="903">
        <f>M226/F226</f>
        <v>8.9836651464611672E-2</v>
      </c>
      <c r="O226" s="902">
        <f>SUM(O10:O223)</f>
        <v>27791.13</v>
      </c>
      <c r="P226" s="904">
        <f t="shared" ref="P226:P234" si="18">O226/F226</f>
        <v>3.2555317100905583E-2</v>
      </c>
      <c r="Q226" s="902">
        <f>SUM(Q10:Q223)</f>
        <v>0</v>
      </c>
      <c r="R226" s="904" t="e">
        <f t="shared" ref="R226:R232" si="19">Q226/H226</f>
        <v>#REF!</v>
      </c>
      <c r="S226" s="5" t="e">
        <f>H226+J226+L226+N226+P226</f>
        <v>#REF!</v>
      </c>
    </row>
    <row r="227" spans="1:19">
      <c r="A227" s="844"/>
      <c r="B227" s="981" t="s">
        <v>108</v>
      </c>
      <c r="C227" s="906"/>
      <c r="D227" s="906"/>
      <c r="E227" s="906"/>
      <c r="F227" s="907">
        <v>63004.26</v>
      </c>
      <c r="G227" s="908">
        <f>I227/2</f>
        <v>7875.5325000000003</v>
      </c>
      <c r="H227" s="909">
        <f>G227/F227</f>
        <v>0.125</v>
      </c>
      <c r="I227" s="908">
        <f>F227/4</f>
        <v>15751.065000000001</v>
      </c>
      <c r="J227" s="909">
        <f>I227/F227</f>
        <v>0.25</v>
      </c>
      <c r="K227" s="910">
        <f>F227/4</f>
        <v>15751.065000000001</v>
      </c>
      <c r="L227" s="909">
        <f>K227/F227</f>
        <v>0.25</v>
      </c>
      <c r="M227" s="910">
        <f>F227/4</f>
        <v>15751.065000000001</v>
      </c>
      <c r="N227" s="909">
        <f>M227/F227</f>
        <v>0.25</v>
      </c>
      <c r="O227" s="910">
        <f>G227</f>
        <v>7875.5325000000003</v>
      </c>
      <c r="P227" s="911">
        <f t="shared" si="18"/>
        <v>0.125</v>
      </c>
      <c r="Q227" s="910">
        <f>I227</f>
        <v>15751.065000000001</v>
      </c>
      <c r="R227" s="911">
        <f t="shared" si="19"/>
        <v>126008.52</v>
      </c>
      <c r="S227" s="5">
        <f t="shared" ref="S227:S234" si="20">H227+J227+L227+N227+P227</f>
        <v>1</v>
      </c>
    </row>
    <row r="228" spans="1:19">
      <c r="A228" s="844"/>
      <c r="B228" s="981" t="s">
        <v>119</v>
      </c>
      <c r="C228" s="906"/>
      <c r="D228" s="906"/>
      <c r="E228" s="906"/>
      <c r="F228" s="907">
        <v>18958.25</v>
      </c>
      <c r="G228" s="908">
        <f>I228/2</f>
        <v>2369.78125</v>
      </c>
      <c r="H228" s="909">
        <f>G228/F228</f>
        <v>0.125</v>
      </c>
      <c r="I228" s="908">
        <f>F228/4</f>
        <v>4739.5625</v>
      </c>
      <c r="J228" s="909">
        <f>I228/F228</f>
        <v>0.25</v>
      </c>
      <c r="K228" s="910">
        <f>F228/4</f>
        <v>4739.5625</v>
      </c>
      <c r="L228" s="909">
        <f>K228/F228</f>
        <v>0.25</v>
      </c>
      <c r="M228" s="910">
        <f>F228/4</f>
        <v>4739.5625</v>
      </c>
      <c r="N228" s="909">
        <f>M228/F228</f>
        <v>0.25</v>
      </c>
      <c r="O228" s="910">
        <f>M228/2</f>
        <v>2369.78125</v>
      </c>
      <c r="P228" s="911">
        <f t="shared" si="18"/>
        <v>0.125</v>
      </c>
      <c r="Q228" s="910">
        <f>O228/2</f>
        <v>1184.890625</v>
      </c>
      <c r="R228" s="911">
        <f t="shared" si="19"/>
        <v>9479.125</v>
      </c>
      <c r="S228" s="5">
        <f t="shared" si="20"/>
        <v>1</v>
      </c>
    </row>
    <row r="229" spans="1:19">
      <c r="A229" s="844"/>
      <c r="B229" s="981" t="s">
        <v>1128</v>
      </c>
      <c r="C229" s="906"/>
      <c r="D229" s="906"/>
      <c r="E229" s="906"/>
      <c r="F229" s="907"/>
      <c r="G229" s="908"/>
      <c r="H229" s="909"/>
      <c r="I229" s="908"/>
      <c r="J229" s="909"/>
      <c r="K229" s="910"/>
      <c r="L229" s="909"/>
      <c r="M229" s="910"/>
      <c r="N229" s="909"/>
      <c r="O229" s="910"/>
      <c r="P229" s="911"/>
      <c r="Q229" s="910"/>
      <c r="R229" s="911"/>
      <c r="S229" s="5"/>
    </row>
    <row r="230" spans="1:19">
      <c r="A230" s="844"/>
      <c r="B230" s="981" t="s">
        <v>1131</v>
      </c>
      <c r="C230" s="906"/>
      <c r="D230" s="906"/>
      <c r="E230" s="906"/>
      <c r="F230" s="907"/>
      <c r="G230" s="908"/>
      <c r="H230" s="909"/>
      <c r="I230" s="908"/>
      <c r="J230" s="909"/>
      <c r="K230" s="910"/>
      <c r="L230" s="909"/>
      <c r="M230" s="910"/>
      <c r="N230" s="909"/>
      <c r="O230" s="910"/>
      <c r="P230" s="911"/>
      <c r="Q230" s="910"/>
      <c r="R230" s="911"/>
      <c r="S230" s="5"/>
    </row>
    <row r="231" spans="1:19">
      <c r="A231" s="844"/>
      <c r="B231" s="981" t="s">
        <v>1129</v>
      </c>
      <c r="C231" s="906"/>
      <c r="D231" s="906"/>
      <c r="E231" s="906"/>
      <c r="F231" s="907"/>
      <c r="G231" s="908"/>
      <c r="H231" s="909"/>
      <c r="I231" s="908"/>
      <c r="J231" s="909"/>
      <c r="K231" s="910"/>
      <c r="L231" s="909"/>
      <c r="M231" s="910"/>
      <c r="N231" s="909"/>
      <c r="O231" s="910"/>
      <c r="P231" s="911"/>
      <c r="Q231" s="910"/>
      <c r="R231" s="911"/>
      <c r="S231" s="5"/>
    </row>
    <row r="232" spans="1:19" ht="15.75" thickBot="1">
      <c r="A232" s="844"/>
      <c r="B232" s="982" t="s">
        <v>1130</v>
      </c>
      <c r="C232" s="913"/>
      <c r="D232" s="913"/>
      <c r="E232" s="913"/>
      <c r="F232" s="983">
        <v>7254.05</v>
      </c>
      <c r="G232" s="984"/>
      <c r="H232" s="917"/>
      <c r="I232" s="984"/>
      <c r="J232" s="917"/>
      <c r="K232" s="916"/>
      <c r="L232" s="917"/>
      <c r="M232" s="916"/>
      <c r="N232" s="917"/>
      <c r="O232" s="916">
        <f>F232</f>
        <v>7254.05</v>
      </c>
      <c r="P232" s="918">
        <f t="shared" si="18"/>
        <v>1</v>
      </c>
      <c r="Q232" s="916">
        <f>H232</f>
        <v>0</v>
      </c>
      <c r="R232" s="918" t="e">
        <f t="shared" si="19"/>
        <v>#DIV/0!</v>
      </c>
      <c r="S232" s="5">
        <f t="shared" si="20"/>
        <v>1</v>
      </c>
    </row>
    <row r="233" spans="1:19" ht="15.75" thickBot="1">
      <c r="A233" s="844"/>
      <c r="B233" s="919"/>
      <c r="C233" s="919"/>
      <c r="D233" s="919"/>
      <c r="E233" s="919"/>
      <c r="F233" s="920"/>
      <c r="G233" s="919"/>
      <c r="H233" s="919"/>
      <c r="I233" s="919"/>
      <c r="J233" s="919"/>
      <c r="K233" s="921"/>
      <c r="L233" s="922"/>
      <c r="M233" s="921"/>
      <c r="N233" s="922"/>
      <c r="O233" s="675"/>
      <c r="P233" s="956"/>
      <c r="Q233" s="956"/>
      <c r="R233" s="956"/>
      <c r="S233" s="5"/>
    </row>
    <row r="234" spans="1:19" ht="15.75" thickBot="1">
      <c r="A234" s="844"/>
      <c r="B234" s="923" t="s">
        <v>1103</v>
      </c>
      <c r="C234" s="924"/>
      <c r="D234" s="924"/>
      <c r="E234" s="924"/>
      <c r="F234" s="925">
        <f>SUM(F226:F232)</f>
        <v>942875.27</v>
      </c>
      <c r="G234" s="926" t="e">
        <f>SUM(G226:G228)</f>
        <v>#REF!</v>
      </c>
      <c r="H234" s="927" t="e">
        <f>G234/F234</f>
        <v>#REF!</v>
      </c>
      <c r="I234" s="926" t="e">
        <f>SUM(I226:I228)</f>
        <v>#REF!</v>
      </c>
      <c r="J234" s="927" t="e">
        <f>I234/F234</f>
        <v>#REF!</v>
      </c>
      <c r="K234" s="926">
        <f>SUM(K226:K232)</f>
        <v>303416.61750000005</v>
      </c>
      <c r="L234" s="927">
        <f>K234/F234</f>
        <v>0.32179931657344246</v>
      </c>
      <c r="M234" s="926">
        <f>SUM(M226:M232)</f>
        <v>97180.467500000013</v>
      </c>
      <c r="N234" s="928">
        <f>M234/F234</f>
        <v>0.10306821123858728</v>
      </c>
      <c r="O234" s="926">
        <f>SUM(O226:O232)</f>
        <v>45290.493750000001</v>
      </c>
      <c r="P234" s="928">
        <f t="shared" si="18"/>
        <v>4.803444866042568E-2</v>
      </c>
      <c r="Q234" s="926"/>
      <c r="R234" s="928"/>
      <c r="S234" s="5" t="e">
        <f t="shared" si="20"/>
        <v>#REF!</v>
      </c>
    </row>
    <row r="235" spans="1:19">
      <c r="A235" s="844"/>
      <c r="B235" s="844"/>
      <c r="C235" s="845"/>
      <c r="D235" s="845"/>
      <c r="E235" s="845"/>
      <c r="F235" s="846"/>
      <c r="G235" s="846"/>
      <c r="H235" s="847"/>
      <c r="I235" s="846"/>
      <c r="J235" s="847"/>
      <c r="K235" s="846"/>
      <c r="L235" s="847"/>
      <c r="M235" s="674"/>
      <c r="N235" s="675"/>
    </row>
    <row r="236" spans="1:19">
      <c r="A236" s="844"/>
      <c r="B236" s="844"/>
      <c r="C236" s="845"/>
      <c r="D236" s="845"/>
      <c r="E236" s="845"/>
      <c r="F236" s="846"/>
      <c r="G236" s="846"/>
      <c r="H236" s="847"/>
      <c r="I236" s="846"/>
      <c r="J236" s="847"/>
      <c r="K236" s="846"/>
      <c r="L236" s="847"/>
      <c r="M236" s="674"/>
      <c r="N236" s="675"/>
    </row>
  </sheetData>
  <mergeCells count="16">
    <mergeCell ref="B2:N2"/>
    <mergeCell ref="B1:N1"/>
    <mergeCell ref="K6:L6"/>
    <mergeCell ref="M6:N6"/>
    <mergeCell ref="F5:F7"/>
    <mergeCell ref="G6:H6"/>
    <mergeCell ref="I6:J6"/>
    <mergeCell ref="B3:R3"/>
    <mergeCell ref="Q6:R6"/>
    <mergeCell ref="G5:R5"/>
    <mergeCell ref="O6:P6"/>
    <mergeCell ref="A5:A7"/>
    <mergeCell ref="B5:B7"/>
    <mergeCell ref="C5:C7"/>
    <mergeCell ref="D5:D7"/>
    <mergeCell ref="E5:E7"/>
  </mergeCells>
  <conditionalFormatting sqref="G8:G224">
    <cfRule type="cellIs" dxfId="13" priority="51" operator="greaterThan">
      <formula>0</formula>
    </cfRule>
  </conditionalFormatting>
  <conditionalFormatting sqref="H8:H13">
    <cfRule type="cellIs" dxfId="12" priority="402" operator="greaterThan">
      <formula>0</formula>
    </cfRule>
  </conditionalFormatting>
  <conditionalFormatting sqref="H15:H224">
    <cfRule type="cellIs" dxfId="11" priority="69" operator="greaterThan">
      <formula>0</formula>
    </cfRule>
  </conditionalFormatting>
  <conditionalFormatting sqref="I8:N224">
    <cfRule type="cellIs" dxfId="10" priority="60" operator="greaterThan">
      <formula>0</formula>
    </cfRule>
  </conditionalFormatting>
  <conditionalFormatting sqref="O8:R223">
    <cfRule type="cellIs" dxfId="9" priority="1" operator="greaterThan">
      <formula>0</formula>
    </cfRule>
  </conditionalFormatting>
  <pageMargins left="0.7" right="0.7" top="0.75" bottom="0.75" header="0.3" footer="0.3"/>
  <pageSetup paperSize="9" scale="42" fitToHeight="0" orientation="landscape" horizontalDpi="4294967293" verticalDpi="4294967293" r:id="rId1"/>
  <rowBreaks count="2" manualBreakCount="2">
    <brk id="142" max="17" man="1"/>
    <brk id="218" max="17" man="1"/>
  </rowBreaks>
  <colBreaks count="1" manualBreakCount="1">
    <brk id="18"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5">
    <tabColor rgb="FF92D050"/>
  </sheetPr>
  <dimension ref="A1:AP233"/>
  <sheetViews>
    <sheetView topLeftCell="A208" zoomScale="71" zoomScaleNormal="71" workbookViewId="0">
      <selection activeCell="O216" sqref="O216"/>
    </sheetView>
  </sheetViews>
  <sheetFormatPr baseColWidth="10" defaultColWidth="11.5703125" defaultRowHeight="15"/>
  <cols>
    <col min="2" max="2" width="67.140625" customWidth="1"/>
    <col min="6" max="6" width="17" customWidth="1"/>
    <col min="7" max="7" width="16.7109375" customWidth="1"/>
    <col min="8" max="8" width="14.7109375" customWidth="1"/>
    <col min="9" max="9" width="17.42578125" customWidth="1"/>
    <col min="10" max="10" width="13" customWidth="1"/>
    <col min="11" max="11" width="17.28515625" customWidth="1"/>
    <col min="13" max="13" width="16.85546875" customWidth="1"/>
    <col min="15" max="15" width="17.28515625" customWidth="1"/>
  </cols>
  <sheetData>
    <row r="1" spans="1:42" ht="19.5" customHeight="1">
      <c r="E1" s="276" t="s">
        <v>121</v>
      </c>
      <c r="F1" s="276"/>
      <c r="G1" s="276"/>
      <c r="H1" s="276"/>
      <c r="I1" s="276"/>
      <c r="J1" s="276"/>
      <c r="K1" s="276"/>
      <c r="L1" s="276"/>
      <c r="M1" s="276"/>
      <c r="N1" s="276"/>
      <c r="O1" s="276"/>
      <c r="P1" s="276"/>
      <c r="Q1" s="276"/>
      <c r="R1" s="276"/>
      <c r="S1" s="276"/>
      <c r="T1" s="276"/>
      <c r="U1" s="276"/>
      <c r="V1" s="276"/>
      <c r="W1" s="276"/>
      <c r="X1" s="276"/>
      <c r="Y1" s="276"/>
      <c r="Z1" s="276"/>
      <c r="AA1" s="276"/>
      <c r="AB1" s="276"/>
      <c r="AC1" s="276"/>
      <c r="AD1" s="276"/>
      <c r="AE1" s="276"/>
      <c r="AF1" s="276"/>
      <c r="AG1" s="276"/>
      <c r="AH1" s="276"/>
      <c r="AI1" s="276"/>
      <c r="AJ1" s="276"/>
      <c r="AK1" s="276"/>
      <c r="AL1" s="276"/>
      <c r="AM1" s="276"/>
      <c r="AN1" s="276"/>
      <c r="AO1" s="276"/>
      <c r="AP1" s="276"/>
    </row>
    <row r="2" spans="1:42" ht="33" customHeight="1" thickBot="1">
      <c r="C2" s="2573" t="s">
        <v>1112</v>
      </c>
      <c r="D2" s="2573"/>
      <c r="E2" s="2573"/>
      <c r="F2" s="2573"/>
      <c r="G2" s="2573"/>
    </row>
    <row r="3" spans="1:42" ht="35.25" customHeight="1">
      <c r="A3" s="842" t="s">
        <v>718</v>
      </c>
      <c r="B3" s="2574" t="s">
        <v>1092</v>
      </c>
      <c r="C3" s="2574"/>
      <c r="D3" s="2574"/>
      <c r="E3" s="2574"/>
      <c r="F3" s="2574"/>
      <c r="G3" s="2574"/>
      <c r="H3" s="2574"/>
      <c r="I3" s="2574"/>
      <c r="J3" s="2574"/>
      <c r="K3" s="2574"/>
      <c r="L3" s="2574"/>
      <c r="M3" s="2574"/>
      <c r="N3" s="2575"/>
    </row>
    <row r="4" spans="1:42" ht="15.75" thickBot="1">
      <c r="A4" s="843" t="s">
        <v>1093</v>
      </c>
      <c r="B4" s="844" t="s">
        <v>57</v>
      </c>
      <c r="C4" s="845"/>
      <c r="D4" s="845"/>
      <c r="E4" s="845"/>
      <c r="F4" s="846"/>
      <c r="G4" s="846"/>
      <c r="H4" s="847"/>
      <c r="I4" s="846"/>
      <c r="J4" s="847"/>
      <c r="K4" s="846"/>
      <c r="L4" s="847"/>
      <c r="M4" s="674"/>
      <c r="N4" s="848"/>
    </row>
    <row r="5" spans="1:42">
      <c r="A5" s="2547" t="s">
        <v>31</v>
      </c>
      <c r="B5" s="2550" t="s">
        <v>2</v>
      </c>
      <c r="C5" s="2553" t="s">
        <v>13</v>
      </c>
      <c r="D5" s="2556" t="s">
        <v>23</v>
      </c>
      <c r="E5" s="2556" t="s">
        <v>131</v>
      </c>
      <c r="F5" s="2576" t="s">
        <v>1094</v>
      </c>
      <c r="G5" s="2579" t="s">
        <v>1095</v>
      </c>
      <c r="H5" s="2571"/>
      <c r="I5" s="2571"/>
      <c r="J5" s="2571"/>
      <c r="K5" s="2571"/>
      <c r="L5" s="2571"/>
      <c r="M5" s="2571"/>
      <c r="N5" s="2572"/>
    </row>
    <row r="6" spans="1:42">
      <c r="A6" s="2548"/>
      <c r="B6" s="2551"/>
      <c r="C6" s="2554"/>
      <c r="D6" s="2557"/>
      <c r="E6" s="2557"/>
      <c r="F6" s="2577"/>
      <c r="G6" s="2561" t="s">
        <v>1096</v>
      </c>
      <c r="H6" s="2561"/>
      <c r="I6" s="2561" t="s">
        <v>1097</v>
      </c>
      <c r="J6" s="2561"/>
      <c r="K6" s="2561" t="s">
        <v>409</v>
      </c>
      <c r="L6" s="2561"/>
      <c r="M6" s="2561" t="s">
        <v>1098</v>
      </c>
      <c r="N6" s="2569"/>
    </row>
    <row r="7" spans="1:42" ht="15.75" thickBot="1">
      <c r="A7" s="2549"/>
      <c r="B7" s="2552"/>
      <c r="C7" s="2555"/>
      <c r="D7" s="2558"/>
      <c r="E7" s="2558"/>
      <c r="F7" s="2578"/>
      <c r="G7" s="849" t="s">
        <v>113</v>
      </c>
      <c r="H7" s="850" t="s">
        <v>30</v>
      </c>
      <c r="I7" s="849" t="s">
        <v>113</v>
      </c>
      <c r="J7" s="850" t="s">
        <v>30</v>
      </c>
      <c r="K7" s="849" t="s">
        <v>113</v>
      </c>
      <c r="L7" s="850" t="s">
        <v>30</v>
      </c>
      <c r="M7" s="849" t="s">
        <v>113</v>
      </c>
      <c r="N7" s="851" t="s">
        <v>30</v>
      </c>
    </row>
    <row r="8" spans="1:42">
      <c r="A8" s="852"/>
      <c r="B8" s="853"/>
      <c r="C8" s="854"/>
      <c r="D8" s="854"/>
      <c r="E8" s="854"/>
      <c r="F8" s="855">
        <f>F9+F174+F215</f>
        <v>853658.71</v>
      </c>
      <c r="G8" s="856" t="e">
        <f>G226</f>
        <v>#REF!</v>
      </c>
      <c r="H8" s="857" t="e">
        <f>G8/$G8</f>
        <v>#REF!</v>
      </c>
      <c r="I8" s="858" t="e">
        <f>I226</f>
        <v>#REF!</v>
      </c>
      <c r="J8" s="857" t="e">
        <f>I8/$G8</f>
        <v>#REF!</v>
      </c>
      <c r="K8" s="858">
        <f>K226</f>
        <v>288267.37999999995</v>
      </c>
      <c r="L8" s="857" t="e">
        <f>K8/$G8</f>
        <v>#REF!</v>
      </c>
      <c r="M8" s="858">
        <f>M226</f>
        <v>26276.39</v>
      </c>
      <c r="N8" s="859" t="e">
        <f>M8/$G8</f>
        <v>#REF!</v>
      </c>
      <c r="O8" s="932"/>
    </row>
    <row r="9" spans="1:42">
      <c r="A9" s="860" t="s">
        <v>34</v>
      </c>
      <c r="B9" s="861" t="s">
        <v>911</v>
      </c>
      <c r="C9" s="861"/>
      <c r="D9" s="861"/>
      <c r="E9" s="861"/>
      <c r="F9" s="862">
        <v>728635.23</v>
      </c>
      <c r="G9" s="863"/>
      <c r="H9" s="864"/>
      <c r="I9" s="863"/>
      <c r="J9" s="864"/>
      <c r="K9" s="863"/>
      <c r="L9" s="864"/>
      <c r="M9" s="863"/>
      <c r="N9" s="865"/>
      <c r="O9" s="932"/>
    </row>
    <row r="10" spans="1:42">
      <c r="A10" s="866" t="s">
        <v>43</v>
      </c>
      <c r="B10" s="867" t="s">
        <v>536</v>
      </c>
      <c r="C10" s="867"/>
      <c r="D10" s="867"/>
      <c r="E10" s="867"/>
      <c r="F10" s="868">
        <v>3252.71</v>
      </c>
      <c r="G10" s="863"/>
      <c r="H10" s="864"/>
      <c r="I10" s="863"/>
      <c r="J10" s="864"/>
      <c r="K10" s="863"/>
      <c r="L10" s="864"/>
      <c r="M10" s="863"/>
      <c r="N10" s="865"/>
      <c r="O10" s="932"/>
    </row>
    <row r="11" spans="1:42">
      <c r="A11" s="869" t="s">
        <v>537</v>
      </c>
      <c r="B11" s="870" t="s">
        <v>539</v>
      </c>
      <c r="C11" s="870" t="s">
        <v>52</v>
      </c>
      <c r="D11" s="871">
        <v>1</v>
      </c>
      <c r="E11" s="870"/>
      <c r="F11" s="872">
        <v>990.53</v>
      </c>
      <c r="G11" s="863">
        <f>'FE3-1 '!K317</f>
        <v>0</v>
      </c>
      <c r="H11" s="864">
        <f>G11/F11</f>
        <v>0</v>
      </c>
      <c r="I11" s="863"/>
      <c r="J11" s="864"/>
      <c r="K11" s="863"/>
      <c r="L11" s="864"/>
      <c r="M11" s="863"/>
      <c r="N11" s="873"/>
      <c r="O11" s="932"/>
    </row>
    <row r="12" spans="1:42">
      <c r="A12" s="869" t="s">
        <v>538</v>
      </c>
      <c r="B12" s="870" t="s">
        <v>912</v>
      </c>
      <c r="C12" s="870" t="s">
        <v>53</v>
      </c>
      <c r="D12" s="871">
        <v>4</v>
      </c>
      <c r="E12" s="870"/>
      <c r="F12" s="872">
        <v>1200</v>
      </c>
      <c r="G12" s="863">
        <f>'FE3-1 '!K318</f>
        <v>0</v>
      </c>
      <c r="H12" s="864">
        <f>G12/F12</f>
        <v>0</v>
      </c>
      <c r="I12" s="863">
        <v>300</v>
      </c>
      <c r="J12" s="864">
        <f>I12/F12</f>
        <v>0.25</v>
      </c>
      <c r="K12" s="863">
        <v>300</v>
      </c>
      <c r="L12" s="864">
        <f>K12/F12</f>
        <v>0.25</v>
      </c>
      <c r="M12" s="863">
        <v>300</v>
      </c>
      <c r="N12" s="873">
        <f>M12/F12</f>
        <v>0.25</v>
      </c>
      <c r="O12" s="932"/>
    </row>
    <row r="13" spans="1:42">
      <c r="A13" s="869" t="s">
        <v>540</v>
      </c>
      <c r="B13" s="870" t="s">
        <v>541</v>
      </c>
      <c r="C13" s="870" t="s">
        <v>50</v>
      </c>
      <c r="D13" s="871">
        <v>3.4632000000000005</v>
      </c>
      <c r="E13" s="870"/>
      <c r="F13" s="872">
        <v>138.37</v>
      </c>
      <c r="G13" s="863">
        <f>'FE3-1 '!K319</f>
        <v>0</v>
      </c>
      <c r="H13" s="864">
        <f>G13/F13</f>
        <v>0</v>
      </c>
      <c r="I13" s="863"/>
      <c r="J13" s="864"/>
      <c r="K13" s="863"/>
      <c r="L13" s="864"/>
      <c r="M13" s="863"/>
      <c r="N13" s="873"/>
      <c r="O13" s="932"/>
    </row>
    <row r="14" spans="1:42">
      <c r="A14" s="869" t="s">
        <v>542</v>
      </c>
      <c r="B14" s="870" t="s">
        <v>543</v>
      </c>
      <c r="C14" s="870" t="s">
        <v>52</v>
      </c>
      <c r="D14" s="871">
        <v>1</v>
      </c>
      <c r="E14" s="870"/>
      <c r="F14" s="872">
        <v>923.81</v>
      </c>
      <c r="G14" s="863">
        <f>'FE3-1 '!K320</f>
        <v>0</v>
      </c>
      <c r="H14" s="864">
        <f>G14/F14</f>
        <v>0</v>
      </c>
      <c r="I14" s="863"/>
      <c r="J14" s="864"/>
      <c r="K14" s="863"/>
      <c r="L14" s="864"/>
      <c r="M14" s="863"/>
      <c r="N14" s="873"/>
      <c r="O14" s="932"/>
    </row>
    <row r="15" spans="1:42">
      <c r="A15" s="866" t="s">
        <v>44</v>
      </c>
      <c r="B15" s="867" t="s">
        <v>548</v>
      </c>
      <c r="C15" s="867"/>
      <c r="D15" s="874"/>
      <c r="E15" s="867"/>
      <c r="F15" s="868">
        <v>6304.85</v>
      </c>
      <c r="G15" s="863"/>
      <c r="H15" s="864"/>
      <c r="I15" s="863"/>
      <c r="J15" s="864"/>
      <c r="K15" s="863"/>
      <c r="L15" s="864"/>
      <c r="M15" s="863"/>
      <c r="N15" s="873"/>
      <c r="O15" s="932"/>
    </row>
    <row r="16" spans="1:42">
      <c r="A16" s="869" t="s">
        <v>544</v>
      </c>
      <c r="B16" s="870" t="s">
        <v>550</v>
      </c>
      <c r="C16" s="870" t="s">
        <v>49</v>
      </c>
      <c r="D16" s="871">
        <v>1522.9070000000002</v>
      </c>
      <c r="E16" s="870"/>
      <c r="F16" s="872">
        <v>6304.85</v>
      </c>
      <c r="G16" s="863">
        <f>'FE3-1 '!K322</f>
        <v>0</v>
      </c>
      <c r="H16" s="864">
        <f>G16/F16</f>
        <v>0</v>
      </c>
      <c r="I16" s="863">
        <f>F16-G16</f>
        <v>6304.85</v>
      </c>
      <c r="J16" s="864">
        <f>I16/F16</f>
        <v>1</v>
      </c>
      <c r="K16" s="863"/>
      <c r="L16" s="864"/>
      <c r="M16" s="863"/>
      <c r="N16" s="873"/>
      <c r="O16" s="932"/>
    </row>
    <row r="17" spans="1:15">
      <c r="A17" s="866" t="s">
        <v>547</v>
      </c>
      <c r="B17" s="867" t="s">
        <v>552</v>
      </c>
      <c r="C17" s="867"/>
      <c r="D17" s="874"/>
      <c r="E17" s="867"/>
      <c r="F17" s="868">
        <v>2000</v>
      </c>
      <c r="G17" s="863"/>
      <c r="H17" s="864"/>
      <c r="I17" s="863"/>
      <c r="J17" s="864"/>
      <c r="K17" s="863"/>
      <c r="L17" s="864"/>
      <c r="M17" s="863"/>
      <c r="N17" s="873"/>
      <c r="O17" s="932"/>
    </row>
    <row r="18" spans="1:15">
      <c r="A18" s="869" t="s">
        <v>549</v>
      </c>
      <c r="B18" s="870" t="s">
        <v>554</v>
      </c>
      <c r="C18" s="870" t="s">
        <v>913</v>
      </c>
      <c r="D18" s="871">
        <v>2</v>
      </c>
      <c r="E18" s="870"/>
      <c r="F18" s="872">
        <v>2000</v>
      </c>
      <c r="G18" s="863">
        <f>'FE3-1 '!K324</f>
        <v>0</v>
      </c>
      <c r="H18" s="864">
        <f>G18/F18</f>
        <v>0</v>
      </c>
      <c r="I18" s="863">
        <v>1000</v>
      </c>
      <c r="J18" s="864">
        <f>I18/F18</f>
        <v>0.5</v>
      </c>
      <c r="K18" s="863"/>
      <c r="L18" s="864"/>
      <c r="M18" s="863"/>
      <c r="N18" s="873"/>
      <c r="O18" s="932"/>
    </row>
    <row r="19" spans="1:15">
      <c r="A19" s="866" t="s">
        <v>551</v>
      </c>
      <c r="B19" s="867" t="s">
        <v>915</v>
      </c>
      <c r="C19" s="867"/>
      <c r="D19" s="874"/>
      <c r="E19" s="867"/>
      <c r="F19" s="868">
        <v>12845</v>
      </c>
      <c r="G19" s="863"/>
      <c r="H19" s="864"/>
      <c r="I19" s="863"/>
      <c r="J19" s="864"/>
      <c r="K19" s="863"/>
      <c r="L19" s="864"/>
      <c r="M19" s="863"/>
      <c r="N19" s="873"/>
      <c r="O19" s="932"/>
    </row>
    <row r="20" spans="1:15">
      <c r="A20" s="869" t="s">
        <v>553</v>
      </c>
      <c r="B20" s="870" t="s">
        <v>545</v>
      </c>
      <c r="C20" s="870" t="s">
        <v>52</v>
      </c>
      <c r="D20" s="871">
        <v>1</v>
      </c>
      <c r="E20" s="870"/>
      <c r="F20" s="872">
        <v>690</v>
      </c>
      <c r="G20" s="863">
        <f>'FE3-1 '!K326</f>
        <v>0</v>
      </c>
      <c r="H20" s="864">
        <f>G20/F20</f>
        <v>0</v>
      </c>
      <c r="I20" s="863"/>
      <c r="J20" s="864"/>
      <c r="K20" s="863"/>
      <c r="L20" s="864"/>
      <c r="M20" s="863"/>
      <c r="N20" s="873"/>
      <c r="O20" s="932"/>
    </row>
    <row r="21" spans="1:15">
      <c r="A21" s="869" t="s">
        <v>555</v>
      </c>
      <c r="B21" s="870" t="s">
        <v>546</v>
      </c>
      <c r="C21" s="870" t="s">
        <v>53</v>
      </c>
      <c r="D21" s="871">
        <v>4</v>
      </c>
      <c r="E21" s="870"/>
      <c r="F21" s="872">
        <v>4800</v>
      </c>
      <c r="G21" s="863">
        <f>'FE3-1 '!K327</f>
        <v>0</v>
      </c>
      <c r="H21" s="864">
        <f>G21/F21</f>
        <v>0</v>
      </c>
      <c r="I21" s="863">
        <v>1200</v>
      </c>
      <c r="J21" s="864">
        <f>I21/F21</f>
        <v>0.25</v>
      </c>
      <c r="K21" s="863">
        <v>1200</v>
      </c>
      <c r="L21" s="864">
        <f>K21/F21</f>
        <v>0.25</v>
      </c>
      <c r="M21" s="863">
        <v>1200</v>
      </c>
      <c r="N21" s="873">
        <f>M21/F21</f>
        <v>0.25</v>
      </c>
      <c r="O21" s="932"/>
    </row>
    <row r="22" spans="1:15">
      <c r="A22" s="869" t="s">
        <v>999</v>
      </c>
      <c r="B22" s="870" t="s">
        <v>916</v>
      </c>
      <c r="C22" s="870" t="s">
        <v>52</v>
      </c>
      <c r="D22" s="871">
        <v>1</v>
      </c>
      <c r="E22" s="870"/>
      <c r="F22" s="872">
        <v>7355</v>
      </c>
      <c r="G22" s="863">
        <f>'FE3-1 '!K328</f>
        <v>0</v>
      </c>
      <c r="H22" s="864">
        <f>G22/F22</f>
        <v>0</v>
      </c>
      <c r="I22" s="863"/>
      <c r="J22" s="864"/>
      <c r="K22" s="863"/>
      <c r="L22" s="864"/>
      <c r="M22" s="863"/>
      <c r="N22" s="873"/>
      <c r="O22" s="932"/>
    </row>
    <row r="23" spans="1:15">
      <c r="A23" s="866" t="s">
        <v>556</v>
      </c>
      <c r="B23" s="867" t="s">
        <v>917</v>
      </c>
      <c r="C23" s="867"/>
      <c r="D23" s="874"/>
      <c r="E23" s="867"/>
      <c r="F23" s="868">
        <v>392042.2</v>
      </c>
      <c r="G23" s="863"/>
      <c r="H23" s="864"/>
      <c r="I23" s="863"/>
      <c r="J23" s="864"/>
      <c r="K23" s="863"/>
      <c r="L23" s="864"/>
      <c r="M23" s="863"/>
      <c r="N23" s="873"/>
      <c r="O23" s="932"/>
    </row>
    <row r="24" spans="1:15">
      <c r="A24" s="875" t="s">
        <v>557</v>
      </c>
      <c r="B24" s="876" t="s">
        <v>408</v>
      </c>
      <c r="C24" s="876"/>
      <c r="D24" s="877"/>
      <c r="E24" s="876"/>
      <c r="F24" s="878">
        <v>2223.4499999999998</v>
      </c>
      <c r="G24" s="863"/>
      <c r="H24" s="864"/>
      <c r="I24" s="863"/>
      <c r="J24" s="864"/>
      <c r="K24" s="863"/>
      <c r="L24" s="864"/>
      <c r="M24" s="863"/>
      <c r="N24" s="873"/>
      <c r="O24" s="932"/>
    </row>
    <row r="25" spans="1:15">
      <c r="A25" s="869" t="s">
        <v>558</v>
      </c>
      <c r="B25" s="870" t="s">
        <v>559</v>
      </c>
      <c r="C25" s="870" t="s">
        <v>49</v>
      </c>
      <c r="D25" s="871">
        <v>1522.9070000000002</v>
      </c>
      <c r="E25" s="870"/>
      <c r="F25" s="872">
        <v>2223.4499999999998</v>
      </c>
      <c r="G25" s="863">
        <f>'FE3-1 '!K331</f>
        <v>0</v>
      </c>
      <c r="H25" s="864">
        <f>G25/F25</f>
        <v>0</v>
      </c>
      <c r="I25" s="863"/>
      <c r="J25" s="864"/>
      <c r="K25" s="863"/>
      <c r="L25" s="864"/>
      <c r="M25" s="863"/>
      <c r="N25" s="873"/>
      <c r="O25" s="932"/>
    </row>
    <row r="26" spans="1:15">
      <c r="A26" s="875" t="s">
        <v>560</v>
      </c>
      <c r="B26" s="876" t="s">
        <v>561</v>
      </c>
      <c r="C26" s="876"/>
      <c r="D26" s="877"/>
      <c r="E26" s="876"/>
      <c r="F26" s="878">
        <v>117805.27</v>
      </c>
      <c r="G26" s="863"/>
      <c r="H26" s="864"/>
      <c r="I26" s="863"/>
      <c r="J26" s="864"/>
      <c r="K26" s="863"/>
      <c r="L26" s="864"/>
      <c r="M26" s="863"/>
      <c r="N26" s="873"/>
      <c r="O26" s="932"/>
    </row>
    <row r="27" spans="1:15">
      <c r="A27" s="869" t="s">
        <v>562</v>
      </c>
      <c r="B27" s="870" t="s">
        <v>563</v>
      </c>
      <c r="C27" s="870" t="s">
        <v>50</v>
      </c>
      <c r="D27" s="871">
        <v>1928.1000000000004</v>
      </c>
      <c r="E27" s="870"/>
      <c r="F27" s="872">
        <v>19531.650000000001</v>
      </c>
      <c r="G27" s="863">
        <f>'FE3-1 '!K333</f>
        <v>0</v>
      </c>
      <c r="H27" s="864">
        <f>G27/F27</f>
        <v>0</v>
      </c>
      <c r="I27" s="863"/>
      <c r="J27" s="864"/>
      <c r="K27" s="863"/>
      <c r="L27" s="864"/>
      <c r="M27" s="863"/>
      <c r="N27" s="873"/>
      <c r="O27" s="932"/>
    </row>
    <row r="28" spans="1:15">
      <c r="A28" s="869" t="s">
        <v>564</v>
      </c>
      <c r="B28" s="870" t="s">
        <v>918</v>
      </c>
      <c r="C28" s="870" t="s">
        <v>49</v>
      </c>
      <c r="D28" s="871">
        <v>1522.9070000000002</v>
      </c>
      <c r="E28" s="870"/>
      <c r="F28" s="872">
        <v>2543.2600000000002</v>
      </c>
      <c r="G28" s="863">
        <f>'FE3-1 '!K334</f>
        <v>0</v>
      </c>
      <c r="H28" s="864">
        <f>G28/F28</f>
        <v>0</v>
      </c>
      <c r="I28" s="863"/>
      <c r="J28" s="864"/>
      <c r="K28" s="863"/>
      <c r="L28" s="864"/>
      <c r="M28" s="863"/>
      <c r="N28" s="873"/>
      <c r="O28" s="932"/>
    </row>
    <row r="29" spans="1:15">
      <c r="A29" s="869" t="s">
        <v>1000</v>
      </c>
      <c r="B29" s="870" t="s">
        <v>919</v>
      </c>
      <c r="C29" s="870" t="s">
        <v>50</v>
      </c>
      <c r="D29" s="871">
        <v>2410.1250000000005</v>
      </c>
      <c r="E29" s="870"/>
      <c r="F29" s="872">
        <v>95730.36</v>
      </c>
      <c r="G29" s="863">
        <f>'FE3-1 '!K335</f>
        <v>0</v>
      </c>
      <c r="H29" s="864">
        <f>G29/F29</f>
        <v>0</v>
      </c>
      <c r="I29" s="863"/>
      <c r="J29" s="864"/>
      <c r="K29" s="863"/>
      <c r="L29" s="864"/>
      <c r="M29" s="863"/>
      <c r="N29" s="873"/>
      <c r="O29" s="932"/>
    </row>
    <row r="30" spans="1:15">
      <c r="A30" s="875" t="s">
        <v>565</v>
      </c>
      <c r="B30" s="876" t="s">
        <v>920</v>
      </c>
      <c r="C30" s="876"/>
      <c r="D30" s="877"/>
      <c r="E30" s="876"/>
      <c r="F30" s="878">
        <v>26361.57</v>
      </c>
      <c r="G30" s="863"/>
      <c r="H30" s="864"/>
      <c r="I30" s="863"/>
      <c r="J30" s="864"/>
      <c r="K30" s="863"/>
      <c r="L30" s="864"/>
      <c r="M30" s="863"/>
      <c r="N30" s="873"/>
      <c r="O30" s="932"/>
    </row>
    <row r="31" spans="1:15">
      <c r="A31" s="869" t="s">
        <v>566</v>
      </c>
      <c r="B31" s="870" t="s">
        <v>921</v>
      </c>
      <c r="C31" s="870" t="s">
        <v>49</v>
      </c>
      <c r="D31" s="871">
        <v>1522.9070000000002</v>
      </c>
      <c r="E31" s="870"/>
      <c r="F31" s="872">
        <v>26361.57</v>
      </c>
      <c r="G31" s="863"/>
      <c r="H31" s="864">
        <f>G31/F31</f>
        <v>0</v>
      </c>
      <c r="I31" s="863">
        <f>F31-G31</f>
        <v>26361.57</v>
      </c>
      <c r="J31" s="864">
        <f>I31/F31</f>
        <v>1</v>
      </c>
      <c r="K31" s="863"/>
      <c r="L31" s="864"/>
      <c r="M31" s="863"/>
      <c r="N31" s="873"/>
      <c r="O31" s="932"/>
    </row>
    <row r="32" spans="1:15">
      <c r="A32" s="875" t="s">
        <v>567</v>
      </c>
      <c r="B32" s="876" t="s">
        <v>922</v>
      </c>
      <c r="C32" s="876"/>
      <c r="D32" s="877"/>
      <c r="E32" s="876"/>
      <c r="F32" s="878">
        <v>36549.839999999997</v>
      </c>
      <c r="G32" s="863"/>
      <c r="H32" s="864"/>
      <c r="I32" s="863"/>
      <c r="J32" s="864"/>
      <c r="K32" s="863"/>
      <c r="L32" s="864"/>
      <c r="M32" s="863"/>
      <c r="N32" s="873"/>
      <c r="O32" s="932"/>
    </row>
    <row r="33" spans="1:15">
      <c r="A33" s="869" t="s">
        <v>569</v>
      </c>
      <c r="B33" s="870" t="s">
        <v>923</v>
      </c>
      <c r="C33" s="870" t="s">
        <v>49</v>
      </c>
      <c r="D33" s="871">
        <v>1522.9070000000002</v>
      </c>
      <c r="E33" s="870"/>
      <c r="F33" s="872">
        <v>36549.839999999997</v>
      </c>
      <c r="G33" s="863"/>
      <c r="H33" s="864"/>
      <c r="I33" s="863">
        <f>F33</f>
        <v>36549.839999999997</v>
      </c>
      <c r="J33" s="864">
        <f>I33/F33</f>
        <v>1</v>
      </c>
      <c r="K33" s="863"/>
      <c r="L33" s="864"/>
      <c r="M33" s="863"/>
      <c r="N33" s="873"/>
      <c r="O33" s="932"/>
    </row>
    <row r="34" spans="1:15">
      <c r="A34" s="875" t="s">
        <v>1001</v>
      </c>
      <c r="B34" s="876" t="s">
        <v>568</v>
      </c>
      <c r="C34" s="876"/>
      <c r="D34" s="877"/>
      <c r="E34" s="876"/>
      <c r="F34" s="878">
        <v>209102.07</v>
      </c>
      <c r="G34" s="863"/>
      <c r="H34" s="864"/>
      <c r="I34" s="863"/>
      <c r="J34" s="864"/>
      <c r="K34" s="863"/>
      <c r="L34" s="864"/>
      <c r="M34" s="863"/>
      <c r="N34" s="873"/>
      <c r="O34" s="932"/>
    </row>
    <row r="35" spans="1:15">
      <c r="A35" s="869" t="s">
        <v>1002</v>
      </c>
      <c r="B35" s="870" t="s">
        <v>570</v>
      </c>
      <c r="C35" s="870" t="s">
        <v>49</v>
      </c>
      <c r="D35" s="871">
        <v>271.20799999999997</v>
      </c>
      <c r="E35" s="870"/>
      <c r="F35" s="872">
        <v>9058.41</v>
      </c>
      <c r="G35" s="863"/>
      <c r="H35" s="864"/>
      <c r="I35" s="863">
        <v>9058.41</v>
      </c>
      <c r="J35" s="864">
        <f t="shared" ref="J35:J40" si="0">I35/F35</f>
        <v>1</v>
      </c>
      <c r="K35" s="863"/>
      <c r="L35" s="864"/>
      <c r="M35" s="863"/>
      <c r="N35" s="873"/>
      <c r="O35" s="932"/>
    </row>
    <row r="36" spans="1:15">
      <c r="A36" s="869" t="s">
        <v>1003</v>
      </c>
      <c r="B36" s="870" t="s">
        <v>924</v>
      </c>
      <c r="C36" s="870" t="s">
        <v>50</v>
      </c>
      <c r="D36" s="871">
        <v>304.58140000000003</v>
      </c>
      <c r="E36" s="870"/>
      <c r="F36" s="872">
        <v>149993.47</v>
      </c>
      <c r="G36" s="863"/>
      <c r="H36" s="864"/>
      <c r="I36" s="863">
        <v>109086.16</v>
      </c>
      <c r="J36" s="864">
        <f t="shared" si="0"/>
        <v>0.72727272727272729</v>
      </c>
      <c r="K36" s="863">
        <v>40907.31</v>
      </c>
      <c r="L36" s="864">
        <f>K36/F36</f>
        <v>0.27272727272727271</v>
      </c>
      <c r="M36" s="863"/>
      <c r="N36" s="873"/>
      <c r="O36" s="932"/>
    </row>
    <row r="37" spans="1:15">
      <c r="A37" s="869" t="s">
        <v>1004</v>
      </c>
      <c r="B37" s="870" t="s">
        <v>925</v>
      </c>
      <c r="C37" s="870" t="s">
        <v>420</v>
      </c>
      <c r="D37" s="871">
        <v>1355.2</v>
      </c>
      <c r="E37" s="870"/>
      <c r="F37" s="872">
        <v>8307.3799999999992</v>
      </c>
      <c r="G37" s="863"/>
      <c r="H37" s="864"/>
      <c r="I37" s="863">
        <v>6329.43</v>
      </c>
      <c r="J37" s="864">
        <f t="shared" si="0"/>
        <v>0.76190447529786776</v>
      </c>
      <c r="K37" s="863">
        <v>1977.95</v>
      </c>
      <c r="L37" s="864">
        <f t="shared" ref="L37:L42" si="1">K37/F37</f>
        <v>0.23809552470213236</v>
      </c>
      <c r="M37" s="863"/>
      <c r="N37" s="873"/>
      <c r="O37" s="932"/>
    </row>
    <row r="38" spans="1:15">
      <c r="A38" s="869" t="s">
        <v>1005</v>
      </c>
      <c r="B38" s="870" t="s">
        <v>926</v>
      </c>
      <c r="C38" s="870" t="s">
        <v>420</v>
      </c>
      <c r="D38" s="871">
        <v>1780.4099999999999</v>
      </c>
      <c r="E38" s="870"/>
      <c r="F38" s="872">
        <v>10913.91</v>
      </c>
      <c r="G38" s="863"/>
      <c r="H38" s="864"/>
      <c r="I38" s="863">
        <v>8315.36</v>
      </c>
      <c r="J38" s="864">
        <f t="shared" si="0"/>
        <v>0.76190476190476197</v>
      </c>
      <c r="K38" s="863">
        <v>2598.5500000000002</v>
      </c>
      <c r="L38" s="864">
        <f t="shared" si="1"/>
        <v>0.23809523809523811</v>
      </c>
      <c r="M38" s="863"/>
      <c r="N38" s="873"/>
      <c r="O38" s="932"/>
    </row>
    <row r="39" spans="1:15">
      <c r="A39" s="869" t="s">
        <v>1006</v>
      </c>
      <c r="B39" s="870" t="s">
        <v>927</v>
      </c>
      <c r="C39" s="870" t="s">
        <v>51</v>
      </c>
      <c r="D39" s="871">
        <v>1487.8933333333334</v>
      </c>
      <c r="E39" s="870"/>
      <c r="F39" s="872">
        <v>13703.47</v>
      </c>
      <c r="G39" s="863"/>
      <c r="H39" s="864"/>
      <c r="I39" s="863">
        <v>10440.74</v>
      </c>
      <c r="J39" s="864">
        <f t="shared" si="0"/>
        <v>0.76190483140401666</v>
      </c>
      <c r="K39" s="863">
        <v>3262.73</v>
      </c>
      <c r="L39" s="864">
        <f t="shared" si="1"/>
        <v>0.23809516859598337</v>
      </c>
      <c r="M39" s="863"/>
      <c r="N39" s="873"/>
      <c r="O39" s="932"/>
    </row>
    <row r="40" spans="1:15">
      <c r="A40" s="869" t="s">
        <v>1007</v>
      </c>
      <c r="B40" s="870" t="s">
        <v>571</v>
      </c>
      <c r="C40" s="870" t="s">
        <v>49</v>
      </c>
      <c r="D40" s="871">
        <v>1522.9070000000002</v>
      </c>
      <c r="E40" s="870"/>
      <c r="F40" s="872">
        <v>5208.3500000000004</v>
      </c>
      <c r="G40" s="863"/>
      <c r="H40" s="864"/>
      <c r="I40" s="863">
        <v>3787.89</v>
      </c>
      <c r="J40" s="864">
        <f t="shared" si="0"/>
        <v>0.7272725527278312</v>
      </c>
      <c r="K40" s="863">
        <v>1420.46</v>
      </c>
      <c r="L40" s="864">
        <f t="shared" si="1"/>
        <v>0.27272744727216874</v>
      </c>
      <c r="M40" s="863"/>
      <c r="N40" s="873"/>
      <c r="O40" s="932"/>
    </row>
    <row r="41" spans="1:15">
      <c r="A41" s="869" t="s">
        <v>1008</v>
      </c>
      <c r="B41" s="870" t="s">
        <v>573</v>
      </c>
      <c r="C41" s="870" t="s">
        <v>49</v>
      </c>
      <c r="D41" s="871">
        <v>1522.9070000000002</v>
      </c>
      <c r="E41" s="870"/>
      <c r="F41" s="872">
        <v>3685.44</v>
      </c>
      <c r="G41" s="863"/>
      <c r="H41" s="864"/>
      <c r="I41" s="863">
        <v>1906.26</v>
      </c>
      <c r="J41" s="864"/>
      <c r="K41" s="863">
        <v>1779.18</v>
      </c>
      <c r="L41" s="864">
        <f t="shared" si="1"/>
        <v>0.4827591820786663</v>
      </c>
      <c r="M41" s="863"/>
      <c r="N41" s="873"/>
      <c r="O41" s="932"/>
    </row>
    <row r="42" spans="1:15">
      <c r="A42" s="869" t="s">
        <v>1009</v>
      </c>
      <c r="B42" s="870" t="s">
        <v>572</v>
      </c>
      <c r="C42" s="870" t="s">
        <v>51</v>
      </c>
      <c r="D42" s="871">
        <v>1345.04</v>
      </c>
      <c r="E42" s="870"/>
      <c r="F42" s="872">
        <v>8231.64</v>
      </c>
      <c r="G42" s="863"/>
      <c r="H42" s="864"/>
      <c r="I42" s="863"/>
      <c r="J42" s="864"/>
      <c r="K42" s="863">
        <v>8231.64</v>
      </c>
      <c r="L42" s="864">
        <f t="shared" si="1"/>
        <v>1</v>
      </c>
      <c r="M42" s="863"/>
      <c r="N42" s="873"/>
      <c r="O42" s="932"/>
    </row>
    <row r="43" spans="1:15">
      <c r="A43" s="866" t="s">
        <v>574</v>
      </c>
      <c r="B43" s="867" t="s">
        <v>928</v>
      </c>
      <c r="C43" s="867"/>
      <c r="D43" s="874"/>
      <c r="E43" s="867"/>
      <c r="F43" s="868">
        <v>37220.44</v>
      </c>
      <c r="G43" s="863"/>
      <c r="H43" s="864"/>
      <c r="I43" s="863"/>
      <c r="J43" s="864"/>
      <c r="K43" s="863"/>
      <c r="L43" s="864"/>
      <c r="M43" s="863"/>
      <c r="N43" s="873"/>
      <c r="O43" s="932"/>
    </row>
    <row r="44" spans="1:15">
      <c r="A44" s="875" t="s">
        <v>575</v>
      </c>
      <c r="B44" s="876" t="s">
        <v>408</v>
      </c>
      <c r="C44" s="876"/>
      <c r="D44" s="877"/>
      <c r="E44" s="876"/>
      <c r="F44" s="878">
        <v>270.38</v>
      </c>
      <c r="G44" s="863"/>
      <c r="H44" s="864"/>
      <c r="I44" s="863"/>
      <c r="J44" s="864"/>
      <c r="K44" s="863"/>
      <c r="L44" s="864"/>
      <c r="M44" s="863"/>
      <c r="N44" s="873"/>
      <c r="O44" s="932"/>
    </row>
    <row r="45" spans="1:15">
      <c r="A45" s="869" t="s">
        <v>576</v>
      </c>
      <c r="B45" s="870" t="s">
        <v>559</v>
      </c>
      <c r="C45" s="870" t="s">
        <v>49</v>
      </c>
      <c r="D45" s="871">
        <v>185.18899999999996</v>
      </c>
      <c r="E45" s="870"/>
      <c r="F45" s="872">
        <v>270.38</v>
      </c>
      <c r="G45" s="863">
        <f>'FE3-1 '!K351</f>
        <v>0</v>
      </c>
      <c r="H45" s="864">
        <f>G45/F45</f>
        <v>0</v>
      </c>
      <c r="I45" s="863"/>
      <c r="J45" s="864"/>
      <c r="K45" s="863"/>
      <c r="L45" s="864"/>
      <c r="M45" s="863"/>
      <c r="N45" s="873"/>
      <c r="O45" s="932"/>
    </row>
    <row r="46" spans="1:15">
      <c r="A46" s="875" t="s">
        <v>578</v>
      </c>
      <c r="B46" s="876" t="s">
        <v>561</v>
      </c>
      <c r="C46" s="876"/>
      <c r="D46" s="877"/>
      <c r="E46" s="876"/>
      <c r="F46" s="878">
        <v>4737.37</v>
      </c>
      <c r="G46" s="863"/>
      <c r="H46" s="864"/>
      <c r="I46" s="863"/>
      <c r="J46" s="864"/>
      <c r="K46" s="863"/>
      <c r="L46" s="864"/>
      <c r="M46" s="863"/>
      <c r="N46" s="873"/>
      <c r="O46" s="932"/>
    </row>
    <row r="47" spans="1:15">
      <c r="A47" s="869" t="s">
        <v>579</v>
      </c>
      <c r="B47" s="870" t="s">
        <v>563</v>
      </c>
      <c r="C47" s="870" t="s">
        <v>50</v>
      </c>
      <c r="D47" s="871">
        <v>74.075600000000009</v>
      </c>
      <c r="E47" s="870"/>
      <c r="F47" s="872">
        <v>750.43</v>
      </c>
      <c r="G47" s="863">
        <f>'FE3-1 '!K353</f>
        <v>0</v>
      </c>
      <c r="H47" s="864">
        <f>G47/F47</f>
        <v>0</v>
      </c>
      <c r="I47" s="863"/>
      <c r="J47" s="864"/>
      <c r="K47" s="863"/>
      <c r="L47" s="864"/>
      <c r="M47" s="863"/>
      <c r="N47" s="873"/>
      <c r="O47" s="932"/>
    </row>
    <row r="48" spans="1:15">
      <c r="A48" s="869" t="s">
        <v>580</v>
      </c>
      <c r="B48" s="870" t="s">
        <v>918</v>
      </c>
      <c r="C48" s="870" t="s">
        <v>49</v>
      </c>
      <c r="D48" s="871">
        <v>185.18899999999996</v>
      </c>
      <c r="E48" s="870"/>
      <c r="F48" s="872">
        <v>309.27</v>
      </c>
      <c r="G48" s="863">
        <f>'FE3-1 '!K354</f>
        <v>0</v>
      </c>
      <c r="H48" s="864">
        <f>G48/F48</f>
        <v>0</v>
      </c>
      <c r="I48" s="863"/>
      <c r="J48" s="864"/>
      <c r="K48" s="863"/>
      <c r="L48" s="864"/>
      <c r="M48" s="863"/>
      <c r="N48" s="873"/>
      <c r="O48" s="932"/>
    </row>
    <row r="49" spans="1:17">
      <c r="A49" s="869" t="s">
        <v>581</v>
      </c>
      <c r="B49" s="870" t="s">
        <v>919</v>
      </c>
      <c r="C49" s="870" t="s">
        <v>50</v>
      </c>
      <c r="D49" s="871">
        <v>92.594500000000011</v>
      </c>
      <c r="E49" s="870"/>
      <c r="F49" s="872">
        <v>3677.67</v>
      </c>
      <c r="G49" s="863">
        <f>'FE3-1 '!K355</f>
        <v>0</v>
      </c>
      <c r="H49" s="864">
        <f>G49/F49</f>
        <v>0</v>
      </c>
      <c r="I49" s="863"/>
      <c r="J49" s="864"/>
      <c r="K49" s="863"/>
      <c r="L49" s="864"/>
      <c r="M49" s="863"/>
      <c r="N49" s="873"/>
      <c r="O49" s="932"/>
    </row>
    <row r="50" spans="1:17">
      <c r="A50" s="875" t="s">
        <v>1010</v>
      </c>
      <c r="B50" s="876" t="s">
        <v>920</v>
      </c>
      <c r="C50" s="876"/>
      <c r="D50" s="877"/>
      <c r="E50" s="876"/>
      <c r="F50" s="878">
        <v>3205.64</v>
      </c>
      <c r="G50" s="863"/>
      <c r="H50" s="864"/>
      <c r="I50" s="863"/>
      <c r="J50" s="864"/>
      <c r="K50" s="863"/>
      <c r="L50" s="864"/>
      <c r="M50" s="863"/>
      <c r="N50" s="873"/>
      <c r="O50" s="932"/>
    </row>
    <row r="51" spans="1:17">
      <c r="A51" s="869" t="s">
        <v>1011</v>
      </c>
      <c r="B51" s="870" t="s">
        <v>921</v>
      </c>
      <c r="C51" s="870" t="s">
        <v>49</v>
      </c>
      <c r="D51" s="871">
        <v>185.18899999999996</v>
      </c>
      <c r="E51" s="870"/>
      <c r="F51" s="872">
        <v>3205.64</v>
      </c>
      <c r="G51" s="863"/>
      <c r="H51" s="864"/>
      <c r="I51" s="863">
        <v>3205.64</v>
      </c>
      <c r="J51" s="864">
        <f t="shared" ref="J51" si="2">I51/F51</f>
        <v>1</v>
      </c>
      <c r="K51" s="863"/>
      <c r="L51" s="864"/>
      <c r="M51" s="863"/>
      <c r="N51" s="873"/>
      <c r="O51" s="932"/>
    </row>
    <row r="52" spans="1:17">
      <c r="A52" s="875" t="s">
        <v>1012</v>
      </c>
      <c r="B52" s="876" t="s">
        <v>922</v>
      </c>
      <c r="C52" s="876"/>
      <c r="D52" s="877"/>
      <c r="E52" s="876"/>
      <c r="F52" s="878">
        <v>4444.5600000000004</v>
      </c>
      <c r="G52" s="863"/>
      <c r="H52" s="864"/>
      <c r="I52" s="863"/>
      <c r="J52" s="864"/>
      <c r="K52" s="863"/>
      <c r="L52" s="864"/>
      <c r="M52" s="863"/>
      <c r="N52" s="873"/>
      <c r="O52" s="932"/>
    </row>
    <row r="53" spans="1:17">
      <c r="A53" s="869" t="s">
        <v>1013</v>
      </c>
      <c r="B53" s="870" t="s">
        <v>923</v>
      </c>
      <c r="C53" s="870" t="s">
        <v>49</v>
      </c>
      <c r="D53" s="871">
        <v>185.18899999999996</v>
      </c>
      <c r="E53" s="870"/>
      <c r="F53" s="872">
        <v>4444.5600000000004</v>
      </c>
      <c r="G53" s="863"/>
      <c r="H53" s="864"/>
      <c r="I53" s="863">
        <v>4444.5600000000004</v>
      </c>
      <c r="J53" s="864">
        <f>I53/F53</f>
        <v>1</v>
      </c>
      <c r="K53" s="863"/>
      <c r="L53" s="864"/>
      <c r="M53" s="863"/>
      <c r="N53" s="873"/>
      <c r="O53" s="932"/>
    </row>
    <row r="54" spans="1:17">
      <c r="A54" s="875" t="s">
        <v>1014</v>
      </c>
      <c r="B54" s="876" t="s">
        <v>929</v>
      </c>
      <c r="C54" s="876"/>
      <c r="D54" s="877"/>
      <c r="E54" s="876"/>
      <c r="F54" s="878">
        <v>24562.49</v>
      </c>
      <c r="G54" s="863"/>
      <c r="H54" s="864"/>
      <c r="I54" s="863"/>
      <c r="J54" s="864"/>
      <c r="K54" s="863"/>
      <c r="L54" s="864"/>
      <c r="M54" s="863"/>
      <c r="N54" s="873"/>
      <c r="O54" s="932"/>
    </row>
    <row r="55" spans="1:17">
      <c r="A55" s="869" t="s">
        <v>1015</v>
      </c>
      <c r="B55" s="870" t="s">
        <v>930</v>
      </c>
      <c r="C55" s="870" t="s">
        <v>49</v>
      </c>
      <c r="D55" s="871">
        <v>116.60940000000001</v>
      </c>
      <c r="E55" s="870"/>
      <c r="F55" s="872">
        <v>4757.6899999999996</v>
      </c>
      <c r="G55" s="863"/>
      <c r="H55" s="864"/>
      <c r="I55" s="863">
        <v>4757.6899999999996</v>
      </c>
      <c r="J55" s="864">
        <f>I55/F55</f>
        <v>1</v>
      </c>
      <c r="K55" s="863"/>
      <c r="L55" s="864"/>
      <c r="M55" s="863"/>
      <c r="N55" s="873"/>
      <c r="O55" s="932"/>
    </row>
    <row r="56" spans="1:17">
      <c r="A56" s="869" t="s">
        <v>1016</v>
      </c>
      <c r="B56" s="870" t="s">
        <v>931</v>
      </c>
      <c r="C56" s="870" t="s">
        <v>50</v>
      </c>
      <c r="D56" s="871">
        <v>37.037800000000004</v>
      </c>
      <c r="E56" s="870"/>
      <c r="F56" s="872">
        <v>17193.23</v>
      </c>
      <c r="G56" s="863"/>
      <c r="H56" s="864"/>
      <c r="I56" s="863">
        <v>17193.23</v>
      </c>
      <c r="J56" s="864">
        <f>I56/F56</f>
        <v>1</v>
      </c>
      <c r="K56" s="863"/>
      <c r="L56" s="864"/>
      <c r="M56" s="863"/>
      <c r="N56" s="873"/>
      <c r="O56" s="932"/>
    </row>
    <row r="57" spans="1:17">
      <c r="A57" s="869" t="s">
        <v>1017</v>
      </c>
      <c r="B57" s="870" t="s">
        <v>932</v>
      </c>
      <c r="C57" s="870" t="s">
        <v>49</v>
      </c>
      <c r="D57" s="871">
        <v>185.18899999999996</v>
      </c>
      <c r="E57" s="870"/>
      <c r="F57" s="872">
        <v>633.35</v>
      </c>
      <c r="G57" s="863"/>
      <c r="H57" s="864"/>
      <c r="I57" s="863">
        <v>158.34</v>
      </c>
      <c r="J57" s="864">
        <f>I57/F57</f>
        <v>0.25000394726454567</v>
      </c>
      <c r="K57" s="863">
        <v>475.01</v>
      </c>
      <c r="L57" s="864"/>
      <c r="M57" s="863"/>
      <c r="N57" s="873"/>
      <c r="O57" s="932"/>
      <c r="P57">
        <v>983692500</v>
      </c>
      <c r="Q57" t="s">
        <v>1111</v>
      </c>
    </row>
    <row r="58" spans="1:17">
      <c r="A58" s="869" t="s">
        <v>1018</v>
      </c>
      <c r="B58" s="870" t="s">
        <v>573</v>
      </c>
      <c r="C58" s="870" t="s">
        <v>49</v>
      </c>
      <c r="D58" s="871">
        <v>185.18899999999996</v>
      </c>
      <c r="E58" s="870"/>
      <c r="F58" s="872">
        <v>448.16</v>
      </c>
      <c r="G58" s="863"/>
      <c r="H58" s="864"/>
      <c r="I58" s="863"/>
      <c r="J58" s="864"/>
      <c r="K58" s="863">
        <v>448.16</v>
      </c>
      <c r="L58" s="864"/>
      <c r="M58" s="863"/>
      <c r="N58" s="873"/>
      <c r="O58" s="932"/>
    </row>
    <row r="59" spans="1:17">
      <c r="A59" s="869" t="s">
        <v>1019</v>
      </c>
      <c r="B59" s="870" t="s">
        <v>572</v>
      </c>
      <c r="C59" s="870" t="s">
        <v>51</v>
      </c>
      <c r="D59" s="871">
        <v>250.00515000000004</v>
      </c>
      <c r="E59" s="870"/>
      <c r="F59" s="872">
        <v>1530.06</v>
      </c>
      <c r="G59" s="863"/>
      <c r="H59" s="864"/>
      <c r="I59" s="863"/>
      <c r="J59" s="864"/>
      <c r="K59" s="863">
        <v>1530.06</v>
      </c>
      <c r="L59" s="864"/>
      <c r="M59" s="863"/>
      <c r="N59" s="873"/>
      <c r="O59" s="932"/>
    </row>
    <row r="60" spans="1:17">
      <c r="A60" s="866" t="s">
        <v>582</v>
      </c>
      <c r="B60" s="867" t="s">
        <v>595</v>
      </c>
      <c r="C60" s="867"/>
      <c r="D60" s="874"/>
      <c r="E60" s="867"/>
      <c r="F60" s="868">
        <v>6921.11</v>
      </c>
      <c r="G60" s="863"/>
      <c r="H60" s="864"/>
      <c r="I60" s="863"/>
      <c r="J60" s="864"/>
      <c r="K60" s="863"/>
      <c r="L60" s="864"/>
      <c r="M60" s="863"/>
      <c r="N60" s="873"/>
      <c r="O60" s="932"/>
    </row>
    <row r="61" spans="1:17">
      <c r="A61" s="875" t="s">
        <v>583</v>
      </c>
      <c r="B61" s="876" t="s">
        <v>561</v>
      </c>
      <c r="C61" s="876"/>
      <c r="D61" s="877"/>
      <c r="E61" s="876"/>
      <c r="F61" s="878">
        <v>3011.81</v>
      </c>
      <c r="G61" s="863"/>
      <c r="H61" s="864"/>
      <c r="I61" s="863"/>
      <c r="J61" s="864"/>
      <c r="K61" s="863"/>
      <c r="L61" s="864"/>
      <c r="M61" s="863"/>
      <c r="N61" s="873"/>
      <c r="O61" s="932"/>
    </row>
    <row r="62" spans="1:17">
      <c r="A62" s="869" t="s">
        <v>584</v>
      </c>
      <c r="B62" s="870" t="s">
        <v>933</v>
      </c>
      <c r="C62" s="870" t="s">
        <v>50</v>
      </c>
      <c r="D62" s="871">
        <v>28.799999999999997</v>
      </c>
      <c r="E62" s="870"/>
      <c r="F62" s="872">
        <v>1111.97</v>
      </c>
      <c r="G62" s="863">
        <f>'FE3-1 '!K368</f>
        <v>0</v>
      </c>
      <c r="H62" s="864">
        <f>G62/F62</f>
        <v>0</v>
      </c>
      <c r="I62" s="863"/>
      <c r="J62" s="864"/>
      <c r="K62" s="863"/>
      <c r="L62" s="864"/>
      <c r="M62" s="863"/>
      <c r="N62" s="873"/>
      <c r="O62" s="932"/>
    </row>
    <row r="63" spans="1:17">
      <c r="A63" s="869" t="s">
        <v>586</v>
      </c>
      <c r="B63" s="870" t="s">
        <v>587</v>
      </c>
      <c r="C63" s="870" t="s">
        <v>49</v>
      </c>
      <c r="D63" s="871">
        <v>24</v>
      </c>
      <c r="E63" s="870"/>
      <c r="F63" s="872">
        <v>129.84</v>
      </c>
      <c r="G63" s="863">
        <f>'FE3-1 '!K369</f>
        <v>0</v>
      </c>
      <c r="H63" s="864">
        <f>G63/F63</f>
        <v>0</v>
      </c>
      <c r="I63" s="863"/>
      <c r="J63" s="864"/>
      <c r="K63" s="863"/>
      <c r="L63" s="864"/>
      <c r="M63" s="863"/>
      <c r="N63" s="873"/>
      <c r="O63" s="932"/>
    </row>
    <row r="64" spans="1:17">
      <c r="A64" s="869" t="s">
        <v>588</v>
      </c>
      <c r="B64" s="870" t="s">
        <v>589</v>
      </c>
      <c r="C64" s="870" t="s">
        <v>50</v>
      </c>
      <c r="D64" s="871">
        <v>2.4000000000000004</v>
      </c>
      <c r="E64" s="870"/>
      <c r="F64" s="872">
        <v>102.84</v>
      </c>
      <c r="G64" s="863">
        <f>'FE3-1 '!K370</f>
        <v>0</v>
      </c>
      <c r="H64" s="864">
        <f>G64/F64</f>
        <v>0</v>
      </c>
      <c r="I64" s="863"/>
      <c r="J64" s="864"/>
      <c r="K64" s="863"/>
      <c r="L64" s="864"/>
      <c r="M64" s="863"/>
      <c r="N64" s="873"/>
      <c r="O64" s="932"/>
    </row>
    <row r="65" spans="1:15">
      <c r="A65" s="869" t="s">
        <v>590</v>
      </c>
      <c r="B65" s="870" t="s">
        <v>591</v>
      </c>
      <c r="C65" s="870" t="s">
        <v>50</v>
      </c>
      <c r="D65" s="871">
        <v>12.000000000000002</v>
      </c>
      <c r="E65" s="870"/>
      <c r="F65" s="872">
        <v>952.2</v>
      </c>
      <c r="G65" s="863">
        <f>'FE3-1 '!K371</f>
        <v>0</v>
      </c>
      <c r="H65" s="864">
        <f>G65/F65</f>
        <v>0</v>
      </c>
      <c r="I65" s="863"/>
      <c r="J65" s="864"/>
      <c r="K65" s="863"/>
      <c r="L65" s="864"/>
      <c r="M65" s="863"/>
      <c r="N65" s="873"/>
      <c r="O65" s="932"/>
    </row>
    <row r="66" spans="1:15">
      <c r="A66" s="869" t="s">
        <v>1020</v>
      </c>
      <c r="B66" s="870" t="s">
        <v>919</v>
      </c>
      <c r="C66" s="870" t="s">
        <v>50</v>
      </c>
      <c r="D66" s="871">
        <v>17.999999999999993</v>
      </c>
      <c r="E66" s="870"/>
      <c r="F66" s="872">
        <v>714.96</v>
      </c>
      <c r="G66" s="863">
        <f>'FE3-1 '!K372</f>
        <v>0</v>
      </c>
      <c r="H66" s="864">
        <f>G66/F66</f>
        <v>0</v>
      </c>
      <c r="I66" s="863"/>
      <c r="J66" s="864"/>
      <c r="K66" s="863"/>
      <c r="L66" s="864"/>
      <c r="M66" s="863"/>
      <c r="N66" s="873"/>
      <c r="O66" s="932"/>
    </row>
    <row r="67" spans="1:15">
      <c r="A67" s="875" t="s">
        <v>592</v>
      </c>
      <c r="B67" s="876" t="s">
        <v>934</v>
      </c>
      <c r="C67" s="876"/>
      <c r="D67" s="877"/>
      <c r="E67" s="876"/>
      <c r="F67" s="878">
        <v>3909.3</v>
      </c>
      <c r="G67" s="863"/>
      <c r="H67" s="864"/>
      <c r="I67" s="863"/>
      <c r="J67" s="864"/>
      <c r="K67" s="863"/>
      <c r="L67" s="864"/>
      <c r="M67" s="863"/>
      <c r="N67" s="873"/>
      <c r="O67" s="932"/>
    </row>
    <row r="68" spans="1:15">
      <c r="A68" s="869" t="s">
        <v>593</v>
      </c>
      <c r="B68" s="870" t="s">
        <v>603</v>
      </c>
      <c r="C68" s="870" t="s">
        <v>51</v>
      </c>
      <c r="D68" s="871">
        <v>60</v>
      </c>
      <c r="E68" s="870"/>
      <c r="F68" s="872">
        <v>1986.6</v>
      </c>
      <c r="G68" s="863"/>
      <c r="H68" s="864"/>
      <c r="I68" s="863">
        <v>1986.6</v>
      </c>
      <c r="J68" s="864"/>
      <c r="K68" s="863"/>
      <c r="L68" s="864"/>
      <c r="M68" s="863"/>
      <c r="N68" s="873"/>
      <c r="O68" s="932"/>
    </row>
    <row r="69" spans="1:15">
      <c r="A69" s="869" t="s">
        <v>1021</v>
      </c>
      <c r="B69" s="870" t="s">
        <v>605</v>
      </c>
      <c r="C69" s="870" t="s">
        <v>52</v>
      </c>
      <c r="D69" s="871">
        <v>10</v>
      </c>
      <c r="E69" s="870"/>
      <c r="F69" s="872">
        <v>1922.7</v>
      </c>
      <c r="G69" s="863"/>
      <c r="H69" s="864"/>
      <c r="I69" s="863">
        <v>1922.7</v>
      </c>
      <c r="J69" s="864">
        <f>I69/F69</f>
        <v>1</v>
      </c>
      <c r="K69" s="863"/>
      <c r="L69" s="864"/>
      <c r="M69" s="863"/>
      <c r="N69" s="873"/>
      <c r="O69" s="932"/>
    </row>
    <row r="70" spans="1:15">
      <c r="A70" s="866" t="s">
        <v>594</v>
      </c>
      <c r="B70" s="867" t="s">
        <v>935</v>
      </c>
      <c r="C70" s="867"/>
      <c r="D70" s="874"/>
      <c r="E70" s="867"/>
      <c r="F70" s="868">
        <v>3677.9</v>
      </c>
      <c r="G70" s="863"/>
      <c r="H70" s="864"/>
      <c r="I70" s="863"/>
      <c r="J70" s="864"/>
      <c r="K70" s="863"/>
      <c r="L70" s="864"/>
      <c r="M70" s="863"/>
      <c r="N70" s="873"/>
      <c r="O70" s="932"/>
    </row>
    <row r="71" spans="1:15">
      <c r="A71" s="875" t="s">
        <v>596</v>
      </c>
      <c r="B71" s="876" t="s">
        <v>561</v>
      </c>
      <c r="C71" s="876"/>
      <c r="D71" s="877"/>
      <c r="E71" s="876"/>
      <c r="F71" s="878">
        <v>2038</v>
      </c>
      <c r="G71" s="863"/>
      <c r="H71" s="864"/>
      <c r="I71" s="863"/>
      <c r="J71" s="864"/>
      <c r="K71" s="863"/>
      <c r="L71" s="864"/>
      <c r="M71" s="863"/>
      <c r="N71" s="873"/>
      <c r="O71" s="932"/>
    </row>
    <row r="72" spans="1:15">
      <c r="A72" s="869" t="s">
        <v>597</v>
      </c>
      <c r="B72" s="870" t="s">
        <v>933</v>
      </c>
      <c r="C72" s="870" t="s">
        <v>50</v>
      </c>
      <c r="D72" s="871">
        <v>20</v>
      </c>
      <c r="E72" s="870"/>
      <c r="F72" s="872">
        <v>772.2</v>
      </c>
      <c r="G72" s="863">
        <f>'FE3-1 '!K378</f>
        <v>0</v>
      </c>
      <c r="H72" s="864">
        <f>G72/F72</f>
        <v>0</v>
      </c>
      <c r="I72" s="863"/>
      <c r="J72" s="864"/>
      <c r="K72" s="863"/>
      <c r="L72" s="864"/>
      <c r="M72" s="863"/>
      <c r="N72" s="873"/>
      <c r="O72" s="932"/>
    </row>
    <row r="73" spans="1:15">
      <c r="A73" s="869" t="s">
        <v>598</v>
      </c>
      <c r="B73" s="870" t="s">
        <v>587</v>
      </c>
      <c r="C73" s="870" t="s">
        <v>49</v>
      </c>
      <c r="D73" s="871">
        <v>20</v>
      </c>
      <c r="E73" s="870"/>
      <c r="F73" s="872">
        <v>108.2</v>
      </c>
      <c r="G73" s="863">
        <f>'FE3-1 '!K379</f>
        <v>0</v>
      </c>
      <c r="H73" s="864">
        <f>G73/F73</f>
        <v>0</v>
      </c>
      <c r="I73" s="863"/>
      <c r="J73" s="864"/>
      <c r="K73" s="863"/>
      <c r="L73" s="864"/>
      <c r="M73" s="863"/>
      <c r="N73" s="873"/>
      <c r="O73" s="932"/>
    </row>
    <row r="74" spans="1:15">
      <c r="A74" s="869" t="s">
        <v>599</v>
      </c>
      <c r="B74" s="870" t="s">
        <v>589</v>
      </c>
      <c r="C74" s="870" t="s">
        <v>50</v>
      </c>
      <c r="D74" s="871">
        <v>2</v>
      </c>
      <c r="E74" s="870"/>
      <c r="F74" s="872">
        <v>85.7</v>
      </c>
      <c r="G74" s="863">
        <f>'FE3-1 '!K380</f>
        <v>0</v>
      </c>
      <c r="H74" s="864">
        <f>G74/F74</f>
        <v>0</v>
      </c>
      <c r="I74" s="863"/>
      <c r="J74" s="864"/>
      <c r="K74" s="863"/>
      <c r="L74" s="864"/>
      <c r="M74" s="863"/>
      <c r="N74" s="873"/>
      <c r="O74" s="932"/>
    </row>
    <row r="75" spans="1:15">
      <c r="A75" s="869" t="s">
        <v>600</v>
      </c>
      <c r="B75" s="870" t="s">
        <v>591</v>
      </c>
      <c r="C75" s="870" t="s">
        <v>50</v>
      </c>
      <c r="D75" s="871">
        <v>6</v>
      </c>
      <c r="E75" s="870"/>
      <c r="F75" s="872">
        <v>476.1</v>
      </c>
      <c r="G75" s="863">
        <f>'FE3-1 '!K381</f>
        <v>0</v>
      </c>
      <c r="H75" s="864">
        <f>G75/F75</f>
        <v>0</v>
      </c>
      <c r="I75" s="863"/>
      <c r="J75" s="864"/>
      <c r="K75" s="863"/>
      <c r="L75" s="864"/>
      <c r="M75" s="863"/>
      <c r="N75" s="873"/>
      <c r="O75" s="932"/>
    </row>
    <row r="76" spans="1:15">
      <c r="A76" s="869" t="s">
        <v>1022</v>
      </c>
      <c r="B76" s="870" t="s">
        <v>919</v>
      </c>
      <c r="C76" s="870" t="s">
        <v>50</v>
      </c>
      <c r="D76" s="871">
        <v>15</v>
      </c>
      <c r="E76" s="870"/>
      <c r="F76" s="872">
        <v>595.79999999999995</v>
      </c>
      <c r="G76" s="863">
        <f>'FE3-1 '!K382</f>
        <v>0</v>
      </c>
      <c r="H76" s="864">
        <f>G76/F76</f>
        <v>0</v>
      </c>
      <c r="I76" s="863"/>
      <c r="J76" s="864"/>
      <c r="K76" s="863"/>
      <c r="L76" s="864"/>
      <c r="M76" s="863"/>
      <c r="N76" s="873"/>
      <c r="O76" s="932"/>
    </row>
    <row r="77" spans="1:15">
      <c r="A77" s="875" t="s">
        <v>601</v>
      </c>
      <c r="B77" s="876" t="s">
        <v>936</v>
      </c>
      <c r="C77" s="876"/>
      <c r="D77" s="877"/>
      <c r="E77" s="876"/>
      <c r="F77" s="878">
        <v>1639.9</v>
      </c>
      <c r="G77" s="863"/>
      <c r="H77" s="864"/>
      <c r="I77" s="863"/>
      <c r="J77" s="864"/>
      <c r="K77" s="863"/>
      <c r="L77" s="864"/>
      <c r="M77" s="863"/>
      <c r="N77" s="873"/>
      <c r="O77" s="932"/>
    </row>
    <row r="78" spans="1:15">
      <c r="A78" s="869" t="s">
        <v>602</v>
      </c>
      <c r="B78" s="870" t="s">
        <v>622</v>
      </c>
      <c r="C78" s="870" t="s">
        <v>51</v>
      </c>
      <c r="D78" s="871">
        <v>50</v>
      </c>
      <c r="E78" s="870"/>
      <c r="F78" s="872">
        <v>559</v>
      </c>
      <c r="G78" s="863"/>
      <c r="H78" s="864"/>
      <c r="I78" s="863">
        <v>559</v>
      </c>
      <c r="J78" s="864"/>
      <c r="K78" s="863"/>
      <c r="L78" s="864"/>
      <c r="M78" s="863"/>
      <c r="N78" s="873"/>
      <c r="O78" s="932"/>
    </row>
    <row r="79" spans="1:15">
      <c r="A79" s="869" t="s">
        <v>604</v>
      </c>
      <c r="B79" s="870" t="s">
        <v>624</v>
      </c>
      <c r="C79" s="870" t="s">
        <v>52</v>
      </c>
      <c r="D79" s="871">
        <v>10</v>
      </c>
      <c r="E79" s="870"/>
      <c r="F79" s="872">
        <v>1080.9000000000001</v>
      </c>
      <c r="G79" s="863"/>
      <c r="H79" s="864"/>
      <c r="I79" s="863">
        <v>1080.9000000000001</v>
      </c>
      <c r="J79" s="864"/>
      <c r="K79" s="863"/>
      <c r="L79" s="864"/>
      <c r="M79" s="863"/>
      <c r="N79" s="873"/>
      <c r="O79" s="932"/>
    </row>
    <row r="80" spans="1:15">
      <c r="A80" s="866" t="s">
        <v>606</v>
      </c>
      <c r="B80" s="867" t="s">
        <v>626</v>
      </c>
      <c r="C80" s="867"/>
      <c r="D80" s="874"/>
      <c r="E80" s="867"/>
      <c r="F80" s="868">
        <v>11006.36</v>
      </c>
      <c r="G80" s="863"/>
      <c r="H80" s="864"/>
      <c r="I80" s="863"/>
      <c r="J80" s="864"/>
      <c r="K80" s="863"/>
      <c r="L80" s="864"/>
      <c r="M80" s="863"/>
      <c r="N80" s="873"/>
      <c r="O80" s="932"/>
    </row>
    <row r="81" spans="1:15">
      <c r="A81" s="875" t="s">
        <v>607</v>
      </c>
      <c r="B81" s="876" t="s">
        <v>561</v>
      </c>
      <c r="C81" s="876"/>
      <c r="D81" s="877"/>
      <c r="E81" s="876"/>
      <c r="F81" s="878">
        <v>796.88</v>
      </c>
      <c r="G81" s="863"/>
      <c r="H81" s="864"/>
      <c r="I81" s="863"/>
      <c r="J81" s="864"/>
      <c r="K81" s="863"/>
      <c r="L81" s="864"/>
      <c r="M81" s="863"/>
      <c r="N81" s="873"/>
      <c r="O81" s="932"/>
    </row>
    <row r="82" spans="1:15">
      <c r="A82" s="869" t="s">
        <v>608</v>
      </c>
      <c r="B82" s="870" t="s">
        <v>585</v>
      </c>
      <c r="C82" s="870" t="s">
        <v>50</v>
      </c>
      <c r="D82" s="871">
        <v>13.559999999999999</v>
      </c>
      <c r="E82" s="870"/>
      <c r="F82" s="872">
        <v>523.54999999999995</v>
      </c>
      <c r="G82" s="863"/>
      <c r="H82" s="864"/>
      <c r="I82" s="863">
        <v>523.54999999999995</v>
      </c>
      <c r="J82" s="864">
        <f t="shared" ref="J82:J90" si="3">I82/F82</f>
        <v>1</v>
      </c>
      <c r="K82" s="863"/>
      <c r="L82" s="864"/>
      <c r="M82" s="863"/>
      <c r="N82" s="873"/>
      <c r="O82" s="932"/>
    </row>
    <row r="83" spans="1:15">
      <c r="A83" s="869" t="s">
        <v>609</v>
      </c>
      <c r="B83" s="870" t="s">
        <v>587</v>
      </c>
      <c r="C83" s="870" t="s">
        <v>49</v>
      </c>
      <c r="D83" s="871">
        <v>9.0399999999999991</v>
      </c>
      <c r="E83" s="870"/>
      <c r="F83" s="872">
        <v>48.91</v>
      </c>
      <c r="G83" s="863"/>
      <c r="H83" s="864"/>
      <c r="I83" s="863">
        <v>48.91</v>
      </c>
      <c r="J83" s="864">
        <f t="shared" si="3"/>
        <v>1</v>
      </c>
      <c r="K83" s="863"/>
      <c r="L83" s="864"/>
      <c r="M83" s="863"/>
      <c r="N83" s="873"/>
      <c r="O83" s="932"/>
    </row>
    <row r="84" spans="1:15">
      <c r="A84" s="869" t="s">
        <v>610</v>
      </c>
      <c r="B84" s="870" t="s">
        <v>919</v>
      </c>
      <c r="C84" s="870" t="s">
        <v>50</v>
      </c>
      <c r="D84" s="871">
        <v>5.6499999999999995</v>
      </c>
      <c r="E84" s="870"/>
      <c r="F84" s="872">
        <v>224.42</v>
      </c>
      <c r="G84" s="863"/>
      <c r="H84" s="864"/>
      <c r="I84" s="863">
        <v>224.42</v>
      </c>
      <c r="J84" s="864">
        <f t="shared" si="3"/>
        <v>1</v>
      </c>
      <c r="K84" s="863"/>
      <c r="L84" s="864"/>
      <c r="M84" s="863"/>
      <c r="N84" s="873"/>
      <c r="O84" s="932"/>
    </row>
    <row r="85" spans="1:15">
      <c r="A85" s="875" t="s">
        <v>611</v>
      </c>
      <c r="B85" s="876" t="s">
        <v>632</v>
      </c>
      <c r="C85" s="876"/>
      <c r="D85" s="877"/>
      <c r="E85" s="876"/>
      <c r="F85" s="878">
        <v>10209.48</v>
      </c>
      <c r="G85" s="863"/>
      <c r="H85" s="864"/>
      <c r="I85" s="863"/>
      <c r="J85" s="864"/>
      <c r="K85" s="863"/>
      <c r="L85" s="864"/>
      <c r="M85" s="863"/>
      <c r="N85" s="873"/>
      <c r="O85" s="932"/>
    </row>
    <row r="86" spans="1:15">
      <c r="A86" s="869" t="s">
        <v>612</v>
      </c>
      <c r="B86" s="870" t="s">
        <v>638</v>
      </c>
      <c r="C86" s="870" t="s">
        <v>52</v>
      </c>
      <c r="D86" s="871">
        <v>8</v>
      </c>
      <c r="E86" s="870"/>
      <c r="F86" s="872">
        <v>1264.72</v>
      </c>
      <c r="G86" s="863"/>
      <c r="H86" s="864"/>
      <c r="I86" s="863">
        <v>1264.72</v>
      </c>
      <c r="J86" s="864">
        <f t="shared" si="3"/>
        <v>1</v>
      </c>
      <c r="K86" s="863"/>
      <c r="L86" s="864"/>
      <c r="M86" s="863"/>
      <c r="N86" s="873"/>
      <c r="O86" s="932"/>
    </row>
    <row r="87" spans="1:15">
      <c r="A87" s="869" t="s">
        <v>613</v>
      </c>
      <c r="B87" s="870" t="s">
        <v>937</v>
      </c>
      <c r="C87" s="870" t="s">
        <v>50</v>
      </c>
      <c r="D87" s="871">
        <v>7.5600000000000005</v>
      </c>
      <c r="E87" s="870"/>
      <c r="F87" s="872">
        <v>3509.2</v>
      </c>
      <c r="G87" s="863"/>
      <c r="H87" s="864"/>
      <c r="I87" s="863">
        <v>3509.2</v>
      </c>
      <c r="J87" s="864">
        <f t="shared" si="3"/>
        <v>1</v>
      </c>
      <c r="K87" s="863"/>
      <c r="L87" s="864"/>
      <c r="M87" s="863"/>
      <c r="N87" s="873"/>
      <c r="O87" s="932"/>
    </row>
    <row r="88" spans="1:15">
      <c r="A88" s="869" t="s">
        <v>1023</v>
      </c>
      <c r="B88" s="870" t="s">
        <v>938</v>
      </c>
      <c r="C88" s="870" t="s">
        <v>50</v>
      </c>
      <c r="D88" s="871">
        <v>0.8</v>
      </c>
      <c r="E88" s="870"/>
      <c r="F88" s="872">
        <v>393.97</v>
      </c>
      <c r="G88" s="863"/>
      <c r="H88" s="864"/>
      <c r="I88" s="863">
        <v>393.97</v>
      </c>
      <c r="J88" s="864">
        <f t="shared" si="3"/>
        <v>1</v>
      </c>
      <c r="K88" s="863"/>
      <c r="L88" s="864"/>
      <c r="M88" s="863"/>
      <c r="N88" s="873"/>
      <c r="O88" s="932"/>
    </row>
    <row r="89" spans="1:15">
      <c r="A89" s="869" t="s">
        <v>1024</v>
      </c>
      <c r="B89" s="870" t="s">
        <v>636</v>
      </c>
      <c r="C89" s="870" t="s">
        <v>420</v>
      </c>
      <c r="D89" s="871">
        <v>188.49600000000004</v>
      </c>
      <c r="E89" s="870"/>
      <c r="F89" s="872">
        <v>901.03</v>
      </c>
      <c r="G89" s="863"/>
      <c r="H89" s="864"/>
      <c r="I89" s="863">
        <v>901.03</v>
      </c>
      <c r="J89" s="864">
        <f t="shared" si="3"/>
        <v>1</v>
      </c>
      <c r="K89" s="863"/>
      <c r="L89" s="864"/>
      <c r="M89" s="863"/>
      <c r="N89" s="873"/>
      <c r="O89" s="932"/>
    </row>
    <row r="90" spans="1:15">
      <c r="A90" s="869" t="s">
        <v>1025</v>
      </c>
      <c r="B90" s="870" t="s">
        <v>639</v>
      </c>
      <c r="C90" s="870" t="s">
        <v>52</v>
      </c>
      <c r="D90" s="871">
        <v>8</v>
      </c>
      <c r="E90" s="870"/>
      <c r="F90" s="872">
        <v>4140.5600000000004</v>
      </c>
      <c r="G90" s="863"/>
      <c r="H90" s="864"/>
      <c r="I90" s="863">
        <v>4140.5600000000004</v>
      </c>
      <c r="J90" s="864">
        <f t="shared" si="3"/>
        <v>1</v>
      </c>
      <c r="K90" s="863"/>
      <c r="L90" s="864"/>
      <c r="M90" s="863"/>
      <c r="N90" s="873"/>
      <c r="O90" s="932"/>
    </row>
    <row r="91" spans="1:15">
      <c r="A91" s="866" t="s">
        <v>614</v>
      </c>
      <c r="B91" s="867" t="s">
        <v>939</v>
      </c>
      <c r="C91" s="867"/>
      <c r="D91" s="874"/>
      <c r="E91" s="867"/>
      <c r="F91" s="868">
        <v>21205.33</v>
      </c>
      <c r="G91" s="863"/>
      <c r="H91" s="864"/>
      <c r="I91" s="863"/>
      <c r="J91" s="864"/>
      <c r="K91" s="863"/>
      <c r="L91" s="864"/>
      <c r="M91" s="863"/>
      <c r="N91" s="873"/>
      <c r="O91" s="932"/>
    </row>
    <row r="92" spans="1:15">
      <c r="A92" s="875" t="s">
        <v>615</v>
      </c>
      <c r="B92" s="876" t="s">
        <v>561</v>
      </c>
      <c r="C92" s="876"/>
      <c r="D92" s="877"/>
      <c r="E92" s="876"/>
      <c r="F92" s="878">
        <v>631.91999999999996</v>
      </c>
      <c r="G92" s="863"/>
      <c r="H92" s="864"/>
      <c r="I92" s="863"/>
      <c r="J92" s="864"/>
      <c r="K92" s="863"/>
      <c r="L92" s="864"/>
      <c r="M92" s="863"/>
      <c r="N92" s="873"/>
      <c r="O92" s="932"/>
    </row>
    <row r="93" spans="1:15">
      <c r="A93" s="869" t="s">
        <v>616</v>
      </c>
      <c r="B93" s="870" t="s">
        <v>585</v>
      </c>
      <c r="C93" s="870" t="s">
        <v>50</v>
      </c>
      <c r="D93" s="871">
        <v>5.7360000000000007</v>
      </c>
      <c r="E93" s="870"/>
      <c r="F93" s="872">
        <v>221.62</v>
      </c>
      <c r="G93" s="863"/>
      <c r="H93" s="864"/>
      <c r="I93" s="863">
        <v>221.62</v>
      </c>
      <c r="J93" s="864"/>
      <c r="K93" s="863"/>
      <c r="L93" s="864"/>
      <c r="M93" s="863"/>
      <c r="N93" s="873"/>
      <c r="O93" s="932"/>
    </row>
    <row r="94" spans="1:15">
      <c r="A94" s="869" t="s">
        <v>617</v>
      </c>
      <c r="B94" s="870" t="s">
        <v>587</v>
      </c>
      <c r="C94" s="870" t="s">
        <v>49</v>
      </c>
      <c r="D94" s="871">
        <v>8.16</v>
      </c>
      <c r="E94" s="870"/>
      <c r="F94" s="872">
        <v>44.15</v>
      </c>
      <c r="G94" s="863"/>
      <c r="H94" s="864"/>
      <c r="I94" s="863">
        <v>44.15</v>
      </c>
      <c r="J94" s="864"/>
      <c r="K94" s="863"/>
      <c r="L94" s="864"/>
      <c r="M94" s="863"/>
      <c r="N94" s="873"/>
      <c r="O94" s="932"/>
    </row>
    <row r="95" spans="1:15">
      <c r="A95" s="869" t="s">
        <v>618</v>
      </c>
      <c r="B95" s="870" t="s">
        <v>577</v>
      </c>
      <c r="C95" s="870" t="s">
        <v>49</v>
      </c>
      <c r="D95" s="871">
        <v>8.16</v>
      </c>
      <c r="E95" s="870"/>
      <c r="F95" s="872">
        <v>81.36</v>
      </c>
      <c r="G95" s="863"/>
      <c r="H95" s="864"/>
      <c r="I95" s="863">
        <v>81.36</v>
      </c>
      <c r="J95" s="864">
        <f t="shared" ref="J95:J109" si="4">I95/F95</f>
        <v>1</v>
      </c>
      <c r="K95" s="863"/>
      <c r="L95" s="864"/>
      <c r="M95" s="863"/>
      <c r="N95" s="873"/>
      <c r="O95" s="932"/>
    </row>
    <row r="96" spans="1:15">
      <c r="A96" s="869" t="s">
        <v>619</v>
      </c>
      <c r="B96" s="870" t="s">
        <v>919</v>
      </c>
      <c r="C96" s="870" t="s">
        <v>50</v>
      </c>
      <c r="D96" s="871">
        <v>7.1700000000000008</v>
      </c>
      <c r="E96" s="870"/>
      <c r="F96" s="872">
        <v>284.79000000000002</v>
      </c>
      <c r="G96" s="863"/>
      <c r="H96" s="864"/>
      <c r="I96" s="863">
        <v>284.79000000000002</v>
      </c>
      <c r="J96" s="864">
        <f t="shared" si="4"/>
        <v>1</v>
      </c>
      <c r="K96" s="863"/>
      <c r="L96" s="864"/>
      <c r="M96" s="863"/>
      <c r="N96" s="873"/>
      <c r="O96" s="932"/>
    </row>
    <row r="97" spans="1:15">
      <c r="A97" s="875" t="s">
        <v>620</v>
      </c>
      <c r="B97" s="876" t="s">
        <v>940</v>
      </c>
      <c r="C97" s="876"/>
      <c r="D97" s="877"/>
      <c r="E97" s="876"/>
      <c r="F97" s="878">
        <v>852.83</v>
      </c>
      <c r="G97" s="863"/>
      <c r="H97" s="864"/>
      <c r="I97" s="863"/>
      <c r="J97" s="864"/>
      <c r="K97" s="863"/>
      <c r="L97" s="864"/>
      <c r="M97" s="863"/>
      <c r="N97" s="873"/>
      <c r="O97" s="932"/>
    </row>
    <row r="98" spans="1:15">
      <c r="A98" s="869" t="s">
        <v>621</v>
      </c>
      <c r="B98" s="870" t="s">
        <v>941</v>
      </c>
      <c r="C98" s="870" t="s">
        <v>49</v>
      </c>
      <c r="D98" s="871">
        <v>8.67</v>
      </c>
      <c r="E98" s="870"/>
      <c r="F98" s="872">
        <v>353.74</v>
      </c>
      <c r="G98" s="863"/>
      <c r="H98" s="864"/>
      <c r="I98" s="863">
        <v>353.74</v>
      </c>
      <c r="J98" s="864">
        <f t="shared" si="4"/>
        <v>1</v>
      </c>
      <c r="K98" s="863"/>
      <c r="L98" s="864"/>
      <c r="M98" s="863"/>
      <c r="N98" s="873"/>
      <c r="O98" s="932"/>
    </row>
    <row r="99" spans="1:15">
      <c r="A99" s="869" t="s">
        <v>623</v>
      </c>
      <c r="B99" s="870" t="s">
        <v>942</v>
      </c>
      <c r="C99" s="870" t="s">
        <v>50</v>
      </c>
      <c r="D99" s="871">
        <v>1.026</v>
      </c>
      <c r="E99" s="870"/>
      <c r="F99" s="872">
        <v>478.11</v>
      </c>
      <c r="G99" s="863"/>
      <c r="H99" s="864"/>
      <c r="I99" s="863">
        <v>478.11</v>
      </c>
      <c r="J99" s="864">
        <f t="shared" si="4"/>
        <v>1</v>
      </c>
      <c r="K99" s="863"/>
      <c r="L99" s="864"/>
      <c r="M99" s="863"/>
      <c r="N99" s="873"/>
      <c r="O99" s="932"/>
    </row>
    <row r="100" spans="1:15">
      <c r="A100" s="869" t="s">
        <v>1026</v>
      </c>
      <c r="B100" s="870" t="s">
        <v>573</v>
      </c>
      <c r="C100" s="870" t="s">
        <v>49</v>
      </c>
      <c r="D100" s="871">
        <v>8.67</v>
      </c>
      <c r="E100" s="870"/>
      <c r="F100" s="872">
        <v>20.98</v>
      </c>
      <c r="G100" s="863"/>
      <c r="H100" s="864"/>
      <c r="I100" s="863">
        <v>20.98</v>
      </c>
      <c r="J100" s="864">
        <f t="shared" si="4"/>
        <v>1</v>
      </c>
      <c r="K100" s="863"/>
      <c r="L100" s="864"/>
      <c r="M100" s="863"/>
      <c r="N100" s="873"/>
      <c r="O100" s="932"/>
    </row>
    <row r="101" spans="1:15">
      <c r="A101" s="875" t="s">
        <v>1027</v>
      </c>
      <c r="B101" s="876" t="s">
        <v>943</v>
      </c>
      <c r="C101" s="876"/>
      <c r="D101" s="877"/>
      <c r="E101" s="876"/>
      <c r="F101" s="878">
        <v>2763.71</v>
      </c>
      <c r="G101" s="863"/>
      <c r="H101" s="864"/>
      <c r="I101" s="863"/>
      <c r="J101" s="864"/>
      <c r="K101" s="863"/>
      <c r="L101" s="864"/>
      <c r="M101" s="863"/>
      <c r="N101" s="873"/>
      <c r="O101" s="932"/>
    </row>
    <row r="102" spans="1:15">
      <c r="A102" s="869" t="s">
        <v>1028</v>
      </c>
      <c r="B102" s="870" t="s">
        <v>944</v>
      </c>
      <c r="C102" s="870" t="s">
        <v>49</v>
      </c>
      <c r="D102" s="871">
        <v>16.900000000000002</v>
      </c>
      <c r="E102" s="870"/>
      <c r="F102" s="872">
        <v>689.52</v>
      </c>
      <c r="G102" s="863"/>
      <c r="H102" s="864"/>
      <c r="I102" s="863">
        <v>689.52</v>
      </c>
      <c r="J102" s="864">
        <f t="shared" si="4"/>
        <v>1</v>
      </c>
      <c r="K102" s="863"/>
      <c r="L102" s="864"/>
      <c r="M102" s="863"/>
      <c r="N102" s="873"/>
      <c r="O102" s="932"/>
    </row>
    <row r="103" spans="1:15">
      <c r="A103" s="869" t="s">
        <v>1029</v>
      </c>
      <c r="B103" s="870" t="s">
        <v>945</v>
      </c>
      <c r="C103" s="870" t="s">
        <v>50</v>
      </c>
      <c r="D103" s="871">
        <v>2.4585000000000004</v>
      </c>
      <c r="E103" s="870"/>
      <c r="F103" s="872">
        <v>1141.8800000000001</v>
      </c>
      <c r="G103" s="863"/>
      <c r="H103" s="864"/>
      <c r="I103" s="863">
        <v>1141.8800000000001</v>
      </c>
      <c r="J103" s="864">
        <f t="shared" si="4"/>
        <v>1</v>
      </c>
      <c r="K103" s="863"/>
      <c r="L103" s="864"/>
      <c r="M103" s="863"/>
      <c r="N103" s="873"/>
      <c r="O103" s="932"/>
    </row>
    <row r="104" spans="1:15">
      <c r="A104" s="869" t="s">
        <v>1030</v>
      </c>
      <c r="B104" s="870" t="s">
        <v>946</v>
      </c>
      <c r="C104" s="870" t="s">
        <v>420</v>
      </c>
      <c r="D104" s="871">
        <v>192.98400000000001</v>
      </c>
      <c r="E104" s="870"/>
      <c r="F104" s="872">
        <v>922.44</v>
      </c>
      <c r="G104" s="863"/>
      <c r="H104" s="864"/>
      <c r="I104" s="863">
        <v>922.44</v>
      </c>
      <c r="J104" s="864">
        <f t="shared" si="4"/>
        <v>1</v>
      </c>
      <c r="K104" s="863"/>
      <c r="L104" s="864"/>
      <c r="M104" s="863"/>
      <c r="N104" s="873"/>
      <c r="O104" s="932"/>
    </row>
    <row r="105" spans="1:15">
      <c r="A105" s="869" t="s">
        <v>1031</v>
      </c>
      <c r="B105" s="870" t="s">
        <v>573</v>
      </c>
      <c r="C105" s="870" t="s">
        <v>49</v>
      </c>
      <c r="D105" s="871">
        <v>4.08</v>
      </c>
      <c r="E105" s="870"/>
      <c r="F105" s="872">
        <v>9.8699999999999992</v>
      </c>
      <c r="G105" s="863"/>
      <c r="H105" s="864"/>
      <c r="I105" s="863">
        <v>9.8699999999999992</v>
      </c>
      <c r="J105" s="864">
        <f t="shared" si="4"/>
        <v>1</v>
      </c>
      <c r="K105" s="863"/>
      <c r="L105" s="864"/>
      <c r="M105" s="863"/>
      <c r="N105" s="873"/>
      <c r="O105" s="932"/>
    </row>
    <row r="106" spans="1:15">
      <c r="A106" s="875" t="s">
        <v>1032</v>
      </c>
      <c r="B106" s="876" t="s">
        <v>651</v>
      </c>
      <c r="C106" s="876"/>
      <c r="D106" s="877"/>
      <c r="E106" s="876"/>
      <c r="F106" s="878">
        <v>1118.46</v>
      </c>
      <c r="G106" s="863"/>
      <c r="H106" s="864"/>
      <c r="I106" s="863"/>
      <c r="J106" s="864"/>
      <c r="K106" s="863"/>
      <c r="L106" s="864"/>
      <c r="M106" s="863"/>
      <c r="N106" s="873"/>
      <c r="O106" s="932"/>
    </row>
    <row r="107" spans="1:15">
      <c r="A107" s="869" t="s">
        <v>1033</v>
      </c>
      <c r="B107" s="870" t="s">
        <v>652</v>
      </c>
      <c r="C107" s="870" t="s">
        <v>51</v>
      </c>
      <c r="D107" s="871">
        <v>21</v>
      </c>
      <c r="E107" s="870"/>
      <c r="F107" s="872">
        <v>1118.46</v>
      </c>
      <c r="G107" s="863"/>
      <c r="H107" s="864"/>
      <c r="I107" s="863">
        <v>1118.46</v>
      </c>
      <c r="J107" s="864">
        <f t="shared" si="4"/>
        <v>1</v>
      </c>
      <c r="K107" s="863"/>
      <c r="L107" s="864"/>
      <c r="M107" s="863"/>
      <c r="N107" s="873"/>
      <c r="O107" s="932"/>
    </row>
    <row r="108" spans="1:15">
      <c r="A108" s="875" t="s">
        <v>1034</v>
      </c>
      <c r="B108" s="876" t="s">
        <v>649</v>
      </c>
      <c r="C108" s="876"/>
      <c r="D108" s="877"/>
      <c r="E108" s="876"/>
      <c r="F108" s="878">
        <v>15838.41</v>
      </c>
      <c r="G108" s="863"/>
      <c r="H108" s="864"/>
      <c r="I108" s="863"/>
      <c r="J108" s="864"/>
      <c r="K108" s="863"/>
      <c r="L108" s="864"/>
      <c r="M108" s="863"/>
      <c r="N108" s="873"/>
      <c r="O108" s="932"/>
    </row>
    <row r="109" spans="1:15">
      <c r="A109" s="869" t="s">
        <v>1035</v>
      </c>
      <c r="B109" s="870" t="s">
        <v>650</v>
      </c>
      <c r="C109" s="870" t="s">
        <v>49</v>
      </c>
      <c r="D109" s="871">
        <v>10.32</v>
      </c>
      <c r="E109" s="870"/>
      <c r="F109" s="872">
        <v>15838.41</v>
      </c>
      <c r="G109" s="863"/>
      <c r="H109" s="864"/>
      <c r="I109" s="863">
        <v>15838.41</v>
      </c>
      <c r="J109" s="864">
        <f t="shared" si="4"/>
        <v>1</v>
      </c>
      <c r="K109" s="863"/>
      <c r="L109" s="864"/>
      <c r="M109" s="863"/>
      <c r="N109" s="873"/>
      <c r="O109" s="932"/>
    </row>
    <row r="110" spans="1:15">
      <c r="A110" s="866" t="s">
        <v>625</v>
      </c>
      <c r="B110" s="867" t="s">
        <v>654</v>
      </c>
      <c r="C110" s="867"/>
      <c r="D110" s="874"/>
      <c r="E110" s="867"/>
      <c r="F110" s="868">
        <v>116015.77</v>
      </c>
      <c r="G110" s="863"/>
      <c r="H110" s="864"/>
      <c r="I110" s="863"/>
      <c r="J110" s="864"/>
      <c r="K110" s="863"/>
      <c r="L110" s="864"/>
      <c r="M110" s="863"/>
      <c r="N110" s="873"/>
      <c r="O110" s="932"/>
    </row>
    <row r="111" spans="1:15">
      <c r="A111" s="875" t="s">
        <v>627</v>
      </c>
      <c r="B111" s="876" t="s">
        <v>561</v>
      </c>
      <c r="C111" s="876"/>
      <c r="D111" s="877"/>
      <c r="E111" s="876"/>
      <c r="F111" s="878">
        <v>20122.07</v>
      </c>
      <c r="G111" s="863"/>
      <c r="H111" s="864"/>
      <c r="I111" s="863"/>
      <c r="J111" s="864"/>
      <c r="K111" s="863"/>
      <c r="L111" s="864"/>
      <c r="M111" s="863"/>
      <c r="N111" s="873"/>
      <c r="O111" s="932"/>
    </row>
    <row r="112" spans="1:15">
      <c r="A112" s="869" t="s">
        <v>628</v>
      </c>
      <c r="B112" s="870" t="s">
        <v>585</v>
      </c>
      <c r="C112" s="870" t="s">
        <v>50</v>
      </c>
      <c r="D112" s="871">
        <v>189.19640000000001</v>
      </c>
      <c r="E112" s="870"/>
      <c r="F112" s="872">
        <v>7305.01</v>
      </c>
      <c r="G112" s="863"/>
      <c r="H112" s="864"/>
      <c r="I112" s="863">
        <v>7305.01</v>
      </c>
      <c r="J112" s="864">
        <f t="shared" ref="J112:J123" si="5">I112/F112</f>
        <v>1</v>
      </c>
      <c r="K112" s="863"/>
      <c r="L112" s="864"/>
      <c r="M112" s="863"/>
      <c r="N112" s="873"/>
      <c r="O112" s="932"/>
    </row>
    <row r="113" spans="1:15">
      <c r="A113" s="869" t="s">
        <v>629</v>
      </c>
      <c r="B113" s="870" t="s">
        <v>587</v>
      </c>
      <c r="C113" s="870" t="s">
        <v>49</v>
      </c>
      <c r="D113" s="871">
        <v>222.58400000000003</v>
      </c>
      <c r="E113" s="870"/>
      <c r="F113" s="872">
        <v>1204.1600000000001</v>
      </c>
      <c r="G113" s="863"/>
      <c r="H113" s="864"/>
      <c r="I113" s="863">
        <v>1204.1600000000001</v>
      </c>
      <c r="J113" s="864">
        <f t="shared" si="5"/>
        <v>1</v>
      </c>
      <c r="K113" s="863"/>
      <c r="L113" s="864"/>
      <c r="M113" s="863"/>
      <c r="N113" s="873"/>
      <c r="O113" s="932"/>
    </row>
    <row r="114" spans="1:15">
      <c r="A114" s="869" t="s">
        <v>630</v>
      </c>
      <c r="B114" s="870" t="s">
        <v>577</v>
      </c>
      <c r="C114" s="870" t="s">
        <v>49</v>
      </c>
      <c r="D114" s="871">
        <v>222.58400000000003</v>
      </c>
      <c r="E114" s="870"/>
      <c r="F114" s="872">
        <v>2219.12</v>
      </c>
      <c r="G114" s="863"/>
      <c r="H114" s="864"/>
      <c r="I114" s="863">
        <v>2219.12</v>
      </c>
      <c r="J114" s="864">
        <f t="shared" si="5"/>
        <v>1</v>
      </c>
      <c r="K114" s="863"/>
      <c r="L114" s="864"/>
      <c r="M114" s="863"/>
      <c r="N114" s="873"/>
      <c r="O114" s="932"/>
    </row>
    <row r="115" spans="1:15">
      <c r="A115" s="869" t="s">
        <v>1036</v>
      </c>
      <c r="B115" s="870" t="s">
        <v>919</v>
      </c>
      <c r="C115" s="870" t="s">
        <v>50</v>
      </c>
      <c r="D115" s="871">
        <v>236.49550000000002</v>
      </c>
      <c r="E115" s="870"/>
      <c r="F115" s="872">
        <v>9393.7800000000007</v>
      </c>
      <c r="G115" s="863"/>
      <c r="H115" s="864"/>
      <c r="I115" s="863">
        <v>9393.7800000000007</v>
      </c>
      <c r="J115" s="864">
        <f t="shared" si="5"/>
        <v>1</v>
      </c>
      <c r="K115" s="863"/>
      <c r="L115" s="864"/>
      <c r="M115" s="863"/>
      <c r="N115" s="865"/>
      <c r="O115" s="932"/>
    </row>
    <row r="116" spans="1:15">
      <c r="A116" s="875" t="s">
        <v>631</v>
      </c>
      <c r="B116" s="876" t="s">
        <v>940</v>
      </c>
      <c r="C116" s="876"/>
      <c r="D116" s="877"/>
      <c r="E116" s="876"/>
      <c r="F116" s="878">
        <v>68758.759999999995</v>
      </c>
      <c r="G116" s="863"/>
      <c r="H116" s="864"/>
      <c r="I116" s="863"/>
      <c r="J116" s="864"/>
      <c r="K116" s="863"/>
      <c r="L116" s="864"/>
      <c r="M116" s="863"/>
      <c r="N116" s="873"/>
      <c r="O116" s="932"/>
    </row>
    <row r="117" spans="1:15">
      <c r="A117" s="869" t="s">
        <v>633</v>
      </c>
      <c r="B117" s="870" t="s">
        <v>657</v>
      </c>
      <c r="C117" s="870" t="s">
        <v>49</v>
      </c>
      <c r="D117" s="871">
        <v>472.99100000000004</v>
      </c>
      <c r="E117" s="870"/>
      <c r="F117" s="872">
        <v>19297.990000000002</v>
      </c>
      <c r="G117" s="863"/>
      <c r="H117" s="864"/>
      <c r="I117" s="863">
        <v>9649</v>
      </c>
      <c r="J117" s="864">
        <f t="shared" si="5"/>
        <v>0.50000025909434087</v>
      </c>
      <c r="K117" s="863">
        <v>9649</v>
      </c>
      <c r="L117" s="864">
        <f>K117/F117</f>
        <v>0.50000025909434087</v>
      </c>
      <c r="M117" s="863"/>
      <c r="N117" s="873"/>
      <c r="O117" s="932"/>
    </row>
    <row r="118" spans="1:15">
      <c r="A118" s="869" t="s">
        <v>634</v>
      </c>
      <c r="B118" s="870" t="s">
        <v>947</v>
      </c>
      <c r="C118" s="870" t="s">
        <v>50</v>
      </c>
      <c r="D118" s="871">
        <v>97.380499999999998</v>
      </c>
      <c r="E118" s="870"/>
      <c r="F118" s="872">
        <v>45201.85</v>
      </c>
      <c r="G118" s="863"/>
      <c r="H118" s="864"/>
      <c r="I118" s="863"/>
      <c r="J118" s="864"/>
      <c r="K118" s="863">
        <v>45201.85</v>
      </c>
      <c r="L118" s="864">
        <f>K118/F118</f>
        <v>1</v>
      </c>
      <c r="M118" s="863"/>
      <c r="N118" s="873">
        <f>M118/F118</f>
        <v>0</v>
      </c>
      <c r="O118" s="932"/>
    </row>
    <row r="119" spans="1:15">
      <c r="A119" s="869" t="s">
        <v>635</v>
      </c>
      <c r="B119" s="870" t="s">
        <v>573</v>
      </c>
      <c r="C119" s="870" t="s">
        <v>49</v>
      </c>
      <c r="D119" s="871">
        <v>472.99100000000004</v>
      </c>
      <c r="E119" s="870"/>
      <c r="F119" s="872">
        <v>1144.6400000000001</v>
      </c>
      <c r="G119" s="863"/>
      <c r="H119" s="864"/>
      <c r="I119" s="863"/>
      <c r="J119" s="864"/>
      <c r="K119" s="863">
        <v>763.09</v>
      </c>
      <c r="L119" s="864">
        <f>K119/F119</f>
        <v>0.66666375454291305</v>
      </c>
      <c r="M119" s="863">
        <v>381.55</v>
      </c>
      <c r="N119" s="873">
        <f>M119/F119</f>
        <v>0.3333362454570869</v>
      </c>
      <c r="O119" s="932"/>
    </row>
    <row r="120" spans="1:15">
      <c r="A120" s="869" t="s">
        <v>637</v>
      </c>
      <c r="B120" s="870" t="s">
        <v>572</v>
      </c>
      <c r="C120" s="870" t="s">
        <v>51</v>
      </c>
      <c r="D120" s="871">
        <v>508.87</v>
      </c>
      <c r="E120" s="870"/>
      <c r="F120" s="872">
        <v>3114.28</v>
      </c>
      <c r="G120" s="863"/>
      <c r="H120" s="864"/>
      <c r="I120" s="863"/>
      <c r="J120" s="864"/>
      <c r="K120" s="863"/>
      <c r="L120" s="864"/>
      <c r="M120" s="863">
        <v>3114.28</v>
      </c>
      <c r="N120" s="873">
        <f>M120/F120</f>
        <v>1</v>
      </c>
      <c r="O120" s="932"/>
    </row>
    <row r="121" spans="1:15">
      <c r="A121" s="875" t="s">
        <v>1037</v>
      </c>
      <c r="B121" s="876" t="s">
        <v>948</v>
      </c>
      <c r="C121" s="876"/>
      <c r="D121" s="877"/>
      <c r="E121" s="876"/>
      <c r="F121" s="878">
        <v>4389.83</v>
      </c>
      <c r="G121" s="863"/>
      <c r="H121" s="864"/>
      <c r="I121" s="863"/>
      <c r="J121" s="864"/>
      <c r="K121" s="863"/>
      <c r="L121" s="864"/>
      <c r="M121" s="863"/>
      <c r="N121" s="873"/>
      <c r="O121" s="932"/>
    </row>
    <row r="122" spans="1:15">
      <c r="A122" s="869" t="s">
        <v>1038</v>
      </c>
      <c r="B122" s="870" t="s">
        <v>949</v>
      </c>
      <c r="C122" s="870" t="s">
        <v>52</v>
      </c>
      <c r="D122" s="871">
        <v>19</v>
      </c>
      <c r="E122" s="870"/>
      <c r="F122" s="872">
        <v>4240.99</v>
      </c>
      <c r="G122" s="863"/>
      <c r="H122" s="864"/>
      <c r="I122" s="863"/>
      <c r="J122" s="864"/>
      <c r="K122" s="863"/>
      <c r="L122" s="864"/>
      <c r="M122" s="863">
        <v>4240.99</v>
      </c>
      <c r="N122" s="873">
        <f>M122/F122</f>
        <v>1</v>
      </c>
      <c r="O122" s="932"/>
    </row>
    <row r="123" spans="1:15">
      <c r="A123" s="869" t="s">
        <v>1039</v>
      </c>
      <c r="B123" s="870" t="s">
        <v>572</v>
      </c>
      <c r="C123" s="870" t="s">
        <v>51</v>
      </c>
      <c r="D123" s="871">
        <v>24.32</v>
      </c>
      <c r="E123" s="870"/>
      <c r="F123" s="872">
        <v>148.84</v>
      </c>
      <c r="G123" s="863"/>
      <c r="H123" s="864"/>
      <c r="I123" s="863">
        <v>148.84</v>
      </c>
      <c r="J123" s="864">
        <f t="shared" si="5"/>
        <v>1</v>
      </c>
      <c r="K123" s="863"/>
      <c r="L123" s="864"/>
      <c r="M123" s="863"/>
      <c r="N123" s="873"/>
      <c r="O123" s="932"/>
    </row>
    <row r="124" spans="1:15">
      <c r="A124" s="875" t="s">
        <v>1040</v>
      </c>
      <c r="B124" s="876" t="s">
        <v>950</v>
      </c>
      <c r="C124" s="876"/>
      <c r="D124" s="877"/>
      <c r="E124" s="876"/>
      <c r="F124" s="878">
        <v>22745.11</v>
      </c>
      <c r="G124" s="863"/>
      <c r="H124" s="864"/>
      <c r="I124" s="863"/>
      <c r="J124" s="864"/>
      <c r="K124" s="863"/>
      <c r="L124" s="864"/>
      <c r="M124" s="863"/>
      <c r="N124" s="873"/>
      <c r="O124" s="932"/>
    </row>
    <row r="125" spans="1:15">
      <c r="A125" s="869" t="s">
        <v>1041</v>
      </c>
      <c r="B125" s="870" t="s">
        <v>951</v>
      </c>
      <c r="C125" s="870" t="s">
        <v>49</v>
      </c>
      <c r="D125" s="871">
        <v>53.745999999999995</v>
      </c>
      <c r="E125" s="870"/>
      <c r="F125" s="872">
        <v>1764.61</v>
      </c>
      <c r="G125" s="863"/>
      <c r="H125" s="864"/>
      <c r="I125" s="863"/>
      <c r="J125" s="864"/>
      <c r="K125" s="863">
        <v>1764.61</v>
      </c>
      <c r="L125" s="864"/>
      <c r="M125" s="863"/>
      <c r="N125" s="873">
        <f>M125/F125</f>
        <v>0</v>
      </c>
      <c r="O125" s="932"/>
    </row>
    <row r="126" spans="1:15">
      <c r="A126" s="869" t="s">
        <v>1042</v>
      </c>
      <c r="B126" s="870" t="s">
        <v>946</v>
      </c>
      <c r="C126" s="870" t="s">
        <v>420</v>
      </c>
      <c r="D126" s="871">
        <v>2241.5764799999997</v>
      </c>
      <c r="E126" s="870"/>
      <c r="F126" s="872">
        <v>10714.75</v>
      </c>
      <c r="G126" s="863"/>
      <c r="H126" s="864"/>
      <c r="I126" s="863"/>
      <c r="J126" s="864"/>
      <c r="K126" s="863">
        <v>10714.75</v>
      </c>
      <c r="L126" s="864"/>
      <c r="M126" s="863"/>
      <c r="N126" s="873">
        <f>M126/F126</f>
        <v>0</v>
      </c>
      <c r="O126" s="932"/>
    </row>
    <row r="127" spans="1:15">
      <c r="A127" s="869" t="s">
        <v>1043</v>
      </c>
      <c r="B127" s="870" t="s">
        <v>952</v>
      </c>
      <c r="C127" s="870" t="s">
        <v>50</v>
      </c>
      <c r="D127" s="871">
        <v>19.978400000000001</v>
      </c>
      <c r="E127" s="870"/>
      <c r="F127" s="872">
        <v>9274.32</v>
      </c>
      <c r="G127" s="863"/>
      <c r="H127" s="864"/>
      <c r="I127" s="863"/>
      <c r="J127" s="864"/>
      <c r="K127" s="863">
        <v>9274.32</v>
      </c>
      <c r="L127" s="864"/>
      <c r="M127" s="863"/>
      <c r="N127" s="873">
        <f>M127/F127</f>
        <v>0</v>
      </c>
      <c r="O127" s="932"/>
    </row>
    <row r="128" spans="1:15">
      <c r="A128" s="869" t="s">
        <v>1044</v>
      </c>
      <c r="B128" s="870" t="s">
        <v>573</v>
      </c>
      <c r="C128" s="870" t="s">
        <v>49</v>
      </c>
      <c r="D128" s="871">
        <v>199.78399999999999</v>
      </c>
      <c r="E128" s="870"/>
      <c r="F128" s="872">
        <v>483.47</v>
      </c>
      <c r="G128" s="863"/>
      <c r="H128" s="864"/>
      <c r="I128" s="863"/>
      <c r="J128" s="864"/>
      <c r="K128" s="863">
        <v>483.47</v>
      </c>
      <c r="L128" s="864"/>
      <c r="M128" s="863"/>
      <c r="N128" s="873">
        <f>M128/F128</f>
        <v>0</v>
      </c>
      <c r="O128" s="932"/>
    </row>
    <row r="129" spans="1:15">
      <c r="A129" s="869" t="s">
        <v>1045</v>
      </c>
      <c r="B129" s="870" t="s">
        <v>572</v>
      </c>
      <c r="C129" s="870" t="s">
        <v>51</v>
      </c>
      <c r="D129" s="871">
        <v>83</v>
      </c>
      <c r="E129" s="870"/>
      <c r="F129" s="872">
        <v>507.96</v>
      </c>
      <c r="G129" s="863"/>
      <c r="H129" s="864"/>
      <c r="I129" s="863"/>
      <c r="J129" s="864"/>
      <c r="K129" s="863">
        <v>507.96</v>
      </c>
      <c r="L129" s="864"/>
      <c r="M129" s="863"/>
      <c r="N129" s="873">
        <f>M129/F129</f>
        <v>0</v>
      </c>
      <c r="O129" s="932"/>
    </row>
    <row r="130" spans="1:15">
      <c r="A130" s="866" t="s">
        <v>640</v>
      </c>
      <c r="B130" s="867" t="s">
        <v>953</v>
      </c>
      <c r="C130" s="867"/>
      <c r="D130" s="874"/>
      <c r="E130" s="867"/>
      <c r="F130" s="868">
        <v>85589.33</v>
      </c>
      <c r="G130" s="863"/>
      <c r="H130" s="864"/>
      <c r="I130" s="863"/>
      <c r="J130" s="864"/>
      <c r="K130" s="863"/>
      <c r="L130" s="864"/>
      <c r="M130" s="863"/>
      <c r="N130" s="873"/>
      <c r="O130" s="932"/>
    </row>
    <row r="131" spans="1:15">
      <c r="A131" s="875" t="s">
        <v>641</v>
      </c>
      <c r="B131" s="876" t="s">
        <v>954</v>
      </c>
      <c r="C131" s="876"/>
      <c r="D131" s="877"/>
      <c r="E131" s="876"/>
      <c r="F131" s="878">
        <v>80419.47</v>
      </c>
      <c r="G131" s="863"/>
      <c r="H131" s="864"/>
      <c r="I131" s="863"/>
      <c r="J131" s="864"/>
      <c r="K131" s="863"/>
      <c r="L131" s="864"/>
      <c r="M131" s="863"/>
      <c r="N131" s="865"/>
      <c r="O131" s="932"/>
    </row>
    <row r="132" spans="1:15">
      <c r="A132" s="879" t="s">
        <v>642</v>
      </c>
      <c r="B132" s="880" t="s">
        <v>955</v>
      </c>
      <c r="C132" s="880"/>
      <c r="D132" s="881"/>
      <c r="E132" s="880"/>
      <c r="F132" s="882">
        <v>127.69</v>
      </c>
      <c r="G132" s="863"/>
      <c r="H132" s="864"/>
      <c r="I132" s="863"/>
      <c r="J132" s="864"/>
      <c r="K132" s="863"/>
      <c r="L132" s="864"/>
      <c r="M132" s="863"/>
      <c r="N132" s="873"/>
      <c r="O132" s="932"/>
    </row>
    <row r="133" spans="1:15">
      <c r="A133" s="869" t="s">
        <v>1046</v>
      </c>
      <c r="B133" s="870" t="s">
        <v>956</v>
      </c>
      <c r="C133" s="870" t="s">
        <v>49</v>
      </c>
      <c r="D133" s="871">
        <v>87.457499999999996</v>
      </c>
      <c r="E133" s="870"/>
      <c r="F133" s="872">
        <v>127.69</v>
      </c>
      <c r="G133" s="863">
        <f>'FE3-1 '!K439</f>
        <v>0</v>
      </c>
      <c r="H133" s="864">
        <f>G133/F133</f>
        <v>0</v>
      </c>
      <c r="I133" s="863"/>
      <c r="J133" s="864"/>
      <c r="K133" s="863"/>
      <c r="L133" s="864"/>
      <c r="M133" s="863"/>
      <c r="N133" s="873"/>
      <c r="O133" s="932"/>
    </row>
    <row r="134" spans="1:15">
      <c r="A134" s="879" t="s">
        <v>643</v>
      </c>
      <c r="B134" s="880" t="s">
        <v>957</v>
      </c>
      <c r="C134" s="880"/>
      <c r="D134" s="881"/>
      <c r="E134" s="880"/>
      <c r="F134" s="882">
        <v>10232.700000000001</v>
      </c>
      <c r="G134" s="863"/>
      <c r="H134" s="864"/>
      <c r="I134" s="863"/>
      <c r="J134" s="864"/>
      <c r="K134" s="863"/>
      <c r="L134" s="864"/>
      <c r="M134" s="863"/>
      <c r="N134" s="873"/>
      <c r="O134" s="932"/>
    </row>
    <row r="135" spans="1:15">
      <c r="A135" s="869" t="s">
        <v>1047</v>
      </c>
      <c r="B135" s="870" t="s">
        <v>958</v>
      </c>
      <c r="C135" s="870" t="s">
        <v>50</v>
      </c>
      <c r="D135" s="871">
        <v>244.92262499999995</v>
      </c>
      <c r="E135" s="870"/>
      <c r="F135" s="872">
        <v>6233.21</v>
      </c>
      <c r="G135" s="863"/>
      <c r="H135" s="864"/>
      <c r="I135" s="863">
        <f>F135</f>
        <v>6233.21</v>
      </c>
      <c r="J135" s="864">
        <f t="shared" ref="J135:J142" si="6">I135/F135</f>
        <v>1</v>
      </c>
      <c r="K135" s="863"/>
      <c r="L135" s="864"/>
      <c r="M135" s="863"/>
      <c r="N135" s="873"/>
      <c r="O135" s="932"/>
    </row>
    <row r="136" spans="1:15">
      <c r="A136" s="869" t="s">
        <v>1048</v>
      </c>
      <c r="B136" s="870" t="s">
        <v>959</v>
      </c>
      <c r="C136" s="870" t="s">
        <v>50</v>
      </c>
      <c r="D136" s="871">
        <v>306.06200000000001</v>
      </c>
      <c r="E136" s="870"/>
      <c r="F136" s="872">
        <v>964.09</v>
      </c>
      <c r="G136" s="863">
        <f>'FE3-1 '!K442</f>
        <v>0</v>
      </c>
      <c r="H136" s="864">
        <f>G136/F136</f>
        <v>0</v>
      </c>
      <c r="I136" s="863"/>
      <c r="J136" s="864"/>
      <c r="K136" s="863"/>
      <c r="L136" s="864"/>
      <c r="M136" s="863"/>
      <c r="N136" s="873"/>
      <c r="O136" s="932"/>
    </row>
    <row r="137" spans="1:15">
      <c r="A137" s="869" t="s">
        <v>1049</v>
      </c>
      <c r="B137" s="870" t="s">
        <v>960</v>
      </c>
      <c r="C137" s="870" t="s">
        <v>50</v>
      </c>
      <c r="D137" s="871">
        <v>76.42421875000008</v>
      </c>
      <c r="E137" s="870"/>
      <c r="F137" s="872">
        <v>3035.4</v>
      </c>
      <c r="G137" s="863">
        <f>'FE3-1 '!K443</f>
        <v>0</v>
      </c>
      <c r="H137" s="864">
        <f>G137/F137</f>
        <v>0</v>
      </c>
      <c r="I137" s="863"/>
      <c r="J137" s="864"/>
      <c r="K137" s="863"/>
      <c r="L137" s="864"/>
      <c r="M137" s="863"/>
      <c r="N137" s="873"/>
      <c r="O137" s="932"/>
    </row>
    <row r="138" spans="1:15">
      <c r="A138" s="879" t="s">
        <v>644</v>
      </c>
      <c r="B138" s="880" t="s">
        <v>961</v>
      </c>
      <c r="C138" s="880"/>
      <c r="D138" s="881"/>
      <c r="E138" s="880"/>
      <c r="F138" s="882">
        <v>70059.08</v>
      </c>
      <c r="G138" s="863"/>
      <c r="H138" s="864"/>
      <c r="I138" s="863"/>
      <c r="J138" s="864"/>
      <c r="K138" s="863"/>
      <c r="L138" s="864"/>
      <c r="M138" s="863"/>
      <c r="N138" s="873"/>
      <c r="O138" s="932"/>
    </row>
    <row r="139" spans="1:15">
      <c r="A139" s="869" t="s">
        <v>1050</v>
      </c>
      <c r="B139" s="870" t="s">
        <v>962</v>
      </c>
      <c r="C139" s="870" t="s">
        <v>49</v>
      </c>
      <c r="D139" s="871">
        <v>92.05749999999999</v>
      </c>
      <c r="E139" s="870"/>
      <c r="F139" s="872">
        <v>1774</v>
      </c>
      <c r="G139" s="863"/>
      <c r="H139" s="864"/>
      <c r="I139" s="863">
        <v>1774</v>
      </c>
      <c r="J139" s="864">
        <f t="shared" si="6"/>
        <v>1</v>
      </c>
      <c r="K139" s="863"/>
      <c r="L139" s="864"/>
      <c r="M139" s="863"/>
      <c r="N139" s="873"/>
      <c r="O139" s="932"/>
    </row>
    <row r="140" spans="1:15">
      <c r="A140" s="869" t="s">
        <v>1051</v>
      </c>
      <c r="B140" s="870" t="s">
        <v>963</v>
      </c>
      <c r="C140" s="870" t="s">
        <v>49</v>
      </c>
      <c r="D140" s="871">
        <v>215.625</v>
      </c>
      <c r="E140" s="870"/>
      <c r="F140" s="872">
        <v>7079.13</v>
      </c>
      <c r="G140" s="863"/>
      <c r="H140" s="864"/>
      <c r="I140" s="863">
        <v>7079.13</v>
      </c>
      <c r="J140" s="864">
        <f t="shared" si="6"/>
        <v>1</v>
      </c>
      <c r="K140" s="863"/>
      <c r="L140" s="864"/>
      <c r="M140" s="863"/>
      <c r="N140" s="873"/>
      <c r="O140" s="932"/>
    </row>
    <row r="141" spans="1:15">
      <c r="A141" s="869" t="s">
        <v>1052</v>
      </c>
      <c r="B141" s="870" t="s">
        <v>964</v>
      </c>
      <c r="C141" s="870" t="s">
        <v>50</v>
      </c>
      <c r="D141" s="871">
        <v>78.605999999999995</v>
      </c>
      <c r="E141" s="870"/>
      <c r="F141" s="872">
        <v>38712.28</v>
      </c>
      <c r="G141" s="863"/>
      <c r="H141" s="864"/>
      <c r="I141" s="863"/>
      <c r="J141" s="864"/>
      <c r="K141" s="863">
        <v>38712.28</v>
      </c>
      <c r="L141" s="864">
        <f>K141/F141</f>
        <v>1</v>
      </c>
      <c r="M141" s="863"/>
      <c r="N141" s="873"/>
      <c r="O141" s="932"/>
    </row>
    <row r="142" spans="1:15">
      <c r="A142" s="869" t="s">
        <v>1053</v>
      </c>
      <c r="B142" s="870" t="s">
        <v>965</v>
      </c>
      <c r="C142" s="870" t="s">
        <v>420</v>
      </c>
      <c r="D142" s="871">
        <v>4585.3917999999994</v>
      </c>
      <c r="E142" s="870"/>
      <c r="F142" s="872">
        <v>21780.6</v>
      </c>
      <c r="G142" s="863"/>
      <c r="H142" s="864"/>
      <c r="I142" s="863">
        <v>11463.47</v>
      </c>
      <c r="J142" s="864">
        <f t="shared" si="6"/>
        <v>0.52631562032267243</v>
      </c>
      <c r="K142" s="863">
        <v>10317.129999999999</v>
      </c>
      <c r="L142" s="864">
        <f t="shared" ref="L142:L169" si="7">K142/F142</f>
        <v>0.47368437967732752</v>
      </c>
      <c r="M142" s="863"/>
      <c r="N142" s="873"/>
      <c r="O142" s="932"/>
    </row>
    <row r="143" spans="1:15">
      <c r="A143" s="869" t="s">
        <v>1054</v>
      </c>
      <c r="B143" s="870" t="s">
        <v>966</v>
      </c>
      <c r="C143" s="870" t="s">
        <v>49</v>
      </c>
      <c r="D143" s="871">
        <v>215.625</v>
      </c>
      <c r="E143" s="870"/>
      <c r="F143" s="872">
        <v>521.82000000000005</v>
      </c>
      <c r="G143" s="863"/>
      <c r="H143" s="864"/>
      <c r="I143" s="863"/>
      <c r="J143" s="864"/>
      <c r="K143" s="863">
        <v>521.82000000000005</v>
      </c>
      <c r="L143" s="864">
        <f t="shared" si="7"/>
        <v>1</v>
      </c>
      <c r="M143" s="863"/>
      <c r="N143" s="873"/>
      <c r="O143" s="932"/>
    </row>
    <row r="144" spans="1:15">
      <c r="A144" s="869" t="s">
        <v>1055</v>
      </c>
      <c r="B144" s="870" t="s">
        <v>967</v>
      </c>
      <c r="C144" s="870" t="s">
        <v>51</v>
      </c>
      <c r="D144" s="871">
        <v>31.25</v>
      </c>
      <c r="E144" s="870"/>
      <c r="F144" s="872">
        <v>191.25</v>
      </c>
      <c r="G144" s="863"/>
      <c r="H144" s="864"/>
      <c r="I144" s="863"/>
      <c r="J144" s="864"/>
      <c r="K144" s="863">
        <v>191.25</v>
      </c>
      <c r="L144" s="864">
        <f t="shared" si="7"/>
        <v>1</v>
      </c>
      <c r="M144" s="863"/>
      <c r="N144" s="873"/>
      <c r="O144" s="932"/>
    </row>
    <row r="145" spans="1:15">
      <c r="A145" s="875" t="s">
        <v>645</v>
      </c>
      <c r="B145" s="876" t="s">
        <v>968</v>
      </c>
      <c r="C145" s="876"/>
      <c r="D145" s="877"/>
      <c r="E145" s="876"/>
      <c r="F145" s="878">
        <v>5169.8599999999997</v>
      </c>
      <c r="G145" s="863"/>
      <c r="H145" s="864"/>
      <c r="I145" s="863"/>
      <c r="J145" s="864"/>
      <c r="K145" s="863"/>
      <c r="L145" s="864"/>
      <c r="M145" s="863"/>
      <c r="N145" s="873"/>
      <c r="O145" s="932"/>
    </row>
    <row r="146" spans="1:15">
      <c r="A146" s="879" t="s">
        <v>646</v>
      </c>
      <c r="B146" s="880" t="s">
        <v>955</v>
      </c>
      <c r="C146" s="880"/>
      <c r="D146" s="881"/>
      <c r="E146" s="880"/>
      <c r="F146" s="882">
        <v>15.42</v>
      </c>
      <c r="G146" s="863"/>
      <c r="H146" s="864"/>
      <c r="I146" s="863"/>
      <c r="J146" s="864"/>
      <c r="K146" s="863"/>
      <c r="L146" s="864"/>
      <c r="M146" s="863"/>
      <c r="N146" s="873"/>
      <c r="O146" s="932"/>
    </row>
    <row r="147" spans="1:15">
      <c r="A147" s="869" t="s">
        <v>1056</v>
      </c>
      <c r="B147" s="870" t="s">
        <v>956</v>
      </c>
      <c r="C147" s="870" t="s">
        <v>49</v>
      </c>
      <c r="D147" s="871">
        <v>10.56</v>
      </c>
      <c r="E147" s="870"/>
      <c r="F147" s="872">
        <v>15.42</v>
      </c>
      <c r="G147" s="863">
        <f>'FE3-1 '!K453</f>
        <v>0</v>
      </c>
      <c r="H147" s="864">
        <f>G147/F147</f>
        <v>0</v>
      </c>
      <c r="I147" s="863"/>
      <c r="J147" s="864"/>
      <c r="K147" s="863"/>
      <c r="L147" s="864"/>
      <c r="M147" s="863"/>
      <c r="N147" s="873"/>
      <c r="O147" s="932"/>
    </row>
    <row r="148" spans="1:15">
      <c r="A148" s="879" t="s">
        <v>647</v>
      </c>
      <c r="B148" s="880" t="s">
        <v>957</v>
      </c>
      <c r="C148" s="880"/>
      <c r="D148" s="881"/>
      <c r="E148" s="880"/>
      <c r="F148" s="882">
        <v>751.92</v>
      </c>
      <c r="G148" s="863"/>
      <c r="H148" s="864"/>
      <c r="I148" s="863"/>
      <c r="J148" s="864"/>
      <c r="K148" s="863"/>
      <c r="L148" s="864"/>
      <c r="M148" s="863"/>
      <c r="N148" s="873"/>
      <c r="O148" s="932"/>
    </row>
    <row r="149" spans="1:15">
      <c r="A149" s="869" t="s">
        <v>1057</v>
      </c>
      <c r="B149" s="870" t="s">
        <v>958</v>
      </c>
      <c r="C149" s="870" t="s">
        <v>50</v>
      </c>
      <c r="D149" s="871">
        <v>6.1644000000000005</v>
      </c>
      <c r="E149" s="870"/>
      <c r="F149" s="872">
        <v>156.77000000000001</v>
      </c>
      <c r="G149" s="863"/>
      <c r="H149" s="864"/>
      <c r="I149" s="863">
        <v>156.77000000000001</v>
      </c>
      <c r="J149" s="864">
        <f t="shared" ref="J149:J156" si="8">I149/F149</f>
        <v>1</v>
      </c>
      <c r="K149" s="863"/>
      <c r="L149" s="864"/>
      <c r="M149" s="863"/>
      <c r="N149" s="873"/>
      <c r="O149" s="932"/>
    </row>
    <row r="150" spans="1:15">
      <c r="A150" s="869" t="s">
        <v>1058</v>
      </c>
      <c r="B150" s="870" t="s">
        <v>959</v>
      </c>
      <c r="C150" s="870" t="s">
        <v>50</v>
      </c>
      <c r="D150" s="871">
        <v>17.071999999999999</v>
      </c>
      <c r="E150" s="870"/>
      <c r="F150" s="872">
        <v>53.77</v>
      </c>
      <c r="G150" s="863">
        <f>'FE3-1 '!K456</f>
        <v>0</v>
      </c>
      <c r="H150" s="864">
        <f t="shared" ref="H150:H151" si="9">G150/F150</f>
        <v>0</v>
      </c>
      <c r="I150" s="863"/>
      <c r="J150" s="864"/>
      <c r="K150" s="863"/>
      <c r="L150" s="864"/>
      <c r="M150" s="863"/>
      <c r="N150" s="873"/>
      <c r="O150" s="932"/>
    </row>
    <row r="151" spans="1:15">
      <c r="A151" s="869" t="s">
        <v>1059</v>
      </c>
      <c r="B151" s="870" t="s">
        <v>960</v>
      </c>
      <c r="C151" s="870" t="s">
        <v>50</v>
      </c>
      <c r="D151" s="871">
        <v>13.634499999999999</v>
      </c>
      <c r="E151" s="870"/>
      <c r="F151" s="872">
        <v>541.38</v>
      </c>
      <c r="G151" s="863">
        <f>'FE3-1 '!K457</f>
        <v>0</v>
      </c>
      <c r="H151" s="864">
        <f t="shared" si="9"/>
        <v>0</v>
      </c>
      <c r="I151" s="863"/>
      <c r="J151" s="864"/>
      <c r="K151" s="863"/>
      <c r="L151" s="864"/>
      <c r="M151" s="863"/>
      <c r="N151" s="873"/>
      <c r="O151" s="932"/>
    </row>
    <row r="152" spans="1:15">
      <c r="A152" s="879" t="s">
        <v>648</v>
      </c>
      <c r="B152" s="880" t="s">
        <v>969</v>
      </c>
      <c r="C152" s="880"/>
      <c r="D152" s="881"/>
      <c r="E152" s="880"/>
      <c r="F152" s="882">
        <v>4402.5200000000004</v>
      </c>
      <c r="G152" s="863"/>
      <c r="H152" s="864"/>
      <c r="I152" s="863"/>
      <c r="J152" s="864"/>
      <c r="K152" s="863"/>
      <c r="L152" s="864"/>
      <c r="M152" s="863"/>
      <c r="N152" s="873"/>
      <c r="O152" s="932"/>
    </row>
    <row r="153" spans="1:15">
      <c r="A153" s="869" t="s">
        <v>1060</v>
      </c>
      <c r="B153" s="870" t="s">
        <v>963</v>
      </c>
      <c r="C153" s="870" t="s">
        <v>49</v>
      </c>
      <c r="D153" s="871">
        <v>45.1</v>
      </c>
      <c r="E153" s="870"/>
      <c r="F153" s="872">
        <v>1480.63</v>
      </c>
      <c r="G153" s="863"/>
      <c r="H153" s="864"/>
      <c r="I153" s="863">
        <v>1480.63</v>
      </c>
      <c r="J153" s="864">
        <f t="shared" si="8"/>
        <v>1</v>
      </c>
      <c r="K153" s="863"/>
      <c r="L153" s="864"/>
      <c r="M153" s="863"/>
      <c r="N153" s="873"/>
      <c r="O153" s="932"/>
    </row>
    <row r="154" spans="1:15">
      <c r="A154" s="869" t="s">
        <v>1061</v>
      </c>
      <c r="B154" s="870" t="s">
        <v>970</v>
      </c>
      <c r="C154" s="870" t="s">
        <v>50</v>
      </c>
      <c r="D154" s="871">
        <v>8.9760000000000009</v>
      </c>
      <c r="E154" s="870"/>
      <c r="F154" s="872">
        <v>2787.66</v>
      </c>
      <c r="G154" s="863"/>
      <c r="H154" s="864"/>
      <c r="I154" s="863">
        <v>2787.66</v>
      </c>
      <c r="J154" s="864">
        <f t="shared" si="8"/>
        <v>1</v>
      </c>
      <c r="K154" s="863"/>
      <c r="L154" s="864"/>
      <c r="M154" s="863"/>
      <c r="N154" s="873"/>
      <c r="O154" s="932"/>
    </row>
    <row r="155" spans="1:15">
      <c r="A155" s="869" t="s">
        <v>1062</v>
      </c>
      <c r="B155" s="870" t="s">
        <v>966</v>
      </c>
      <c r="C155" s="870" t="s">
        <v>49</v>
      </c>
      <c r="D155" s="871">
        <v>45.1</v>
      </c>
      <c r="E155" s="870"/>
      <c r="F155" s="872">
        <v>109.14</v>
      </c>
      <c r="G155" s="863"/>
      <c r="H155" s="864"/>
      <c r="I155" s="863">
        <v>109.14</v>
      </c>
      <c r="J155" s="864">
        <f t="shared" si="8"/>
        <v>1</v>
      </c>
      <c r="K155" s="863"/>
      <c r="L155" s="864"/>
      <c r="M155" s="863"/>
      <c r="N155" s="873"/>
      <c r="O155" s="932"/>
    </row>
    <row r="156" spans="1:15">
      <c r="A156" s="869" t="s">
        <v>1063</v>
      </c>
      <c r="B156" s="870" t="s">
        <v>967</v>
      </c>
      <c r="C156" s="870" t="s">
        <v>51</v>
      </c>
      <c r="D156" s="871">
        <v>4.0999999999999996</v>
      </c>
      <c r="E156" s="870"/>
      <c r="F156" s="872">
        <v>25.09</v>
      </c>
      <c r="G156" s="863"/>
      <c r="H156" s="864"/>
      <c r="I156" s="863">
        <v>25.09</v>
      </c>
      <c r="J156" s="864">
        <f t="shared" si="8"/>
        <v>1</v>
      </c>
      <c r="K156" s="863"/>
      <c r="L156" s="864"/>
      <c r="M156" s="863"/>
      <c r="N156" s="873"/>
      <c r="O156" s="932"/>
    </row>
    <row r="157" spans="1:15">
      <c r="A157" s="866" t="s">
        <v>653</v>
      </c>
      <c r="B157" s="867" t="s">
        <v>663</v>
      </c>
      <c r="C157" s="867"/>
      <c r="D157" s="874"/>
      <c r="E157" s="867"/>
      <c r="F157" s="868">
        <v>1970</v>
      </c>
      <c r="G157" s="863"/>
      <c r="H157" s="864"/>
      <c r="I157" s="863"/>
      <c r="J157" s="864"/>
      <c r="K157" s="863"/>
      <c r="L157" s="864"/>
      <c r="M157" s="863"/>
      <c r="N157" s="873"/>
      <c r="O157" s="932"/>
    </row>
    <row r="158" spans="1:15">
      <c r="A158" s="869" t="s">
        <v>655</v>
      </c>
      <c r="B158" s="870" t="s">
        <v>666</v>
      </c>
      <c r="C158" s="870" t="s">
        <v>52</v>
      </c>
      <c r="D158" s="871">
        <v>18</v>
      </c>
      <c r="E158" s="870"/>
      <c r="F158" s="872">
        <v>630</v>
      </c>
      <c r="G158" s="863"/>
      <c r="H158" s="864"/>
      <c r="I158" s="863"/>
      <c r="J158" s="864"/>
      <c r="K158" s="863">
        <v>210</v>
      </c>
      <c r="L158" s="864">
        <f t="shared" si="7"/>
        <v>0.33333333333333331</v>
      </c>
      <c r="M158" s="863">
        <v>420</v>
      </c>
      <c r="N158" s="873">
        <f>M158/F158</f>
        <v>0.66666666666666663</v>
      </c>
      <c r="O158" s="932"/>
    </row>
    <row r="159" spans="1:15">
      <c r="A159" s="869" t="s">
        <v>656</v>
      </c>
      <c r="B159" s="870" t="s">
        <v>667</v>
      </c>
      <c r="C159" s="870" t="s">
        <v>52</v>
      </c>
      <c r="D159" s="871">
        <v>4</v>
      </c>
      <c r="E159" s="870"/>
      <c r="F159" s="872">
        <v>140</v>
      </c>
      <c r="G159" s="863"/>
      <c r="H159" s="864"/>
      <c r="I159" s="863">
        <v>140</v>
      </c>
      <c r="J159" s="864">
        <f>I159/F159</f>
        <v>1</v>
      </c>
      <c r="K159" s="863"/>
      <c r="L159" s="864"/>
      <c r="M159" s="863"/>
      <c r="N159" s="873"/>
      <c r="O159" s="932"/>
    </row>
    <row r="160" spans="1:15">
      <c r="A160" s="869" t="s">
        <v>658</v>
      </c>
      <c r="B160" s="870" t="s">
        <v>971</v>
      </c>
      <c r="C160" s="870" t="s">
        <v>52</v>
      </c>
      <c r="D160" s="871">
        <v>2</v>
      </c>
      <c r="E160" s="870"/>
      <c r="F160" s="872">
        <v>900</v>
      </c>
      <c r="G160" s="863"/>
      <c r="H160" s="864"/>
      <c r="I160" s="863">
        <v>900</v>
      </c>
      <c r="J160" s="864"/>
      <c r="K160" s="863"/>
      <c r="L160" s="864"/>
      <c r="M160" s="863"/>
      <c r="N160" s="873"/>
      <c r="O160" s="932"/>
    </row>
    <row r="161" spans="1:15">
      <c r="A161" s="869" t="s">
        <v>659</v>
      </c>
      <c r="B161" s="870" t="s">
        <v>665</v>
      </c>
      <c r="C161" s="870" t="s">
        <v>52</v>
      </c>
      <c r="D161" s="871">
        <v>2</v>
      </c>
      <c r="E161" s="870"/>
      <c r="F161" s="872">
        <v>300</v>
      </c>
      <c r="G161" s="863"/>
      <c r="H161" s="864"/>
      <c r="I161" s="863">
        <v>300</v>
      </c>
      <c r="J161" s="864"/>
      <c r="K161" s="863"/>
      <c r="L161" s="864"/>
      <c r="M161" s="863"/>
      <c r="N161" s="873"/>
      <c r="O161" s="932"/>
    </row>
    <row r="162" spans="1:15">
      <c r="A162" s="866" t="s">
        <v>660</v>
      </c>
      <c r="B162" s="867" t="s">
        <v>705</v>
      </c>
      <c r="C162" s="867"/>
      <c r="D162" s="874"/>
      <c r="E162" s="867"/>
      <c r="F162" s="868">
        <v>548.25</v>
      </c>
      <c r="G162" s="863"/>
      <c r="H162" s="864"/>
      <c r="I162" s="863"/>
      <c r="J162" s="864"/>
      <c r="K162" s="863"/>
      <c r="L162" s="864"/>
      <c r="M162" s="863"/>
      <c r="N162" s="873"/>
      <c r="O162" s="932"/>
    </row>
    <row r="163" spans="1:15">
      <c r="A163" s="869" t="s">
        <v>661</v>
      </c>
      <c r="B163" s="870" t="s">
        <v>972</v>
      </c>
      <c r="C163" s="870" t="s">
        <v>49</v>
      </c>
      <c r="D163" s="871">
        <v>1522.9070000000002</v>
      </c>
      <c r="E163" s="870"/>
      <c r="F163" s="872">
        <v>548.25</v>
      </c>
      <c r="G163" s="863"/>
      <c r="H163" s="864"/>
      <c r="I163" s="863"/>
      <c r="J163" s="864"/>
      <c r="K163" s="863"/>
      <c r="L163" s="864"/>
      <c r="M163" s="863">
        <v>548.25</v>
      </c>
      <c r="N163" s="873">
        <f>M163/F163</f>
        <v>1</v>
      </c>
      <c r="O163" s="932"/>
    </row>
    <row r="164" spans="1:15">
      <c r="A164" s="866" t="s">
        <v>662</v>
      </c>
      <c r="B164" s="867" t="s">
        <v>973</v>
      </c>
      <c r="C164" s="867"/>
      <c r="D164" s="874"/>
      <c r="E164" s="867"/>
      <c r="F164" s="868">
        <v>16205.35</v>
      </c>
      <c r="G164" s="863"/>
      <c r="H164" s="864"/>
      <c r="I164" s="863"/>
      <c r="J164" s="864"/>
      <c r="K164" s="863"/>
      <c r="L164" s="864"/>
      <c r="M164" s="863"/>
      <c r="N164" s="873"/>
      <c r="O164" s="932"/>
    </row>
    <row r="165" spans="1:15">
      <c r="A165" s="875" t="s">
        <v>664</v>
      </c>
      <c r="B165" s="876" t="s">
        <v>974</v>
      </c>
      <c r="C165" s="876"/>
      <c r="D165" s="877"/>
      <c r="E165" s="876"/>
      <c r="F165" s="878">
        <v>16205.35</v>
      </c>
      <c r="G165" s="863"/>
      <c r="H165" s="864"/>
      <c r="I165" s="863"/>
      <c r="J165" s="864"/>
      <c r="K165" s="863"/>
      <c r="L165" s="864"/>
      <c r="M165" s="863"/>
      <c r="N165" s="873"/>
      <c r="O165" s="932"/>
    </row>
    <row r="166" spans="1:15">
      <c r="A166" s="869" t="s">
        <v>1064</v>
      </c>
      <c r="B166" s="870" t="s">
        <v>975</v>
      </c>
      <c r="C166" s="870" t="s">
        <v>49</v>
      </c>
      <c r="D166" s="871">
        <v>54.68</v>
      </c>
      <c r="E166" s="870"/>
      <c r="F166" s="872">
        <v>757.86</v>
      </c>
      <c r="G166" s="863"/>
      <c r="H166" s="864"/>
      <c r="I166" s="863"/>
      <c r="J166" s="864"/>
      <c r="K166" s="863">
        <v>757.86</v>
      </c>
      <c r="L166" s="864">
        <f t="shared" si="7"/>
        <v>1</v>
      </c>
      <c r="M166" s="863"/>
      <c r="N166" s="873"/>
      <c r="O166" s="932"/>
    </row>
    <row r="167" spans="1:15">
      <c r="A167" s="869" t="s">
        <v>1065</v>
      </c>
      <c r="B167" s="870" t="s">
        <v>976</v>
      </c>
      <c r="C167" s="870" t="s">
        <v>51</v>
      </c>
      <c r="D167" s="871">
        <v>837.54</v>
      </c>
      <c r="E167" s="870"/>
      <c r="F167" s="872">
        <v>8718.7900000000009</v>
      </c>
      <c r="G167" s="863"/>
      <c r="H167" s="864"/>
      <c r="I167" s="863"/>
      <c r="J167" s="864"/>
      <c r="K167" s="863">
        <v>8718.7900000000009</v>
      </c>
      <c r="L167" s="864">
        <f t="shared" si="7"/>
        <v>1</v>
      </c>
      <c r="M167" s="863"/>
      <c r="N167" s="873"/>
      <c r="O167" s="932"/>
    </row>
    <row r="168" spans="1:15">
      <c r="A168" s="869" t="s">
        <v>1066</v>
      </c>
      <c r="B168" s="870" t="s">
        <v>977</v>
      </c>
      <c r="C168" s="870" t="s">
        <v>51</v>
      </c>
      <c r="D168" s="871">
        <v>558.36</v>
      </c>
      <c r="E168" s="870"/>
      <c r="F168" s="872">
        <v>6024.7</v>
      </c>
      <c r="G168" s="863"/>
      <c r="H168" s="864"/>
      <c r="I168" s="863"/>
      <c r="J168" s="864"/>
      <c r="K168" s="863"/>
      <c r="L168" s="864"/>
      <c r="M168" s="863">
        <v>6024.7</v>
      </c>
      <c r="N168" s="873">
        <f t="shared" ref="N168:N183" si="10">M168/F168</f>
        <v>1</v>
      </c>
      <c r="O168" s="932"/>
    </row>
    <row r="169" spans="1:15">
      <c r="A169" s="869" t="s">
        <v>1067</v>
      </c>
      <c r="B169" s="870" t="s">
        <v>978</v>
      </c>
      <c r="C169" s="870" t="s">
        <v>52</v>
      </c>
      <c r="D169" s="871">
        <v>4</v>
      </c>
      <c r="E169" s="870"/>
      <c r="F169" s="872">
        <v>704</v>
      </c>
      <c r="G169" s="863"/>
      <c r="H169" s="864"/>
      <c r="I169" s="863"/>
      <c r="J169" s="864"/>
      <c r="K169" s="863">
        <v>704</v>
      </c>
      <c r="L169" s="864">
        <f t="shared" si="7"/>
        <v>1</v>
      </c>
      <c r="M169" s="863"/>
      <c r="N169" s="873"/>
      <c r="O169" s="932"/>
    </row>
    <row r="170" spans="1:15">
      <c r="A170" s="866" t="s">
        <v>668</v>
      </c>
      <c r="B170" s="867" t="s">
        <v>671</v>
      </c>
      <c r="C170" s="867"/>
      <c r="D170" s="874"/>
      <c r="E170" s="867"/>
      <c r="F170" s="868">
        <v>450</v>
      </c>
      <c r="G170" s="863"/>
      <c r="H170" s="864"/>
      <c r="I170" s="863"/>
      <c r="J170" s="864"/>
      <c r="K170" s="863"/>
      <c r="L170" s="864"/>
      <c r="M170" s="863"/>
      <c r="N170" s="873"/>
      <c r="O170" s="932"/>
    </row>
    <row r="171" spans="1:15">
      <c r="A171" s="869" t="s">
        <v>669</v>
      </c>
      <c r="B171" s="870" t="s">
        <v>673</v>
      </c>
      <c r="C171" s="870" t="s">
        <v>52</v>
      </c>
      <c r="D171" s="871">
        <v>1</v>
      </c>
      <c r="E171" s="870"/>
      <c r="F171" s="872">
        <v>450</v>
      </c>
      <c r="G171" s="863"/>
      <c r="H171" s="864"/>
      <c r="I171" s="863"/>
      <c r="J171" s="864"/>
      <c r="K171" s="863"/>
      <c r="L171" s="864"/>
      <c r="M171" s="863">
        <v>450</v>
      </c>
      <c r="N171" s="873">
        <f t="shared" si="10"/>
        <v>1</v>
      </c>
      <c r="O171" s="932"/>
    </row>
    <row r="172" spans="1:15">
      <c r="A172" s="866" t="s">
        <v>670</v>
      </c>
      <c r="B172" s="867" t="s">
        <v>979</v>
      </c>
      <c r="C172" s="867"/>
      <c r="D172" s="874"/>
      <c r="E172" s="867"/>
      <c r="F172" s="868">
        <v>11380.63</v>
      </c>
      <c r="G172" s="863"/>
      <c r="H172" s="864"/>
      <c r="I172" s="863"/>
      <c r="J172" s="864"/>
      <c r="K172" s="863"/>
      <c r="L172" s="864"/>
      <c r="M172" s="863"/>
      <c r="N172" s="873"/>
      <c r="O172" s="932"/>
    </row>
    <row r="173" spans="1:15">
      <c r="A173" s="869" t="s">
        <v>672</v>
      </c>
      <c r="B173" s="870" t="s">
        <v>980</v>
      </c>
      <c r="C173" s="870" t="s">
        <v>291</v>
      </c>
      <c r="D173" s="871">
        <v>1</v>
      </c>
      <c r="E173" s="870"/>
      <c r="F173" s="872">
        <v>11380.63</v>
      </c>
      <c r="G173" s="863"/>
      <c r="H173" s="864"/>
      <c r="I173" s="863">
        <f>F173-G173</f>
        <v>11380.63</v>
      </c>
      <c r="J173" s="864">
        <f>I173/F173</f>
        <v>1</v>
      </c>
      <c r="K173" s="863"/>
      <c r="L173" s="864"/>
      <c r="M173" s="863"/>
      <c r="N173" s="873"/>
      <c r="O173" s="932"/>
    </row>
    <row r="174" spans="1:15">
      <c r="A174" s="883" t="s">
        <v>35</v>
      </c>
      <c r="B174" s="884" t="s">
        <v>981</v>
      </c>
      <c r="C174" s="884"/>
      <c r="D174" s="885"/>
      <c r="E174" s="884"/>
      <c r="F174" s="886">
        <v>115313.7</v>
      </c>
      <c r="G174" s="863"/>
      <c r="H174" s="864"/>
      <c r="I174" s="863"/>
      <c r="J174" s="864"/>
      <c r="K174" s="863"/>
      <c r="L174" s="864"/>
      <c r="M174" s="863"/>
      <c r="N174" s="873"/>
      <c r="O174" s="932"/>
    </row>
    <row r="175" spans="1:15">
      <c r="A175" s="866" t="s">
        <v>45</v>
      </c>
      <c r="B175" s="867" t="s">
        <v>688</v>
      </c>
      <c r="C175" s="867"/>
      <c r="D175" s="874"/>
      <c r="E175" s="867"/>
      <c r="F175" s="868">
        <v>38013.22</v>
      </c>
      <c r="G175" s="863"/>
      <c r="H175" s="864"/>
      <c r="I175" s="863"/>
      <c r="J175" s="864"/>
      <c r="K175" s="863"/>
      <c r="L175" s="864"/>
      <c r="M175" s="863"/>
      <c r="N175" s="873"/>
      <c r="O175" s="932"/>
    </row>
    <row r="176" spans="1:15">
      <c r="A176" s="875" t="s">
        <v>675</v>
      </c>
      <c r="B176" s="876" t="s">
        <v>561</v>
      </c>
      <c r="C176" s="876"/>
      <c r="D176" s="877"/>
      <c r="E176" s="876"/>
      <c r="F176" s="878">
        <v>2336.59</v>
      </c>
      <c r="G176" s="863"/>
      <c r="H176" s="864"/>
      <c r="I176" s="863"/>
      <c r="J176" s="864"/>
      <c r="K176" s="863"/>
      <c r="L176" s="864"/>
      <c r="M176" s="863"/>
      <c r="N176" s="873"/>
      <c r="O176" s="932"/>
    </row>
    <row r="177" spans="1:15">
      <c r="A177" s="869" t="s">
        <v>676</v>
      </c>
      <c r="B177" s="870" t="s">
        <v>691</v>
      </c>
      <c r="C177" s="870" t="s">
        <v>50</v>
      </c>
      <c r="D177" s="871">
        <v>38.082599999999992</v>
      </c>
      <c r="E177" s="870"/>
      <c r="F177" s="872">
        <v>1470.27</v>
      </c>
      <c r="G177" s="863"/>
      <c r="H177" s="864"/>
      <c r="I177" s="863">
        <v>1470.27</v>
      </c>
      <c r="J177" s="864">
        <f>I177/F177</f>
        <v>1</v>
      </c>
      <c r="K177" s="863"/>
      <c r="L177" s="864"/>
      <c r="M177" s="863"/>
      <c r="N177" s="873"/>
      <c r="O177" s="932"/>
    </row>
    <row r="178" spans="1:15">
      <c r="A178" s="869" t="s">
        <v>678</v>
      </c>
      <c r="B178" s="870" t="s">
        <v>919</v>
      </c>
      <c r="C178" s="870" t="s">
        <v>50</v>
      </c>
      <c r="D178" s="871">
        <v>47.603249999999989</v>
      </c>
      <c r="E178" s="870"/>
      <c r="F178" s="872">
        <v>866.32</v>
      </c>
      <c r="G178" s="863"/>
      <c r="H178" s="864"/>
      <c r="I178" s="863">
        <v>866.32</v>
      </c>
      <c r="J178" s="864">
        <v>1</v>
      </c>
      <c r="K178" s="863"/>
      <c r="L178" s="864"/>
      <c r="M178" s="863"/>
      <c r="N178" s="873"/>
      <c r="O178" s="932"/>
    </row>
    <row r="179" spans="1:15">
      <c r="A179" s="875" t="s">
        <v>679</v>
      </c>
      <c r="B179" s="876" t="s">
        <v>694</v>
      </c>
      <c r="C179" s="876"/>
      <c r="D179" s="877"/>
      <c r="E179" s="876"/>
      <c r="F179" s="878">
        <v>35676.629999999997</v>
      </c>
      <c r="G179" s="863"/>
      <c r="H179" s="864"/>
      <c r="I179" s="863"/>
      <c r="J179" s="864"/>
      <c r="K179" s="863"/>
      <c r="L179" s="864"/>
      <c r="M179" s="863"/>
      <c r="N179" s="873"/>
      <c r="O179" s="932"/>
    </row>
    <row r="180" spans="1:15">
      <c r="A180" s="869" t="s">
        <v>681</v>
      </c>
      <c r="B180" s="870" t="s">
        <v>696</v>
      </c>
      <c r="C180" s="870" t="s">
        <v>49</v>
      </c>
      <c r="D180" s="871">
        <v>677.02399999999989</v>
      </c>
      <c r="E180" s="870"/>
      <c r="F180" s="872">
        <v>9011.14</v>
      </c>
      <c r="G180" s="863"/>
      <c r="H180" s="864"/>
      <c r="I180" s="863">
        <v>2574.61</v>
      </c>
      <c r="J180" s="864">
        <f>I180/F180</f>
        <v>0.28571412718035677</v>
      </c>
      <c r="K180" s="863">
        <v>6436.53</v>
      </c>
      <c r="L180" s="864">
        <f>K180/F180</f>
        <v>0.71428587281964329</v>
      </c>
      <c r="M180" s="863"/>
      <c r="N180" s="873"/>
      <c r="O180" s="932"/>
    </row>
    <row r="181" spans="1:15">
      <c r="A181" s="869" t="s">
        <v>682</v>
      </c>
      <c r="B181" s="870" t="s">
        <v>982</v>
      </c>
      <c r="C181" s="870" t="s">
        <v>50</v>
      </c>
      <c r="D181" s="871">
        <v>51.6858</v>
      </c>
      <c r="E181" s="870"/>
      <c r="F181" s="872">
        <v>23993.46</v>
      </c>
      <c r="G181" s="863"/>
      <c r="H181" s="864"/>
      <c r="I181" s="863"/>
      <c r="J181" s="864"/>
      <c r="K181" s="863">
        <v>23993.46</v>
      </c>
      <c r="L181" s="864">
        <f>K181/F181</f>
        <v>1</v>
      </c>
      <c r="M181" s="863"/>
      <c r="N181" s="873"/>
      <c r="O181" s="932"/>
    </row>
    <row r="182" spans="1:15">
      <c r="A182" s="869" t="s">
        <v>684</v>
      </c>
      <c r="B182" s="870" t="s">
        <v>573</v>
      </c>
      <c r="C182" s="870" t="s">
        <v>49</v>
      </c>
      <c r="D182" s="871">
        <v>236.95839999999995</v>
      </c>
      <c r="E182" s="870"/>
      <c r="F182" s="872">
        <v>1853.03</v>
      </c>
      <c r="G182" s="863"/>
      <c r="H182" s="864"/>
      <c r="I182" s="863"/>
      <c r="J182" s="864"/>
      <c r="K182" s="863">
        <v>1853.03</v>
      </c>
      <c r="L182" s="864">
        <f>K182/F182</f>
        <v>1</v>
      </c>
      <c r="M182" s="863"/>
      <c r="N182" s="873"/>
      <c r="O182" s="932"/>
    </row>
    <row r="183" spans="1:15">
      <c r="A183" s="869" t="s">
        <v>685</v>
      </c>
      <c r="B183" s="870" t="s">
        <v>572</v>
      </c>
      <c r="C183" s="870" t="s">
        <v>51</v>
      </c>
      <c r="D183" s="871">
        <v>109.19999999999997</v>
      </c>
      <c r="E183" s="870"/>
      <c r="F183" s="872">
        <v>819</v>
      </c>
      <c r="G183" s="863"/>
      <c r="H183" s="864"/>
      <c r="I183" s="863"/>
      <c r="J183" s="864"/>
      <c r="K183" s="863"/>
      <c r="L183" s="864"/>
      <c r="M183" s="863">
        <v>819</v>
      </c>
      <c r="N183" s="873">
        <f t="shared" si="10"/>
        <v>1</v>
      </c>
      <c r="O183" s="932"/>
    </row>
    <row r="184" spans="1:15">
      <c r="A184" s="866" t="s">
        <v>116</v>
      </c>
      <c r="B184" s="867" t="s">
        <v>674</v>
      </c>
      <c r="C184" s="867"/>
      <c r="D184" s="874"/>
      <c r="E184" s="867"/>
      <c r="F184" s="868">
        <v>72868.899999999994</v>
      </c>
      <c r="G184" s="863"/>
      <c r="H184" s="864"/>
      <c r="I184" s="863"/>
      <c r="J184" s="864"/>
      <c r="K184" s="863"/>
      <c r="L184" s="864"/>
      <c r="M184" s="863"/>
      <c r="N184" s="873"/>
      <c r="O184" s="932"/>
    </row>
    <row r="185" spans="1:15">
      <c r="A185" s="875" t="s">
        <v>689</v>
      </c>
      <c r="B185" s="876" t="s">
        <v>408</v>
      </c>
      <c r="C185" s="876"/>
      <c r="D185" s="877"/>
      <c r="E185" s="876"/>
      <c r="F185" s="878">
        <v>3350.37</v>
      </c>
      <c r="G185" s="863"/>
      <c r="H185" s="864"/>
      <c r="I185" s="863"/>
      <c r="J185" s="864"/>
      <c r="K185" s="863"/>
      <c r="L185" s="864"/>
      <c r="M185" s="863"/>
      <c r="N185" s="873"/>
      <c r="O185" s="932"/>
    </row>
    <row r="186" spans="1:15">
      <c r="A186" s="869" t="s">
        <v>690</v>
      </c>
      <c r="B186" s="870" t="s">
        <v>559</v>
      </c>
      <c r="C186" s="870" t="s">
        <v>49</v>
      </c>
      <c r="D186" s="871">
        <v>598.27499999999998</v>
      </c>
      <c r="E186" s="870"/>
      <c r="F186" s="872">
        <v>873.49</v>
      </c>
      <c r="G186" s="863">
        <f>'FE3-1 '!K492</f>
        <v>0</v>
      </c>
      <c r="H186" s="864">
        <f>G186/F186</f>
        <v>0</v>
      </c>
      <c r="I186" s="863"/>
      <c r="J186" s="864"/>
      <c r="K186" s="863"/>
      <c r="L186" s="864"/>
      <c r="M186" s="863"/>
      <c r="N186" s="873"/>
      <c r="O186" s="932"/>
    </row>
    <row r="187" spans="1:15">
      <c r="A187" s="869" t="s">
        <v>692</v>
      </c>
      <c r="B187" s="870" t="s">
        <v>983</v>
      </c>
      <c r="C187" s="870" t="s">
        <v>49</v>
      </c>
      <c r="D187" s="871">
        <v>598.27499999999998</v>
      </c>
      <c r="E187" s="870"/>
      <c r="F187" s="872">
        <v>2476.88</v>
      </c>
      <c r="G187" s="863">
        <f>'FE3-1 '!K493</f>
        <v>0</v>
      </c>
      <c r="H187" s="864">
        <f>G187/F187</f>
        <v>0</v>
      </c>
      <c r="I187" s="863">
        <v>1238.44</v>
      </c>
      <c r="J187" s="864">
        <f t="shared" ref="J187:J204" si="11">I187/F187</f>
        <v>0.5</v>
      </c>
      <c r="K187" s="863"/>
      <c r="L187" s="864"/>
      <c r="M187" s="863"/>
      <c r="N187" s="873"/>
      <c r="O187" s="932"/>
    </row>
    <row r="188" spans="1:15">
      <c r="A188" s="875" t="s">
        <v>693</v>
      </c>
      <c r="B188" s="876" t="s">
        <v>561</v>
      </c>
      <c r="C188" s="876"/>
      <c r="D188" s="877"/>
      <c r="E188" s="876"/>
      <c r="F188" s="878">
        <v>17089.560000000001</v>
      </c>
      <c r="G188" s="863"/>
      <c r="H188" s="864"/>
      <c r="I188" s="863"/>
      <c r="J188" s="864"/>
      <c r="K188" s="863"/>
      <c r="L188" s="864"/>
      <c r="M188" s="863"/>
      <c r="N188" s="873"/>
      <c r="O188" s="932"/>
    </row>
    <row r="189" spans="1:15">
      <c r="A189" s="869" t="s">
        <v>695</v>
      </c>
      <c r="B189" s="870" t="s">
        <v>677</v>
      </c>
      <c r="C189" s="870" t="s">
        <v>50</v>
      </c>
      <c r="D189" s="871">
        <v>239.31000000000003</v>
      </c>
      <c r="E189" s="870"/>
      <c r="F189" s="872">
        <v>6360.86</v>
      </c>
      <c r="G189" s="863" t="e">
        <f>'FE3-1 '!#REF!</f>
        <v>#REF!</v>
      </c>
      <c r="H189" s="864" t="e">
        <f>G189/F189</f>
        <v>#REF!</v>
      </c>
      <c r="I189" s="863">
        <v>3180.43</v>
      </c>
      <c r="J189" s="864">
        <f t="shared" si="11"/>
        <v>0.5</v>
      </c>
      <c r="K189" s="863"/>
      <c r="L189" s="864"/>
      <c r="M189" s="863"/>
      <c r="N189" s="873"/>
      <c r="O189" s="932"/>
    </row>
    <row r="190" spans="1:15">
      <c r="A190" s="869" t="s">
        <v>697</v>
      </c>
      <c r="B190" s="870" t="s">
        <v>577</v>
      </c>
      <c r="C190" s="870" t="s">
        <v>49</v>
      </c>
      <c r="D190" s="871">
        <v>598.27499999999998</v>
      </c>
      <c r="E190" s="870"/>
      <c r="F190" s="872">
        <v>5964.85</v>
      </c>
      <c r="G190" s="863"/>
      <c r="H190" s="864"/>
      <c r="I190" s="863">
        <v>5964.85</v>
      </c>
      <c r="J190" s="864">
        <f t="shared" si="11"/>
        <v>1</v>
      </c>
      <c r="K190" s="863"/>
      <c r="L190" s="864"/>
      <c r="M190" s="863"/>
      <c r="N190" s="873"/>
      <c r="O190" s="932"/>
    </row>
    <row r="191" spans="1:15">
      <c r="A191" s="869" t="s">
        <v>698</v>
      </c>
      <c r="B191" s="870" t="s">
        <v>919</v>
      </c>
      <c r="C191" s="870" t="s">
        <v>50</v>
      </c>
      <c r="D191" s="871">
        <v>261.74531250000007</v>
      </c>
      <c r="E191" s="870"/>
      <c r="F191" s="872">
        <v>4763.8500000000004</v>
      </c>
      <c r="G191" s="863" t="e">
        <f>'FE3-1 '!#REF!</f>
        <v>#REF!</v>
      </c>
      <c r="H191" s="864" t="e">
        <f>G191/F191</f>
        <v>#REF!</v>
      </c>
      <c r="I191" s="863">
        <v>2381.9250000000002</v>
      </c>
      <c r="J191" s="864">
        <f t="shared" si="11"/>
        <v>0.5</v>
      </c>
      <c r="K191" s="863"/>
      <c r="L191" s="864"/>
      <c r="M191" s="863"/>
      <c r="N191" s="873"/>
      <c r="O191" s="932"/>
    </row>
    <row r="192" spans="1:15">
      <c r="A192" s="875" t="s">
        <v>1068</v>
      </c>
      <c r="B192" s="876" t="s">
        <v>680</v>
      </c>
      <c r="C192" s="876"/>
      <c r="D192" s="877"/>
      <c r="E192" s="876"/>
      <c r="F192" s="878">
        <v>52428.97</v>
      </c>
      <c r="G192" s="863"/>
      <c r="H192" s="864"/>
      <c r="I192" s="863"/>
      <c r="J192" s="864"/>
      <c r="K192" s="863"/>
      <c r="L192" s="864"/>
      <c r="M192" s="863"/>
      <c r="N192" s="873"/>
      <c r="O192" s="932"/>
    </row>
    <row r="193" spans="1:15">
      <c r="A193" s="869" t="s">
        <v>1069</v>
      </c>
      <c r="B193" s="870" t="s">
        <v>984</v>
      </c>
      <c r="C193" s="870" t="s">
        <v>49</v>
      </c>
      <c r="D193" s="871">
        <v>598.27499999999998</v>
      </c>
      <c r="E193" s="870"/>
      <c r="F193" s="872">
        <v>8160.54</v>
      </c>
      <c r="G193" s="863"/>
      <c r="H193" s="864"/>
      <c r="I193" s="863"/>
      <c r="J193" s="864"/>
      <c r="K193" s="863">
        <v>8160.54</v>
      </c>
      <c r="L193" s="864">
        <f t="shared" ref="L193:L217" si="12">K193/F193</f>
        <v>1</v>
      </c>
      <c r="M193" s="863"/>
      <c r="N193" s="873"/>
      <c r="O193" s="932"/>
    </row>
    <row r="194" spans="1:15">
      <c r="A194" s="869" t="s">
        <v>1070</v>
      </c>
      <c r="B194" s="870" t="s">
        <v>683</v>
      </c>
      <c r="C194" s="870" t="s">
        <v>49</v>
      </c>
      <c r="D194" s="871">
        <v>74.665999999999997</v>
      </c>
      <c r="E194" s="870"/>
      <c r="F194" s="872">
        <v>3046.54</v>
      </c>
      <c r="G194" s="863"/>
      <c r="H194" s="864"/>
      <c r="I194" s="863"/>
      <c r="J194" s="864"/>
      <c r="K194" s="863">
        <v>3046.54</v>
      </c>
      <c r="L194" s="864">
        <f t="shared" si="12"/>
        <v>1</v>
      </c>
      <c r="M194" s="863"/>
      <c r="N194" s="873"/>
      <c r="O194" s="932"/>
    </row>
    <row r="195" spans="1:15">
      <c r="A195" s="869" t="s">
        <v>1071</v>
      </c>
      <c r="B195" s="870" t="s">
        <v>985</v>
      </c>
      <c r="C195" s="870" t="s">
        <v>50</v>
      </c>
      <c r="D195" s="871">
        <v>59.827500000000008</v>
      </c>
      <c r="E195" s="870"/>
      <c r="F195" s="872">
        <v>27771.89</v>
      </c>
      <c r="G195" s="863"/>
      <c r="H195" s="864"/>
      <c r="I195" s="863"/>
      <c r="J195" s="864"/>
      <c r="K195" s="863">
        <v>27771.89</v>
      </c>
      <c r="L195" s="864">
        <f t="shared" si="12"/>
        <v>1</v>
      </c>
      <c r="M195" s="863"/>
      <c r="N195" s="873"/>
      <c r="O195" s="932"/>
    </row>
    <row r="196" spans="1:15">
      <c r="A196" s="869" t="s">
        <v>1072</v>
      </c>
      <c r="B196" s="870" t="s">
        <v>686</v>
      </c>
      <c r="C196" s="870" t="s">
        <v>49</v>
      </c>
      <c r="D196" s="871">
        <v>598.27499999999998</v>
      </c>
      <c r="E196" s="870"/>
      <c r="F196" s="872">
        <v>4307.62</v>
      </c>
      <c r="G196" s="863"/>
      <c r="H196" s="864"/>
      <c r="I196" s="863"/>
      <c r="J196" s="864"/>
      <c r="K196" s="863">
        <v>4307.62</v>
      </c>
      <c r="L196" s="864">
        <f t="shared" si="12"/>
        <v>1</v>
      </c>
      <c r="M196" s="863"/>
      <c r="N196" s="873"/>
      <c r="O196" s="932"/>
    </row>
    <row r="197" spans="1:15">
      <c r="A197" s="869" t="s">
        <v>1073</v>
      </c>
      <c r="B197" s="870" t="s">
        <v>687</v>
      </c>
      <c r="C197" s="870" t="s">
        <v>51</v>
      </c>
      <c r="D197" s="871">
        <v>831.66000000000008</v>
      </c>
      <c r="E197" s="870"/>
      <c r="F197" s="872">
        <v>3068.83</v>
      </c>
      <c r="G197" s="863"/>
      <c r="H197" s="864"/>
      <c r="I197" s="863"/>
      <c r="J197" s="864"/>
      <c r="K197" s="863">
        <v>3068.83</v>
      </c>
      <c r="L197" s="864">
        <f t="shared" si="12"/>
        <v>1</v>
      </c>
      <c r="M197" s="863"/>
      <c r="N197" s="873"/>
      <c r="O197" s="932"/>
    </row>
    <row r="198" spans="1:15">
      <c r="A198" s="869" t="s">
        <v>1074</v>
      </c>
      <c r="B198" s="870" t="s">
        <v>573</v>
      </c>
      <c r="C198" s="870" t="s">
        <v>49</v>
      </c>
      <c r="D198" s="871">
        <v>598.27499999999998</v>
      </c>
      <c r="E198" s="870"/>
      <c r="F198" s="872">
        <v>4678.55</v>
      </c>
      <c r="G198" s="863"/>
      <c r="H198" s="864"/>
      <c r="I198" s="863"/>
      <c r="J198" s="864"/>
      <c r="K198" s="863">
        <v>4678.55</v>
      </c>
      <c r="L198" s="864">
        <f t="shared" si="12"/>
        <v>1</v>
      </c>
      <c r="M198" s="863"/>
      <c r="N198" s="873"/>
      <c r="O198" s="932"/>
    </row>
    <row r="199" spans="1:15">
      <c r="A199" s="869" t="s">
        <v>1075</v>
      </c>
      <c r="B199" s="870" t="s">
        <v>572</v>
      </c>
      <c r="C199" s="870" t="s">
        <v>51</v>
      </c>
      <c r="D199" s="871">
        <v>186</v>
      </c>
      <c r="E199" s="870"/>
      <c r="F199" s="872">
        <v>1395</v>
      </c>
      <c r="G199" s="863"/>
      <c r="H199" s="864"/>
      <c r="I199" s="863"/>
      <c r="J199" s="864"/>
      <c r="K199" s="863">
        <v>1395</v>
      </c>
      <c r="L199" s="864">
        <f t="shared" si="12"/>
        <v>1</v>
      </c>
      <c r="M199" s="863"/>
      <c r="N199" s="873"/>
      <c r="O199" s="932"/>
    </row>
    <row r="200" spans="1:15">
      <c r="A200" s="866" t="s">
        <v>699</v>
      </c>
      <c r="B200" s="867" t="s">
        <v>986</v>
      </c>
      <c r="C200" s="867"/>
      <c r="D200" s="874"/>
      <c r="E200" s="867"/>
      <c r="F200" s="868">
        <v>1283.71</v>
      </c>
      <c r="G200" s="863"/>
      <c r="H200" s="864"/>
      <c r="I200" s="863"/>
      <c r="J200" s="864"/>
      <c r="K200" s="863"/>
      <c r="L200" s="864"/>
      <c r="M200" s="863"/>
      <c r="N200" s="873"/>
      <c r="O200" s="932"/>
    </row>
    <row r="201" spans="1:15">
      <c r="A201" s="875" t="s">
        <v>700</v>
      </c>
      <c r="B201" s="876" t="s">
        <v>561</v>
      </c>
      <c r="C201" s="876"/>
      <c r="D201" s="877"/>
      <c r="E201" s="876"/>
      <c r="F201" s="878">
        <v>156.41</v>
      </c>
      <c r="G201" s="863"/>
      <c r="H201" s="864"/>
      <c r="I201" s="863"/>
      <c r="J201" s="864"/>
      <c r="K201" s="863"/>
      <c r="L201" s="864"/>
      <c r="M201" s="863"/>
      <c r="N201" s="873"/>
      <c r="O201" s="932"/>
    </row>
    <row r="202" spans="1:15">
      <c r="A202" s="869" t="s">
        <v>1076</v>
      </c>
      <c r="B202" s="870" t="s">
        <v>987</v>
      </c>
      <c r="C202" s="870" t="s">
        <v>50</v>
      </c>
      <c r="D202" s="871">
        <v>1.5750000000000002</v>
      </c>
      <c r="E202" s="870"/>
      <c r="F202" s="872">
        <v>42</v>
      </c>
      <c r="G202" s="863"/>
      <c r="H202" s="864"/>
      <c r="I202" s="863">
        <v>42</v>
      </c>
      <c r="J202" s="864">
        <f t="shared" si="11"/>
        <v>1</v>
      </c>
      <c r="K202" s="863"/>
      <c r="L202" s="864"/>
      <c r="M202" s="863"/>
      <c r="N202" s="873"/>
      <c r="O202" s="932"/>
    </row>
    <row r="203" spans="1:15">
      <c r="A203" s="869" t="s">
        <v>1077</v>
      </c>
      <c r="B203" s="870" t="s">
        <v>577</v>
      </c>
      <c r="C203" s="870" t="s">
        <v>49</v>
      </c>
      <c r="D203" s="871">
        <v>7.875</v>
      </c>
      <c r="E203" s="870"/>
      <c r="F203" s="872">
        <v>78.56</v>
      </c>
      <c r="G203" s="863"/>
      <c r="H203" s="864"/>
      <c r="I203" s="863">
        <v>78.56</v>
      </c>
      <c r="J203" s="864">
        <f t="shared" si="11"/>
        <v>1</v>
      </c>
      <c r="K203" s="863"/>
      <c r="L203" s="864"/>
      <c r="M203" s="863"/>
      <c r="N203" s="873"/>
      <c r="O203" s="932"/>
    </row>
    <row r="204" spans="1:15">
      <c r="A204" s="869" t="s">
        <v>1078</v>
      </c>
      <c r="B204" s="870" t="s">
        <v>919</v>
      </c>
      <c r="C204" s="870" t="s">
        <v>50</v>
      </c>
      <c r="D204" s="871">
        <v>1.9687500000000002</v>
      </c>
      <c r="E204" s="870"/>
      <c r="F204" s="872">
        <v>35.85</v>
      </c>
      <c r="G204" s="863"/>
      <c r="H204" s="864"/>
      <c r="I204" s="863">
        <v>35.85</v>
      </c>
      <c r="J204" s="864">
        <f t="shared" si="11"/>
        <v>1</v>
      </c>
      <c r="K204" s="863"/>
      <c r="L204" s="864"/>
      <c r="M204" s="863"/>
      <c r="N204" s="873"/>
      <c r="O204" s="932"/>
    </row>
    <row r="205" spans="1:15">
      <c r="A205" s="875" t="s">
        <v>701</v>
      </c>
      <c r="B205" s="876" t="s">
        <v>988</v>
      </c>
      <c r="C205" s="876"/>
      <c r="D205" s="877"/>
      <c r="E205" s="876"/>
      <c r="F205" s="878">
        <v>1127.3</v>
      </c>
      <c r="G205" s="863"/>
      <c r="H205" s="864"/>
      <c r="I205" s="863"/>
      <c r="J205" s="864"/>
      <c r="K205" s="863"/>
      <c r="L205" s="864"/>
      <c r="M205" s="863"/>
      <c r="N205" s="873"/>
      <c r="O205" s="932"/>
    </row>
    <row r="206" spans="1:15">
      <c r="A206" s="869" t="s">
        <v>1079</v>
      </c>
      <c r="B206" s="870" t="s">
        <v>984</v>
      </c>
      <c r="C206" s="870" t="s">
        <v>49</v>
      </c>
      <c r="D206" s="871">
        <v>7.875</v>
      </c>
      <c r="E206" s="870"/>
      <c r="F206" s="872">
        <v>107.48</v>
      </c>
      <c r="G206" s="863"/>
      <c r="H206" s="864"/>
      <c r="I206" s="863">
        <v>107.48</v>
      </c>
      <c r="J206" s="864">
        <f t="shared" ref="J206:J214" si="13">I206/F206</f>
        <v>1</v>
      </c>
      <c r="K206" s="863"/>
      <c r="L206" s="864"/>
      <c r="M206" s="863"/>
      <c r="N206" s="873"/>
      <c r="O206" s="932"/>
    </row>
    <row r="207" spans="1:15">
      <c r="A207" s="869" t="s">
        <v>1080</v>
      </c>
      <c r="B207" s="870" t="s">
        <v>989</v>
      </c>
      <c r="C207" s="870" t="s">
        <v>49</v>
      </c>
      <c r="D207" s="871">
        <v>2.6774999999999998</v>
      </c>
      <c r="E207" s="870"/>
      <c r="F207" s="872">
        <v>109.34</v>
      </c>
      <c r="G207" s="863"/>
      <c r="H207" s="864"/>
      <c r="I207" s="863">
        <v>109.34</v>
      </c>
      <c r="J207" s="864">
        <f t="shared" si="13"/>
        <v>1</v>
      </c>
      <c r="K207" s="863"/>
      <c r="L207" s="864"/>
      <c r="M207" s="863"/>
      <c r="N207" s="873"/>
      <c r="O207" s="932"/>
    </row>
    <row r="208" spans="1:15">
      <c r="A208" s="869" t="s">
        <v>1081</v>
      </c>
      <c r="B208" s="870" t="s">
        <v>990</v>
      </c>
      <c r="C208" s="870" t="s">
        <v>50</v>
      </c>
      <c r="D208" s="871">
        <v>1.1812499999999999</v>
      </c>
      <c r="E208" s="870"/>
      <c r="F208" s="872">
        <v>547.73</v>
      </c>
      <c r="G208" s="863"/>
      <c r="H208" s="864"/>
      <c r="I208" s="863">
        <v>547.73</v>
      </c>
      <c r="J208" s="864">
        <f t="shared" si="13"/>
        <v>1</v>
      </c>
      <c r="K208" s="863"/>
      <c r="L208" s="864"/>
      <c r="M208" s="863"/>
      <c r="N208" s="873"/>
      <c r="O208" s="932"/>
    </row>
    <row r="209" spans="1:15">
      <c r="A209" s="869" t="s">
        <v>1082</v>
      </c>
      <c r="B209" s="870" t="s">
        <v>991</v>
      </c>
      <c r="C209" s="870" t="s">
        <v>49</v>
      </c>
      <c r="D209" s="871">
        <v>7.875</v>
      </c>
      <c r="E209" s="870"/>
      <c r="F209" s="872">
        <v>56.74</v>
      </c>
      <c r="G209" s="863"/>
      <c r="H209" s="864"/>
      <c r="I209" s="863">
        <v>56.74</v>
      </c>
      <c r="J209" s="864">
        <f t="shared" si="13"/>
        <v>1</v>
      </c>
      <c r="K209" s="863"/>
      <c r="L209" s="864"/>
      <c r="M209" s="863"/>
      <c r="N209" s="873"/>
      <c r="O209" s="932"/>
    </row>
    <row r="210" spans="1:15">
      <c r="A210" s="869" t="s">
        <v>1083</v>
      </c>
      <c r="B210" s="870" t="s">
        <v>992</v>
      </c>
      <c r="C210" s="870" t="s">
        <v>51</v>
      </c>
      <c r="D210" s="871">
        <v>21.84</v>
      </c>
      <c r="E210" s="870"/>
      <c r="F210" s="872">
        <v>80.59</v>
      </c>
      <c r="G210" s="863"/>
      <c r="H210" s="864"/>
      <c r="I210" s="863">
        <v>80.59</v>
      </c>
      <c r="J210" s="864">
        <f t="shared" si="13"/>
        <v>1</v>
      </c>
      <c r="K210" s="863"/>
      <c r="L210" s="864"/>
      <c r="M210" s="863"/>
      <c r="N210" s="873"/>
      <c r="O210" s="932"/>
    </row>
    <row r="211" spans="1:15">
      <c r="A211" s="869" t="s">
        <v>1084</v>
      </c>
      <c r="B211" s="870" t="s">
        <v>573</v>
      </c>
      <c r="C211" s="870" t="s">
        <v>49</v>
      </c>
      <c r="D211" s="871">
        <v>7.875</v>
      </c>
      <c r="E211" s="870"/>
      <c r="F211" s="872">
        <v>61.62</v>
      </c>
      <c r="G211" s="863"/>
      <c r="H211" s="864"/>
      <c r="I211" s="863">
        <v>61.62</v>
      </c>
      <c r="J211" s="864">
        <f t="shared" si="13"/>
        <v>1</v>
      </c>
      <c r="K211" s="863"/>
      <c r="L211" s="864"/>
      <c r="M211" s="863"/>
      <c r="N211" s="873"/>
      <c r="O211" s="932"/>
    </row>
    <row r="212" spans="1:15">
      <c r="A212" s="869" t="s">
        <v>1085</v>
      </c>
      <c r="B212" s="870" t="s">
        <v>572</v>
      </c>
      <c r="C212" s="870" t="s">
        <v>51</v>
      </c>
      <c r="D212" s="871">
        <v>21.84</v>
      </c>
      <c r="E212" s="870"/>
      <c r="F212" s="872">
        <v>163.80000000000001</v>
      </c>
      <c r="G212" s="863"/>
      <c r="H212" s="864"/>
      <c r="I212" s="863">
        <v>163.80000000000001</v>
      </c>
      <c r="J212" s="864">
        <f t="shared" si="13"/>
        <v>1</v>
      </c>
      <c r="K212" s="863"/>
      <c r="L212" s="864"/>
      <c r="M212" s="863"/>
      <c r="N212" s="873"/>
      <c r="O212" s="932"/>
    </row>
    <row r="213" spans="1:15">
      <c r="A213" s="866" t="s">
        <v>1086</v>
      </c>
      <c r="B213" s="867" t="s">
        <v>979</v>
      </c>
      <c r="C213" s="867"/>
      <c r="D213" s="874"/>
      <c r="E213" s="867"/>
      <c r="F213" s="868">
        <v>3147.87</v>
      </c>
      <c r="G213" s="863"/>
      <c r="H213" s="864"/>
      <c r="I213" s="863"/>
      <c r="J213" s="864"/>
      <c r="K213" s="863"/>
      <c r="L213" s="864"/>
      <c r="M213" s="863"/>
      <c r="N213" s="873"/>
      <c r="O213" s="932"/>
    </row>
    <row r="214" spans="1:15">
      <c r="A214" s="869" t="s">
        <v>1087</v>
      </c>
      <c r="B214" s="870" t="s">
        <v>993</v>
      </c>
      <c r="C214" s="870" t="s">
        <v>291</v>
      </c>
      <c r="D214" s="871">
        <v>1</v>
      </c>
      <c r="E214" s="870"/>
      <c r="F214" s="872">
        <v>3147.87</v>
      </c>
      <c r="G214" s="863" t="e">
        <f>'FE3-1 '!#REF!</f>
        <v>#REF!</v>
      </c>
      <c r="H214" s="864" t="e">
        <f>G214/F214</f>
        <v>#REF!</v>
      </c>
      <c r="I214" s="863" t="e">
        <f>F214-G214</f>
        <v>#REF!</v>
      </c>
      <c r="J214" s="864" t="e">
        <f t="shared" si="13"/>
        <v>#REF!</v>
      </c>
      <c r="K214" s="863"/>
      <c r="L214" s="864"/>
      <c r="M214" s="863"/>
      <c r="N214" s="873"/>
      <c r="O214" s="932"/>
    </row>
    <row r="215" spans="1:15">
      <c r="A215" s="883" t="s">
        <v>46</v>
      </c>
      <c r="B215" s="884" t="s">
        <v>994</v>
      </c>
      <c r="C215" s="884"/>
      <c r="D215" s="885"/>
      <c r="E215" s="884"/>
      <c r="F215" s="886">
        <v>9709.7800000000007</v>
      </c>
      <c r="G215" s="863"/>
      <c r="H215" s="864"/>
      <c r="I215" s="863"/>
      <c r="J215" s="864"/>
      <c r="K215" s="863"/>
      <c r="L215" s="864"/>
      <c r="M215" s="863"/>
      <c r="N215" s="873"/>
      <c r="O215" s="932"/>
    </row>
    <row r="216" spans="1:15">
      <c r="A216" s="866" t="s">
        <v>47</v>
      </c>
      <c r="B216" s="867" t="s">
        <v>300</v>
      </c>
      <c r="C216" s="867"/>
      <c r="D216" s="874"/>
      <c r="E216" s="867"/>
      <c r="F216" s="868">
        <v>3460.1</v>
      </c>
      <c r="G216" s="863"/>
      <c r="H216" s="864"/>
      <c r="I216" s="863"/>
      <c r="J216" s="864"/>
      <c r="K216" s="863"/>
      <c r="L216" s="864"/>
      <c r="M216" s="863"/>
      <c r="N216" s="873"/>
      <c r="O216" s="932"/>
    </row>
    <row r="217" spans="1:15">
      <c r="A217" s="869" t="s">
        <v>406</v>
      </c>
      <c r="B217" s="870" t="s">
        <v>995</v>
      </c>
      <c r="C217" s="870" t="s">
        <v>50</v>
      </c>
      <c r="D217" s="871">
        <v>70.142600000000016</v>
      </c>
      <c r="E217" s="870"/>
      <c r="F217" s="872">
        <v>1864.32</v>
      </c>
      <c r="G217" s="863"/>
      <c r="H217" s="864"/>
      <c r="I217" s="863"/>
      <c r="J217" s="864"/>
      <c r="K217" s="863">
        <v>932.16</v>
      </c>
      <c r="L217" s="864">
        <f t="shared" si="12"/>
        <v>0.5</v>
      </c>
      <c r="M217" s="863">
        <v>932.16</v>
      </c>
      <c r="N217" s="873">
        <f>M217/F217</f>
        <v>0.5</v>
      </c>
      <c r="O217" s="932"/>
    </row>
    <row r="218" spans="1:15">
      <c r="A218" s="869" t="s">
        <v>1088</v>
      </c>
      <c r="B218" s="870" t="s">
        <v>996</v>
      </c>
      <c r="C218" s="870" t="s">
        <v>50</v>
      </c>
      <c r="D218" s="871">
        <v>87.67825000000002</v>
      </c>
      <c r="E218" s="870"/>
      <c r="F218" s="872">
        <v>1595.78</v>
      </c>
      <c r="G218" s="863"/>
      <c r="H218" s="864"/>
      <c r="I218" s="863"/>
      <c r="J218" s="864"/>
      <c r="K218" s="863"/>
      <c r="L218" s="864"/>
      <c r="M218" s="863">
        <v>1595.78</v>
      </c>
      <c r="N218" s="873">
        <f>M218/F218</f>
        <v>1</v>
      </c>
      <c r="O218" s="932"/>
    </row>
    <row r="219" spans="1:15">
      <c r="A219" s="866" t="s">
        <v>48</v>
      </c>
      <c r="B219" s="867" t="s">
        <v>997</v>
      </c>
      <c r="C219" s="867"/>
      <c r="D219" s="874"/>
      <c r="E219" s="867"/>
      <c r="F219" s="868">
        <v>6249.68</v>
      </c>
      <c r="G219" s="863"/>
      <c r="H219" s="864"/>
      <c r="I219" s="863"/>
      <c r="J219" s="864"/>
      <c r="K219" s="863"/>
      <c r="L219" s="864"/>
      <c r="M219" s="863"/>
      <c r="N219" s="873"/>
      <c r="O219" s="932"/>
    </row>
    <row r="220" spans="1:15">
      <c r="A220" s="869" t="s">
        <v>407</v>
      </c>
      <c r="B220" s="870" t="s">
        <v>702</v>
      </c>
      <c r="C220" s="870" t="s">
        <v>50</v>
      </c>
      <c r="D220" s="871">
        <v>35.071300000000008</v>
      </c>
      <c r="E220" s="870"/>
      <c r="F220" s="872">
        <v>1465.22</v>
      </c>
      <c r="G220" s="863"/>
      <c r="H220" s="864"/>
      <c r="I220" s="863"/>
      <c r="J220" s="864"/>
      <c r="K220" s="863"/>
      <c r="L220" s="864"/>
      <c r="M220" s="863">
        <v>1465.22</v>
      </c>
      <c r="N220" s="873">
        <f>M220/F220</f>
        <v>1</v>
      </c>
      <c r="O220" s="932"/>
    </row>
    <row r="221" spans="1:15">
      <c r="A221" s="869" t="s">
        <v>1089</v>
      </c>
      <c r="B221" s="870" t="s">
        <v>703</v>
      </c>
      <c r="C221" s="870" t="s">
        <v>49</v>
      </c>
      <c r="D221" s="871">
        <v>350.71300000000002</v>
      </c>
      <c r="E221" s="870"/>
      <c r="F221" s="872">
        <v>1788.62</v>
      </c>
      <c r="G221" s="863"/>
      <c r="H221" s="864"/>
      <c r="I221" s="863"/>
      <c r="J221" s="864"/>
      <c r="K221" s="863"/>
      <c r="L221" s="864"/>
      <c r="M221" s="863">
        <v>1788.62</v>
      </c>
      <c r="N221" s="873">
        <f>M221/F221</f>
        <v>1</v>
      </c>
      <c r="O221" s="932"/>
    </row>
    <row r="222" spans="1:15">
      <c r="A222" s="869" t="s">
        <v>1090</v>
      </c>
      <c r="B222" s="870" t="s">
        <v>704</v>
      </c>
      <c r="C222" s="870" t="s">
        <v>49</v>
      </c>
      <c r="D222" s="871">
        <v>350.71300000000002</v>
      </c>
      <c r="E222" s="870"/>
      <c r="F222" s="872">
        <v>1848.24</v>
      </c>
      <c r="G222" s="863"/>
      <c r="H222" s="864"/>
      <c r="I222" s="887"/>
      <c r="J222" s="888"/>
      <c r="K222" s="887"/>
      <c r="L222" s="888"/>
      <c r="M222" s="887">
        <v>1848.24</v>
      </c>
      <c r="N222" s="873">
        <f>M222/F222</f>
        <v>1</v>
      </c>
      <c r="O222" s="932"/>
    </row>
    <row r="223" spans="1:15" ht="15.75" thickBot="1">
      <c r="A223" s="889" t="s">
        <v>1091</v>
      </c>
      <c r="B223" s="890" t="s">
        <v>998</v>
      </c>
      <c r="C223" s="890"/>
      <c r="D223" s="891">
        <v>40</v>
      </c>
      <c r="E223" s="890"/>
      <c r="F223" s="892">
        <v>1147.5999999999999</v>
      </c>
      <c r="G223" s="863"/>
      <c r="H223" s="894"/>
      <c r="I223" s="893"/>
      <c r="J223" s="894"/>
      <c r="K223" s="893"/>
      <c r="L223" s="894"/>
      <c r="M223" s="893">
        <v>1147.5999999999999</v>
      </c>
      <c r="N223" s="895">
        <f>M223/F223</f>
        <v>1</v>
      </c>
      <c r="O223" s="932"/>
    </row>
    <row r="224" spans="1:15">
      <c r="A224" s="896"/>
      <c r="B224" s="896"/>
      <c r="C224" s="896"/>
      <c r="D224" s="896"/>
      <c r="E224" s="896"/>
      <c r="F224" s="897"/>
      <c r="G224" s="898"/>
      <c r="H224" s="899"/>
      <c r="I224" s="898"/>
      <c r="J224" s="899"/>
      <c r="K224" s="898"/>
      <c r="L224" s="899"/>
      <c r="M224" s="898"/>
      <c r="N224" s="899"/>
    </row>
    <row r="225" spans="1:15" ht="15.75" thickBot="1">
      <c r="A225" s="844"/>
      <c r="B225" s="844"/>
      <c r="C225" s="845"/>
      <c r="D225" s="845"/>
      <c r="E225" s="845"/>
      <c r="F225" s="846"/>
      <c r="G225" s="846"/>
      <c r="H225" s="847"/>
      <c r="I225" s="846"/>
      <c r="J225" s="847"/>
      <c r="K225" s="846"/>
      <c r="L225" s="847"/>
      <c r="M225" s="846"/>
      <c r="N225" s="847"/>
    </row>
    <row r="226" spans="1:15">
      <c r="A226" s="844"/>
      <c r="B226" s="900" t="s">
        <v>33</v>
      </c>
      <c r="C226" s="901"/>
      <c r="D226" s="901"/>
      <c r="E226" s="901"/>
      <c r="F226" s="902">
        <f>F8</f>
        <v>853658.71</v>
      </c>
      <c r="G226" s="902" t="e">
        <f>SUM(G9:G223)</f>
        <v>#REF!</v>
      </c>
      <c r="H226" s="903" t="e">
        <f>G226/F226</f>
        <v>#REF!</v>
      </c>
      <c r="I226" s="902" t="e">
        <f>SUM(I9:I223)</f>
        <v>#REF!</v>
      </c>
      <c r="J226" s="903" t="e">
        <f>I226/F226</f>
        <v>#REF!</v>
      </c>
      <c r="K226" s="902">
        <f>SUM(K9:K223)</f>
        <v>288267.37999999995</v>
      </c>
      <c r="L226" s="903">
        <f>K226/F226</f>
        <v>0.3376845765446474</v>
      </c>
      <c r="M226" s="902">
        <f>SUM(M9:M223)</f>
        <v>26276.39</v>
      </c>
      <c r="N226" s="904">
        <f>M226/F226</f>
        <v>3.0780907747078454E-2</v>
      </c>
      <c r="O226" s="5" t="e">
        <f>H226+J226+L226+N226</f>
        <v>#REF!</v>
      </c>
    </row>
    <row r="227" spans="1:15">
      <c r="A227" s="844"/>
      <c r="B227" s="905" t="s">
        <v>1099</v>
      </c>
      <c r="C227" s="906"/>
      <c r="D227" s="906"/>
      <c r="E227" s="906"/>
      <c r="F227" s="907">
        <v>63004.26</v>
      </c>
      <c r="G227" s="908">
        <f>F227/4</f>
        <v>15751.065000000001</v>
      </c>
      <c r="H227" s="909">
        <f>G227/F227</f>
        <v>0.25</v>
      </c>
      <c r="I227" s="908">
        <f>F227/4</f>
        <v>15751.065000000001</v>
      </c>
      <c r="J227" s="909">
        <f>I227/F227</f>
        <v>0.25</v>
      </c>
      <c r="K227" s="910">
        <f>F227/4</f>
        <v>15751.065000000001</v>
      </c>
      <c r="L227" s="909">
        <f>K227/F227</f>
        <v>0.25</v>
      </c>
      <c r="M227" s="910">
        <f>F227/4</f>
        <v>15751.065000000001</v>
      </c>
      <c r="N227" s="911">
        <f>M227/F227</f>
        <v>0.25</v>
      </c>
    </row>
    <row r="228" spans="1:15">
      <c r="A228" s="844"/>
      <c r="B228" s="905" t="s">
        <v>1100</v>
      </c>
      <c r="C228" s="906"/>
      <c r="D228" s="906"/>
      <c r="E228" s="906"/>
      <c r="F228" s="907">
        <v>18958.25</v>
      </c>
      <c r="G228" s="908">
        <f>F228/4</f>
        <v>4739.5625</v>
      </c>
      <c r="H228" s="909">
        <f>G228/F228</f>
        <v>0.25</v>
      </c>
      <c r="I228" s="908">
        <f>F228/4</f>
        <v>4739.5625</v>
      </c>
      <c r="J228" s="909">
        <f>I228/F228</f>
        <v>0.25</v>
      </c>
      <c r="K228" s="910">
        <f>F228/4</f>
        <v>4739.5625</v>
      </c>
      <c r="L228" s="909">
        <f>K228/F228</f>
        <v>0.25</v>
      </c>
      <c r="M228" s="910">
        <f>F228/4</f>
        <v>4739.5625</v>
      </c>
      <c r="N228" s="911">
        <f>M228/F228</f>
        <v>0.25</v>
      </c>
    </row>
    <row r="229" spans="1:15">
      <c r="A229" s="844"/>
      <c r="B229" s="905" t="s">
        <v>1101</v>
      </c>
      <c r="C229" s="906"/>
      <c r="D229" s="906"/>
      <c r="E229" s="906"/>
      <c r="F229" s="907">
        <v>7254.05</v>
      </c>
      <c r="G229" s="908"/>
      <c r="H229" s="909"/>
      <c r="I229" s="908"/>
      <c r="J229" s="909"/>
      <c r="K229" s="910"/>
      <c r="L229" s="909"/>
      <c r="M229" s="910">
        <f>F229</f>
        <v>7254.05</v>
      </c>
      <c r="N229" s="911">
        <f>M229/F229</f>
        <v>1</v>
      </c>
    </row>
    <row r="230" spans="1:15" ht="15.75" thickBot="1">
      <c r="A230" s="844"/>
      <c r="B230" s="912" t="s">
        <v>1102</v>
      </c>
      <c r="C230" s="913"/>
      <c r="D230" s="913"/>
      <c r="E230" s="913"/>
      <c r="F230" s="914">
        <v>8774.25</v>
      </c>
      <c r="G230" s="913"/>
      <c r="H230" s="915"/>
      <c r="I230" s="913"/>
      <c r="J230" s="915"/>
      <c r="K230" s="916"/>
      <c r="L230" s="917"/>
      <c r="M230" s="916">
        <f>F230</f>
        <v>8774.25</v>
      </c>
      <c r="N230" s="918">
        <f>M230/F230</f>
        <v>1</v>
      </c>
    </row>
    <row r="231" spans="1:15" ht="15.75" thickBot="1">
      <c r="A231" s="844"/>
      <c r="B231" s="919"/>
      <c r="C231" s="919"/>
      <c r="D231" s="919"/>
      <c r="E231" s="919"/>
      <c r="F231" s="920"/>
      <c r="G231" s="919"/>
      <c r="H231" s="919"/>
      <c r="I231" s="919"/>
      <c r="J231" s="919"/>
      <c r="K231" s="921"/>
      <c r="L231" s="922"/>
      <c r="M231" s="921"/>
      <c r="N231" s="922"/>
    </row>
    <row r="232" spans="1:15" ht="15.75" thickBot="1">
      <c r="A232" s="844"/>
      <c r="B232" s="923" t="s">
        <v>1103</v>
      </c>
      <c r="C232" s="924"/>
      <c r="D232" s="924"/>
      <c r="E232" s="924"/>
      <c r="F232" s="925">
        <f>SUM(F226:F230)</f>
        <v>951649.52</v>
      </c>
      <c r="G232" s="926" t="e">
        <f>SUM(G226:G228)</f>
        <v>#REF!</v>
      </c>
      <c r="H232" s="927" t="e">
        <f>G232/F232</f>
        <v>#REF!</v>
      </c>
      <c r="I232" s="926" t="e">
        <f>SUM(I226:I228)</f>
        <v>#REF!</v>
      </c>
      <c r="J232" s="927" t="e">
        <f>I232/F232</f>
        <v>#REF!</v>
      </c>
      <c r="K232" s="926">
        <f>SUM(K226:K230)</f>
        <v>308758.00749999995</v>
      </c>
      <c r="L232" s="927">
        <f>K232/F232</f>
        <v>0.32444508299652158</v>
      </c>
      <c r="M232" s="926">
        <f>SUM(M226:M230)</f>
        <v>62795.317500000005</v>
      </c>
      <c r="N232" s="928">
        <f>M232/F232</f>
        <v>6.5985760703163074E-2</v>
      </c>
    </row>
    <row r="233" spans="1:15">
      <c r="A233" s="844"/>
      <c r="B233" s="844"/>
      <c r="C233" s="845"/>
      <c r="D233" s="845"/>
      <c r="E233" s="845"/>
      <c r="F233" s="846"/>
      <c r="G233" s="846"/>
      <c r="H233" s="847"/>
      <c r="I233" s="846"/>
      <c r="J233" s="847"/>
      <c r="K233" s="846"/>
      <c r="L233" s="847"/>
      <c r="M233" s="674"/>
      <c r="N233" s="675"/>
    </row>
  </sheetData>
  <mergeCells count="13">
    <mergeCell ref="K6:L6"/>
    <mergeCell ref="M6:N6"/>
    <mergeCell ref="C2:G2"/>
    <mergeCell ref="B3:N3"/>
    <mergeCell ref="A5:A7"/>
    <mergeCell ref="B5:B7"/>
    <mergeCell ref="C5:C7"/>
    <mergeCell ref="D5:D7"/>
    <mergeCell ref="E5:E7"/>
    <mergeCell ref="F5:F7"/>
    <mergeCell ref="G5:N5"/>
    <mergeCell ref="G6:H6"/>
    <mergeCell ref="I6:J6"/>
  </mergeCells>
  <conditionalFormatting sqref="G8:N224">
    <cfRule type="cellIs" dxfId="8" priority="1" operator="greaterThan">
      <formula>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0">
    <tabColor rgb="FF00B050"/>
    <pageSetUpPr fitToPage="1"/>
  </sheetPr>
  <dimension ref="B1:AB59"/>
  <sheetViews>
    <sheetView view="pageBreakPreview" topLeftCell="A4" zoomScale="96" zoomScaleNormal="90" zoomScaleSheetLayoutView="96" workbookViewId="0">
      <selection activeCell="M45" sqref="M45"/>
    </sheetView>
  </sheetViews>
  <sheetFormatPr baseColWidth="10" defaultColWidth="11.42578125" defaultRowHeight="15"/>
  <cols>
    <col min="1" max="1" width="4.28515625" customWidth="1"/>
    <col min="2" max="2" width="12.7109375" customWidth="1"/>
    <col min="3" max="4" width="10.42578125" customWidth="1"/>
    <col min="5" max="5" width="20.7109375" customWidth="1"/>
    <col min="6" max="6" width="13.7109375" customWidth="1"/>
    <col min="8" max="8" width="13.28515625" customWidth="1"/>
    <col min="11" max="11" width="3.5703125" customWidth="1"/>
    <col min="12" max="12" width="14" customWidth="1"/>
    <col min="13" max="13" width="15.140625" customWidth="1"/>
    <col min="15" max="15" width="11.7109375" bestFit="1" customWidth="1"/>
  </cols>
  <sheetData>
    <row r="1" spans="2:28" s="9" customFormat="1" ht="12.75"/>
    <row r="2" spans="2:28" s="9" customFormat="1" ht="15.75">
      <c r="E2" s="1013" t="s">
        <v>2695</v>
      </c>
      <c r="F2" s="17"/>
      <c r="H2" s="658"/>
    </row>
    <row r="3" spans="2:28" s="9" customFormat="1" ht="15.75" customHeight="1">
      <c r="C3" s="2589" t="str">
        <f>Datos!C25</f>
        <v>“MEJORAMIENTO DE LA GESTIÓN MUNICIPAL Y SERVICIO ADMINISTRATIVO DE LA MUNICIPALIDAD PROVINCIAL DE ABANCAY, DISTRITO DE ABANCAY - PROVINCIA DE ABANCAY - DEPARTAMENTO DE APURIMAC”.</v>
      </c>
      <c r="D3" s="2589"/>
      <c r="E3" s="2589"/>
      <c r="F3" s="2589"/>
      <c r="G3" s="2589"/>
      <c r="H3" s="2589"/>
      <c r="I3" s="2589"/>
      <c r="J3" s="2589"/>
      <c r="K3" s="1014"/>
      <c r="L3" s="1014"/>
    </row>
    <row r="4" spans="2:28" s="9" customFormat="1" ht="12.75" customHeight="1">
      <c r="C4" s="2589"/>
      <c r="D4" s="2589"/>
      <c r="E4" s="2589"/>
      <c r="F4" s="2589"/>
      <c r="G4" s="2589"/>
      <c r="H4" s="2589"/>
      <c r="I4" s="2589"/>
      <c r="J4" s="2589"/>
      <c r="K4" s="1014"/>
      <c r="L4" s="1014"/>
    </row>
    <row r="5" spans="2:28" s="9" customFormat="1" ht="53.25" customHeight="1">
      <c r="B5" s="560" t="s">
        <v>109</v>
      </c>
      <c r="C5" s="2589"/>
      <c r="D5" s="2589"/>
      <c r="E5" s="2589"/>
      <c r="F5" s="2589"/>
      <c r="G5" s="2589"/>
      <c r="H5" s="2589"/>
      <c r="I5" s="2589"/>
      <c r="J5" s="2589"/>
      <c r="K5" s="1014"/>
      <c r="L5" s="1014"/>
      <c r="M5"/>
      <c r="N5"/>
      <c r="O5"/>
      <c r="P5"/>
      <c r="Q5"/>
      <c r="R5"/>
      <c r="S5"/>
      <c r="T5"/>
      <c r="U5"/>
      <c r="V5"/>
      <c r="W5"/>
      <c r="X5"/>
      <c r="Y5"/>
      <c r="Z5"/>
      <c r="AA5"/>
      <c r="AB5"/>
    </row>
    <row r="6" spans="2:28" s="9" customFormat="1" ht="12.75">
      <c r="B6" s="56" t="s">
        <v>152</v>
      </c>
      <c r="C6" s="56"/>
      <c r="D6" s="1015">
        <v>38</v>
      </c>
      <c r="E6" s="54"/>
      <c r="F6" s="54"/>
      <c r="H6" s="54"/>
      <c r="I6" s="54"/>
      <c r="J6" s="54"/>
    </row>
    <row r="7" spans="2:28" s="9" customFormat="1" ht="12.75">
      <c r="B7" s="56" t="s">
        <v>209</v>
      </c>
      <c r="C7" s="54"/>
      <c r="D7" s="54" t="str">
        <f>Datos!B56</f>
        <v>Canon y Sobrecanon, Regalías, Renta de Aduanas y Participaciones</v>
      </c>
      <c r="E7" s="54"/>
      <c r="F7" s="562"/>
      <c r="I7" s="576"/>
      <c r="J7" s="54"/>
    </row>
    <row r="8" spans="2:28" s="45" customFormat="1" ht="15" customHeight="1">
      <c r="B8" s="237" t="s">
        <v>112</v>
      </c>
      <c r="C8" s="237"/>
      <c r="D8" s="238" t="s">
        <v>710</v>
      </c>
      <c r="E8" s="238"/>
      <c r="F8" s="564"/>
      <c r="H8" s="565"/>
      <c r="J8" s="563"/>
      <c r="L8" s="9"/>
      <c r="M8" s="9"/>
      <c r="N8" s="9"/>
      <c r="O8" s="9"/>
    </row>
    <row r="9" spans="2:28" s="9" customFormat="1" ht="13.5">
      <c r="B9" s="56" t="s">
        <v>210</v>
      </c>
      <c r="C9" s="56"/>
      <c r="D9" s="55" t="str">
        <f>Datos!C73</f>
        <v>ING. RICHARD ERWIN MONTALVO ALVARO</v>
      </c>
      <c r="E9" s="55"/>
      <c r="F9" s="564"/>
      <c r="H9" s="565"/>
      <c r="J9" s="565"/>
    </row>
    <row r="10" spans="2:28" s="9" customFormat="1" ht="13.5">
      <c r="B10" s="56" t="s">
        <v>211</v>
      </c>
      <c r="C10" s="56"/>
      <c r="D10" s="55" t="str">
        <f>Datos!C80</f>
        <v>ING. IVES BUSTHER GUTIERREZ ARENAS</v>
      </c>
      <c r="E10" s="55"/>
      <c r="F10" s="564"/>
      <c r="H10" s="568"/>
      <c r="I10" s="1424"/>
      <c r="J10" s="565"/>
    </row>
    <row r="11" spans="2:28" s="9" customFormat="1" ht="12.75">
      <c r="B11" s="561" t="s">
        <v>212</v>
      </c>
      <c r="C11" s="561"/>
      <c r="D11" s="566">
        <v>45016</v>
      </c>
      <c r="E11" s="567"/>
      <c r="J11" s="569"/>
    </row>
    <row r="12" spans="2:28" ht="11.25" customHeight="1">
      <c r="B12" s="676"/>
      <c r="C12" s="676"/>
      <c r="D12" s="676"/>
      <c r="E12" s="758"/>
      <c r="L12" s="9"/>
      <c r="M12" s="9"/>
      <c r="N12" s="9"/>
      <c r="O12" s="9"/>
    </row>
    <row r="13" spans="2:28" ht="11.25" customHeight="1">
      <c r="B13" s="2580" t="s">
        <v>761</v>
      </c>
      <c r="C13" s="2581" t="s">
        <v>762</v>
      </c>
      <c r="D13" s="2582"/>
      <c r="E13" s="684" t="s">
        <v>20</v>
      </c>
      <c r="F13" s="685"/>
      <c r="G13" s="686"/>
      <c r="H13" s="684" t="s">
        <v>21</v>
      </c>
      <c r="I13" s="687"/>
      <c r="J13" s="688"/>
      <c r="L13" s="9"/>
      <c r="M13" s="9"/>
      <c r="N13" s="9"/>
      <c r="O13" s="9"/>
    </row>
    <row r="14" spans="2:28" ht="11.25" customHeight="1">
      <c r="B14" s="2580"/>
      <c r="C14" s="2583"/>
      <c r="D14" s="2584"/>
      <c r="E14" s="2587" t="s">
        <v>127</v>
      </c>
      <c r="F14" s="685" t="s">
        <v>763</v>
      </c>
      <c r="G14" s="686"/>
      <c r="H14" s="2587" t="s">
        <v>127</v>
      </c>
      <c r="I14" s="684" t="s">
        <v>763</v>
      </c>
      <c r="J14" s="686"/>
      <c r="L14" s="9"/>
      <c r="M14" s="9"/>
      <c r="N14" s="9"/>
      <c r="O14" s="9"/>
    </row>
    <row r="15" spans="2:28" ht="11.25" customHeight="1">
      <c r="B15" s="2580"/>
      <c r="C15" s="2585"/>
      <c r="D15" s="2586"/>
      <c r="E15" s="2588"/>
      <c r="F15" s="689" t="s">
        <v>20</v>
      </c>
      <c r="G15" s="690" t="s">
        <v>22</v>
      </c>
      <c r="H15" s="2588"/>
      <c r="I15" s="690" t="s">
        <v>21</v>
      </c>
      <c r="J15" s="690" t="s">
        <v>22</v>
      </c>
      <c r="L15" s="9"/>
      <c r="M15" s="9"/>
      <c r="N15" s="9"/>
      <c r="O15" s="9"/>
    </row>
    <row r="16" spans="2:28" ht="11.25" customHeight="1">
      <c r="B16" s="698">
        <v>0</v>
      </c>
      <c r="C16" s="699"/>
      <c r="D16" s="700">
        <v>44585</v>
      </c>
      <c r="E16" s="701">
        <v>0</v>
      </c>
      <c r="F16" s="697">
        <v>0</v>
      </c>
      <c r="G16" s="695">
        <v>0</v>
      </c>
      <c r="H16" s="696">
        <v>0</v>
      </c>
      <c r="I16" s="697">
        <f t="shared" ref="I16:I22" si="0">H16/$E$32</f>
        <v>0</v>
      </c>
      <c r="J16" s="695">
        <f>I16</f>
        <v>0</v>
      </c>
      <c r="L16" s="9"/>
      <c r="M16" s="9"/>
      <c r="N16" s="9"/>
      <c r="O16" s="9"/>
    </row>
    <row r="17" spans="2:15" ht="11.25" customHeight="1">
      <c r="B17" s="677">
        <v>1</v>
      </c>
      <c r="C17" s="678"/>
      <c r="D17" s="679">
        <v>44592</v>
      </c>
      <c r="E17" s="680">
        <v>69631.72</v>
      </c>
      <c r="F17" s="681">
        <f>E17/$E$32</f>
        <v>5.1386289774581354E-3</v>
      </c>
      <c r="G17" s="682">
        <f t="shared" ref="G17:G22" si="1">G16+F17</f>
        <v>5.1386289774581354E-3</v>
      </c>
      <c r="H17" s="683">
        <v>53407.59</v>
      </c>
      <c r="I17" s="681">
        <f t="shared" si="0"/>
        <v>3.9413329096308885E-3</v>
      </c>
      <c r="J17" s="682">
        <f>J16+I17</f>
        <v>3.9413329096308885E-3</v>
      </c>
      <c r="L17" s="9"/>
      <c r="M17" s="9"/>
      <c r="N17" s="9"/>
      <c r="O17" s="9"/>
    </row>
    <row r="18" spans="2:15" ht="11.25" customHeight="1">
      <c r="B18" s="677">
        <v>2</v>
      </c>
      <c r="C18" s="678"/>
      <c r="D18" s="679">
        <v>44620</v>
      </c>
      <c r="E18" s="680">
        <v>170211</v>
      </c>
      <c r="F18" s="681">
        <f>E18/$E$32</f>
        <v>1.2561102567653458E-2</v>
      </c>
      <c r="G18" s="682">
        <f t="shared" si="1"/>
        <v>1.7699731545111595E-2</v>
      </c>
      <c r="H18" s="683">
        <v>111320.735</v>
      </c>
      <c r="I18" s="681">
        <f t="shared" si="0"/>
        <v>8.2151633574890602E-3</v>
      </c>
      <c r="J18" s="682">
        <f t="shared" ref="J18:J23" si="2">I18+J17</f>
        <v>1.2156496267119949E-2</v>
      </c>
      <c r="L18" s="9"/>
      <c r="M18" s="9"/>
      <c r="N18" s="9"/>
      <c r="O18" s="9"/>
    </row>
    <row r="19" spans="2:15" ht="11.25" customHeight="1">
      <c r="B19" s="677">
        <v>3</v>
      </c>
      <c r="C19" s="678"/>
      <c r="D19" s="679">
        <v>44651</v>
      </c>
      <c r="E19" s="680">
        <v>790165.43</v>
      </c>
      <c r="F19" s="681">
        <f t="shared" ref="F19:F31" si="3">E19/$E$32</f>
        <v>5.8312030430724221E-2</v>
      </c>
      <c r="G19" s="682">
        <f t="shared" si="1"/>
        <v>7.6011761975835812E-2</v>
      </c>
      <c r="H19" s="683">
        <v>602565.47966399998</v>
      </c>
      <c r="I19" s="681">
        <f t="shared" si="0"/>
        <v>4.4467671265586879E-2</v>
      </c>
      <c r="J19" s="682">
        <f t="shared" si="2"/>
        <v>5.6624167532706826E-2</v>
      </c>
      <c r="L19" s="9"/>
      <c r="M19" s="9"/>
      <c r="N19" s="9"/>
      <c r="O19" s="9"/>
    </row>
    <row r="20" spans="2:15" ht="11.25" customHeight="1">
      <c r="B20" s="677">
        <v>4</v>
      </c>
      <c r="C20" s="678"/>
      <c r="D20" s="679">
        <v>44681</v>
      </c>
      <c r="E20" s="680">
        <v>1650777.82</v>
      </c>
      <c r="F20" s="681">
        <f t="shared" si="3"/>
        <v>0.1218228523034785</v>
      </c>
      <c r="G20" s="682">
        <f t="shared" si="1"/>
        <v>0.19783461427931431</v>
      </c>
      <c r="H20" s="683">
        <v>475142.56469999999</v>
      </c>
      <c r="I20" s="681">
        <f t="shared" si="0"/>
        <v>3.5064211416739335E-2</v>
      </c>
      <c r="J20" s="682">
        <f t="shared" si="2"/>
        <v>9.1688378949446162E-2</v>
      </c>
      <c r="L20" s="9"/>
      <c r="M20" s="9"/>
      <c r="N20" s="9"/>
      <c r="O20" s="9"/>
    </row>
    <row r="21" spans="2:15" ht="11.25" customHeight="1">
      <c r="B21" s="677">
        <v>5</v>
      </c>
      <c r="C21" s="678"/>
      <c r="D21" s="679">
        <v>44712</v>
      </c>
      <c r="E21" s="680">
        <v>1930654.1</v>
      </c>
      <c r="F21" s="681">
        <f t="shared" si="3"/>
        <v>0.14247695021332746</v>
      </c>
      <c r="G21" s="682">
        <f t="shared" si="1"/>
        <v>0.34031156449264177</v>
      </c>
      <c r="H21" s="683">
        <v>770146.7504100001</v>
      </c>
      <c r="I21" s="681">
        <f t="shared" si="0"/>
        <v>5.6834707063850277E-2</v>
      </c>
      <c r="J21" s="682">
        <f t="shared" si="2"/>
        <v>0.14852308601329645</v>
      </c>
      <c r="L21" s="9"/>
      <c r="M21" s="9"/>
      <c r="N21" s="9"/>
      <c r="O21" s="9"/>
    </row>
    <row r="22" spans="2:15" ht="11.25" customHeight="1">
      <c r="B22" s="677">
        <v>6</v>
      </c>
      <c r="C22" s="678"/>
      <c r="D22" s="679">
        <v>44742</v>
      </c>
      <c r="E22" s="680">
        <v>1390941.17</v>
      </c>
      <c r="F22" s="681">
        <f t="shared" si="3"/>
        <v>0.10264762384300606</v>
      </c>
      <c r="G22" s="682">
        <f t="shared" si="1"/>
        <v>0.44295918833564785</v>
      </c>
      <c r="H22" s="683">
        <v>781839.06169999996</v>
      </c>
      <c r="I22" s="681">
        <f t="shared" si="0"/>
        <v>5.7697567404055204E-2</v>
      </c>
      <c r="J22" s="682">
        <f t="shared" si="2"/>
        <v>0.20622065341735166</v>
      </c>
      <c r="L22" s="9"/>
      <c r="M22" s="9"/>
      <c r="N22" s="9"/>
      <c r="O22" s="9"/>
    </row>
    <row r="23" spans="2:15" ht="11.25" customHeight="1">
      <c r="B23" s="677">
        <v>7</v>
      </c>
      <c r="C23" s="678"/>
      <c r="D23" s="679">
        <v>44773</v>
      </c>
      <c r="E23" s="680">
        <v>1403691.51</v>
      </c>
      <c r="F23" s="681">
        <f t="shared" si="3"/>
        <v>0.10358856378526864</v>
      </c>
      <c r="G23" s="682">
        <f t="shared" ref="G23:G31" si="4">G22+F23</f>
        <v>0.54654775212091644</v>
      </c>
      <c r="H23" s="683">
        <v>769761.1825391968</v>
      </c>
      <c r="I23" s="681">
        <f t="shared" ref="I23:I27" si="5">H23/$E$32</f>
        <v>5.6806253217906409E-2</v>
      </c>
      <c r="J23" s="682">
        <f t="shared" si="2"/>
        <v>0.26302690663525807</v>
      </c>
      <c r="L23" s="9"/>
      <c r="M23" s="9"/>
      <c r="N23" s="9"/>
      <c r="O23" s="9"/>
    </row>
    <row r="24" spans="2:15" ht="11.25" customHeight="1">
      <c r="B24" s="677">
        <v>8</v>
      </c>
      <c r="C24" s="678"/>
      <c r="D24" s="679">
        <v>44804</v>
      </c>
      <c r="E24" s="680">
        <v>1213737.3999999999</v>
      </c>
      <c r="F24" s="681">
        <f t="shared" si="3"/>
        <v>8.9570474126801636E-2</v>
      </c>
      <c r="G24" s="682">
        <f t="shared" si="4"/>
        <v>0.63611822624771808</v>
      </c>
      <c r="H24" s="683">
        <v>890331.56450227846</v>
      </c>
      <c r="I24" s="681">
        <f t="shared" si="5"/>
        <v>6.5704015022134243E-2</v>
      </c>
      <c r="J24" s="682">
        <f>I24+J23</f>
        <v>0.32873092165739232</v>
      </c>
      <c r="L24" s="9"/>
      <c r="M24" s="9"/>
      <c r="N24" s="9"/>
      <c r="O24" s="9"/>
    </row>
    <row r="25" spans="2:15" ht="10.9" customHeight="1">
      <c r="B25" s="677">
        <v>9</v>
      </c>
      <c r="C25" s="678"/>
      <c r="D25" s="679">
        <v>44834</v>
      </c>
      <c r="E25" s="680">
        <v>1223407.77</v>
      </c>
      <c r="F25" s="681">
        <f t="shared" si="3"/>
        <v>9.0284120773828913E-2</v>
      </c>
      <c r="G25" s="682">
        <f t="shared" si="4"/>
        <v>0.72640234702154705</v>
      </c>
      <c r="H25" s="683">
        <v>535322.8769578943</v>
      </c>
      <c r="I25" s="681">
        <f t="shared" si="5"/>
        <v>3.9505352558174514E-2</v>
      </c>
      <c r="J25" s="682">
        <f>I25+J24</f>
        <v>0.36823627421556682</v>
      </c>
      <c r="L25" s="9"/>
      <c r="M25" s="9"/>
      <c r="N25" s="9"/>
      <c r="O25" s="9"/>
    </row>
    <row r="26" spans="2:15" ht="12.6" customHeight="1">
      <c r="B26" s="677">
        <v>10</v>
      </c>
      <c r="C26" s="678"/>
      <c r="D26" s="679">
        <v>44865</v>
      </c>
      <c r="E26" s="680">
        <v>1046672.76</v>
      </c>
      <c r="F26" s="681">
        <f t="shared" si="3"/>
        <v>7.7241564253361608E-2</v>
      </c>
      <c r="G26" s="682">
        <f t="shared" si="4"/>
        <v>0.80364391127490864</v>
      </c>
      <c r="H26" s="683">
        <v>126918.10130000002</v>
      </c>
      <c r="I26" s="681">
        <f t="shared" si="5"/>
        <v>9.3662059920988187E-3</v>
      </c>
      <c r="J26" s="682">
        <f>I26+J25</f>
        <v>0.37760248020766563</v>
      </c>
      <c r="L26" s="9"/>
      <c r="M26" s="9"/>
    </row>
    <row r="27" spans="2:15" ht="12" customHeight="1">
      <c r="B27" s="677">
        <v>11</v>
      </c>
      <c r="C27" s="678"/>
      <c r="D27" s="679">
        <v>44895</v>
      </c>
      <c r="E27" s="680">
        <v>423167.06</v>
      </c>
      <c r="F27" s="681">
        <f t="shared" si="3"/>
        <v>3.122856245432061E-2</v>
      </c>
      <c r="G27" s="682">
        <f t="shared" si="4"/>
        <v>0.83487247372922924</v>
      </c>
      <c r="H27" s="683">
        <v>287143.51587499998</v>
      </c>
      <c r="I27" s="681">
        <f t="shared" si="5"/>
        <v>2.1190399883336E-2</v>
      </c>
      <c r="J27" s="682">
        <f>I27+J26</f>
        <v>0.39879288009100161</v>
      </c>
      <c r="L27" s="9"/>
      <c r="M27" s="1424">
        <f>SUM(E17:E28)</f>
        <v>11909405.65</v>
      </c>
    </row>
    <row r="28" spans="2:15" ht="11.25" customHeight="1">
      <c r="B28" s="677">
        <v>12</v>
      </c>
      <c r="C28" s="1096"/>
      <c r="D28" s="679">
        <v>44926</v>
      </c>
      <c r="E28" s="680">
        <v>596347.91</v>
      </c>
      <c r="F28" s="681">
        <f t="shared" si="3"/>
        <v>4.4008831764784734E-2</v>
      </c>
      <c r="G28" s="682">
        <f t="shared" si="4"/>
        <v>0.878881305494014</v>
      </c>
      <c r="H28" s="683">
        <v>21084.27</v>
      </c>
      <c r="I28" s="681">
        <f>H28/$E$32</f>
        <v>1.5559610015457215E-3</v>
      </c>
      <c r="J28" s="682">
        <f>I28+J27</f>
        <v>0.40034884109254731</v>
      </c>
      <c r="L28" s="9"/>
      <c r="M28" s="9"/>
    </row>
    <row r="29" spans="2:15" ht="11.25" customHeight="1">
      <c r="B29" s="677">
        <v>13</v>
      </c>
      <c r="C29" s="1096"/>
      <c r="D29" s="679">
        <v>44957</v>
      </c>
      <c r="E29" s="680">
        <v>910904.39</v>
      </c>
      <c r="F29" s="681">
        <f t="shared" si="3"/>
        <v>6.7222232829345974E-2</v>
      </c>
      <c r="G29" s="682">
        <f t="shared" si="4"/>
        <v>0.94610353832336003</v>
      </c>
      <c r="H29" s="1411">
        <v>0</v>
      </c>
      <c r="I29" s="1412">
        <f>H29/$E$32</f>
        <v>0</v>
      </c>
      <c r="J29" s="682">
        <f t="shared" ref="J29:J31" si="6">I29+J28</f>
        <v>0.40034884109254731</v>
      </c>
      <c r="L29" s="9"/>
      <c r="M29" s="9"/>
    </row>
    <row r="30" spans="2:15" ht="11.25" customHeight="1">
      <c r="B30" s="677">
        <v>14</v>
      </c>
      <c r="C30" s="1095"/>
      <c r="D30" s="679">
        <v>44985</v>
      </c>
      <c r="E30" s="680">
        <v>411429.67</v>
      </c>
      <c r="F30" s="681">
        <f t="shared" si="3"/>
        <v>3.0362375429589247E-2</v>
      </c>
      <c r="G30" s="682">
        <f t="shared" si="4"/>
        <v>0.97646591375294922</v>
      </c>
      <c r="H30" s="683">
        <v>103589.48</v>
      </c>
      <c r="I30" s="681">
        <f>H30/$E$32</f>
        <v>7.6446180517703707E-3</v>
      </c>
      <c r="J30" s="682">
        <f t="shared" si="6"/>
        <v>0.40799345914431767</v>
      </c>
      <c r="L30" s="9"/>
      <c r="M30" s="1424"/>
    </row>
    <row r="31" spans="2:15" ht="11.25" customHeight="1">
      <c r="B31" s="677">
        <v>15</v>
      </c>
      <c r="C31" s="1096"/>
      <c r="D31" s="679">
        <v>45009</v>
      </c>
      <c r="E31" s="680">
        <v>318901.96999999997</v>
      </c>
      <c r="F31" s="681">
        <f t="shared" si="3"/>
        <v>2.3534086247050695E-2</v>
      </c>
      <c r="G31" s="682">
        <f t="shared" si="4"/>
        <v>0.99999999999999989</v>
      </c>
      <c r="H31" s="683">
        <f>'R- FE-1'!F75</f>
        <v>1092.9000000000001</v>
      </c>
      <c r="I31" s="681">
        <f>H31/$E$32</f>
        <v>8.0653007127556183E-5</v>
      </c>
      <c r="J31" s="682">
        <f t="shared" si="6"/>
        <v>0.40807411215144523</v>
      </c>
      <c r="L31" s="9"/>
      <c r="M31" s="9"/>
    </row>
    <row r="32" spans="2:15" ht="11.25" customHeight="1">
      <c r="B32" s="684" t="s">
        <v>1116</v>
      </c>
      <c r="C32" s="685"/>
      <c r="D32" s="686"/>
      <c r="E32" s="691">
        <f>SUM(E17:E31)</f>
        <v>13550641.680000002</v>
      </c>
      <c r="F32" s="692">
        <f>SUM(F16:F31)</f>
        <v>0.99999999999999989</v>
      </c>
      <c r="G32" s="693"/>
      <c r="H32" s="1451">
        <f>SUM(H16:H31)-0.01</f>
        <v>5529666.0626483699</v>
      </c>
      <c r="I32" s="694">
        <f>H32/E32</f>
        <v>0.40807411141347288</v>
      </c>
      <c r="J32" s="985">
        <f>I32</f>
        <v>0.40807411141347288</v>
      </c>
      <c r="L32" s="9"/>
      <c r="M32" s="1424">
        <f>SUM(E17:E29)</f>
        <v>12820310.040000001</v>
      </c>
    </row>
    <row r="33" spans="6:13" ht="11.25" customHeight="1">
      <c r="L33" s="51"/>
      <c r="M33" s="9"/>
    </row>
    <row r="34" spans="6:13">
      <c r="L34" s="51"/>
    </row>
    <row r="35" spans="6:13">
      <c r="L35" s="51"/>
    </row>
    <row r="36" spans="6:13">
      <c r="L36" s="51"/>
    </row>
    <row r="37" spans="6:13">
      <c r="L37" s="51"/>
    </row>
    <row r="38" spans="6:13">
      <c r="L38" s="51"/>
    </row>
    <row r="39" spans="6:13">
      <c r="F39" s="51"/>
      <c r="L39" s="51"/>
    </row>
    <row r="40" spans="6:13">
      <c r="L40" s="51"/>
    </row>
    <row r="41" spans="6:13">
      <c r="L41" s="51"/>
    </row>
    <row r="42" spans="6:13">
      <c r="L42" s="51"/>
    </row>
    <row r="43" spans="6:13">
      <c r="F43" s="5"/>
      <c r="G43" s="5"/>
      <c r="H43" s="5"/>
      <c r="I43" s="5"/>
      <c r="L43" s="51"/>
    </row>
    <row r="44" spans="6:13">
      <c r="F44" s="5"/>
      <c r="G44" s="5"/>
      <c r="H44" s="5"/>
      <c r="I44" s="5"/>
      <c r="L44" s="51"/>
    </row>
    <row r="45" spans="6:13">
      <c r="L45" s="51"/>
    </row>
    <row r="46" spans="6:13">
      <c r="I46" s="233"/>
    </row>
    <row r="47" spans="6:13">
      <c r="H47" s="232"/>
      <c r="I47" s="231"/>
    </row>
    <row r="48" spans="6:13">
      <c r="G48" s="231"/>
    </row>
    <row r="58" spans="6:6" ht="21" customHeight="1">
      <c r="F58" t="s">
        <v>423</v>
      </c>
    </row>
    <row r="59" spans="6:6" ht="19.5" customHeight="1"/>
  </sheetData>
  <mergeCells count="5">
    <mergeCell ref="B13:B15"/>
    <mergeCell ref="C13:D15"/>
    <mergeCell ref="E14:E15"/>
    <mergeCell ref="H14:H15"/>
    <mergeCell ref="C3:J5"/>
  </mergeCells>
  <pageMargins left="0.70866141732283472" right="0.70866141732283472" top="0.74803149606299213" bottom="0.74803149606299213" header="0.31496062992125984" footer="0.31496062992125984"/>
  <pageSetup paperSize="9" scale="72" orientation="portrait" horizontalDpi="300" verticalDpi="3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tabColor rgb="FFFF0000"/>
  </sheetPr>
  <dimension ref="F1:AU1"/>
  <sheetViews>
    <sheetView view="pageBreakPreview" zoomScale="70" zoomScaleNormal="77" zoomScaleSheetLayoutView="70" workbookViewId="0">
      <selection activeCell="P21" sqref="P21"/>
    </sheetView>
  </sheetViews>
  <sheetFormatPr baseColWidth="10" defaultColWidth="11.42578125" defaultRowHeight="15"/>
  <cols>
    <col min="1" max="1" width="0.7109375" customWidth="1"/>
    <col min="2" max="2" width="1.140625" customWidth="1"/>
    <col min="3" max="3" width="6.5703125" customWidth="1"/>
    <col min="4" max="4" width="42.85546875" customWidth="1"/>
    <col min="5" max="5" width="16.42578125" customWidth="1"/>
    <col min="6" max="6" width="11.5703125" hidden="1" customWidth="1"/>
    <col min="7" max="7" width="16.5703125" hidden="1" customWidth="1"/>
    <col min="8" max="8" width="18" hidden="1" customWidth="1"/>
    <col min="9" max="10" width="5.7109375" hidden="1" customWidth="1"/>
    <col min="11" max="11" width="4.7109375" customWidth="1"/>
    <col min="12" max="12" width="6.140625" customWidth="1"/>
    <col min="13" max="41" width="4.7109375" customWidth="1"/>
    <col min="42" max="42" width="4.42578125" hidden="1" customWidth="1"/>
    <col min="43" max="43" width="6.28515625" hidden="1" customWidth="1"/>
    <col min="44" max="44" width="14.42578125" customWidth="1"/>
    <col min="45" max="45" width="2.7109375" hidden="1" customWidth="1"/>
    <col min="46" max="46" width="2.85546875" hidden="1" customWidth="1"/>
    <col min="47" max="47" width="5.42578125" hidden="1" customWidth="1"/>
  </cols>
  <sheetData/>
  <pageMargins left="0.51181102362204722" right="0.51181102362204722" top="0.74803149606299213" bottom="0.74803149606299213" header="0.31496062992125984" footer="0.31496062992125984"/>
  <pageSetup paperSize="9" scale="47"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6">
    <tabColor rgb="FF002060"/>
    <pageSetUpPr fitToPage="1"/>
  </sheetPr>
  <dimension ref="A1:AM48"/>
  <sheetViews>
    <sheetView view="pageBreakPreview" topLeftCell="B1" zoomScale="50" zoomScaleNormal="41" zoomScaleSheetLayoutView="50" workbookViewId="0">
      <selection activeCell="X30" sqref="X30"/>
    </sheetView>
  </sheetViews>
  <sheetFormatPr baseColWidth="10" defaultColWidth="11.5703125" defaultRowHeight="15"/>
  <cols>
    <col min="3" max="3" width="13" customWidth="1"/>
    <col min="4" max="4" width="17.28515625" customWidth="1"/>
    <col min="5" max="35" width="5.7109375" customWidth="1"/>
    <col min="36" max="38" width="11.42578125" style="1160"/>
    <col min="41" max="72" width="5.7109375" customWidth="1"/>
  </cols>
  <sheetData>
    <row r="1" spans="1:38" ht="20.100000000000001" customHeight="1">
      <c r="A1" s="2602" t="s">
        <v>221</v>
      </c>
      <c r="B1" s="2602"/>
      <c r="C1" s="2602"/>
      <c r="D1" s="2602"/>
      <c r="E1" s="2602"/>
      <c r="F1" s="2602"/>
      <c r="G1" s="2602"/>
      <c r="H1" s="2602"/>
      <c r="I1" s="2602"/>
      <c r="J1" s="2602"/>
      <c r="K1" s="2602"/>
      <c r="L1" s="2602"/>
      <c r="M1" s="2602"/>
      <c r="N1" s="2602"/>
      <c r="O1" s="2602"/>
      <c r="P1" s="2602"/>
      <c r="Q1" s="2602"/>
      <c r="R1" s="2602"/>
      <c r="S1" s="2602"/>
      <c r="T1" s="2602"/>
      <c r="U1" s="2602"/>
      <c r="V1" s="2602"/>
      <c r="W1" s="2602"/>
      <c r="X1" s="2602"/>
      <c r="Y1" s="2602"/>
      <c r="Z1" s="2602"/>
      <c r="AA1" s="2602"/>
      <c r="AB1" s="2602"/>
      <c r="AC1" s="2602"/>
      <c r="AD1" s="2602"/>
      <c r="AE1" s="2602"/>
      <c r="AF1" s="2602"/>
      <c r="AG1" s="2602"/>
      <c r="AH1" s="2602"/>
      <c r="AI1" s="2602"/>
      <c r="AJ1" s="2602"/>
      <c r="AK1" s="2602"/>
      <c r="AL1" s="2602"/>
    </row>
    <row r="2" spans="1:38" ht="20.100000000000001" customHeight="1">
      <c r="A2" s="2603" t="s">
        <v>222</v>
      </c>
      <c r="B2" s="2603"/>
      <c r="C2" s="2603"/>
      <c r="D2" s="2603"/>
      <c r="E2" s="2603"/>
      <c r="F2" s="2603"/>
      <c r="G2" s="2603"/>
      <c r="H2" s="2603"/>
      <c r="I2" s="2603"/>
      <c r="J2" s="2603"/>
      <c r="K2" s="2603"/>
      <c r="L2" s="2603"/>
      <c r="M2" s="2603"/>
      <c r="N2" s="2603"/>
      <c r="O2" s="2603"/>
      <c r="P2" s="2603"/>
      <c r="Q2" s="2603"/>
      <c r="R2" s="2603"/>
      <c r="S2" s="2603"/>
      <c r="T2" s="2603"/>
      <c r="U2" s="2603"/>
      <c r="V2" s="2603"/>
      <c r="W2" s="2603"/>
      <c r="X2" s="2603"/>
      <c r="Y2" s="2603"/>
      <c r="Z2" s="2603"/>
      <c r="AA2" s="2603"/>
      <c r="AB2" s="2603"/>
      <c r="AC2" s="2603"/>
      <c r="AD2" s="2603"/>
      <c r="AE2" s="2603"/>
      <c r="AF2" s="2603"/>
      <c r="AG2" s="2603"/>
      <c r="AH2" s="2603"/>
      <c r="AI2" s="2603"/>
      <c r="AJ2" s="2603"/>
      <c r="AK2" s="2603"/>
      <c r="AL2" s="2603"/>
    </row>
    <row r="3" spans="1:38" ht="20.100000000000001" customHeight="1">
      <c r="A3" s="2603" t="s">
        <v>4291</v>
      </c>
      <c r="B3" s="2603"/>
      <c r="C3" s="2603"/>
      <c r="D3" s="2603"/>
      <c r="E3" s="2603"/>
      <c r="F3" s="2603"/>
      <c r="G3" s="2603"/>
      <c r="H3" s="2603"/>
      <c r="I3" s="2603"/>
      <c r="J3" s="2603"/>
      <c r="K3" s="2603"/>
      <c r="L3" s="2603"/>
      <c r="M3" s="2603"/>
      <c r="N3" s="2603"/>
      <c r="O3" s="2603"/>
      <c r="P3" s="2603"/>
      <c r="Q3" s="2603"/>
      <c r="R3" s="2603"/>
      <c r="S3" s="2603"/>
      <c r="T3" s="2603"/>
      <c r="U3" s="2603"/>
      <c r="V3" s="2603"/>
      <c r="W3" s="2603"/>
      <c r="X3" s="2603"/>
      <c r="Y3" s="2603"/>
      <c r="Z3" s="2603"/>
      <c r="AA3" s="2603"/>
      <c r="AB3" s="2603"/>
      <c r="AC3" s="2603"/>
      <c r="AD3" s="2603"/>
      <c r="AE3" s="2603"/>
      <c r="AF3" s="2603"/>
      <c r="AG3" s="2603"/>
      <c r="AH3" s="2603"/>
      <c r="AI3" s="2603"/>
      <c r="AJ3" s="2603"/>
      <c r="AK3" s="2603"/>
      <c r="AL3" s="2603"/>
    </row>
    <row r="4" spans="1:38" ht="20.100000000000001" customHeight="1">
      <c r="A4" s="1023" t="s">
        <v>1152</v>
      </c>
      <c r="B4" s="1018"/>
      <c r="C4" s="1019"/>
      <c r="D4" s="1117" t="s">
        <v>2480</v>
      </c>
      <c r="E4" s="1022"/>
      <c r="F4" s="1022"/>
      <c r="G4" s="1022"/>
      <c r="H4" s="1022"/>
      <c r="I4" s="1022"/>
      <c r="J4" s="1022"/>
      <c r="K4" s="1022"/>
      <c r="L4" s="1022"/>
      <c r="M4" s="1022"/>
      <c r="N4" s="1022"/>
      <c r="O4" s="1022"/>
      <c r="P4" s="1022"/>
      <c r="Q4" s="1022"/>
      <c r="R4" s="1022"/>
      <c r="S4" s="1022"/>
      <c r="T4" s="1022"/>
      <c r="U4" s="1022"/>
      <c r="V4" s="1022"/>
      <c r="W4" s="1022"/>
      <c r="X4" s="1022"/>
      <c r="Y4" s="1022"/>
      <c r="Z4" s="1022"/>
      <c r="AA4" s="1022"/>
      <c r="AB4" s="1022"/>
      <c r="AC4" s="1022"/>
      <c r="AD4" s="1022"/>
      <c r="AE4" s="1022"/>
      <c r="AF4" s="1022"/>
      <c r="AG4" s="1022"/>
      <c r="AH4" s="1022"/>
      <c r="AI4" s="1022"/>
      <c r="AJ4" s="1194"/>
      <c r="AK4" s="1194"/>
      <c r="AL4" s="1194"/>
    </row>
    <row r="5" spans="1:38" ht="20.100000000000001" customHeight="1">
      <c r="A5" s="1023" t="s">
        <v>109</v>
      </c>
      <c r="B5" s="1018"/>
      <c r="C5" s="1019"/>
      <c r="D5" s="2604" t="s">
        <v>1175</v>
      </c>
      <c r="E5" s="2605"/>
      <c r="F5" s="2605"/>
      <c r="G5" s="2605"/>
      <c r="H5" s="2605"/>
      <c r="I5" s="2605"/>
      <c r="J5" s="2605"/>
      <c r="K5" s="2605"/>
      <c r="L5" s="2605"/>
      <c r="M5" s="2605"/>
      <c r="N5" s="2605"/>
      <c r="O5" s="2605"/>
      <c r="P5" s="2605"/>
      <c r="Q5" s="2605"/>
      <c r="R5" s="2605"/>
      <c r="S5" s="2605"/>
      <c r="T5" s="2605"/>
      <c r="U5" s="2605"/>
      <c r="V5" s="2605"/>
      <c r="W5" s="2605"/>
      <c r="X5" s="2605"/>
      <c r="Y5" s="2605"/>
      <c r="Z5" s="2605"/>
      <c r="AA5" s="2605"/>
      <c r="AB5" s="2605"/>
      <c r="AC5" s="2605"/>
      <c r="AD5" s="2605"/>
      <c r="AE5" s="2605"/>
      <c r="AF5" s="2605"/>
      <c r="AG5" s="2605"/>
      <c r="AH5" s="2605"/>
      <c r="AI5" s="2605"/>
      <c r="AJ5" s="2605"/>
      <c r="AK5" s="2605"/>
      <c r="AL5" s="2605"/>
    </row>
    <row r="6" spans="1:38" ht="20.100000000000001" customHeight="1">
      <c r="A6" s="1023"/>
      <c r="B6" s="1018"/>
      <c r="C6" s="1019"/>
      <c r="D6" s="2605"/>
      <c r="E6" s="2605"/>
      <c r="F6" s="2605"/>
      <c r="G6" s="2605"/>
      <c r="H6" s="2605"/>
      <c r="I6" s="2605"/>
      <c r="J6" s="2605"/>
      <c r="K6" s="2605"/>
      <c r="L6" s="2605"/>
      <c r="M6" s="2605"/>
      <c r="N6" s="2605"/>
      <c r="O6" s="2605"/>
      <c r="P6" s="2605"/>
      <c r="Q6" s="2605"/>
      <c r="R6" s="2605"/>
      <c r="S6" s="2605"/>
      <c r="T6" s="2605"/>
      <c r="U6" s="2605"/>
      <c r="V6" s="2605"/>
      <c r="W6" s="2605"/>
      <c r="X6" s="2605"/>
      <c r="Y6" s="2605"/>
      <c r="Z6" s="2605"/>
      <c r="AA6" s="2605"/>
      <c r="AB6" s="2605"/>
      <c r="AC6" s="2605"/>
      <c r="AD6" s="2605"/>
      <c r="AE6" s="2605"/>
      <c r="AF6" s="2605"/>
      <c r="AG6" s="2605"/>
      <c r="AH6" s="2605"/>
      <c r="AI6" s="2605"/>
      <c r="AJ6" s="2605"/>
      <c r="AK6" s="2605"/>
      <c r="AL6" s="2605"/>
    </row>
    <row r="7" spans="1:38" ht="20.100000000000001" customHeight="1">
      <c r="A7" s="1023" t="s">
        <v>209</v>
      </c>
      <c r="B7" s="1018"/>
      <c r="C7" s="1019"/>
      <c r="D7" s="1021" t="s">
        <v>2319</v>
      </c>
      <c r="E7" s="1022"/>
      <c r="F7" s="1022"/>
      <c r="G7" s="1022"/>
      <c r="H7" s="1022"/>
      <c r="I7" s="1022"/>
      <c r="J7" s="1022"/>
      <c r="K7" s="1022"/>
      <c r="L7" s="1022"/>
      <c r="M7" s="1022"/>
      <c r="N7" s="1022"/>
      <c r="O7" s="1022"/>
      <c r="P7" s="1022"/>
      <c r="Q7" s="1022"/>
      <c r="R7" s="1022"/>
      <c r="S7" s="1022"/>
      <c r="T7" s="1022"/>
      <c r="U7" s="1022"/>
      <c r="V7" s="1022"/>
      <c r="W7" s="1022"/>
      <c r="X7" s="1022"/>
      <c r="Y7" s="1022"/>
      <c r="Z7" s="1022"/>
      <c r="AA7" s="1022"/>
      <c r="AB7" s="1022"/>
      <c r="AC7" s="1022"/>
      <c r="AD7" s="1022"/>
      <c r="AE7" s="1022"/>
      <c r="AF7" s="1022"/>
      <c r="AG7" s="1022"/>
      <c r="AH7" s="1022"/>
      <c r="AI7" s="1022"/>
      <c r="AJ7" s="1194"/>
      <c r="AK7" s="1194"/>
      <c r="AL7" s="1194"/>
    </row>
    <row r="8" spans="1:38" ht="20.100000000000001" customHeight="1">
      <c r="A8" s="1023" t="s">
        <v>112</v>
      </c>
      <c r="B8" s="1018"/>
      <c r="C8" s="1019"/>
      <c r="D8" s="1021" t="s">
        <v>126</v>
      </c>
      <c r="E8" s="1022"/>
      <c r="F8" s="1022"/>
      <c r="G8" s="1022"/>
      <c r="H8" s="1022"/>
      <c r="I8" s="1022"/>
      <c r="J8" s="1022"/>
      <c r="K8" s="1022"/>
      <c r="L8" s="1022"/>
      <c r="M8" s="1022"/>
      <c r="N8" s="1022"/>
      <c r="O8" s="1022"/>
      <c r="P8" s="1022"/>
      <c r="Q8" s="1022"/>
      <c r="R8" s="1022"/>
      <c r="S8" s="1022"/>
      <c r="T8" s="1022"/>
      <c r="U8" s="1022"/>
      <c r="V8" s="1022"/>
      <c r="W8" s="1022"/>
      <c r="X8" s="1022"/>
      <c r="Y8" s="1022"/>
      <c r="Z8" s="1022"/>
      <c r="AA8" s="1022"/>
      <c r="AB8" s="1022"/>
      <c r="AC8" s="1022"/>
      <c r="AD8" s="1022"/>
      <c r="AE8" s="1022"/>
      <c r="AF8" s="1022"/>
      <c r="AG8" s="1022"/>
      <c r="AH8" s="1022"/>
      <c r="AI8" s="1022"/>
      <c r="AJ8" s="1194"/>
      <c r="AK8" s="1194"/>
      <c r="AL8" s="1194"/>
    </row>
    <row r="9" spans="1:38" ht="20.100000000000001" customHeight="1">
      <c r="A9" s="1023" t="s">
        <v>1153</v>
      </c>
      <c r="B9" s="1018"/>
      <c r="C9" s="1019"/>
      <c r="D9" s="2596" t="s">
        <v>4254</v>
      </c>
      <c r="E9" s="2596"/>
      <c r="F9" s="2596"/>
      <c r="G9" s="2596"/>
      <c r="H9" s="1022"/>
      <c r="I9" s="1022"/>
      <c r="J9" s="1022"/>
      <c r="K9" s="1022"/>
      <c r="L9" s="1022"/>
      <c r="M9" s="1022"/>
      <c r="N9" s="1022"/>
      <c r="O9" s="1022"/>
      <c r="P9" s="1022"/>
      <c r="Q9" s="1022"/>
      <c r="R9" s="1022"/>
      <c r="S9" s="1022"/>
      <c r="T9" s="1022"/>
      <c r="U9" s="1022"/>
      <c r="V9" s="1022"/>
      <c r="W9" s="1022"/>
      <c r="X9" s="1022"/>
      <c r="Y9" s="1022"/>
      <c r="Z9" s="1022"/>
      <c r="AA9" s="1022"/>
      <c r="AB9" s="1022"/>
      <c r="AC9" s="1022"/>
      <c r="AD9" s="1022"/>
      <c r="AE9" s="1022"/>
      <c r="AF9" s="1022"/>
      <c r="AG9" s="1022"/>
      <c r="AH9" s="1022"/>
      <c r="AI9" s="1022"/>
      <c r="AJ9" s="1194"/>
      <c r="AK9" s="1194"/>
      <c r="AL9" s="1194"/>
    </row>
    <row r="10" spans="1:38" ht="20.100000000000001" customHeight="1">
      <c r="A10" s="1023" t="s">
        <v>211</v>
      </c>
      <c r="B10" s="1018"/>
      <c r="C10" s="1019"/>
      <c r="D10" s="1020" t="s">
        <v>2466</v>
      </c>
      <c r="E10" s="1024"/>
      <c r="F10" s="1024"/>
      <c r="G10" s="1024"/>
      <c r="H10" s="1024"/>
      <c r="I10" s="1024"/>
      <c r="J10" s="1024"/>
      <c r="K10" s="1024"/>
      <c r="L10" s="1024"/>
      <c r="M10" s="1024"/>
      <c r="N10" s="1024"/>
      <c r="O10" s="1024"/>
      <c r="P10" s="1024"/>
      <c r="Q10" s="1024"/>
      <c r="R10" s="1024"/>
      <c r="S10" s="1024"/>
      <c r="T10" s="1024"/>
      <c r="U10" s="1024"/>
      <c r="V10" s="1024"/>
      <c r="W10" s="1024"/>
      <c r="X10" s="1024"/>
      <c r="Y10" s="1024"/>
      <c r="Z10" s="1024"/>
      <c r="AA10" s="1024"/>
      <c r="AB10" s="1024"/>
      <c r="AC10" s="1024"/>
      <c r="AD10" s="1024"/>
      <c r="AE10" s="1024"/>
      <c r="AF10" s="1024"/>
      <c r="AG10" s="1024"/>
      <c r="AH10" s="1024"/>
      <c r="AI10" s="1024"/>
      <c r="AJ10" s="1195"/>
      <c r="AK10" s="1195"/>
      <c r="AL10" s="1195"/>
    </row>
    <row r="11" spans="1:38" ht="20.100000000000001" customHeight="1" thickBot="1">
      <c r="A11" s="1017" t="s">
        <v>212</v>
      </c>
      <c r="B11" s="1018"/>
      <c r="C11" s="1025"/>
      <c r="D11" s="1026" t="s">
        <v>4277</v>
      </c>
      <c r="E11" s="1022"/>
      <c r="F11" s="1022"/>
      <c r="G11" s="1022"/>
      <c r="H11" s="1022"/>
      <c r="I11" s="1022"/>
      <c r="J11" s="1022"/>
      <c r="K11" s="1022"/>
      <c r="L11" s="1022"/>
      <c r="M11" s="1022"/>
      <c r="N11" s="1022"/>
      <c r="O11" s="1022"/>
      <c r="P11" s="1022"/>
      <c r="Q11" s="1022"/>
      <c r="R11" s="1022"/>
      <c r="S11" s="1022"/>
      <c r="T11" s="1022"/>
      <c r="U11" s="1022"/>
      <c r="V11" s="1022"/>
      <c r="W11" s="1022"/>
      <c r="X11" s="1022"/>
      <c r="Y11" s="1022"/>
      <c r="Z11" s="1022"/>
      <c r="AA11" s="1022"/>
      <c r="AB11" s="1022"/>
      <c r="AC11" s="1022"/>
      <c r="AD11" s="1022"/>
      <c r="AE11" s="1022"/>
      <c r="AF11" s="1022"/>
      <c r="AG11" s="1022"/>
      <c r="AH11" s="1022"/>
      <c r="AI11" s="1022"/>
      <c r="AJ11" s="1194"/>
      <c r="AK11" s="1194"/>
      <c r="AL11" s="1194"/>
    </row>
    <row r="12" spans="1:38" ht="24.95" customHeight="1">
      <c r="A12" s="2606" t="s">
        <v>223</v>
      </c>
      <c r="B12" s="2607"/>
      <c r="C12" s="2607"/>
      <c r="D12" s="2608"/>
      <c r="E12" s="1831" t="s">
        <v>25</v>
      </c>
      <c r="F12" s="1831" t="s">
        <v>26</v>
      </c>
      <c r="G12" s="1027" t="s">
        <v>27</v>
      </c>
      <c r="H12" s="1831" t="s">
        <v>28</v>
      </c>
      <c r="I12" s="1831" t="s">
        <v>11</v>
      </c>
      <c r="J12" s="1831" t="s">
        <v>11</v>
      </c>
      <c r="K12" s="1831" t="s">
        <v>29</v>
      </c>
      <c r="L12" s="1831" t="s">
        <v>25</v>
      </c>
      <c r="M12" s="1831" t="s">
        <v>26</v>
      </c>
      <c r="N12" s="1027" t="s">
        <v>27</v>
      </c>
      <c r="O12" s="1831" t="s">
        <v>28</v>
      </c>
      <c r="P12" s="1831" t="s">
        <v>11</v>
      </c>
      <c r="Q12" s="1831" t="s">
        <v>11</v>
      </c>
      <c r="R12" s="1831" t="s">
        <v>29</v>
      </c>
      <c r="S12" s="1831" t="s">
        <v>25</v>
      </c>
      <c r="T12" s="1831" t="s">
        <v>26</v>
      </c>
      <c r="U12" s="1027" t="s">
        <v>27</v>
      </c>
      <c r="V12" s="1831" t="s">
        <v>28</v>
      </c>
      <c r="W12" s="1831" t="s">
        <v>11</v>
      </c>
      <c r="X12" s="1831" t="s">
        <v>11</v>
      </c>
      <c r="Y12" s="1831" t="s">
        <v>29</v>
      </c>
      <c r="Z12" s="1871" t="s">
        <v>25</v>
      </c>
      <c r="AA12" s="1871" t="s">
        <v>26</v>
      </c>
      <c r="AB12" s="1872" t="s">
        <v>27</v>
      </c>
      <c r="AC12" s="1831" t="s">
        <v>28</v>
      </c>
      <c r="AD12" s="1832" t="s">
        <v>11</v>
      </c>
      <c r="AE12" s="1831" t="s">
        <v>11</v>
      </c>
      <c r="AF12" s="1832" t="s">
        <v>29</v>
      </c>
      <c r="AG12" s="1831" t="s">
        <v>25</v>
      </c>
      <c r="AH12" s="1832" t="s">
        <v>26</v>
      </c>
      <c r="AI12" s="1831" t="s">
        <v>27</v>
      </c>
      <c r="AJ12" s="2612" t="s">
        <v>224</v>
      </c>
      <c r="AK12" s="2613"/>
      <c r="AL12" s="2614"/>
    </row>
    <row r="13" spans="1:38" ht="24.95" customHeight="1">
      <c r="A13" s="2609"/>
      <c r="B13" s="2610"/>
      <c r="C13" s="2610"/>
      <c r="D13" s="2611"/>
      <c r="E13" s="1833">
        <v>1</v>
      </c>
      <c r="F13" s="1833">
        <v>2</v>
      </c>
      <c r="G13" s="1833">
        <v>3</v>
      </c>
      <c r="H13" s="1833">
        <v>4</v>
      </c>
      <c r="I13" s="1833">
        <v>5</v>
      </c>
      <c r="J13" s="1833">
        <v>6</v>
      </c>
      <c r="K13" s="1833">
        <v>7</v>
      </c>
      <c r="L13" s="1833">
        <v>8</v>
      </c>
      <c r="M13" s="1833">
        <v>9</v>
      </c>
      <c r="N13" s="1833">
        <v>10</v>
      </c>
      <c r="O13" s="1833">
        <v>11</v>
      </c>
      <c r="P13" s="1833">
        <v>12</v>
      </c>
      <c r="Q13" s="1833">
        <v>13</v>
      </c>
      <c r="R13" s="1833">
        <v>14</v>
      </c>
      <c r="S13" s="1833">
        <v>15</v>
      </c>
      <c r="T13" s="1833">
        <v>16</v>
      </c>
      <c r="U13" s="1833">
        <v>17</v>
      </c>
      <c r="V13" s="1833">
        <v>18</v>
      </c>
      <c r="W13" s="1833">
        <v>19</v>
      </c>
      <c r="X13" s="1833">
        <v>20</v>
      </c>
      <c r="Y13" s="1833">
        <v>21</v>
      </c>
      <c r="Z13" s="1833">
        <v>22</v>
      </c>
      <c r="AA13" s="1833">
        <v>23</v>
      </c>
      <c r="AB13" s="1833">
        <v>24</v>
      </c>
      <c r="AC13" s="1833">
        <v>25</v>
      </c>
      <c r="AD13" s="1833">
        <v>26</v>
      </c>
      <c r="AE13" s="1833">
        <v>27</v>
      </c>
      <c r="AF13" s="1833">
        <v>28</v>
      </c>
      <c r="AG13" s="1833">
        <v>29</v>
      </c>
      <c r="AH13" s="1833">
        <v>30</v>
      </c>
      <c r="AI13" s="1833">
        <v>31</v>
      </c>
      <c r="AJ13" s="1028" t="s">
        <v>225</v>
      </c>
      <c r="AK13" s="1028" t="s">
        <v>183</v>
      </c>
      <c r="AL13" s="1029" t="s">
        <v>226</v>
      </c>
    </row>
    <row r="14" spans="1:38" ht="24.95" customHeight="1">
      <c r="A14" s="2615" t="s">
        <v>227</v>
      </c>
      <c r="B14" s="2616"/>
      <c r="C14" s="2616"/>
      <c r="D14" s="2617"/>
      <c r="E14" s="1834"/>
      <c r="F14" s="1834"/>
      <c r="G14" s="1030"/>
      <c r="H14" s="1834"/>
      <c r="I14" s="1834"/>
      <c r="J14" s="1834"/>
      <c r="K14" s="1834"/>
      <c r="L14" s="1834"/>
      <c r="M14" s="1834"/>
      <c r="N14" s="1030"/>
      <c r="O14" s="1834"/>
      <c r="P14" s="1834"/>
      <c r="Q14" s="1834"/>
      <c r="R14" s="1834"/>
      <c r="S14" s="1834"/>
      <c r="T14" s="1834"/>
      <c r="U14" s="1030"/>
      <c r="V14" s="1834"/>
      <c r="W14" s="1834"/>
      <c r="X14" s="1834"/>
      <c r="Y14" s="1834"/>
      <c r="Z14" s="1834"/>
      <c r="AA14" s="1834"/>
      <c r="AB14" s="1129"/>
      <c r="AC14" s="2001"/>
      <c r="AD14" s="2001"/>
      <c r="AE14" s="2001"/>
      <c r="AF14" s="2001"/>
      <c r="AG14" s="1834"/>
      <c r="AH14" s="1834"/>
      <c r="AI14" s="1834"/>
      <c r="AJ14" s="1175"/>
      <c r="AK14" s="1175"/>
      <c r="AL14" s="1176"/>
    </row>
    <row r="15" spans="1:38" ht="24.95" customHeight="1">
      <c r="A15" s="1131" t="s">
        <v>40</v>
      </c>
      <c r="B15" s="1127"/>
      <c r="C15" s="1127"/>
      <c r="D15" s="1128"/>
      <c r="E15" s="1833">
        <v>1</v>
      </c>
      <c r="F15" s="1833">
        <v>1</v>
      </c>
      <c r="G15" s="1129">
        <v>1</v>
      </c>
      <c r="H15" s="1833">
        <v>1</v>
      </c>
      <c r="I15" s="1833">
        <v>1</v>
      </c>
      <c r="J15" s="1833">
        <v>1</v>
      </c>
      <c r="K15" s="1833">
        <v>1</v>
      </c>
      <c r="L15" s="1833">
        <v>1</v>
      </c>
      <c r="M15" s="1833">
        <v>1</v>
      </c>
      <c r="N15" s="1129">
        <v>1</v>
      </c>
      <c r="O15" s="1833">
        <v>1</v>
      </c>
      <c r="P15" s="1833">
        <v>1</v>
      </c>
      <c r="Q15" s="1833">
        <v>1</v>
      </c>
      <c r="R15" s="1833">
        <v>1</v>
      </c>
      <c r="S15" s="1833">
        <v>1</v>
      </c>
      <c r="T15" s="1833">
        <v>1</v>
      </c>
      <c r="U15" s="1129">
        <v>1</v>
      </c>
      <c r="V15" s="1833">
        <v>1</v>
      </c>
      <c r="W15" s="1833">
        <v>1</v>
      </c>
      <c r="X15" s="1833">
        <v>1</v>
      </c>
      <c r="Y15" s="1833">
        <v>1</v>
      </c>
      <c r="Z15" s="1833">
        <v>1</v>
      </c>
      <c r="AA15" s="1833">
        <v>1</v>
      </c>
      <c r="AB15" s="1129">
        <v>1</v>
      </c>
      <c r="AC15" s="1833">
        <v>1</v>
      </c>
      <c r="AD15" s="1833">
        <v>1</v>
      </c>
      <c r="AE15" s="1833">
        <v>1</v>
      </c>
      <c r="AF15" s="1833">
        <v>1</v>
      </c>
      <c r="AG15" s="1833">
        <v>1</v>
      </c>
      <c r="AH15" s="1833">
        <v>1</v>
      </c>
      <c r="AI15" s="1833">
        <v>1</v>
      </c>
      <c r="AJ15" s="235"/>
      <c r="AK15" s="1177">
        <f>SUM(E15:AI15)</f>
        <v>31</v>
      </c>
      <c r="AL15" s="1178">
        <f>AJ15+AK15</f>
        <v>31</v>
      </c>
    </row>
    <row r="16" spans="1:38" ht="24.95" customHeight="1">
      <c r="A16" s="2621" t="s">
        <v>58</v>
      </c>
      <c r="B16" s="2622"/>
      <c r="C16" s="2622"/>
      <c r="D16" s="2623"/>
      <c r="E16" s="1833">
        <v>1</v>
      </c>
      <c r="F16" s="1833">
        <v>1</v>
      </c>
      <c r="G16" s="1129">
        <v>1</v>
      </c>
      <c r="H16" s="1833">
        <v>1</v>
      </c>
      <c r="I16" s="1833">
        <v>1</v>
      </c>
      <c r="J16" s="1833">
        <v>1</v>
      </c>
      <c r="K16" s="1833">
        <v>1</v>
      </c>
      <c r="L16" s="1833">
        <v>1</v>
      </c>
      <c r="M16" s="1833">
        <v>1</v>
      </c>
      <c r="N16" s="1129">
        <v>1</v>
      </c>
      <c r="O16" s="1833">
        <v>1</v>
      </c>
      <c r="P16" s="1833">
        <v>1</v>
      </c>
      <c r="Q16" s="1833">
        <v>1</v>
      </c>
      <c r="R16" s="1833">
        <v>1</v>
      </c>
      <c r="S16" s="1833">
        <v>1</v>
      </c>
      <c r="T16" s="1833">
        <v>1</v>
      </c>
      <c r="U16" s="1129">
        <v>1</v>
      </c>
      <c r="V16" s="1833">
        <v>1</v>
      </c>
      <c r="W16" s="1833">
        <v>1</v>
      </c>
      <c r="X16" s="1833">
        <v>1</v>
      </c>
      <c r="Y16" s="1833">
        <v>1</v>
      </c>
      <c r="Z16" s="1833">
        <v>1</v>
      </c>
      <c r="AA16" s="1833">
        <v>1</v>
      </c>
      <c r="AB16" s="1129">
        <v>1</v>
      </c>
      <c r="AC16" s="1833">
        <v>1</v>
      </c>
      <c r="AD16" s="1833">
        <v>1</v>
      </c>
      <c r="AE16" s="1833">
        <v>1</v>
      </c>
      <c r="AF16" s="1833">
        <v>1</v>
      </c>
      <c r="AG16" s="1833">
        <v>1</v>
      </c>
      <c r="AH16" s="1833">
        <v>1</v>
      </c>
      <c r="AI16" s="1833">
        <v>1</v>
      </c>
      <c r="AJ16" s="235"/>
      <c r="AK16" s="1177">
        <f>SUM(E16:AI16)</f>
        <v>31</v>
      </c>
      <c r="AL16" s="1178">
        <f t="shared" ref="AL16:AL24" si="0">AJ16+AK16</f>
        <v>31</v>
      </c>
    </row>
    <row r="17" spans="1:39" ht="38.25" customHeight="1">
      <c r="A17" s="2618" t="s">
        <v>2178</v>
      </c>
      <c r="B17" s="2619"/>
      <c r="C17" s="2619"/>
      <c r="D17" s="2620"/>
      <c r="E17" s="1833"/>
      <c r="F17" s="1833"/>
      <c r="G17" s="1129"/>
      <c r="H17" s="1833"/>
      <c r="I17" s="1833"/>
      <c r="J17" s="1833"/>
      <c r="K17" s="1833"/>
      <c r="L17" s="1833"/>
      <c r="M17" s="1833"/>
      <c r="N17" s="1129"/>
      <c r="O17" s="1833"/>
      <c r="P17" s="1833"/>
      <c r="Q17" s="1833"/>
      <c r="R17" s="1833"/>
      <c r="S17" s="1833"/>
      <c r="T17" s="1833"/>
      <c r="U17" s="1129"/>
      <c r="V17" s="1833"/>
      <c r="W17" s="1833"/>
      <c r="X17" s="1833"/>
      <c r="Y17" s="1833"/>
      <c r="Z17" s="1833"/>
      <c r="AA17" s="1833"/>
      <c r="AB17" s="1129"/>
      <c r="AC17" s="1129"/>
      <c r="AD17" s="1129"/>
      <c r="AE17" s="1129"/>
      <c r="AF17" s="1129"/>
      <c r="AG17" s="1833"/>
      <c r="AH17" s="1833"/>
      <c r="AI17" s="1833"/>
      <c r="AJ17" s="235"/>
      <c r="AK17" s="1177">
        <f>SUM(E17:Y17)</f>
        <v>0</v>
      </c>
      <c r="AL17" s="1178">
        <f t="shared" si="0"/>
        <v>0</v>
      </c>
    </row>
    <row r="18" spans="1:39" ht="24.95" customHeight="1">
      <c r="A18" s="2599" t="s">
        <v>2179</v>
      </c>
      <c r="B18" s="2600"/>
      <c r="C18" s="2600"/>
      <c r="D18" s="2601"/>
      <c r="E18" s="1833">
        <v>1</v>
      </c>
      <c r="F18" s="1833">
        <v>1</v>
      </c>
      <c r="G18" s="1129">
        <v>1</v>
      </c>
      <c r="H18" s="1833">
        <v>1</v>
      </c>
      <c r="I18" s="1833">
        <v>1</v>
      </c>
      <c r="J18" s="1833">
        <v>1</v>
      </c>
      <c r="K18" s="1833">
        <v>1</v>
      </c>
      <c r="L18" s="1833">
        <v>1</v>
      </c>
      <c r="M18" s="1833">
        <v>1</v>
      </c>
      <c r="N18" s="1129">
        <v>1</v>
      </c>
      <c r="O18" s="1833">
        <v>1</v>
      </c>
      <c r="P18" s="1833">
        <v>1</v>
      </c>
      <c r="Q18" s="1833">
        <v>1</v>
      </c>
      <c r="R18" s="1833">
        <v>1</v>
      </c>
      <c r="S18" s="1833">
        <v>1</v>
      </c>
      <c r="T18" s="1833">
        <v>1</v>
      </c>
      <c r="U18" s="1129">
        <v>1</v>
      </c>
      <c r="V18" s="1833">
        <v>1</v>
      </c>
      <c r="W18" s="1833">
        <v>1</v>
      </c>
      <c r="X18" s="1833">
        <v>1</v>
      </c>
      <c r="Y18" s="1833">
        <v>1</v>
      </c>
      <c r="Z18" s="1833">
        <v>1</v>
      </c>
      <c r="AA18" s="1833">
        <v>1</v>
      </c>
      <c r="AB18" s="1129">
        <v>1</v>
      </c>
      <c r="AC18" s="1833">
        <v>1</v>
      </c>
      <c r="AD18" s="1833">
        <v>1</v>
      </c>
      <c r="AE18" s="1833">
        <v>1</v>
      </c>
      <c r="AF18" s="1833">
        <v>1</v>
      </c>
      <c r="AG18" s="1833">
        <v>1</v>
      </c>
      <c r="AH18" s="1833">
        <v>1</v>
      </c>
      <c r="AI18" s="1833">
        <v>1</v>
      </c>
      <c r="AJ18" s="235"/>
      <c r="AK18" s="1177">
        <f>SUM(E18:AI18)</f>
        <v>31</v>
      </c>
      <c r="AL18" s="1178">
        <f t="shared" si="0"/>
        <v>31</v>
      </c>
    </row>
    <row r="19" spans="1:39" ht="39.75" customHeight="1">
      <c r="A19" s="2599" t="s">
        <v>2180</v>
      </c>
      <c r="B19" s="2600"/>
      <c r="C19" s="2600"/>
      <c r="D19" s="2601"/>
      <c r="E19" s="1833">
        <v>1</v>
      </c>
      <c r="F19" s="1833">
        <v>1</v>
      </c>
      <c r="G19" s="1129">
        <v>1</v>
      </c>
      <c r="H19" s="1833">
        <v>1</v>
      </c>
      <c r="I19" s="1833">
        <v>1</v>
      </c>
      <c r="J19" s="1833">
        <v>1</v>
      </c>
      <c r="K19" s="1833">
        <v>1</v>
      </c>
      <c r="L19" s="1833">
        <v>1</v>
      </c>
      <c r="M19" s="1833">
        <v>1</v>
      </c>
      <c r="N19" s="1129">
        <v>1</v>
      </c>
      <c r="O19" s="1833">
        <v>1</v>
      </c>
      <c r="P19" s="1833">
        <v>1</v>
      </c>
      <c r="Q19" s="1833">
        <v>1</v>
      </c>
      <c r="R19" s="1833">
        <v>1</v>
      </c>
      <c r="S19" s="1833">
        <v>1</v>
      </c>
      <c r="T19" s="1833">
        <v>1</v>
      </c>
      <c r="U19" s="1129">
        <v>1</v>
      </c>
      <c r="V19" s="1833">
        <v>1</v>
      </c>
      <c r="W19" s="1833">
        <v>1</v>
      </c>
      <c r="X19" s="1833">
        <v>1</v>
      </c>
      <c r="Y19" s="1833">
        <v>1</v>
      </c>
      <c r="Z19" s="1833">
        <v>1</v>
      </c>
      <c r="AA19" s="1833">
        <v>1</v>
      </c>
      <c r="AB19" s="1129">
        <v>1</v>
      </c>
      <c r="AC19" s="1833">
        <v>1</v>
      </c>
      <c r="AD19" s="1833">
        <v>1</v>
      </c>
      <c r="AE19" s="1833">
        <v>1</v>
      </c>
      <c r="AF19" s="1833">
        <v>1</v>
      </c>
      <c r="AG19" s="1833">
        <v>1</v>
      </c>
      <c r="AH19" s="1833">
        <v>1</v>
      </c>
      <c r="AI19" s="1833">
        <v>1</v>
      </c>
      <c r="AJ19" s="235"/>
      <c r="AK19" s="1177">
        <f>SUM(E19:AI19)</f>
        <v>31</v>
      </c>
      <c r="AL19" s="1178">
        <f t="shared" si="0"/>
        <v>31</v>
      </c>
    </row>
    <row r="20" spans="1:39" ht="24.95" customHeight="1">
      <c r="A20" s="2593" t="s">
        <v>228</v>
      </c>
      <c r="B20" s="2594"/>
      <c r="C20" s="2594"/>
      <c r="D20" s="2595"/>
      <c r="E20" s="1833"/>
      <c r="F20" s="1833"/>
      <c r="G20" s="1129"/>
      <c r="H20" s="1833"/>
      <c r="I20" s="1833"/>
      <c r="J20" s="1833"/>
      <c r="K20" s="1833"/>
      <c r="L20" s="1833"/>
      <c r="M20" s="1833"/>
      <c r="N20" s="1129"/>
      <c r="O20" s="1833"/>
      <c r="P20" s="1833"/>
      <c r="Q20" s="1833"/>
      <c r="R20" s="1833"/>
      <c r="S20" s="1833"/>
      <c r="T20" s="1833"/>
      <c r="U20" s="1129"/>
      <c r="V20" s="1833"/>
      <c r="W20" s="1833"/>
      <c r="X20" s="1833"/>
      <c r="Y20" s="1833"/>
      <c r="Z20" s="1833"/>
      <c r="AA20" s="1833"/>
      <c r="AB20" s="1129"/>
      <c r="AC20" s="1129"/>
      <c r="AD20" s="1129"/>
      <c r="AE20" s="1129"/>
      <c r="AF20" s="1129"/>
      <c r="AG20" s="1833"/>
      <c r="AH20" s="1833"/>
      <c r="AI20" s="1833"/>
      <c r="AJ20" s="235"/>
      <c r="AK20" s="1177">
        <f>SUM(E20:Y20)</f>
        <v>0</v>
      </c>
      <c r="AL20" s="1178">
        <f t="shared" si="0"/>
        <v>0</v>
      </c>
    </row>
    <row r="21" spans="1:39" ht="24.95" customHeight="1">
      <c r="A21" s="2590" t="s">
        <v>2244</v>
      </c>
      <c r="B21" s="2591"/>
      <c r="C21" s="2591"/>
      <c r="D21" s="2592"/>
      <c r="E21" s="1833">
        <v>1</v>
      </c>
      <c r="F21" s="1833">
        <v>1</v>
      </c>
      <c r="G21" s="1129">
        <v>1</v>
      </c>
      <c r="H21" s="1833">
        <v>1</v>
      </c>
      <c r="I21" s="1833">
        <v>1</v>
      </c>
      <c r="J21" s="1833">
        <v>1</v>
      </c>
      <c r="K21" s="1833">
        <v>1</v>
      </c>
      <c r="L21" s="1833">
        <v>1</v>
      </c>
      <c r="M21" s="1833">
        <v>1</v>
      </c>
      <c r="N21" s="1129">
        <v>1</v>
      </c>
      <c r="O21" s="1833">
        <v>1</v>
      </c>
      <c r="P21" s="1833">
        <v>1</v>
      </c>
      <c r="Q21" s="1833">
        <v>1</v>
      </c>
      <c r="R21" s="1833">
        <v>1</v>
      </c>
      <c r="S21" s="1833">
        <v>1</v>
      </c>
      <c r="T21" s="1833">
        <v>1</v>
      </c>
      <c r="U21" s="1129">
        <v>1</v>
      </c>
      <c r="V21" s="1833">
        <v>1</v>
      </c>
      <c r="W21" s="1833">
        <v>1</v>
      </c>
      <c r="X21" s="1833">
        <v>1</v>
      </c>
      <c r="Y21" s="1833">
        <v>1</v>
      </c>
      <c r="Z21" s="1833">
        <v>1</v>
      </c>
      <c r="AA21" s="1833">
        <v>1</v>
      </c>
      <c r="AB21" s="1129">
        <v>1</v>
      </c>
      <c r="AC21" s="1833">
        <v>1</v>
      </c>
      <c r="AD21" s="1833">
        <v>1</v>
      </c>
      <c r="AE21" s="1833">
        <v>1</v>
      </c>
      <c r="AF21" s="1833">
        <v>1</v>
      </c>
      <c r="AG21" s="1833">
        <v>1</v>
      </c>
      <c r="AH21" s="1833">
        <v>1</v>
      </c>
      <c r="AI21" s="1833">
        <v>1</v>
      </c>
      <c r="AJ21" s="235"/>
      <c r="AK21" s="1177">
        <f>SUM(E21:AI21)</f>
        <v>31</v>
      </c>
      <c r="AL21" s="1178">
        <f t="shared" si="0"/>
        <v>31</v>
      </c>
    </row>
    <row r="22" spans="1:39" ht="24.95" customHeight="1">
      <c r="A22" s="2590" t="s">
        <v>2245</v>
      </c>
      <c r="B22" s="2591"/>
      <c r="C22" s="2591"/>
      <c r="D22" s="2592"/>
      <c r="E22" s="1833">
        <v>1</v>
      </c>
      <c r="F22" s="1833">
        <v>1</v>
      </c>
      <c r="G22" s="1129">
        <v>1</v>
      </c>
      <c r="H22" s="1833">
        <v>1</v>
      </c>
      <c r="I22" s="1833">
        <v>1</v>
      </c>
      <c r="J22" s="1833">
        <v>1</v>
      </c>
      <c r="K22" s="1833">
        <v>1</v>
      </c>
      <c r="L22" s="1833">
        <v>1</v>
      </c>
      <c r="M22" s="1833">
        <v>1</v>
      </c>
      <c r="N22" s="1129">
        <v>1</v>
      </c>
      <c r="O22" s="1833">
        <v>1</v>
      </c>
      <c r="P22" s="1833">
        <v>1</v>
      </c>
      <c r="Q22" s="1833">
        <v>1</v>
      </c>
      <c r="R22" s="1833">
        <v>1</v>
      </c>
      <c r="S22" s="1833">
        <v>1</v>
      </c>
      <c r="T22" s="1833">
        <v>1</v>
      </c>
      <c r="U22" s="1129">
        <v>1</v>
      </c>
      <c r="V22" s="1833">
        <v>1</v>
      </c>
      <c r="W22" s="1833">
        <v>1</v>
      </c>
      <c r="X22" s="1833">
        <v>1</v>
      </c>
      <c r="Y22" s="1833">
        <v>1</v>
      </c>
      <c r="Z22" s="1833">
        <v>1</v>
      </c>
      <c r="AA22" s="1833">
        <v>1</v>
      </c>
      <c r="AB22" s="1129">
        <v>1</v>
      </c>
      <c r="AC22" s="1833">
        <v>1</v>
      </c>
      <c r="AD22" s="1833">
        <v>1</v>
      </c>
      <c r="AE22" s="1833">
        <v>1</v>
      </c>
      <c r="AF22" s="1833">
        <v>1</v>
      </c>
      <c r="AG22" s="1833">
        <v>1</v>
      </c>
      <c r="AH22" s="1833">
        <v>1</v>
      </c>
      <c r="AI22" s="1833">
        <v>1</v>
      </c>
      <c r="AJ22" s="235"/>
      <c r="AK22" s="1177">
        <f>SUM(E22:AI22)</f>
        <v>31</v>
      </c>
      <c r="AL22" s="1178">
        <f t="shared" si="0"/>
        <v>31</v>
      </c>
    </row>
    <row r="23" spans="1:39" ht="24.95" customHeight="1">
      <c r="A23" s="2590" t="s">
        <v>2258</v>
      </c>
      <c r="B23" s="2591"/>
      <c r="C23" s="2591"/>
      <c r="D23" s="2592"/>
      <c r="E23" s="1833">
        <v>1</v>
      </c>
      <c r="F23" s="1833">
        <v>1</v>
      </c>
      <c r="G23" s="1129">
        <v>1</v>
      </c>
      <c r="H23" s="1833">
        <v>1</v>
      </c>
      <c r="I23" s="1833">
        <v>1</v>
      </c>
      <c r="J23" s="1833">
        <v>1</v>
      </c>
      <c r="K23" s="1833">
        <v>1</v>
      </c>
      <c r="L23" s="1833">
        <v>1</v>
      </c>
      <c r="M23" s="1833">
        <v>1</v>
      </c>
      <c r="N23" s="1129">
        <v>1</v>
      </c>
      <c r="O23" s="1833">
        <v>1</v>
      </c>
      <c r="P23" s="1833">
        <v>1</v>
      </c>
      <c r="Q23" s="1833">
        <v>1</v>
      </c>
      <c r="R23" s="1833">
        <v>1</v>
      </c>
      <c r="S23" s="1833">
        <v>1</v>
      </c>
      <c r="T23" s="1833">
        <v>1</v>
      </c>
      <c r="U23" s="1129">
        <v>1</v>
      </c>
      <c r="V23" s="1833">
        <v>1</v>
      </c>
      <c r="W23" s="1833">
        <v>1</v>
      </c>
      <c r="X23" s="1833">
        <v>1</v>
      </c>
      <c r="Y23" s="1833">
        <v>1</v>
      </c>
      <c r="Z23" s="1833">
        <v>1</v>
      </c>
      <c r="AA23" s="1833">
        <v>1</v>
      </c>
      <c r="AB23" s="1129">
        <v>1</v>
      </c>
      <c r="AC23" s="1833">
        <v>1</v>
      </c>
      <c r="AD23" s="1833">
        <v>1</v>
      </c>
      <c r="AE23" s="1833">
        <v>1</v>
      </c>
      <c r="AF23" s="1833">
        <v>1</v>
      </c>
      <c r="AG23" s="1833">
        <v>1</v>
      </c>
      <c r="AH23" s="1833">
        <v>1</v>
      </c>
      <c r="AI23" s="1833">
        <v>1</v>
      </c>
      <c r="AJ23" s="235"/>
      <c r="AK23" s="1177">
        <f>SUM(E23:AI23)</f>
        <v>31</v>
      </c>
      <c r="AL23" s="1178">
        <f t="shared" si="0"/>
        <v>31</v>
      </c>
      <c r="AM23" s="1130"/>
    </row>
    <row r="24" spans="1:39" ht="24.95" customHeight="1">
      <c r="A24" s="2593" t="s">
        <v>230</v>
      </c>
      <c r="B24" s="2594"/>
      <c r="C24" s="2594"/>
      <c r="D24" s="2595"/>
      <c r="E24" s="1833"/>
      <c r="F24" s="1833"/>
      <c r="G24" s="1129"/>
      <c r="H24" s="1833"/>
      <c r="I24" s="1833"/>
      <c r="J24" s="1833"/>
      <c r="K24" s="1833"/>
      <c r="L24" s="1833"/>
      <c r="M24" s="1833"/>
      <c r="N24" s="1129"/>
      <c r="O24" s="1833"/>
      <c r="P24" s="1833"/>
      <c r="Q24" s="1833"/>
      <c r="R24" s="1833"/>
      <c r="S24" s="1833"/>
      <c r="T24" s="1833"/>
      <c r="U24" s="1129"/>
      <c r="V24" s="1833"/>
      <c r="W24" s="1833"/>
      <c r="X24" s="1833"/>
      <c r="Y24" s="1833"/>
      <c r="Z24" s="1833"/>
      <c r="AA24" s="1833"/>
      <c r="AB24" s="1129"/>
      <c r="AC24" s="1129"/>
      <c r="AD24" s="1129"/>
      <c r="AE24" s="1129"/>
      <c r="AF24" s="1129"/>
      <c r="AG24" s="1833"/>
      <c r="AH24" s="1833"/>
      <c r="AI24" s="1833"/>
      <c r="AJ24" s="235"/>
      <c r="AK24" s="1177">
        <f>SUM(E24:Y24)</f>
        <v>0</v>
      </c>
      <c r="AL24" s="1178">
        <f t="shared" si="0"/>
        <v>0</v>
      </c>
    </row>
    <row r="25" spans="1:39" ht="24.95" customHeight="1">
      <c r="A25" s="2590" t="s">
        <v>231</v>
      </c>
      <c r="B25" s="2591"/>
      <c r="C25" s="2591"/>
      <c r="D25" s="2592"/>
      <c r="E25" s="1833">
        <v>2</v>
      </c>
      <c r="F25" s="1833">
        <v>2</v>
      </c>
      <c r="G25" s="1833">
        <v>2</v>
      </c>
      <c r="H25" s="1833">
        <v>2</v>
      </c>
      <c r="I25" s="1833">
        <v>4</v>
      </c>
      <c r="J25" s="1833">
        <v>4</v>
      </c>
      <c r="K25" s="1833">
        <v>4</v>
      </c>
      <c r="L25" s="1833">
        <v>4</v>
      </c>
      <c r="M25" s="1833">
        <v>4</v>
      </c>
      <c r="N25" s="1833">
        <v>2</v>
      </c>
      <c r="O25" s="1833">
        <v>4</v>
      </c>
      <c r="P25" s="1833">
        <v>4</v>
      </c>
      <c r="Q25" s="1833">
        <v>4</v>
      </c>
      <c r="R25" s="1833">
        <v>4</v>
      </c>
      <c r="S25" s="1833">
        <v>4</v>
      </c>
      <c r="T25" s="1833">
        <v>4</v>
      </c>
      <c r="U25" s="1833">
        <v>4</v>
      </c>
      <c r="V25" s="1833">
        <v>4</v>
      </c>
      <c r="W25" s="1833">
        <v>4</v>
      </c>
      <c r="X25" s="1833">
        <v>4</v>
      </c>
      <c r="Y25" s="1833">
        <v>4</v>
      </c>
      <c r="Z25" s="1833">
        <v>4</v>
      </c>
      <c r="AA25" s="1833">
        <v>4</v>
      </c>
      <c r="AB25" s="1833">
        <v>4</v>
      </c>
      <c r="AC25" s="1833">
        <v>2</v>
      </c>
      <c r="AD25" s="1833">
        <v>2</v>
      </c>
      <c r="AE25" s="1833">
        <v>2</v>
      </c>
      <c r="AF25" s="1833">
        <v>2</v>
      </c>
      <c r="AG25" s="1833">
        <v>2</v>
      </c>
      <c r="AH25" s="1833">
        <v>2</v>
      </c>
      <c r="AI25" s="1833">
        <v>2</v>
      </c>
      <c r="AJ25" s="235"/>
      <c r="AK25" s="1177">
        <f>SUM(E25:AI25)</f>
        <v>100</v>
      </c>
      <c r="AL25" s="1177">
        <f>AK25</f>
        <v>100</v>
      </c>
    </row>
    <row r="26" spans="1:39" ht="24.95" customHeight="1">
      <c r="A26" s="2590" t="s">
        <v>232</v>
      </c>
      <c r="B26" s="2591"/>
      <c r="C26" s="2591"/>
      <c r="D26" s="2592"/>
      <c r="E26" s="1833">
        <v>2</v>
      </c>
      <c r="F26" s="1833">
        <v>2</v>
      </c>
      <c r="G26" s="1833">
        <v>2</v>
      </c>
      <c r="H26" s="1833">
        <v>2</v>
      </c>
      <c r="I26" s="1833">
        <v>3</v>
      </c>
      <c r="J26" s="1833">
        <v>3</v>
      </c>
      <c r="K26" s="1833">
        <v>3</v>
      </c>
      <c r="L26" s="1833">
        <v>3</v>
      </c>
      <c r="M26" s="1833">
        <v>3</v>
      </c>
      <c r="N26" s="1833">
        <v>2</v>
      </c>
      <c r="O26" s="1833">
        <v>3</v>
      </c>
      <c r="P26" s="1833">
        <v>3</v>
      </c>
      <c r="Q26" s="1833">
        <v>3</v>
      </c>
      <c r="R26" s="1833">
        <v>3</v>
      </c>
      <c r="S26" s="1833">
        <v>3</v>
      </c>
      <c r="T26" s="1833">
        <v>3</v>
      </c>
      <c r="U26" s="1833">
        <v>3</v>
      </c>
      <c r="V26" s="1833">
        <v>3</v>
      </c>
      <c r="W26" s="1833">
        <v>3</v>
      </c>
      <c r="X26" s="1833">
        <v>3</v>
      </c>
      <c r="Y26" s="1833">
        <v>3</v>
      </c>
      <c r="Z26" s="1833">
        <v>3</v>
      </c>
      <c r="AA26" s="1833">
        <v>3</v>
      </c>
      <c r="AB26" s="1833">
        <v>3</v>
      </c>
      <c r="AC26" s="1833">
        <v>2</v>
      </c>
      <c r="AD26" s="1833">
        <v>2</v>
      </c>
      <c r="AE26" s="1833">
        <v>2</v>
      </c>
      <c r="AF26" s="1833">
        <v>2</v>
      </c>
      <c r="AG26" s="1833">
        <v>2</v>
      </c>
      <c r="AH26" s="1833">
        <v>2</v>
      </c>
      <c r="AI26" s="1833">
        <v>2</v>
      </c>
      <c r="AJ26" s="235"/>
      <c r="AK26" s="1177">
        <f>SUM(E26:AI26)</f>
        <v>81</v>
      </c>
      <c r="AL26" s="1177">
        <f t="shared" ref="AL26:AL27" si="1">AK26</f>
        <v>81</v>
      </c>
    </row>
    <row r="27" spans="1:39" ht="24.95" customHeight="1">
      <c r="A27" s="2624" t="s">
        <v>233</v>
      </c>
      <c r="B27" s="2625"/>
      <c r="C27" s="2625"/>
      <c r="D27" s="2626"/>
      <c r="E27" s="1833">
        <v>0</v>
      </c>
      <c r="F27" s="1833">
        <v>0</v>
      </c>
      <c r="G27" s="1833">
        <v>0</v>
      </c>
      <c r="H27" s="1833">
        <v>0</v>
      </c>
      <c r="I27" s="1833">
        <v>3</v>
      </c>
      <c r="J27" s="1833">
        <v>3</v>
      </c>
      <c r="K27" s="1833">
        <v>3</v>
      </c>
      <c r="L27" s="1833">
        <v>3</v>
      </c>
      <c r="M27" s="1833">
        <v>3</v>
      </c>
      <c r="N27" s="1833">
        <v>0</v>
      </c>
      <c r="O27" s="1833">
        <v>3</v>
      </c>
      <c r="P27" s="1833">
        <v>3</v>
      </c>
      <c r="Q27" s="1833">
        <v>3</v>
      </c>
      <c r="R27" s="1833">
        <v>3</v>
      </c>
      <c r="S27" s="1833">
        <v>3</v>
      </c>
      <c r="T27" s="1833">
        <v>3</v>
      </c>
      <c r="U27" s="1833">
        <v>3</v>
      </c>
      <c r="V27" s="1833">
        <v>3</v>
      </c>
      <c r="W27" s="1833">
        <v>3</v>
      </c>
      <c r="X27" s="1833">
        <v>3</v>
      </c>
      <c r="Y27" s="1833">
        <v>3</v>
      </c>
      <c r="Z27" s="1833">
        <v>0</v>
      </c>
      <c r="AA27" s="1833">
        <v>0</v>
      </c>
      <c r="AB27" s="1833">
        <v>0</v>
      </c>
      <c r="AC27" s="1833">
        <v>0</v>
      </c>
      <c r="AD27" s="1833">
        <v>0</v>
      </c>
      <c r="AE27" s="1833">
        <v>0</v>
      </c>
      <c r="AF27" s="1833">
        <v>0</v>
      </c>
      <c r="AG27" s="1833">
        <v>0</v>
      </c>
      <c r="AH27" s="1833">
        <v>0</v>
      </c>
      <c r="AI27" s="1833">
        <v>0</v>
      </c>
      <c r="AJ27" s="235"/>
      <c r="AK27" s="1177">
        <f>SUM(E27:AI27)</f>
        <v>48</v>
      </c>
      <c r="AL27" s="1177">
        <f t="shared" si="1"/>
        <v>48</v>
      </c>
      <c r="AM27" s="1130"/>
    </row>
    <row r="28" spans="1:39" ht="24.95" customHeight="1" thickBot="1">
      <c r="A28" s="2597" t="s">
        <v>144</v>
      </c>
      <c r="B28" s="2598"/>
      <c r="C28" s="2598"/>
      <c r="D28" s="2598"/>
      <c r="E28" s="2598"/>
      <c r="F28" s="2598"/>
      <c r="G28" s="2598"/>
      <c r="H28" s="2598"/>
      <c r="I28" s="2598"/>
      <c r="J28" s="2598"/>
      <c r="K28" s="2598"/>
      <c r="L28" s="2598"/>
      <c r="M28" s="2598"/>
      <c r="N28" s="2598"/>
      <c r="O28" s="2598"/>
      <c r="P28" s="2598"/>
      <c r="Q28" s="2598"/>
      <c r="R28" s="2598"/>
      <c r="S28" s="2598"/>
      <c r="T28" s="2598"/>
      <c r="U28" s="2598"/>
      <c r="V28" s="2598"/>
      <c r="W28" s="2598"/>
      <c r="X28" s="2598"/>
      <c r="Y28" s="2598"/>
      <c r="Z28" s="2598"/>
      <c r="AA28" s="2598"/>
      <c r="AB28" s="2598"/>
      <c r="AC28" s="2598"/>
      <c r="AD28" s="2598"/>
      <c r="AE28" s="2598"/>
      <c r="AF28" s="2598"/>
      <c r="AG28" s="2598"/>
      <c r="AH28" s="2598"/>
      <c r="AI28" s="2598"/>
      <c r="AJ28" s="1179">
        <f>SUM(AJ15:AJ27)</f>
        <v>0</v>
      </c>
      <c r="AK28" s="1179">
        <f>SUM(AK15:AK27)</f>
        <v>446</v>
      </c>
      <c r="AL28" s="1180">
        <f>SUM(AL15:AL27)</f>
        <v>446</v>
      </c>
    </row>
    <row r="29" spans="1:39">
      <c r="A29" s="1031" t="s">
        <v>0</v>
      </c>
      <c r="B29" s="1031"/>
      <c r="C29" s="1031"/>
      <c r="D29" s="1032"/>
      <c r="E29" s="1031"/>
      <c r="F29" s="1031"/>
      <c r="G29" s="1031"/>
      <c r="H29" s="1031"/>
      <c r="I29" s="1031"/>
      <c r="J29" s="1031"/>
      <c r="K29" s="1031"/>
      <c r="L29" s="1031"/>
      <c r="M29" s="1031"/>
      <c r="N29" s="1031"/>
      <c r="O29" s="1031"/>
      <c r="P29" s="1031"/>
      <c r="Q29" s="1031"/>
      <c r="R29" s="1031"/>
      <c r="S29" s="1031"/>
      <c r="T29" s="1031"/>
      <c r="U29" s="1031"/>
      <c r="V29" s="1031"/>
      <c r="W29" s="1031"/>
      <c r="X29" s="1031"/>
      <c r="Y29" s="1031"/>
      <c r="Z29" s="1031"/>
      <c r="AA29" s="1031"/>
      <c r="AB29" s="1031"/>
      <c r="AC29" s="1031"/>
      <c r="AD29" s="1031"/>
      <c r="AE29" s="1031"/>
      <c r="AF29" s="1031"/>
      <c r="AG29" s="1031"/>
      <c r="AH29" s="1031"/>
      <c r="AI29" s="1031"/>
      <c r="AJ29" s="1196"/>
      <c r="AK29" s="1196"/>
      <c r="AL29" s="1197"/>
    </row>
    <row r="30" spans="1:39">
      <c r="A30" s="1031"/>
      <c r="B30" s="1031"/>
      <c r="C30" s="1031"/>
      <c r="D30" s="1031"/>
      <c r="E30" s="1031"/>
      <c r="F30" s="1031"/>
      <c r="G30" s="1031"/>
      <c r="H30" s="1031"/>
      <c r="I30" s="1031"/>
      <c r="J30" s="1031"/>
      <c r="K30" s="1031"/>
      <c r="L30" s="1031"/>
      <c r="M30" s="1031"/>
      <c r="N30" s="1031"/>
      <c r="O30" s="1031"/>
      <c r="P30" s="1031"/>
      <c r="Q30" s="1031"/>
      <c r="R30" s="1031"/>
      <c r="S30" s="1031"/>
      <c r="T30" s="1031"/>
      <c r="U30" s="1031"/>
      <c r="V30" s="1031"/>
      <c r="W30" s="1031"/>
      <c r="X30" s="1031"/>
      <c r="Y30" s="1031"/>
      <c r="Z30" s="1031"/>
      <c r="AA30" s="1031"/>
      <c r="AB30" s="1031"/>
      <c r="AC30" s="1031"/>
      <c r="AD30" s="1031"/>
      <c r="AE30" s="1031"/>
      <c r="AF30" s="1031"/>
      <c r="AG30" s="1031"/>
      <c r="AH30" s="1031"/>
      <c r="AI30" s="1031"/>
      <c r="AJ30" s="1196"/>
      <c r="AK30" s="1196"/>
      <c r="AL30" s="1197"/>
    </row>
    <row r="31" spans="1:39">
      <c r="A31" s="1033"/>
      <c r="B31" s="1034"/>
      <c r="C31" s="1033"/>
      <c r="D31" s="1033"/>
      <c r="E31" s="1033"/>
      <c r="F31" s="1033"/>
      <c r="G31" s="1033"/>
      <c r="H31" s="1033"/>
      <c r="I31" s="1033"/>
      <c r="J31" s="1033"/>
      <c r="K31" s="1033"/>
      <c r="L31" s="1033"/>
      <c r="M31" s="1033"/>
      <c r="N31" s="1033"/>
      <c r="O31" s="1033"/>
      <c r="P31" s="1033"/>
      <c r="Q31" s="1033"/>
      <c r="R31" s="1033"/>
      <c r="S31" s="1033"/>
      <c r="T31" s="1033"/>
      <c r="U31" s="1033"/>
      <c r="V31" s="1033"/>
      <c r="W31" s="1033"/>
      <c r="X31" s="1033"/>
      <c r="Y31" s="1033"/>
      <c r="Z31" s="1033"/>
      <c r="AA31" s="1033"/>
      <c r="AB31" s="1033"/>
      <c r="AC31" s="1033"/>
      <c r="AD31" s="1033"/>
      <c r="AE31" s="1033"/>
      <c r="AF31" s="1033"/>
      <c r="AG31" s="1033"/>
      <c r="AH31" s="1033"/>
      <c r="AI31" s="1033"/>
      <c r="AJ31" s="1198"/>
      <c r="AK31" s="1198"/>
      <c r="AL31" s="1199"/>
    </row>
    <row r="32" spans="1:39">
      <c r="A32" s="1033"/>
      <c r="B32" s="1034"/>
      <c r="C32" s="1033"/>
      <c r="D32" s="1033"/>
      <c r="E32" s="1033"/>
      <c r="F32" s="1033"/>
      <c r="G32" s="1033"/>
      <c r="H32" s="1033"/>
      <c r="I32" s="1033"/>
      <c r="J32" s="1033"/>
      <c r="K32" s="1033"/>
      <c r="L32" s="1033"/>
      <c r="M32" s="1033"/>
      <c r="N32" s="1033"/>
      <c r="O32" s="1033"/>
      <c r="P32" s="1033"/>
      <c r="Q32" s="1033"/>
      <c r="R32" s="1033"/>
      <c r="S32" s="1033"/>
      <c r="T32" s="1033"/>
      <c r="U32" s="1033"/>
      <c r="V32" s="1033"/>
      <c r="W32" s="1033"/>
      <c r="X32" s="1033"/>
      <c r="Y32" s="1033"/>
      <c r="Z32" s="1033"/>
      <c r="AA32" s="1033"/>
      <c r="AB32" s="1033"/>
      <c r="AC32" s="1033"/>
      <c r="AD32" s="1033"/>
      <c r="AE32" s="1033"/>
      <c r="AF32" s="1033"/>
      <c r="AG32" s="1033"/>
      <c r="AH32" s="1033"/>
      <c r="AI32" s="1033"/>
      <c r="AJ32" s="1198"/>
      <c r="AK32" s="1198"/>
      <c r="AL32" s="1199"/>
    </row>
    <row r="33" spans="1:38">
      <c r="A33" s="1033"/>
      <c r="B33" s="1034"/>
      <c r="C33" s="1033"/>
      <c r="D33" s="1033"/>
      <c r="E33" s="1033"/>
      <c r="F33" s="1033"/>
      <c r="G33" s="1033"/>
      <c r="H33" s="1033"/>
      <c r="I33" s="1033"/>
      <c r="J33" s="1033"/>
      <c r="K33" s="1033"/>
      <c r="L33" s="1033"/>
      <c r="M33" s="1033"/>
      <c r="N33" s="1033"/>
      <c r="O33" s="1033"/>
      <c r="P33" s="1033"/>
      <c r="Q33" s="1033"/>
      <c r="R33" s="1033"/>
      <c r="S33" s="1033"/>
      <c r="T33" s="1033"/>
      <c r="U33" s="1033"/>
      <c r="V33" s="1033"/>
      <c r="W33" s="1033"/>
      <c r="X33" s="1033"/>
      <c r="Y33" s="1033"/>
      <c r="Z33" s="1033"/>
      <c r="AA33" s="1033"/>
      <c r="AB33" s="1033"/>
      <c r="AC33" s="1033"/>
      <c r="AD33" s="1033"/>
      <c r="AE33" s="1033"/>
      <c r="AF33" s="1033"/>
      <c r="AG33" s="1033"/>
      <c r="AH33" s="1033"/>
      <c r="AI33" s="1033"/>
      <c r="AJ33" s="1198"/>
      <c r="AK33" s="1198"/>
      <c r="AL33" s="1199"/>
    </row>
    <row r="34" spans="1:38">
      <c r="A34" s="1033"/>
      <c r="B34" s="1034"/>
      <c r="C34" s="1033"/>
      <c r="D34" s="1033"/>
      <c r="E34" s="1033"/>
      <c r="F34" s="1033"/>
      <c r="G34" s="1033"/>
      <c r="H34" s="1033"/>
      <c r="I34" s="1033"/>
      <c r="J34" s="1033"/>
      <c r="K34" s="1033"/>
      <c r="L34" s="1033"/>
      <c r="M34" s="1033"/>
      <c r="N34" s="1033"/>
      <c r="O34" s="1033"/>
      <c r="P34" s="1033"/>
      <c r="Q34" s="1033"/>
      <c r="R34" s="1033"/>
      <c r="S34" s="1033"/>
      <c r="T34" s="1033"/>
      <c r="U34" s="1033"/>
      <c r="V34" s="1033"/>
      <c r="W34" s="1033"/>
      <c r="X34" s="1033"/>
      <c r="Y34" s="1033"/>
      <c r="Z34" s="1033"/>
      <c r="AA34" s="1033"/>
      <c r="AB34" s="1033"/>
      <c r="AC34" s="1033"/>
      <c r="AD34" s="1033"/>
      <c r="AE34" s="1033"/>
      <c r="AF34" s="1033"/>
      <c r="AG34" s="1033"/>
      <c r="AH34" s="1033"/>
      <c r="AI34" s="1033"/>
      <c r="AJ34" s="1198"/>
      <c r="AK34" s="1198"/>
      <c r="AL34" s="1199"/>
    </row>
    <row r="35" spans="1:38">
      <c r="A35" s="1033"/>
      <c r="B35" s="1033"/>
      <c r="C35" s="1033"/>
      <c r="D35" s="1033"/>
      <c r="E35" s="1033"/>
      <c r="F35" s="1033"/>
      <c r="G35" s="1033"/>
      <c r="H35" s="1033"/>
      <c r="I35" s="1033"/>
      <c r="J35" s="1033"/>
      <c r="K35" s="1033"/>
      <c r="L35" s="1033"/>
      <c r="M35" s="1033"/>
      <c r="N35" s="1033"/>
      <c r="O35" s="1033"/>
      <c r="P35" s="1033"/>
      <c r="Q35" s="1033"/>
      <c r="R35" s="1033"/>
      <c r="S35" s="1033"/>
      <c r="T35" s="1033"/>
      <c r="U35" s="1033"/>
      <c r="V35" s="1033"/>
      <c r="W35" s="1033"/>
      <c r="X35" s="1033"/>
      <c r="Y35" s="1033"/>
      <c r="Z35" s="1033"/>
      <c r="AA35" s="1033"/>
      <c r="AB35" s="1033"/>
      <c r="AC35" s="1033"/>
      <c r="AD35" s="1033"/>
      <c r="AE35" s="1033"/>
      <c r="AF35" s="1033"/>
      <c r="AG35" s="1033"/>
      <c r="AH35" s="1033"/>
      <c r="AI35" s="1033"/>
      <c r="AJ35" s="1198"/>
      <c r="AK35" s="1198"/>
      <c r="AL35" s="1199"/>
    </row>
    <row r="36" spans="1:38">
      <c r="A36" s="1033"/>
      <c r="B36" s="1162"/>
      <c r="C36" s="1162"/>
      <c r="D36" s="1162"/>
      <c r="E36" s="1162"/>
      <c r="F36" s="1162"/>
      <c r="G36" s="1162"/>
      <c r="H36" s="1162"/>
      <c r="I36" s="1162"/>
      <c r="J36" s="1162"/>
      <c r="K36" s="1162"/>
      <c r="L36" s="1162"/>
      <c r="M36" s="1162"/>
      <c r="N36" s="1162"/>
      <c r="O36" s="1162"/>
      <c r="P36" s="1162"/>
      <c r="Q36" s="1162"/>
      <c r="R36" s="1162"/>
      <c r="S36" s="1162"/>
      <c r="T36" s="1162"/>
      <c r="U36" s="1162"/>
      <c r="V36" s="1162"/>
      <c r="W36" s="1162"/>
      <c r="X36" s="1162"/>
      <c r="Y36" s="1162"/>
      <c r="Z36" s="1162"/>
      <c r="AA36" s="1162"/>
      <c r="AB36" s="1162"/>
      <c r="AC36" s="1162"/>
      <c r="AD36" s="1162"/>
      <c r="AE36" s="1162"/>
      <c r="AF36" s="1162"/>
      <c r="AG36" s="1162"/>
      <c r="AH36" s="1162"/>
      <c r="AI36" s="1162"/>
      <c r="AJ36" s="1200"/>
      <c r="AK36" s="1200"/>
      <c r="AL36" s="1199"/>
    </row>
    <row r="37" spans="1:38">
      <c r="A37" s="1033"/>
      <c r="B37" s="1162"/>
      <c r="C37" s="1162"/>
      <c r="D37" s="1162"/>
      <c r="E37" s="1162"/>
      <c r="F37" s="1162"/>
      <c r="G37" s="1162"/>
      <c r="H37" s="1162"/>
      <c r="I37" s="1162"/>
      <c r="J37" s="1162"/>
      <c r="K37" s="1162"/>
      <c r="L37" s="1162"/>
      <c r="M37" s="1162"/>
      <c r="N37" s="1162"/>
      <c r="O37" s="1162"/>
      <c r="P37" s="1162"/>
      <c r="Q37" s="1162"/>
      <c r="R37" s="1162"/>
      <c r="S37" s="1162"/>
      <c r="T37" s="1162"/>
      <c r="U37" s="1162"/>
      <c r="V37" s="1162"/>
      <c r="W37" s="1162"/>
      <c r="X37" s="1162"/>
      <c r="Y37" s="1162"/>
      <c r="Z37" s="1162"/>
      <c r="AA37" s="1162"/>
      <c r="AB37" s="1162"/>
      <c r="AC37" s="1162"/>
      <c r="AD37" s="1162"/>
      <c r="AE37" s="1162"/>
      <c r="AF37" s="1162"/>
      <c r="AG37" s="1162"/>
      <c r="AH37" s="1162"/>
      <c r="AI37" s="1162"/>
      <c r="AJ37" s="1200"/>
      <c r="AK37" s="1200"/>
      <c r="AL37" s="1199"/>
    </row>
    <row r="38" spans="1:38">
      <c r="A38" s="1033"/>
      <c r="B38" s="1162"/>
      <c r="C38" s="1162"/>
      <c r="D38" s="1162"/>
      <c r="E38" s="1162"/>
      <c r="F38" s="1162"/>
      <c r="G38" s="1162"/>
      <c r="H38" s="1162"/>
      <c r="I38" s="1162"/>
      <c r="J38" s="1162"/>
      <c r="K38" s="1162"/>
      <c r="L38" s="1162"/>
      <c r="M38" s="1162"/>
      <c r="N38" s="1162"/>
      <c r="O38" s="1162"/>
      <c r="P38" s="1162"/>
      <c r="Q38" s="1162"/>
      <c r="R38" s="1162"/>
      <c r="S38" s="1162"/>
      <c r="T38" s="1162"/>
      <c r="U38" s="1162"/>
      <c r="V38" s="1162"/>
      <c r="W38" s="1162"/>
      <c r="X38" s="1162"/>
      <c r="Y38" s="1162"/>
      <c r="Z38" s="1162"/>
      <c r="AA38" s="1162"/>
      <c r="AB38" s="1162"/>
      <c r="AC38" s="1162"/>
      <c r="AD38" s="1162"/>
      <c r="AE38" s="1162"/>
      <c r="AF38" s="1162"/>
      <c r="AG38" s="1162"/>
      <c r="AH38" s="1162"/>
      <c r="AI38" s="1162"/>
      <c r="AJ38" s="1206"/>
      <c r="AK38" s="1206"/>
      <c r="AL38" s="1206"/>
    </row>
    <row r="39" spans="1:38" ht="15.75">
      <c r="A39" s="1033"/>
      <c r="B39" s="1162"/>
      <c r="C39" s="1204"/>
      <c r="D39" s="1204"/>
      <c r="E39" s="1162"/>
      <c r="F39" s="1162"/>
      <c r="G39" s="1162"/>
      <c r="H39" s="1162"/>
      <c r="I39" s="1162"/>
      <c r="J39" s="1162"/>
      <c r="K39" s="1162"/>
      <c r="L39" s="1162"/>
      <c r="M39" s="1162"/>
      <c r="N39" s="1162"/>
      <c r="O39" s="1162"/>
      <c r="P39" s="1162"/>
      <c r="Q39" s="1162"/>
      <c r="R39" s="1162"/>
      <c r="S39" s="1162"/>
      <c r="T39" s="1162"/>
      <c r="U39" s="1162"/>
      <c r="V39" s="1162"/>
      <c r="W39" s="1162"/>
      <c r="X39" s="1162"/>
      <c r="Y39" s="1162"/>
      <c r="Z39" s="1162"/>
      <c r="AA39" s="1162"/>
      <c r="AB39" s="1162"/>
      <c r="AC39" s="1162"/>
      <c r="AD39" s="1162"/>
      <c r="AE39" s="1162"/>
      <c r="AF39" s="1162"/>
      <c r="AG39" s="1162"/>
      <c r="AH39" s="1162"/>
      <c r="AI39" s="1162"/>
      <c r="AJ39" s="1206"/>
      <c r="AK39" s="1206"/>
      <c r="AL39" s="1206"/>
    </row>
    <row r="40" spans="1:38" ht="15.75">
      <c r="A40" s="1033"/>
      <c r="B40" s="1162"/>
      <c r="C40" s="1205" t="s">
        <v>236</v>
      </c>
      <c r="D40" s="1205"/>
      <c r="E40" s="1162"/>
      <c r="F40" s="1162"/>
      <c r="G40" s="1162"/>
      <c r="H40" s="1162"/>
      <c r="I40" s="1162"/>
      <c r="J40" s="1162"/>
      <c r="K40" s="1162"/>
      <c r="L40" s="1162"/>
      <c r="M40" s="1162"/>
      <c r="N40" s="1162"/>
      <c r="O40" s="1162"/>
      <c r="P40" s="1162"/>
      <c r="Q40" s="1162"/>
      <c r="R40" s="1162"/>
      <c r="S40" s="1162"/>
      <c r="T40" s="1162"/>
      <c r="U40" s="1162"/>
      <c r="V40" s="1162"/>
      <c r="W40" s="1162"/>
      <c r="X40" s="1162"/>
      <c r="Y40" s="1162"/>
      <c r="Z40" s="1162"/>
      <c r="AA40" s="1162"/>
      <c r="AB40" s="1162"/>
      <c r="AC40" s="1162"/>
      <c r="AD40" s="1162"/>
      <c r="AE40" s="1162"/>
      <c r="AF40" s="1162"/>
      <c r="AG40" s="1162"/>
      <c r="AH40" s="1162"/>
      <c r="AI40" s="1162"/>
      <c r="AJ40" s="1207" t="s">
        <v>238</v>
      </c>
      <c r="AK40" s="1207"/>
      <c r="AL40" s="1206"/>
    </row>
    <row r="41" spans="1:38">
      <c r="A41" s="1033"/>
      <c r="B41" s="1033"/>
      <c r="C41" s="1034" t="s">
        <v>239</v>
      </c>
      <c r="D41" s="1034"/>
      <c r="E41" s="1034"/>
      <c r="F41" s="1034"/>
      <c r="G41" s="1034"/>
      <c r="H41" s="1034"/>
      <c r="I41" s="1034"/>
      <c r="J41" s="1034"/>
      <c r="K41" s="1034"/>
      <c r="L41" s="1034"/>
      <c r="M41" s="1034"/>
      <c r="N41" s="1034"/>
      <c r="O41" s="1034"/>
      <c r="P41" s="1034"/>
      <c r="Q41" s="1034"/>
      <c r="R41" s="1034"/>
      <c r="S41" s="1034"/>
      <c r="T41" s="1034"/>
      <c r="U41" s="1034"/>
      <c r="V41" s="1034"/>
      <c r="W41" s="1034"/>
      <c r="X41" s="1034"/>
      <c r="Y41" s="1034"/>
      <c r="Z41" s="1034"/>
      <c r="AA41" s="1034"/>
      <c r="AB41" s="1034"/>
      <c r="AC41" s="1034"/>
      <c r="AD41" s="1034"/>
      <c r="AE41" s="1034"/>
      <c r="AF41" s="1034"/>
      <c r="AG41" s="1034"/>
      <c r="AH41" s="1034"/>
      <c r="AI41" s="1034"/>
      <c r="AJ41" s="1201" t="s">
        <v>240</v>
      </c>
      <c r="AK41" s="1201"/>
      <c r="AL41" s="1199"/>
    </row>
    <row r="42" spans="1:38">
      <c r="A42" s="1033"/>
      <c r="B42" s="1033"/>
      <c r="C42" s="1033"/>
      <c r="D42" s="1033"/>
      <c r="E42" s="1033"/>
      <c r="F42" s="1033"/>
      <c r="G42" s="1033"/>
      <c r="H42" s="1033"/>
      <c r="I42" s="1033"/>
      <c r="J42" s="1033"/>
      <c r="K42" s="1033"/>
      <c r="L42" s="1033"/>
      <c r="M42" s="1033"/>
      <c r="N42" s="1033"/>
      <c r="O42" s="1033"/>
      <c r="P42" s="1033"/>
      <c r="Q42" s="1033"/>
      <c r="R42" s="1033"/>
      <c r="S42" s="1033"/>
      <c r="T42" s="1033"/>
      <c r="U42" s="1033"/>
      <c r="V42" s="1033"/>
      <c r="W42" s="1033"/>
      <c r="X42" s="1033"/>
      <c r="Y42" s="1033"/>
      <c r="Z42" s="1033"/>
      <c r="AA42" s="1033"/>
      <c r="AB42" s="1033"/>
      <c r="AC42" s="1033"/>
      <c r="AD42" s="1033"/>
      <c r="AE42" s="1033"/>
      <c r="AF42" s="1033"/>
      <c r="AG42" s="1033"/>
      <c r="AH42" s="1033"/>
      <c r="AI42" s="1033"/>
      <c r="AJ42" s="1198"/>
      <c r="AK42" s="1198"/>
      <c r="AL42" s="1199"/>
    </row>
    <row r="46" spans="1:38">
      <c r="D46" s="263" t="s">
        <v>104</v>
      </c>
      <c r="E46">
        <v>34</v>
      </c>
      <c r="F46">
        <v>34</v>
      </c>
      <c r="G46">
        <v>34</v>
      </c>
      <c r="H46">
        <v>34</v>
      </c>
      <c r="I46">
        <v>34</v>
      </c>
      <c r="J46">
        <v>37</v>
      </c>
      <c r="K46">
        <v>36</v>
      </c>
      <c r="L46">
        <v>36</v>
      </c>
      <c r="M46">
        <v>37</v>
      </c>
      <c r="N46">
        <v>37</v>
      </c>
      <c r="O46">
        <v>37</v>
      </c>
      <c r="P46">
        <v>35</v>
      </c>
      <c r="Q46">
        <v>37</v>
      </c>
      <c r="R46">
        <v>37</v>
      </c>
      <c r="S46">
        <v>37</v>
      </c>
      <c r="T46">
        <v>37</v>
      </c>
      <c r="U46">
        <v>37</v>
      </c>
      <c r="V46">
        <v>37</v>
      </c>
      <c r="W46">
        <v>37</v>
      </c>
      <c r="X46">
        <v>37</v>
      </c>
      <c r="AJ46">
        <v>37</v>
      </c>
    </row>
    <row r="47" spans="1:38">
      <c r="D47" s="263" t="s">
        <v>103</v>
      </c>
      <c r="E47">
        <v>16</v>
      </c>
      <c r="F47">
        <v>16</v>
      </c>
      <c r="G47">
        <v>16</v>
      </c>
      <c r="H47">
        <v>16</v>
      </c>
      <c r="I47">
        <v>16</v>
      </c>
      <c r="J47">
        <v>16</v>
      </c>
      <c r="K47">
        <v>16</v>
      </c>
      <c r="L47">
        <v>16</v>
      </c>
      <c r="M47">
        <v>16</v>
      </c>
      <c r="N47">
        <v>16</v>
      </c>
      <c r="O47">
        <v>16</v>
      </c>
      <c r="P47">
        <v>16</v>
      </c>
      <c r="Q47">
        <v>16</v>
      </c>
      <c r="R47">
        <v>16</v>
      </c>
      <c r="S47">
        <v>16</v>
      </c>
      <c r="T47">
        <v>16</v>
      </c>
      <c r="U47">
        <v>16</v>
      </c>
      <c r="V47">
        <v>16</v>
      </c>
      <c r="W47">
        <v>16</v>
      </c>
      <c r="X47">
        <v>16</v>
      </c>
      <c r="AJ47">
        <v>37</v>
      </c>
    </row>
    <row r="48" spans="1:38">
      <c r="D48" s="263" t="s">
        <v>2320</v>
      </c>
      <c r="E48">
        <v>43</v>
      </c>
      <c r="F48">
        <v>42</v>
      </c>
      <c r="G48">
        <v>42</v>
      </c>
      <c r="H48">
        <v>42</v>
      </c>
      <c r="I48">
        <v>42</v>
      </c>
      <c r="J48">
        <v>39</v>
      </c>
      <c r="K48">
        <v>41</v>
      </c>
      <c r="L48">
        <v>41</v>
      </c>
      <c r="M48">
        <v>41</v>
      </c>
      <c r="N48">
        <v>41</v>
      </c>
      <c r="O48">
        <v>41</v>
      </c>
      <c r="P48">
        <v>37</v>
      </c>
      <c r="Q48">
        <v>40</v>
      </c>
      <c r="R48">
        <v>41</v>
      </c>
      <c r="S48">
        <v>42</v>
      </c>
      <c r="T48">
        <v>42</v>
      </c>
      <c r="U48">
        <v>42</v>
      </c>
      <c r="V48">
        <v>42</v>
      </c>
      <c r="W48">
        <v>40</v>
      </c>
      <c r="X48">
        <v>42</v>
      </c>
      <c r="AJ48">
        <v>37</v>
      </c>
    </row>
  </sheetData>
  <mergeCells count="21">
    <mergeCell ref="D9:G9"/>
    <mergeCell ref="A28:AI28"/>
    <mergeCell ref="A19:D19"/>
    <mergeCell ref="A1:AL1"/>
    <mergeCell ref="A2:AL2"/>
    <mergeCell ref="A3:AL3"/>
    <mergeCell ref="D5:AL6"/>
    <mergeCell ref="A12:D13"/>
    <mergeCell ref="AJ12:AL12"/>
    <mergeCell ref="A14:D14"/>
    <mergeCell ref="A17:D17"/>
    <mergeCell ref="A18:D18"/>
    <mergeCell ref="A16:D16"/>
    <mergeCell ref="A20:D20"/>
    <mergeCell ref="A26:D26"/>
    <mergeCell ref="A27:D27"/>
    <mergeCell ref="A21:D21"/>
    <mergeCell ref="A22:D22"/>
    <mergeCell ref="A24:D24"/>
    <mergeCell ref="A25:D25"/>
    <mergeCell ref="A23:D23"/>
  </mergeCells>
  <pageMargins left="0.7" right="0.7" top="0.75" bottom="0.75" header="0.3" footer="0.3"/>
  <pageSetup paperSize="9" scale="49" fitToHeight="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44BC5-4EED-4E1A-A079-67FD80EFCAF6}">
  <sheetPr>
    <tabColor theme="9" tint="-0.249977111117893"/>
    <pageSetUpPr fitToPage="1"/>
  </sheetPr>
  <dimension ref="A1:BB223"/>
  <sheetViews>
    <sheetView showGridLines="0" view="pageBreakPreview" topLeftCell="A194" zoomScale="55" zoomScaleNormal="100" zoomScaleSheetLayoutView="55" workbookViewId="0">
      <selection activeCell="AE23" sqref="AE23"/>
    </sheetView>
  </sheetViews>
  <sheetFormatPr baseColWidth="10" defaultColWidth="2.7109375" defaultRowHeight="12.75"/>
  <cols>
    <col min="1" max="1" width="2.7109375" style="47" customWidth="1"/>
    <col min="2" max="2" width="2.7109375" style="47"/>
    <col min="3" max="3" width="6" style="47" customWidth="1"/>
    <col min="4" max="4" width="5.7109375" style="47" customWidth="1"/>
    <col min="5" max="5" width="2.7109375" style="47" customWidth="1"/>
    <col min="6" max="6" width="7.85546875" style="47" customWidth="1"/>
    <col min="7" max="7" width="3.85546875" style="47" customWidth="1"/>
    <col min="8" max="9" width="2.7109375" style="47" customWidth="1"/>
    <col min="10" max="10" width="5.28515625" style="47" customWidth="1"/>
    <col min="11" max="11" width="8.85546875" style="47" customWidth="1"/>
    <col min="12" max="12" width="2.85546875" style="47" customWidth="1"/>
    <col min="13" max="15" width="2.7109375" style="47" customWidth="1"/>
    <col min="16" max="16" width="3.5703125" style="47" customWidth="1"/>
    <col min="17" max="17" width="5.85546875" style="47" customWidth="1"/>
    <col min="18" max="18" width="12.42578125" style="47" customWidth="1"/>
    <col min="19" max="19" width="4.28515625" style="47" customWidth="1"/>
    <col min="20" max="20" width="6.42578125" style="47" customWidth="1"/>
    <col min="21" max="22" width="2.7109375" style="47" customWidth="1"/>
    <col min="23" max="23" width="1.42578125" style="47" customWidth="1"/>
    <col min="24" max="24" width="3.7109375" style="47" customWidth="1"/>
    <col min="25" max="25" width="5.5703125" style="47" customWidth="1"/>
    <col min="26" max="26" width="3.85546875" style="47" customWidth="1"/>
    <col min="27" max="30" width="2.7109375" style="47" customWidth="1"/>
    <col min="31" max="31" width="5.7109375" style="47" customWidth="1"/>
    <col min="32" max="32" width="6.140625" style="47" customWidth="1"/>
    <col min="33" max="33" width="2.7109375" style="47" customWidth="1"/>
    <col min="34" max="34" width="6.28515625" style="47" customWidth="1"/>
    <col min="35" max="35" width="16.7109375" style="47" customWidth="1"/>
    <col min="36" max="36" width="1.140625" style="47" customWidth="1"/>
    <col min="37" max="37" width="9.5703125" style="47" customWidth="1"/>
    <col min="38" max="38" width="3.28515625" style="47" customWidth="1"/>
    <col min="39" max="39" width="3.42578125" style="47" customWidth="1"/>
    <col min="40" max="40" width="6.5703125" style="47" customWidth="1"/>
    <col min="41" max="41" width="2.7109375" style="47"/>
    <col min="42" max="42" width="15.28515625" style="47" customWidth="1"/>
    <col min="43" max="44" width="2.7109375" style="47"/>
    <col min="45" max="45" width="16.5703125" style="47" customWidth="1"/>
    <col min="46" max="53" width="2.7109375" style="47"/>
    <col min="54" max="54" width="3.28515625" style="47" bestFit="1" customWidth="1"/>
    <col min="55" max="59" width="2.7109375" style="47"/>
    <col min="60" max="60" width="2.7109375" style="47" customWidth="1"/>
    <col min="61" max="16384" width="2.7109375" style="47"/>
  </cols>
  <sheetData>
    <row r="1" spans="1:54" s="42" customFormat="1" ht="17.100000000000001" customHeight="1">
      <c r="A1" s="2844" t="s">
        <v>2720</v>
      </c>
      <c r="B1" s="2844"/>
      <c r="C1" s="2844"/>
      <c r="D1" s="2844"/>
      <c r="E1" s="2844"/>
      <c r="F1" s="2844"/>
      <c r="G1" s="2844"/>
      <c r="H1" s="2844"/>
      <c r="I1" s="2844"/>
      <c r="J1" s="2844"/>
      <c r="K1" s="2844"/>
      <c r="L1" s="2844"/>
      <c r="M1" s="2844"/>
      <c r="N1" s="2844"/>
      <c r="O1" s="2844"/>
      <c r="P1" s="2844"/>
      <c r="Q1" s="2844"/>
      <c r="R1" s="2844"/>
      <c r="S1" s="2844"/>
      <c r="T1" s="2844"/>
      <c r="U1" s="2844"/>
      <c r="V1" s="2844"/>
      <c r="W1" s="2844"/>
      <c r="X1" s="2844"/>
      <c r="Y1" s="2844"/>
      <c r="Z1" s="2844"/>
      <c r="AA1" s="2844"/>
      <c r="AB1" s="2844"/>
      <c r="AC1" s="2844"/>
      <c r="AD1" s="2844"/>
      <c r="AE1" s="2844"/>
      <c r="AF1" s="2844"/>
      <c r="AG1" s="2844"/>
      <c r="AH1" s="2844"/>
      <c r="AI1" s="2844"/>
      <c r="AJ1" s="2844"/>
      <c r="AK1" s="2844"/>
      <c r="AL1" s="2844"/>
      <c r="AM1" s="2844"/>
      <c r="AN1" s="2844"/>
      <c r="AO1" s="2844"/>
    </row>
    <row r="2" spans="1:54" s="43" customFormat="1" ht="17.100000000000001" customHeight="1">
      <c r="A2" s="2845" t="s">
        <v>200</v>
      </c>
      <c r="B2" s="2845"/>
      <c r="C2" s="2845"/>
      <c r="D2" s="2845"/>
      <c r="E2" s="2845"/>
      <c r="F2" s="2845"/>
      <c r="G2" s="2845"/>
      <c r="H2" s="2845"/>
      <c r="I2" s="2845"/>
      <c r="J2" s="2845"/>
      <c r="K2" s="2845"/>
      <c r="L2" s="2845"/>
      <c r="M2" s="2845"/>
      <c r="N2" s="2845"/>
      <c r="O2" s="2845"/>
      <c r="P2" s="2845"/>
      <c r="Q2" s="2845"/>
      <c r="R2" s="2845"/>
      <c r="S2" s="2845"/>
      <c r="T2" s="2845"/>
      <c r="U2" s="2845"/>
      <c r="V2" s="2845"/>
      <c r="W2" s="2845"/>
      <c r="X2" s="2845"/>
      <c r="Y2" s="2845"/>
      <c r="Z2" s="2845"/>
      <c r="AA2" s="2845"/>
      <c r="AB2" s="2845"/>
      <c r="AC2" s="2845"/>
      <c r="AD2" s="2845"/>
      <c r="AE2" s="2845"/>
      <c r="AF2" s="2845"/>
      <c r="AG2" s="2845"/>
      <c r="AH2" s="2845"/>
      <c r="AI2" s="2845"/>
      <c r="AJ2" s="2845"/>
      <c r="AK2" s="2845"/>
      <c r="AL2" s="2845"/>
      <c r="AM2" s="2845"/>
      <c r="AN2" s="2845"/>
      <c r="AO2" s="2845"/>
    </row>
    <row r="3" spans="1:54" s="44" customFormat="1" ht="17.100000000000001" customHeight="1">
      <c r="A3" s="2846" t="s">
        <v>4296</v>
      </c>
      <c r="B3" s="2846"/>
      <c r="C3" s="2846"/>
      <c r="D3" s="2846"/>
      <c r="E3" s="2846"/>
      <c r="F3" s="2846"/>
      <c r="G3" s="2846"/>
      <c r="H3" s="2846"/>
      <c r="I3" s="2846"/>
      <c r="J3" s="2846"/>
      <c r="K3" s="2846"/>
      <c r="L3" s="2846"/>
      <c r="M3" s="2846"/>
      <c r="N3" s="2846"/>
      <c r="O3" s="2846"/>
      <c r="P3" s="2846"/>
      <c r="Q3" s="2846"/>
      <c r="R3" s="2846"/>
      <c r="S3" s="2846"/>
      <c r="T3" s="2846"/>
      <c r="U3" s="2846"/>
      <c r="V3" s="2846"/>
      <c r="W3" s="2846"/>
      <c r="X3" s="2846"/>
      <c r="Y3" s="2846"/>
      <c r="Z3" s="2846"/>
      <c r="AA3" s="2846"/>
      <c r="AB3" s="2846"/>
      <c r="AC3" s="2846"/>
      <c r="AD3" s="2846"/>
      <c r="AE3" s="2846"/>
      <c r="AF3" s="2846"/>
      <c r="AG3" s="2846"/>
      <c r="AH3" s="2846"/>
      <c r="AI3" s="2846"/>
      <c r="AJ3" s="2846"/>
      <c r="AK3" s="2846"/>
      <c r="AL3" s="2846"/>
      <c r="AM3" s="2846"/>
      <c r="AN3" s="2846"/>
    </row>
    <row r="4" spans="1:54" s="45" customFormat="1" ht="17.100000000000001" customHeight="1">
      <c r="A4" s="936"/>
      <c r="B4" s="936"/>
      <c r="C4" s="936"/>
      <c r="D4" s="936"/>
      <c r="E4" s="936"/>
      <c r="F4" s="936"/>
      <c r="G4" s="936"/>
      <c r="H4" s="936"/>
      <c r="I4" s="936"/>
      <c r="J4" s="936"/>
      <c r="K4" s="936"/>
      <c r="L4" s="936"/>
      <c r="M4" s="936"/>
      <c r="N4" s="936"/>
      <c r="O4" s="936"/>
      <c r="P4" s="936"/>
      <c r="Q4" s="936"/>
      <c r="R4" s="936"/>
      <c r="S4" s="936"/>
      <c r="T4" s="936"/>
      <c r="U4" s="936"/>
      <c r="V4" s="936" t="s">
        <v>0</v>
      </c>
      <c r="W4" s="936"/>
      <c r="X4" s="936"/>
      <c r="Y4" s="936"/>
      <c r="Z4" s="936"/>
      <c r="AA4" s="936"/>
      <c r="AB4" s="936"/>
      <c r="AC4" s="936"/>
      <c r="AD4" s="936"/>
      <c r="AE4" s="936"/>
      <c r="AF4" s="936"/>
      <c r="AG4" s="936"/>
      <c r="AH4" s="936"/>
      <c r="AI4" s="936"/>
      <c r="AJ4" s="936"/>
      <c r="AK4" s="936"/>
      <c r="AL4" s="936"/>
      <c r="AM4" s="936"/>
      <c r="AN4" s="936"/>
      <c r="AO4" s="44"/>
    </row>
    <row r="5" spans="1:54" s="45" customFormat="1" ht="45.75" customHeight="1">
      <c r="A5" s="936"/>
      <c r="B5" s="2847" t="s">
        <v>59</v>
      </c>
      <c r="C5" s="2848"/>
      <c r="D5" s="2848"/>
      <c r="E5" s="2848"/>
      <c r="F5" s="2848"/>
      <c r="G5" s="2848"/>
      <c r="H5" s="2848"/>
      <c r="I5" s="2848"/>
      <c r="J5" s="2848"/>
      <c r="K5" s="2849"/>
      <c r="L5" s="46"/>
      <c r="M5" s="2850" t="str">
        <f>+'[13]FE3-1 '!OLE_LINK1</f>
        <v>ADMINISTRACION DIRECTA</v>
      </c>
      <c r="N5" s="2851"/>
      <c r="O5" s="2851"/>
      <c r="P5" s="2851"/>
      <c r="Q5" s="2851"/>
      <c r="R5" s="2851"/>
      <c r="S5" s="2851"/>
      <c r="T5" s="2851"/>
      <c r="U5" s="2851"/>
      <c r="V5" s="2851"/>
      <c r="W5" s="2851"/>
      <c r="X5" s="2851"/>
      <c r="Y5" s="2851"/>
      <c r="Z5" s="2851"/>
      <c r="AA5" s="2851"/>
      <c r="AB5" s="2851"/>
      <c r="AC5" s="2851"/>
      <c r="AD5" s="2851"/>
      <c r="AE5" s="2851"/>
      <c r="AF5" s="2851"/>
      <c r="AG5" s="2851"/>
      <c r="AH5" s="2851"/>
      <c r="AI5" s="2851"/>
      <c r="AJ5" s="2851"/>
      <c r="AK5" s="2851"/>
      <c r="AL5" s="2851"/>
      <c r="AM5" s="2851"/>
      <c r="AN5" s="2852"/>
      <c r="AO5" s="44"/>
    </row>
    <row r="6" spans="1:54" s="45" customFormat="1" ht="15" customHeight="1">
      <c r="A6" s="936"/>
      <c r="B6" s="2847" t="s">
        <v>15</v>
      </c>
      <c r="C6" s="2848"/>
      <c r="D6" s="2848"/>
      <c r="E6" s="2848"/>
      <c r="F6" s="2848"/>
      <c r="G6" s="2848"/>
      <c r="H6" s="2848"/>
      <c r="I6" s="2848"/>
      <c r="J6" s="2848"/>
      <c r="K6" s="2849"/>
      <c r="L6" s="46"/>
      <c r="M6" s="2853" t="s">
        <v>57</v>
      </c>
      <c r="N6" s="2853"/>
      <c r="O6" s="2853"/>
      <c r="P6" s="2853"/>
      <c r="Q6" s="2853"/>
      <c r="R6" s="2853"/>
      <c r="S6" s="2853"/>
      <c r="T6" s="2853"/>
      <c r="U6" s="2853"/>
      <c r="V6" s="2853"/>
      <c r="W6" s="2853"/>
      <c r="X6" s="2853"/>
      <c r="Y6" s="2853"/>
      <c r="Z6" s="2853"/>
      <c r="AA6" s="2853"/>
      <c r="AB6" s="2853"/>
      <c r="AC6" s="2853"/>
      <c r="AD6" s="2853"/>
      <c r="AE6" s="2853"/>
      <c r="AF6" s="2853"/>
      <c r="AG6" s="2853"/>
      <c r="AH6" s="2853"/>
      <c r="AI6" s="2853"/>
      <c r="AJ6" s="2853"/>
      <c r="AK6" s="2853"/>
      <c r="AL6" s="2853"/>
      <c r="AM6" s="2853"/>
      <c r="AN6" s="2853"/>
      <c r="AO6" s="44"/>
    </row>
    <row r="7" spans="1:54" s="45" customFormat="1" ht="15" customHeight="1">
      <c r="A7" s="936"/>
      <c r="B7" s="2847" t="s">
        <v>60</v>
      </c>
      <c r="C7" s="2848"/>
      <c r="D7" s="2848"/>
      <c r="E7" s="2848"/>
      <c r="F7" s="2848"/>
      <c r="G7" s="2848"/>
      <c r="H7" s="2848"/>
      <c r="I7" s="2848"/>
      <c r="J7" s="2848"/>
      <c r="K7" s="2849"/>
      <c r="L7" s="46"/>
      <c r="M7" s="2853" t="str">
        <f>Datos!C73</f>
        <v>ING. RICHARD ERWIN MONTALVO ALVARO</v>
      </c>
      <c r="N7" s="2853"/>
      <c r="O7" s="2853"/>
      <c r="P7" s="2853"/>
      <c r="Q7" s="2853"/>
      <c r="R7" s="2853"/>
      <c r="S7" s="2853"/>
      <c r="T7" s="2853"/>
      <c r="U7" s="2853"/>
      <c r="V7" s="2853"/>
      <c r="W7" s="2853"/>
      <c r="X7" s="2853"/>
      <c r="Y7" s="2853"/>
      <c r="Z7" s="2853"/>
      <c r="AA7" s="2853"/>
      <c r="AB7" s="2853"/>
      <c r="AC7" s="2853"/>
      <c r="AD7" s="2853"/>
      <c r="AE7" s="2853"/>
      <c r="AF7" s="2853"/>
      <c r="AG7" s="2853"/>
      <c r="AH7" s="2853"/>
      <c r="AI7" s="2853"/>
      <c r="AJ7" s="2853"/>
      <c r="AK7" s="2853"/>
      <c r="AL7" s="2853"/>
      <c r="AM7" s="2853"/>
      <c r="AN7" s="2853"/>
      <c r="AO7" s="44"/>
    </row>
    <row r="8" spans="1:54" s="45" customFormat="1" ht="16.5" customHeight="1">
      <c r="A8" s="936"/>
      <c r="B8" s="2847" t="s">
        <v>42</v>
      </c>
      <c r="C8" s="2848"/>
      <c r="D8" s="2848"/>
      <c r="E8" s="2848"/>
      <c r="F8" s="2848"/>
      <c r="G8" s="2848"/>
      <c r="H8" s="2848"/>
      <c r="I8" s="2848"/>
      <c r="J8" s="2848"/>
      <c r="K8" s="2849"/>
      <c r="L8" s="46"/>
      <c r="M8" s="937" t="str">
        <f>[13]Datos!C80</f>
        <v>ING. IVES BUSTHER GUTIERREZ ARENAS</v>
      </c>
      <c r="N8" s="938"/>
      <c r="O8" s="938"/>
      <c r="P8" s="938"/>
      <c r="Q8" s="938"/>
      <c r="R8" s="938"/>
      <c r="S8" s="938"/>
      <c r="T8" s="938"/>
      <c r="U8" s="938"/>
      <c r="V8" s="938"/>
      <c r="W8" s="938"/>
      <c r="X8" s="938"/>
      <c r="Y8" s="938"/>
      <c r="Z8" s="938"/>
      <c r="AA8" s="938"/>
      <c r="AB8" s="938"/>
      <c r="AC8" s="938"/>
      <c r="AD8" s="938"/>
      <c r="AE8" s="938"/>
      <c r="AF8" s="938"/>
      <c r="AG8" s="938"/>
      <c r="AH8" s="938"/>
      <c r="AI8" s="938"/>
      <c r="AJ8" s="938"/>
      <c r="AK8" s="938"/>
      <c r="AL8" s="938"/>
      <c r="AM8" s="938"/>
      <c r="AN8" s="939"/>
      <c r="AO8" s="44"/>
    </row>
    <row r="9" spans="1:54" s="45" customFormat="1" ht="6" customHeight="1">
      <c r="A9" s="936"/>
      <c r="B9" s="46"/>
      <c r="C9" s="46"/>
      <c r="D9" s="46"/>
      <c r="E9" s="46"/>
      <c r="F9" s="46"/>
      <c r="G9" s="46"/>
      <c r="H9" s="46"/>
      <c r="I9" s="46"/>
      <c r="J9" s="46"/>
      <c r="K9" s="46"/>
      <c r="L9" s="46"/>
      <c r="M9" s="44"/>
      <c r="N9" s="44"/>
      <c r="O9" s="44"/>
      <c r="P9" s="44"/>
      <c r="Q9" s="44"/>
      <c r="R9" s="44"/>
      <c r="S9" s="44"/>
      <c r="T9" s="44"/>
      <c r="U9" s="44"/>
      <c r="V9" s="44"/>
      <c r="W9" s="44"/>
      <c r="X9" s="44"/>
      <c r="Y9" s="44"/>
      <c r="Z9" s="44"/>
      <c r="AA9" s="940"/>
      <c r="AB9" s="940"/>
      <c r="AC9" s="940"/>
      <c r="AD9" s="940"/>
      <c r="AE9" s="940"/>
      <c r="AF9" s="44"/>
      <c r="AG9" s="44"/>
      <c r="AH9" s="44"/>
      <c r="AI9" s="44"/>
      <c r="AJ9" s="44"/>
      <c r="AK9" s="44"/>
      <c r="AL9" s="44"/>
      <c r="AM9" s="44"/>
      <c r="AN9" s="44"/>
      <c r="AO9" s="44"/>
    </row>
    <row r="10" spans="1:54" s="45" customFormat="1" ht="16.5" customHeight="1">
      <c r="A10" s="936"/>
      <c r="B10" s="2847" t="s">
        <v>62</v>
      </c>
      <c r="C10" s="2848"/>
      <c r="D10" s="2848"/>
      <c r="E10" s="2848"/>
      <c r="F10" s="2848"/>
      <c r="G10" s="2848"/>
      <c r="H10" s="2848"/>
      <c r="I10" s="2848"/>
      <c r="J10" s="2848"/>
      <c r="K10" s="2849"/>
      <c r="L10" s="46"/>
      <c r="M10" s="2862">
        <v>45291</v>
      </c>
      <c r="N10" s="2858"/>
      <c r="O10" s="2858"/>
      <c r="P10" s="2858"/>
      <c r="Q10" s="2858"/>
      <c r="R10" s="2858"/>
      <c r="S10" s="2858"/>
      <c r="T10" s="2858"/>
      <c r="U10" s="2858"/>
      <c r="V10" s="2858"/>
      <c r="W10" s="2858"/>
      <c r="X10" s="2858"/>
      <c r="Y10" s="2858"/>
      <c r="Z10" s="2858"/>
      <c r="AA10" s="2858"/>
      <c r="AB10" s="2858"/>
      <c r="AC10" s="2858"/>
      <c r="AD10" s="2858"/>
      <c r="AE10" s="2858"/>
      <c r="AF10" s="2858"/>
      <c r="AG10" s="2858"/>
      <c r="AH10" s="2858"/>
      <c r="AI10" s="2858"/>
      <c r="AJ10" s="2858"/>
      <c r="AK10" s="2858"/>
      <c r="AL10" s="2858"/>
      <c r="AM10" s="2858"/>
      <c r="AN10" s="2859"/>
      <c r="AO10" s="44"/>
    </row>
    <row r="11" spans="1:54" s="45" customFormat="1" ht="12" customHeight="1">
      <c r="A11" s="936"/>
      <c r="B11" s="936"/>
      <c r="C11" s="936"/>
      <c r="D11" s="936"/>
      <c r="E11" s="936"/>
      <c r="F11" s="936"/>
      <c r="G11" s="936"/>
      <c r="H11" s="936"/>
      <c r="I11" s="936"/>
      <c r="J11" s="936"/>
      <c r="K11" s="936"/>
      <c r="L11" s="936"/>
      <c r="M11" s="936"/>
      <c r="N11" s="936"/>
      <c r="O11" s="936"/>
      <c r="P11" s="936"/>
      <c r="Q11" s="936"/>
      <c r="R11" s="936"/>
      <c r="S11" s="936"/>
      <c r="T11" s="936"/>
      <c r="U11" s="936"/>
      <c r="V11" s="936"/>
      <c r="W11" s="936"/>
      <c r="X11" s="936"/>
      <c r="Y11" s="936"/>
      <c r="Z11" s="936"/>
      <c r="AA11" s="936"/>
      <c r="AB11" s="936"/>
      <c r="AC11" s="936"/>
      <c r="AD11" s="936"/>
      <c r="AE11" s="936"/>
      <c r="AF11" s="936"/>
      <c r="AG11" s="936"/>
      <c r="AH11" s="936"/>
      <c r="AI11" s="936"/>
      <c r="AJ11" s="936"/>
      <c r="AK11" s="936"/>
      <c r="AL11" s="936"/>
      <c r="AM11" s="936"/>
      <c r="AN11" s="936"/>
      <c r="AO11" s="44"/>
    </row>
    <row r="12" spans="1:54" ht="17.25" customHeight="1">
      <c r="A12" s="48" t="s">
        <v>201</v>
      </c>
      <c r="B12" s="46"/>
      <c r="C12" s="46"/>
      <c r="D12" s="46"/>
      <c r="E12" s="46"/>
      <c r="F12" s="46"/>
      <c r="G12" s="46"/>
      <c r="H12" s="46"/>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c r="AL12" s="46"/>
      <c r="AM12" s="46"/>
      <c r="AN12" s="46"/>
      <c r="AO12" s="46"/>
      <c r="BB12" s="47">
        <v>11</v>
      </c>
    </row>
    <row r="13" spans="1:54" ht="6" customHeight="1">
      <c r="A13" s="46"/>
      <c r="B13" s="48"/>
      <c r="C13" s="49"/>
      <c r="D13" s="49"/>
      <c r="E13" s="49"/>
      <c r="F13" s="49"/>
      <c r="G13" s="49"/>
      <c r="H13" s="49"/>
      <c r="I13" s="49"/>
      <c r="J13" s="49"/>
      <c r="K13" s="46"/>
      <c r="L13" s="46"/>
      <c r="M13" s="46"/>
      <c r="N13" s="46"/>
      <c r="O13" s="46"/>
      <c r="P13" s="46"/>
      <c r="Q13" s="46"/>
      <c r="R13" s="46"/>
      <c r="S13" s="46"/>
      <c r="T13" s="46"/>
      <c r="U13" s="46"/>
      <c r="V13" s="46"/>
      <c r="W13" s="46"/>
      <c r="X13" s="46"/>
      <c r="Y13" s="46"/>
      <c r="Z13" s="46"/>
      <c r="AA13" s="46"/>
      <c r="AB13" s="46"/>
      <c r="AC13" s="46"/>
      <c r="AD13" s="46"/>
      <c r="AE13" s="46"/>
      <c r="AF13" s="46"/>
      <c r="AG13" s="46"/>
      <c r="AH13" s="46"/>
      <c r="AI13" s="46"/>
      <c r="AJ13" s="46"/>
      <c r="AK13" s="46"/>
      <c r="AL13" s="936"/>
      <c r="AM13" s="936"/>
      <c r="AN13" s="936"/>
      <c r="AO13" s="46"/>
    </row>
    <row r="14" spans="1:54" s="46" customFormat="1" ht="15">
      <c r="B14" s="48" t="s">
        <v>202</v>
      </c>
    </row>
    <row r="15" spans="1:54" ht="12.75" customHeight="1">
      <c r="A15" s="46"/>
      <c r="B15" s="46"/>
      <c r="C15" s="48" t="s">
        <v>64</v>
      </c>
      <c r="D15" s="49"/>
      <c r="E15" s="49"/>
      <c r="F15" s="49"/>
      <c r="G15" s="49"/>
      <c r="H15" s="49"/>
      <c r="I15" s="49"/>
      <c r="J15" s="49"/>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936"/>
      <c r="AM15" s="936"/>
      <c r="AN15" s="936"/>
      <c r="AO15" s="46"/>
    </row>
    <row r="16" spans="1:54" ht="17.25" customHeight="1">
      <c r="A16" s="46"/>
      <c r="B16" s="48"/>
      <c r="C16" s="49"/>
      <c r="D16" s="49"/>
      <c r="E16" s="49"/>
      <c r="F16" s="49"/>
      <c r="G16" s="49"/>
      <c r="H16" s="49"/>
      <c r="I16" s="49"/>
      <c r="J16" s="49"/>
      <c r="K16" s="941" t="s">
        <v>65</v>
      </c>
      <c r="L16" s="2854" t="s">
        <v>124</v>
      </c>
      <c r="M16" s="2855"/>
      <c r="N16" s="2855"/>
      <c r="O16" s="2855"/>
      <c r="P16" s="2855"/>
      <c r="Q16" s="2855"/>
      <c r="R16" s="2855"/>
      <c r="S16" s="2855"/>
      <c r="T16" s="2855"/>
      <c r="U16" s="2855"/>
      <c r="V16" s="2855"/>
      <c r="W16" s="2856"/>
      <c r="X16" s="46"/>
      <c r="Y16" s="46"/>
      <c r="Z16" s="46"/>
      <c r="AA16" s="46"/>
      <c r="AB16" s="941" t="s">
        <v>66</v>
      </c>
      <c r="AC16" s="2863" t="s">
        <v>125</v>
      </c>
      <c r="AD16" s="2864"/>
      <c r="AE16" s="2864"/>
      <c r="AF16" s="2864"/>
      <c r="AG16" s="2864"/>
      <c r="AH16" s="2864"/>
      <c r="AI16" s="2864"/>
      <c r="AJ16" s="2864"/>
      <c r="AK16" s="2864"/>
      <c r="AL16" s="2864"/>
      <c r="AM16" s="2864"/>
      <c r="AN16" s="2865"/>
      <c r="AO16" s="46"/>
    </row>
    <row r="17" spans="1:41" ht="6" customHeight="1">
      <c r="A17" s="46"/>
      <c r="B17" s="48"/>
      <c r="C17" s="49"/>
      <c r="D17" s="49"/>
      <c r="E17" s="49"/>
      <c r="F17" s="49"/>
      <c r="G17" s="49"/>
      <c r="H17" s="49"/>
      <c r="I17" s="49"/>
      <c r="J17" s="49"/>
      <c r="K17" s="941"/>
      <c r="L17" s="49"/>
      <c r="M17" s="49"/>
      <c r="N17" s="49"/>
      <c r="O17" s="49"/>
      <c r="P17" s="49"/>
      <c r="Q17" s="49"/>
      <c r="R17" s="49"/>
      <c r="S17" s="49"/>
      <c r="T17" s="49"/>
      <c r="U17" s="49"/>
      <c r="V17" s="49"/>
      <c r="W17" s="49"/>
      <c r="X17" s="46"/>
      <c r="Y17" s="46"/>
      <c r="Z17" s="46"/>
      <c r="AA17" s="46"/>
      <c r="AB17" s="46"/>
      <c r="AC17" s="46"/>
      <c r="AD17" s="46"/>
      <c r="AE17" s="46"/>
      <c r="AF17" s="46"/>
      <c r="AG17" s="46"/>
      <c r="AH17" s="46"/>
      <c r="AI17" s="46"/>
      <c r="AJ17" s="46"/>
      <c r="AK17" s="46"/>
      <c r="AL17" s="936"/>
      <c r="AM17" s="936"/>
      <c r="AN17" s="936"/>
      <c r="AO17" s="46"/>
    </row>
    <row r="18" spans="1:41" ht="15.75" customHeight="1">
      <c r="A18" s="46"/>
      <c r="B18" s="48"/>
      <c r="C18" s="49"/>
      <c r="D18" s="49"/>
      <c r="E18" s="49"/>
      <c r="F18" s="49"/>
      <c r="G18" s="49"/>
      <c r="H18" s="49"/>
      <c r="I18" s="49"/>
      <c r="J18" s="49"/>
      <c r="K18" s="941" t="s">
        <v>67</v>
      </c>
      <c r="L18" s="2854" t="s">
        <v>125</v>
      </c>
      <c r="M18" s="2855"/>
      <c r="N18" s="2855"/>
      <c r="O18" s="2855"/>
      <c r="P18" s="2855"/>
      <c r="Q18" s="2855"/>
      <c r="R18" s="2855"/>
      <c r="S18" s="2855"/>
      <c r="T18" s="2855"/>
      <c r="U18" s="2855"/>
      <c r="V18" s="2855"/>
      <c r="W18" s="2856"/>
      <c r="X18" s="46"/>
      <c r="Y18" s="942"/>
      <c r="Z18" s="942"/>
      <c r="AA18" s="942"/>
      <c r="AB18" s="942"/>
      <c r="AC18" s="942"/>
      <c r="AD18" s="942"/>
      <c r="AE18" s="942"/>
      <c r="AF18" s="942"/>
      <c r="AG18" s="942"/>
      <c r="AH18" s="942"/>
      <c r="AI18" s="942"/>
      <c r="AJ18" s="942"/>
      <c r="AK18" s="942"/>
      <c r="AL18" s="942"/>
      <c r="AM18" s="942"/>
      <c r="AN18" s="942"/>
      <c r="AO18" s="46"/>
    </row>
    <row r="19" spans="1:41" ht="6" customHeight="1">
      <c r="A19" s="46"/>
      <c r="B19" s="48"/>
      <c r="C19" s="49"/>
      <c r="D19" s="49"/>
      <c r="E19" s="49"/>
      <c r="F19" s="49"/>
      <c r="G19" s="49"/>
      <c r="H19" s="49"/>
      <c r="I19" s="49"/>
      <c r="J19" s="49"/>
      <c r="K19" s="941"/>
      <c r="L19" s="941"/>
      <c r="M19" s="941"/>
      <c r="N19" s="941"/>
      <c r="O19" s="941"/>
      <c r="P19" s="941"/>
      <c r="Q19" s="46"/>
      <c r="R19" s="46"/>
      <c r="S19" s="46"/>
      <c r="T19" s="46"/>
      <c r="U19" s="46"/>
      <c r="V19" s="46"/>
      <c r="W19" s="46"/>
      <c r="X19" s="46"/>
      <c r="Y19" s="46"/>
      <c r="Z19" s="46"/>
      <c r="AA19" s="46"/>
      <c r="AB19" s="46"/>
      <c r="AC19" s="46"/>
      <c r="AD19" s="46"/>
      <c r="AE19" s="46"/>
      <c r="AF19" s="46"/>
      <c r="AG19" s="46"/>
      <c r="AH19" s="46"/>
      <c r="AI19" s="46"/>
      <c r="AJ19" s="46"/>
      <c r="AK19" s="46"/>
      <c r="AL19" s="936"/>
      <c r="AM19" s="936"/>
      <c r="AN19" s="936"/>
      <c r="AO19" s="46"/>
    </row>
    <row r="20" spans="1:41" ht="18" customHeight="1">
      <c r="A20" s="46"/>
      <c r="B20" s="48"/>
      <c r="C20" s="49"/>
      <c r="D20" s="49"/>
      <c r="E20" s="49"/>
      <c r="F20" s="49"/>
      <c r="G20" s="49"/>
      <c r="H20" s="49"/>
      <c r="I20" s="49"/>
      <c r="J20" s="49"/>
      <c r="K20" s="941" t="s">
        <v>68</v>
      </c>
      <c r="L20" s="2857" t="s">
        <v>1188</v>
      </c>
      <c r="M20" s="2858"/>
      <c r="N20" s="2858"/>
      <c r="O20" s="2858"/>
      <c r="P20" s="2858"/>
      <c r="Q20" s="2858"/>
      <c r="R20" s="2858"/>
      <c r="S20" s="2858"/>
      <c r="T20" s="2858"/>
      <c r="U20" s="2858"/>
      <c r="V20" s="2858"/>
      <c r="W20" s="2858"/>
      <c r="X20" s="2858"/>
      <c r="Y20" s="2858"/>
      <c r="Z20" s="2858"/>
      <c r="AA20" s="2858"/>
      <c r="AB20" s="2858"/>
      <c r="AC20" s="2858"/>
      <c r="AD20" s="2858"/>
      <c r="AE20" s="2858"/>
      <c r="AF20" s="2858"/>
      <c r="AG20" s="2858"/>
      <c r="AH20" s="2858"/>
      <c r="AI20" s="2858"/>
      <c r="AJ20" s="2858"/>
      <c r="AK20" s="2858"/>
      <c r="AL20" s="2858"/>
      <c r="AM20" s="2858"/>
      <c r="AN20" s="2859"/>
      <c r="AO20" s="46"/>
    </row>
    <row r="21" spans="1:41" ht="5.25" customHeight="1">
      <c r="A21" s="46"/>
      <c r="B21" s="48"/>
      <c r="C21" s="49"/>
      <c r="D21" s="49"/>
      <c r="E21" s="49"/>
      <c r="F21" s="49"/>
      <c r="G21" s="49"/>
      <c r="H21" s="49"/>
      <c r="I21" s="49"/>
      <c r="J21" s="49"/>
      <c r="K21" s="46"/>
      <c r="L21" s="46"/>
      <c r="M21" s="46"/>
      <c r="N21" s="46"/>
      <c r="O21" s="46"/>
      <c r="P21" s="46"/>
      <c r="Q21" s="46"/>
      <c r="R21" s="46"/>
      <c r="S21" s="46"/>
      <c r="T21" s="46"/>
      <c r="U21" s="46"/>
      <c r="V21" s="46"/>
      <c r="W21" s="46"/>
      <c r="X21" s="46"/>
      <c r="Y21" s="46"/>
      <c r="Z21" s="46"/>
      <c r="AA21" s="46"/>
      <c r="AB21" s="46"/>
      <c r="AC21" s="46"/>
      <c r="AD21" s="46"/>
      <c r="AE21" s="46"/>
      <c r="AF21" s="46"/>
      <c r="AG21" s="46"/>
      <c r="AH21" s="46"/>
      <c r="AI21" s="46"/>
      <c r="AJ21" s="46"/>
      <c r="AK21" s="46"/>
      <c r="AL21" s="936"/>
      <c r="AM21" s="936"/>
      <c r="AN21" s="936"/>
      <c r="AO21" s="46"/>
    </row>
    <row r="22" spans="1:41" ht="12.75" customHeight="1">
      <c r="A22" s="46"/>
      <c r="B22" s="48"/>
      <c r="C22" s="48" t="s">
        <v>69</v>
      </c>
      <c r="D22" s="49"/>
      <c r="E22" s="49"/>
      <c r="F22" s="49"/>
      <c r="G22" s="49"/>
      <c r="H22" s="49"/>
      <c r="I22" s="49"/>
      <c r="J22" s="49"/>
      <c r="K22" s="46"/>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c r="AL22" s="936"/>
      <c r="AM22" s="936"/>
      <c r="AN22" s="936"/>
      <c r="AO22" s="46"/>
    </row>
    <row r="23" spans="1:41" ht="12.75" customHeight="1">
      <c r="A23" s="46"/>
      <c r="B23" s="48"/>
      <c r="C23" s="48"/>
      <c r="D23" s="49" t="s">
        <v>70</v>
      </c>
      <c r="E23" s="49"/>
      <c r="F23" s="46"/>
      <c r="G23" s="46"/>
      <c r="H23" s="49"/>
      <c r="I23" s="19" t="s">
        <v>17</v>
      </c>
      <c r="J23" s="284">
        <v>3</v>
      </c>
      <c r="K23" s="2627" t="s">
        <v>2718</v>
      </c>
      <c r="L23" s="2627"/>
      <c r="M23" s="2627"/>
      <c r="N23" s="2627"/>
      <c r="O23" s="2627"/>
      <c r="P23" s="2627"/>
      <c r="Q23" s="2627"/>
      <c r="R23" s="2627"/>
      <c r="S23" s="2627"/>
      <c r="T23" s="2627"/>
      <c r="U23" s="2627"/>
      <c r="V23" s="2627"/>
      <c r="W23" s="2627"/>
      <c r="X23" s="2627"/>
      <c r="Y23" s="46"/>
      <c r="Z23" s="46"/>
      <c r="AA23" s="46"/>
      <c r="AB23" s="46"/>
      <c r="AC23" s="46"/>
      <c r="AD23" s="46"/>
      <c r="AE23" s="46"/>
      <c r="AF23" s="46"/>
      <c r="AG23" s="46"/>
      <c r="AH23" s="46"/>
      <c r="AI23" s="46"/>
      <c r="AJ23" s="46"/>
      <c r="AK23" s="46"/>
      <c r="AL23" s="936"/>
      <c r="AM23" s="936"/>
      <c r="AN23" s="936"/>
      <c r="AO23" s="46"/>
    </row>
    <row r="24" spans="1:41" ht="12.75" customHeight="1">
      <c r="A24" s="46"/>
      <c r="B24" s="48"/>
      <c r="C24" s="48"/>
      <c r="D24" s="49" t="s">
        <v>71</v>
      </c>
      <c r="E24" s="49"/>
      <c r="F24" s="46"/>
      <c r="G24" s="46"/>
      <c r="H24" s="49"/>
      <c r="I24" s="19" t="s">
        <v>17</v>
      </c>
      <c r="J24" s="284" t="s">
        <v>2175</v>
      </c>
      <c r="K24" s="2627" t="s">
        <v>2719</v>
      </c>
      <c r="L24" s="2627"/>
      <c r="M24" s="2627"/>
      <c r="N24" s="2627"/>
      <c r="O24" s="2627"/>
      <c r="P24" s="2627"/>
      <c r="Q24" s="2627"/>
      <c r="R24" s="2627"/>
      <c r="S24" s="2627"/>
      <c r="T24" s="2627"/>
      <c r="U24" s="2627"/>
      <c r="V24" s="2627"/>
      <c r="W24" s="2627"/>
      <c r="X24" s="2627"/>
      <c r="Y24" s="46"/>
      <c r="Z24" s="46"/>
      <c r="AA24" s="46"/>
      <c r="AB24" s="46"/>
      <c r="AC24" s="46"/>
      <c r="AD24" s="46"/>
      <c r="AE24" s="46"/>
      <c r="AF24" s="46"/>
      <c r="AG24" s="46"/>
      <c r="AH24" s="46"/>
      <c r="AI24" s="46"/>
      <c r="AJ24" s="46"/>
      <c r="AK24" s="46"/>
      <c r="AL24" s="936"/>
      <c r="AM24" s="936"/>
      <c r="AN24" s="936"/>
      <c r="AO24" s="46"/>
    </row>
    <row r="25" spans="1:41" ht="12.75" customHeight="1">
      <c r="A25" s="46"/>
      <c r="B25" s="48"/>
      <c r="C25" s="49"/>
      <c r="D25" s="943" t="s">
        <v>72</v>
      </c>
      <c r="E25" s="943"/>
      <c r="F25" s="46"/>
      <c r="G25" s="46"/>
      <c r="H25" s="46"/>
      <c r="I25" s="19" t="s">
        <v>17</v>
      </c>
      <c r="J25" s="1557" t="s">
        <v>2312</v>
      </c>
      <c r="K25" s="2627" t="s">
        <v>2177</v>
      </c>
      <c r="L25" s="2627"/>
      <c r="M25" s="2627"/>
      <c r="N25" s="2627"/>
      <c r="O25" s="2627"/>
      <c r="P25" s="2627"/>
      <c r="Q25" s="2627"/>
      <c r="R25" s="2627"/>
      <c r="S25" s="46"/>
      <c r="T25" s="46"/>
      <c r="U25" s="46"/>
      <c r="V25" s="46"/>
      <c r="W25" s="46"/>
      <c r="X25" s="46"/>
      <c r="Y25" s="46"/>
      <c r="Z25" s="46"/>
      <c r="AA25" s="46"/>
      <c r="AB25" s="46"/>
      <c r="AC25" s="46"/>
      <c r="AD25" s="46"/>
      <c r="AE25" s="46"/>
      <c r="AF25" s="46"/>
      <c r="AG25" s="46"/>
      <c r="AH25" s="46"/>
      <c r="AI25" s="46"/>
      <c r="AJ25" s="46"/>
      <c r="AK25" s="46"/>
      <c r="AL25" s="46"/>
      <c r="AM25" s="936"/>
      <c r="AN25" s="936"/>
      <c r="AO25" s="46"/>
    </row>
    <row r="26" spans="1:41" ht="42.75" customHeight="1">
      <c r="A26" s="46"/>
      <c r="B26" s="48"/>
      <c r="C26" s="49"/>
      <c r="D26" s="944" t="s">
        <v>56</v>
      </c>
      <c r="E26" s="943"/>
      <c r="F26" s="46"/>
      <c r="G26" s="46"/>
      <c r="H26" s="46"/>
      <c r="I26" s="48" t="s">
        <v>17</v>
      </c>
      <c r="J26" s="2860" t="str">
        <f>[13]Datos!C25</f>
        <v>“MEJORAMIENTO DE LA GESTIÓN MUNICIPAL Y SERVICIO ADMINISTRATIVO DE LA MUNICIPALIDAD PROVINCIAL DE ABANCAY, DISTRITO DE ABANCAY - PROVINCIA DE ABANCAY - DEPARTAMENTO DE APURIMAC”.</v>
      </c>
      <c r="K26" s="2860"/>
      <c r="L26" s="2860"/>
      <c r="M26" s="2860"/>
      <c r="N26" s="2860"/>
      <c r="O26" s="2860"/>
      <c r="P26" s="2860"/>
      <c r="Q26" s="2860"/>
      <c r="R26" s="2860"/>
      <c r="S26" s="2860"/>
      <c r="T26" s="2860"/>
      <c r="U26" s="2860"/>
      <c r="V26" s="2860"/>
      <c r="W26" s="2860"/>
      <c r="X26" s="2860"/>
      <c r="Y26" s="2860"/>
      <c r="Z26" s="2860"/>
      <c r="AA26" s="2860"/>
      <c r="AB26" s="2860"/>
      <c r="AC26" s="2860"/>
      <c r="AD26" s="2860"/>
      <c r="AE26" s="2860"/>
      <c r="AF26" s="2860"/>
      <c r="AG26" s="2860"/>
      <c r="AH26" s="2860"/>
      <c r="AI26" s="2860"/>
      <c r="AJ26" s="2860"/>
      <c r="AK26" s="2860"/>
      <c r="AL26" s="2860"/>
      <c r="AM26" s="2860"/>
      <c r="AN26" s="2860"/>
      <c r="AO26" s="945"/>
    </row>
    <row r="27" spans="1:41" ht="12.75" customHeight="1">
      <c r="A27" s="46"/>
      <c r="B27" s="48"/>
      <c r="C27" s="49"/>
      <c r="D27" s="943" t="s">
        <v>73</v>
      </c>
      <c r="E27" s="943"/>
      <c r="F27" s="46"/>
      <c r="G27" s="46"/>
      <c r="H27" s="46"/>
      <c r="I27" s="19" t="s">
        <v>17</v>
      </c>
      <c r="J27" s="2826"/>
      <c r="K27" s="2826"/>
      <c r="L27" s="2826"/>
      <c r="M27" s="2826"/>
      <c r="N27" s="2826"/>
      <c r="O27" s="2826"/>
      <c r="P27" s="2826"/>
      <c r="Q27" s="2826"/>
      <c r="R27" s="2826"/>
      <c r="S27" s="2826"/>
      <c r="T27" s="2826"/>
      <c r="U27" s="2826"/>
      <c r="V27" s="2826"/>
      <c r="W27" s="2826"/>
      <c r="X27" s="2826"/>
      <c r="Y27" s="2826"/>
      <c r="Z27" s="2826"/>
      <c r="AA27" s="2826"/>
      <c r="AB27" s="2826"/>
      <c r="AC27" s="2826"/>
      <c r="AD27" s="2826"/>
      <c r="AE27" s="2826"/>
      <c r="AF27" s="2826"/>
      <c r="AG27" s="2826"/>
      <c r="AH27" s="2826"/>
      <c r="AI27" s="2826"/>
      <c r="AJ27" s="2826"/>
      <c r="AK27" s="2826"/>
      <c r="AL27" s="2826"/>
      <c r="AM27" s="2826"/>
      <c r="AN27" s="2826"/>
      <c r="AO27" s="46"/>
    </row>
    <row r="28" spans="1:41" ht="12.75" customHeight="1">
      <c r="A28" s="46"/>
      <c r="B28" s="48"/>
      <c r="C28" s="49"/>
      <c r="D28" s="943" t="s">
        <v>74</v>
      </c>
      <c r="E28" s="943"/>
      <c r="F28" s="46"/>
      <c r="G28" s="46"/>
      <c r="H28" s="46"/>
      <c r="I28" s="19" t="s">
        <v>17</v>
      </c>
      <c r="J28" s="946" t="s">
        <v>2480</v>
      </c>
      <c r="K28" s="46"/>
      <c r="L28" s="46"/>
      <c r="M28" s="44"/>
      <c r="N28" s="46"/>
      <c r="O28" s="46"/>
      <c r="P28" s="46"/>
      <c r="Q28" s="46"/>
      <c r="R28" s="46"/>
      <c r="S28" s="46"/>
      <c r="T28" s="46"/>
      <c r="U28" s="46"/>
      <c r="V28" s="46"/>
      <c r="W28" s="46"/>
      <c r="X28" s="46"/>
      <c r="Y28" s="46"/>
      <c r="Z28" s="46"/>
      <c r="AA28" s="46"/>
      <c r="AB28" s="46"/>
      <c r="AC28" s="46"/>
      <c r="AD28" s="46"/>
      <c r="AE28" s="46"/>
      <c r="AF28" s="46"/>
      <c r="AG28" s="46"/>
      <c r="AH28" s="46"/>
      <c r="AI28" s="46"/>
      <c r="AJ28" s="947"/>
      <c r="AK28" s="947"/>
      <c r="AL28" s="948"/>
      <c r="AM28" s="948"/>
      <c r="AN28" s="936"/>
      <c r="AO28" s="46"/>
    </row>
    <row r="29" spans="1:41" ht="12.75" customHeight="1">
      <c r="A29" s="46"/>
      <c r="B29" s="48"/>
      <c r="C29" s="49"/>
      <c r="D29" s="943" t="s">
        <v>75</v>
      </c>
      <c r="E29" s="49"/>
      <c r="F29" s="46"/>
      <c r="G29" s="46"/>
      <c r="H29" s="49"/>
      <c r="I29" s="19" t="s">
        <v>17</v>
      </c>
      <c r="J29" s="44" t="s">
        <v>126</v>
      </c>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6"/>
      <c r="AJ29" s="947"/>
      <c r="AK29" s="947"/>
      <c r="AL29" s="948"/>
      <c r="AM29" s="948"/>
      <c r="AN29" s="936"/>
      <c r="AO29" s="46"/>
    </row>
    <row r="30" spans="1:41" ht="5.25" customHeight="1">
      <c r="A30" s="46"/>
      <c r="B30" s="48"/>
      <c r="C30" s="49"/>
      <c r="D30" s="49"/>
      <c r="E30" s="49"/>
      <c r="F30" s="49"/>
      <c r="G30" s="49"/>
      <c r="H30" s="49"/>
      <c r="I30" s="49"/>
      <c r="J30" s="49"/>
      <c r="K30" s="46"/>
      <c r="L30" s="46"/>
      <c r="M30" s="46"/>
      <c r="N30" s="46"/>
      <c r="O30" s="46"/>
      <c r="P30" s="46"/>
      <c r="Q30" s="46"/>
      <c r="R30" s="46"/>
      <c r="S30" s="46"/>
      <c r="T30" s="46"/>
      <c r="U30" s="46"/>
      <c r="V30" s="46"/>
      <c r="W30" s="46"/>
      <c r="X30" s="46"/>
      <c r="Y30" s="46"/>
      <c r="Z30" s="46"/>
      <c r="AA30" s="46"/>
      <c r="AB30" s="46"/>
      <c r="AC30" s="46"/>
      <c r="AD30" s="46"/>
      <c r="AE30" s="46"/>
      <c r="AF30" s="46"/>
      <c r="AG30" s="46"/>
      <c r="AH30" s="46"/>
      <c r="AI30" s="46"/>
      <c r="AJ30" s="46"/>
      <c r="AK30" s="46"/>
      <c r="AL30" s="936"/>
      <c r="AM30" s="936"/>
      <c r="AN30" s="936"/>
      <c r="AO30" s="46"/>
    </row>
    <row r="31" spans="1:41" ht="12.75" customHeight="1">
      <c r="A31" s="46"/>
      <c r="B31" s="48"/>
      <c r="C31" s="48" t="s">
        <v>76</v>
      </c>
      <c r="D31" s="49"/>
      <c r="E31" s="49"/>
      <c r="F31" s="49"/>
      <c r="G31" s="49"/>
      <c r="H31" s="49"/>
      <c r="I31" s="49"/>
      <c r="J31" s="49"/>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936"/>
      <c r="AM31" s="936"/>
      <c r="AN31" s="936"/>
      <c r="AO31" s="46"/>
    </row>
    <row r="32" spans="1:41" ht="12.75" customHeight="1">
      <c r="A32" s="46"/>
      <c r="B32" s="48"/>
      <c r="C32" s="49"/>
      <c r="D32" s="49"/>
      <c r="E32" s="49"/>
      <c r="F32" s="49"/>
      <c r="G32" s="49"/>
      <c r="H32" s="49"/>
      <c r="I32" s="49"/>
      <c r="J32" s="49"/>
      <c r="K32" s="46"/>
      <c r="L32" s="46"/>
      <c r="M32" s="46"/>
      <c r="N32" s="46"/>
      <c r="O32" s="46"/>
      <c r="P32" s="46"/>
      <c r="Q32" s="46"/>
      <c r="R32" s="46"/>
      <c r="S32" s="19"/>
      <c r="T32" s="46"/>
      <c r="U32" s="46"/>
      <c r="V32" s="2861"/>
      <c r="W32" s="2861"/>
      <c r="X32" s="2861"/>
      <c r="Y32" s="2861"/>
      <c r="Z32" s="2861"/>
      <c r="AA32" s="2861"/>
      <c r="AB32" s="2861"/>
      <c r="AC32" s="2861"/>
      <c r="AD32" s="2861"/>
      <c r="AE32" s="46"/>
      <c r="AF32" s="46"/>
      <c r="AG32" s="46"/>
      <c r="AH32" s="46"/>
      <c r="AI32" s="46"/>
      <c r="AJ32" s="46"/>
      <c r="AK32" s="46"/>
      <c r="AL32" s="936"/>
      <c r="AM32" s="936"/>
      <c r="AN32" s="936"/>
      <c r="AO32" s="46"/>
    </row>
    <row r="33" spans="1:41" ht="12.75" customHeight="1">
      <c r="A33" s="46"/>
      <c r="B33" s="48"/>
      <c r="C33" s="49"/>
      <c r="D33" s="49"/>
      <c r="E33" s="49"/>
      <c r="F33" s="49"/>
      <c r="G33" s="267" t="s">
        <v>2310</v>
      </c>
      <c r="H33" s="267"/>
      <c r="I33" s="267"/>
      <c r="J33" s="267"/>
      <c r="K33" s="267"/>
      <c r="L33" s="273"/>
      <c r="M33" s="273"/>
      <c r="N33" s="273"/>
      <c r="O33" s="273"/>
      <c r="P33" s="273"/>
      <c r="Q33" s="273"/>
      <c r="R33" s="273"/>
      <c r="S33" s="273"/>
      <c r="T33" s="281" t="s">
        <v>17</v>
      </c>
      <c r="U33" s="273"/>
      <c r="V33" s="273"/>
      <c r="W33" s="2193">
        <f>'[13]FE-2'!W38:AF38</f>
        <v>15583237.93</v>
      </c>
      <c r="X33" s="2194"/>
      <c r="Y33" s="2194"/>
      <c r="Z33" s="2194"/>
      <c r="AA33" s="2194"/>
      <c r="AB33" s="2194"/>
      <c r="AC33" s="2194"/>
      <c r="AD33" s="2194"/>
      <c r="AE33" s="2194"/>
      <c r="AF33" s="2195"/>
      <c r="AG33" s="46"/>
      <c r="AH33" s="46"/>
      <c r="AI33" s="46"/>
      <c r="AJ33" s="46"/>
      <c r="AK33" s="46"/>
      <c r="AL33" s="936"/>
      <c r="AM33" s="936"/>
      <c r="AN33" s="936"/>
      <c r="AO33" s="46"/>
    </row>
    <row r="34" spans="1:41" ht="12.75" customHeight="1">
      <c r="A34" s="46"/>
      <c r="B34" s="48"/>
      <c r="C34" s="49"/>
      <c r="D34" s="49"/>
      <c r="E34" s="49"/>
      <c r="F34" s="49"/>
      <c r="G34" s="267" t="s">
        <v>2309</v>
      </c>
      <c r="H34" s="267"/>
      <c r="I34" s="267"/>
      <c r="J34" s="267"/>
      <c r="K34" s="267"/>
      <c r="L34" s="273"/>
      <c r="M34" s="273"/>
      <c r="N34" s="273"/>
      <c r="O34" s="273"/>
      <c r="P34" s="273"/>
      <c r="Q34" s="273"/>
      <c r="R34" s="273"/>
      <c r="S34" s="273"/>
      <c r="T34" s="281"/>
      <c r="U34" s="273"/>
      <c r="V34" s="273"/>
      <c r="W34" s="2193">
        <f>'[13]FE-2'!W39:AF39</f>
        <v>651380.97219999996</v>
      </c>
      <c r="X34" s="2194"/>
      <c r="Y34" s="2194"/>
      <c r="Z34" s="2194"/>
      <c r="AA34" s="2194"/>
      <c r="AB34" s="2194"/>
      <c r="AC34" s="2194"/>
      <c r="AD34" s="2194"/>
      <c r="AE34" s="2194"/>
      <c r="AF34" s="2195"/>
      <c r="AG34" s="46"/>
      <c r="AH34" s="46"/>
      <c r="AI34" s="46"/>
      <c r="AJ34" s="46"/>
      <c r="AK34" s="46"/>
      <c r="AL34" s="936"/>
      <c r="AM34" s="936"/>
      <c r="AN34" s="936"/>
      <c r="AO34" s="46"/>
    </row>
    <row r="35" spans="1:41" ht="12.75" customHeight="1">
      <c r="A35" s="46"/>
      <c r="B35" s="48"/>
      <c r="C35" s="49"/>
      <c r="D35" s="49"/>
      <c r="E35" s="49"/>
      <c r="F35" s="49"/>
      <c r="G35" s="267" t="s">
        <v>2463</v>
      </c>
      <c r="H35" s="267"/>
      <c r="I35" s="267"/>
      <c r="J35" s="267"/>
      <c r="K35" s="267"/>
      <c r="L35" s="273"/>
      <c r="M35" s="273"/>
      <c r="N35" s="273"/>
      <c r="O35" s="273"/>
      <c r="P35" s="273"/>
      <c r="Q35" s="273"/>
      <c r="R35" s="273"/>
      <c r="S35" s="273"/>
      <c r="T35" s="281"/>
      <c r="U35" s="273"/>
      <c r="V35" s="273"/>
      <c r="W35" s="2193">
        <f>'[13]FE-2'!W40:AF40</f>
        <v>458476.78</v>
      </c>
      <c r="X35" s="2194"/>
      <c r="Y35" s="2194"/>
      <c r="Z35" s="2194"/>
      <c r="AA35" s="2194"/>
      <c r="AB35" s="2194"/>
      <c r="AC35" s="2194"/>
      <c r="AD35" s="2194"/>
      <c r="AE35" s="2194"/>
      <c r="AF35" s="2195"/>
      <c r="AG35" s="46"/>
      <c r="AH35" s="46"/>
      <c r="AI35" s="46"/>
      <c r="AJ35" s="46"/>
      <c r="AK35" s="46"/>
      <c r="AL35" s="936"/>
      <c r="AM35" s="936"/>
      <c r="AN35" s="936"/>
      <c r="AO35" s="46"/>
    </row>
    <row r="36" spans="1:41" ht="12.75" customHeight="1">
      <c r="A36" s="46"/>
      <c r="B36" s="48"/>
      <c r="C36" s="49"/>
      <c r="D36" s="49"/>
      <c r="E36" s="49"/>
      <c r="F36" s="49"/>
      <c r="G36" s="267" t="s">
        <v>2694</v>
      </c>
      <c r="H36" s="267"/>
      <c r="I36" s="267"/>
      <c r="J36" s="267"/>
      <c r="K36" s="267"/>
      <c r="L36" s="273"/>
      <c r="M36" s="273"/>
      <c r="N36" s="273"/>
      <c r="O36" s="273"/>
      <c r="P36" s="273"/>
      <c r="Q36" s="273"/>
      <c r="R36" s="273"/>
      <c r="S36" s="273"/>
      <c r="T36" s="281"/>
      <c r="U36" s="273"/>
      <c r="V36" s="273"/>
      <c r="W36" s="2193">
        <f>'[13]FE-2'!W41:AF41</f>
        <v>1627770.85</v>
      </c>
      <c r="X36" s="2194"/>
      <c r="Y36" s="2194"/>
      <c r="Z36" s="2194"/>
      <c r="AA36" s="2194"/>
      <c r="AB36" s="2194"/>
      <c r="AC36" s="2194"/>
      <c r="AD36" s="2194"/>
      <c r="AE36" s="2194"/>
      <c r="AF36" s="2195"/>
      <c r="AG36" s="46"/>
      <c r="AH36" s="46"/>
      <c r="AI36" s="46"/>
      <c r="AJ36" s="46"/>
      <c r="AK36" s="46"/>
      <c r="AL36" s="936"/>
      <c r="AM36" s="936"/>
      <c r="AN36" s="936"/>
      <c r="AO36" s="46"/>
    </row>
    <row r="37" spans="1:41" ht="12.75" customHeight="1">
      <c r="A37" s="46"/>
      <c r="B37" s="48"/>
      <c r="C37" s="49"/>
      <c r="D37" s="49"/>
      <c r="E37" s="49"/>
      <c r="F37" s="49"/>
      <c r="G37" s="267" t="s">
        <v>3796</v>
      </c>
      <c r="H37" s="267"/>
      <c r="I37" s="267"/>
      <c r="J37" s="267"/>
      <c r="K37" s="267"/>
      <c r="L37" s="273"/>
      <c r="M37" s="273"/>
      <c r="N37" s="273"/>
      <c r="O37" s="273"/>
      <c r="P37" s="273"/>
      <c r="Q37" s="273"/>
      <c r="R37" s="273"/>
      <c r="S37" s="273"/>
      <c r="T37" s="281"/>
      <c r="U37" s="273"/>
      <c r="V37" s="273"/>
      <c r="W37" s="2193">
        <v>3595132.92</v>
      </c>
      <c r="X37" s="2194"/>
      <c r="Y37" s="2194"/>
      <c r="Z37" s="2194"/>
      <c r="AA37" s="2194"/>
      <c r="AB37" s="2194"/>
      <c r="AC37" s="2194"/>
      <c r="AD37" s="2194"/>
      <c r="AE37" s="2194"/>
      <c r="AF37" s="2195"/>
      <c r="AG37" s="46"/>
      <c r="AH37" s="46"/>
      <c r="AI37" s="46"/>
      <c r="AJ37" s="46"/>
      <c r="AK37" s="46"/>
      <c r="AL37" s="936"/>
      <c r="AM37" s="936"/>
      <c r="AN37" s="936"/>
      <c r="AO37" s="46"/>
    </row>
    <row r="38" spans="1:41" ht="12.75" customHeight="1">
      <c r="A38" s="46"/>
      <c r="B38" s="48"/>
      <c r="C38" s="49"/>
      <c r="D38" s="49"/>
      <c r="E38" s="49"/>
      <c r="F38" s="49"/>
      <c r="G38" s="267" t="s">
        <v>2467</v>
      </c>
      <c r="H38" s="267"/>
      <c r="I38" s="267"/>
      <c r="J38" s="267"/>
      <c r="K38" s="267"/>
      <c r="L38" s="273"/>
      <c r="M38" s="273"/>
      <c r="N38" s="273"/>
      <c r="O38" s="273"/>
      <c r="P38" s="273"/>
      <c r="Q38" s="273"/>
      <c r="R38" s="273"/>
      <c r="S38" s="273"/>
      <c r="T38" s="281"/>
      <c r="U38" s="273"/>
      <c r="V38" s="273"/>
      <c r="W38" s="2203">
        <f>SUM(W33:AF37)</f>
        <v>21915999.452200003</v>
      </c>
      <c r="X38" s="2204"/>
      <c r="Y38" s="2204"/>
      <c r="Z38" s="2204"/>
      <c r="AA38" s="2204"/>
      <c r="AB38" s="2204"/>
      <c r="AC38" s="2204"/>
      <c r="AD38" s="2204"/>
      <c r="AE38" s="2204"/>
      <c r="AF38" s="2205"/>
      <c r="AG38" s="2843"/>
      <c r="AH38" s="2842"/>
      <c r="AI38" s="2842"/>
      <c r="AJ38" s="46"/>
      <c r="AK38" s="46"/>
      <c r="AL38" s="936"/>
      <c r="AM38" s="936"/>
      <c r="AN38" s="936"/>
      <c r="AO38" s="46"/>
    </row>
    <row r="39" spans="1:41" ht="12.75" customHeight="1">
      <c r="A39" s="46"/>
      <c r="B39" s="48"/>
      <c r="C39" s="49"/>
      <c r="D39" s="49"/>
      <c r="E39" s="49"/>
      <c r="F39" s="49"/>
      <c r="G39" s="267" t="s">
        <v>2790</v>
      </c>
      <c r="H39" s="267"/>
      <c r="I39" s="267"/>
      <c r="J39" s="267"/>
      <c r="K39" s="267"/>
      <c r="L39" s="273"/>
      <c r="M39" s="273"/>
      <c r="N39" s="273"/>
      <c r="O39" s="273"/>
      <c r="P39" s="273"/>
      <c r="Q39" s="273"/>
      <c r="R39" s="273"/>
      <c r="S39" s="273"/>
      <c r="T39" s="281"/>
      <c r="U39" s="273"/>
      <c r="V39" s="273"/>
      <c r="W39" s="2193">
        <v>210496</v>
      </c>
      <c r="X39" s="2194"/>
      <c r="Y39" s="2194"/>
      <c r="Z39" s="2194"/>
      <c r="AA39" s="2194"/>
      <c r="AB39" s="2194"/>
      <c r="AC39" s="2194"/>
      <c r="AD39" s="2194"/>
      <c r="AE39" s="2194"/>
      <c r="AF39" s="2195"/>
      <c r="AG39" s="46"/>
      <c r="AH39" s="46"/>
      <c r="AI39" s="46"/>
      <c r="AJ39" s="46"/>
      <c r="AK39" s="46"/>
      <c r="AL39" s="936"/>
      <c r="AM39" s="936"/>
      <c r="AN39" s="936"/>
      <c r="AO39" s="46"/>
    </row>
    <row r="40" spans="1:41" ht="12.75" customHeight="1">
      <c r="A40" s="46"/>
      <c r="B40" s="48"/>
      <c r="C40" s="49"/>
      <c r="D40" s="49"/>
      <c r="E40" s="49"/>
      <c r="F40" s="49"/>
      <c r="G40" s="267" t="s">
        <v>2791</v>
      </c>
      <c r="H40" s="267"/>
      <c r="I40" s="267"/>
      <c r="J40" s="267"/>
      <c r="K40" s="267"/>
      <c r="L40" s="273"/>
      <c r="M40" s="273"/>
      <c r="N40" s="273"/>
      <c r="O40" s="273"/>
      <c r="P40" s="273"/>
      <c r="Q40" s="273"/>
      <c r="R40" s="273"/>
      <c r="S40" s="273"/>
      <c r="T40" s="281"/>
      <c r="U40" s="273"/>
      <c r="V40" s="273"/>
      <c r="W40" s="2193">
        <v>9896026.3599999994</v>
      </c>
      <c r="X40" s="2194"/>
      <c r="Y40" s="2194"/>
      <c r="Z40" s="2194"/>
      <c r="AA40" s="2194"/>
      <c r="AB40" s="2194"/>
      <c r="AC40" s="2194"/>
      <c r="AD40" s="2194"/>
      <c r="AE40" s="2194"/>
      <c r="AF40" s="2195"/>
      <c r="AG40" s="46"/>
      <c r="AH40" s="46"/>
      <c r="AI40" s="46"/>
      <c r="AJ40" s="46"/>
      <c r="AK40" s="46"/>
      <c r="AL40" s="936"/>
      <c r="AM40" s="936"/>
      <c r="AN40" s="936"/>
      <c r="AO40" s="46"/>
    </row>
    <row r="41" spans="1:41" ht="12.75" customHeight="1">
      <c r="A41" s="46"/>
      <c r="B41" s="48"/>
      <c r="C41" s="49"/>
      <c r="D41" s="49"/>
      <c r="E41" s="49"/>
      <c r="F41" s="49"/>
      <c r="G41" s="267" t="s">
        <v>2792</v>
      </c>
      <c r="H41" s="267"/>
      <c r="I41" s="267"/>
      <c r="J41" s="267"/>
      <c r="K41" s="267"/>
      <c r="L41" s="273"/>
      <c r="M41" s="273"/>
      <c r="N41" s="273"/>
      <c r="O41" s="273"/>
      <c r="P41" s="273"/>
      <c r="Q41" s="273"/>
      <c r="R41" s="273"/>
      <c r="S41" s="273"/>
      <c r="T41" s="281" t="s">
        <v>17</v>
      </c>
      <c r="U41" s="273"/>
      <c r="V41" s="273"/>
      <c r="W41" s="2197">
        <v>6474481</v>
      </c>
      <c r="X41" s="2198">
        <v>733133.78</v>
      </c>
      <c r="Y41" s="2198">
        <v>733133.78</v>
      </c>
      <c r="Z41" s="2198">
        <v>733133.78</v>
      </c>
      <c r="AA41" s="2198"/>
      <c r="AB41" s="2198">
        <v>733133.78</v>
      </c>
      <c r="AC41" s="2198">
        <v>733133.78</v>
      </c>
      <c r="AD41" s="2198">
        <v>733133.78</v>
      </c>
      <c r="AE41" s="2198">
        <v>733133.78</v>
      </c>
      <c r="AF41" s="2199">
        <v>733133.78</v>
      </c>
      <c r="AG41" s="46"/>
      <c r="AH41" s="46"/>
      <c r="AI41" s="46"/>
      <c r="AJ41" s="46"/>
      <c r="AK41" s="46"/>
      <c r="AL41" s="936"/>
      <c r="AM41" s="936"/>
      <c r="AN41" s="936"/>
      <c r="AO41" s="46"/>
    </row>
    <row r="42" spans="1:41" ht="12.75" customHeight="1">
      <c r="A42" s="46"/>
      <c r="B42" s="48"/>
      <c r="C42" s="49"/>
      <c r="D42" s="49"/>
      <c r="E42" s="49"/>
      <c r="F42" s="49"/>
      <c r="G42" s="267" t="s">
        <v>77</v>
      </c>
      <c r="H42" s="267"/>
      <c r="I42" s="267"/>
      <c r="J42" s="267"/>
      <c r="K42" s="267"/>
      <c r="L42" s="273"/>
      <c r="M42" s="273"/>
      <c r="N42" s="273"/>
      <c r="O42" s="273"/>
      <c r="P42" s="273"/>
      <c r="Q42" s="273"/>
      <c r="R42" s="273"/>
      <c r="S42" s="273"/>
      <c r="T42" s="281"/>
      <c r="U42" s="273"/>
      <c r="V42" s="273"/>
      <c r="W42" s="268"/>
      <c r="X42" s="273"/>
      <c r="Y42" s="273"/>
      <c r="Z42" s="273"/>
      <c r="AA42" s="273"/>
      <c r="AB42" s="273"/>
      <c r="AC42" s="273"/>
      <c r="AD42" s="273"/>
      <c r="AE42" s="273"/>
      <c r="AF42" s="273"/>
      <c r="AG42" s="46"/>
      <c r="AH42" s="46"/>
      <c r="AI42" s="46"/>
      <c r="AJ42" s="46"/>
      <c r="AK42" s="46"/>
      <c r="AL42" s="936"/>
      <c r="AM42" s="936"/>
      <c r="AN42" s="936"/>
      <c r="AO42" s="46"/>
    </row>
    <row r="43" spans="1:41" ht="12.75" customHeight="1">
      <c r="A43" s="46"/>
      <c r="B43" s="48"/>
      <c r="C43" s="49"/>
      <c r="D43" s="49"/>
      <c r="E43" s="49"/>
      <c r="F43" s="49"/>
      <c r="G43" s="1556" t="s">
        <v>2717</v>
      </c>
      <c r="H43" s="267" t="s">
        <v>2716</v>
      </c>
      <c r="I43" s="267"/>
      <c r="J43" s="267"/>
      <c r="K43" s="267"/>
      <c r="L43" s="273"/>
      <c r="M43" s="273"/>
      <c r="N43" s="273"/>
      <c r="O43" s="273"/>
      <c r="P43" s="273"/>
      <c r="Q43" s="273"/>
      <c r="R43" s="273"/>
      <c r="S43" s="273"/>
      <c r="T43" s="281"/>
      <c r="U43" s="273"/>
      <c r="V43" s="273"/>
      <c r="W43" s="2193">
        <v>900000</v>
      </c>
      <c r="X43" s="2194"/>
      <c r="Y43" s="2194"/>
      <c r="Z43" s="2194"/>
      <c r="AA43" s="2194"/>
      <c r="AB43" s="2194"/>
      <c r="AC43" s="2194"/>
      <c r="AD43" s="2194"/>
      <c r="AE43" s="2194"/>
      <c r="AF43" s="2195"/>
      <c r="AG43" s="46"/>
      <c r="AH43" s="46"/>
      <c r="AI43" s="46"/>
      <c r="AJ43" s="46"/>
      <c r="AK43" s="46"/>
      <c r="AL43" s="936"/>
      <c r="AM43" s="936"/>
      <c r="AN43" s="936"/>
      <c r="AO43" s="46"/>
    </row>
    <row r="44" spans="1:41" ht="12.75" customHeight="1">
      <c r="A44" s="46"/>
      <c r="B44" s="48"/>
      <c r="C44" s="49"/>
      <c r="D44" s="49"/>
      <c r="E44" s="49"/>
      <c r="F44" s="49"/>
      <c r="G44" s="267" t="str">
        <f>'[13]FE-2'!G46</f>
        <v>04</v>
      </c>
      <c r="H44" s="267" t="str">
        <f>'[13]FE-2'!H46</f>
        <v>Contribución a Fondos</v>
      </c>
      <c r="I44" s="267"/>
      <c r="J44" s="267"/>
      <c r="K44" s="267"/>
      <c r="L44" s="273"/>
      <c r="M44" s="273"/>
      <c r="N44" s="273"/>
      <c r="O44" s="273"/>
      <c r="P44" s="273"/>
      <c r="Q44" s="273"/>
      <c r="R44" s="273"/>
      <c r="S44" s="273"/>
      <c r="T44" s="281" t="s">
        <v>17</v>
      </c>
      <c r="U44" s="273"/>
      <c r="V44" s="273"/>
      <c r="W44" s="2193">
        <f>'[13]FE-2'!W46:AF46</f>
        <v>0</v>
      </c>
      <c r="X44" s="2194"/>
      <c r="Y44" s="2194"/>
      <c r="Z44" s="2194"/>
      <c r="AA44" s="2194"/>
      <c r="AB44" s="2194"/>
      <c r="AC44" s="2194"/>
      <c r="AD44" s="2194"/>
      <c r="AE44" s="2194"/>
      <c r="AF44" s="2195"/>
      <c r="AG44" s="46"/>
      <c r="AH44" s="46"/>
      <c r="AI44" s="46"/>
      <c r="AJ44" s="46"/>
      <c r="AK44" s="46"/>
      <c r="AL44" s="936"/>
      <c r="AM44" s="936"/>
      <c r="AN44" s="936"/>
      <c r="AO44" s="46"/>
    </row>
    <row r="45" spans="1:41" ht="12.75" customHeight="1">
      <c r="A45" s="46"/>
      <c r="B45" s="48"/>
      <c r="C45" s="49"/>
      <c r="D45" s="49"/>
      <c r="E45" s="49"/>
      <c r="F45" s="49"/>
      <c r="G45" s="267" t="str">
        <f>'[13]FE-2'!G47</f>
        <v>07</v>
      </c>
      <c r="H45" s="267" t="str">
        <f>'[13]FE-2'!H47</f>
        <v>Fondos de Compensación Municipal</v>
      </c>
      <c r="I45" s="267"/>
      <c r="J45" s="267"/>
      <c r="K45" s="267"/>
      <c r="L45" s="273"/>
      <c r="M45" s="273"/>
      <c r="N45" s="273"/>
      <c r="O45" s="273"/>
      <c r="P45" s="273"/>
      <c r="Q45" s="273"/>
      <c r="R45" s="273"/>
      <c r="S45" s="273"/>
      <c r="T45" s="281" t="s">
        <v>17</v>
      </c>
      <c r="U45" s="273"/>
      <c r="V45" s="273"/>
      <c r="W45" s="2193">
        <f>'[13]FE-2'!W47:AF47</f>
        <v>0</v>
      </c>
      <c r="X45" s="2194"/>
      <c r="Y45" s="2194"/>
      <c r="Z45" s="2194"/>
      <c r="AA45" s="2194"/>
      <c r="AB45" s="2194"/>
      <c r="AC45" s="2194"/>
      <c r="AD45" s="2194"/>
      <c r="AE45" s="2194"/>
      <c r="AF45" s="2195"/>
      <c r="AG45" s="46"/>
      <c r="AH45" s="46"/>
      <c r="AI45" s="46"/>
      <c r="AJ45" s="46"/>
      <c r="AK45" s="46"/>
      <c r="AL45" s="936"/>
      <c r="AM45" s="936"/>
      <c r="AN45" s="936"/>
      <c r="AO45" s="46"/>
    </row>
    <row r="46" spans="1:41" ht="12.75" customHeight="1">
      <c r="A46" s="46"/>
      <c r="B46" s="48"/>
      <c r="C46" s="49"/>
      <c r="D46" s="49"/>
      <c r="E46" s="49"/>
      <c r="F46" s="49"/>
      <c r="G46" s="267" t="str">
        <f>'[13]FE-2'!G48</f>
        <v>08</v>
      </c>
      <c r="H46" s="267" t="str">
        <f>'[13]FE-2'!H48</f>
        <v>Impuestos Municipales</v>
      </c>
      <c r="I46" s="267"/>
      <c r="J46" s="267"/>
      <c r="K46" s="267"/>
      <c r="L46" s="273"/>
      <c r="M46" s="273"/>
      <c r="N46" s="273"/>
      <c r="O46" s="273"/>
      <c r="P46" s="273"/>
      <c r="Q46" s="273"/>
      <c r="R46" s="273"/>
      <c r="S46" s="273"/>
      <c r="T46" s="281" t="s">
        <v>17</v>
      </c>
      <c r="U46" s="273"/>
      <c r="V46" s="273"/>
      <c r="W46" s="2193">
        <f>'[13]FE-2'!W48:AF48</f>
        <v>1400000</v>
      </c>
      <c r="X46" s="2194"/>
      <c r="Y46" s="2194"/>
      <c r="Z46" s="2194"/>
      <c r="AA46" s="2194"/>
      <c r="AB46" s="2194"/>
      <c r="AC46" s="2194"/>
      <c r="AD46" s="2194"/>
      <c r="AE46" s="2194"/>
      <c r="AF46" s="2195"/>
      <c r="AG46" s="46"/>
      <c r="AH46" s="46"/>
      <c r="AI46" s="46"/>
      <c r="AJ46" s="46"/>
      <c r="AK46" s="46"/>
      <c r="AL46" s="936"/>
      <c r="AM46" s="936"/>
      <c r="AN46" s="936"/>
      <c r="AO46" s="46"/>
    </row>
    <row r="47" spans="1:41" ht="12.75" customHeight="1">
      <c r="A47" s="46"/>
      <c r="B47" s="48"/>
      <c r="C47" s="49"/>
      <c r="D47" s="49"/>
      <c r="E47" s="49"/>
      <c r="F47" s="49"/>
      <c r="G47" s="267" t="str">
        <f>[13]Datos!A52</f>
        <v>05</v>
      </c>
      <c r="H47" s="267" t="str">
        <f>'[13]FE-2'!H49</f>
        <v>Canon y Sobrecanon, Regalías, Renta de Aduanas y Participaciones</v>
      </c>
      <c r="I47" s="267"/>
      <c r="J47" s="267"/>
      <c r="K47" s="267"/>
      <c r="L47" s="273"/>
      <c r="M47" s="273"/>
      <c r="N47" s="273"/>
      <c r="O47" s="273"/>
      <c r="P47" s="273"/>
      <c r="Q47" s="273"/>
      <c r="R47" s="273"/>
      <c r="S47" s="273"/>
      <c r="T47" s="281" t="s">
        <v>17</v>
      </c>
      <c r="U47" s="273"/>
      <c r="V47" s="273"/>
      <c r="W47" s="2193">
        <v>14281002.859999999</v>
      </c>
      <c r="X47" s="2194"/>
      <c r="Y47" s="2194"/>
      <c r="Z47" s="2194"/>
      <c r="AA47" s="2194"/>
      <c r="AB47" s="2194"/>
      <c r="AC47" s="2194"/>
      <c r="AD47" s="2194"/>
      <c r="AE47" s="2194"/>
      <c r="AF47" s="2195"/>
      <c r="AG47" s="46"/>
      <c r="AH47" s="46"/>
      <c r="AI47" s="46"/>
      <c r="AJ47" s="46"/>
      <c r="AK47" s="46"/>
      <c r="AL47" s="936"/>
      <c r="AM47" s="936"/>
      <c r="AN47" s="936"/>
      <c r="AO47" s="46"/>
    </row>
    <row r="48" spans="1:41" ht="12.75" customHeight="1">
      <c r="A48" s="46"/>
      <c r="B48" s="48"/>
      <c r="C48" s="49"/>
      <c r="D48" s="49"/>
      <c r="E48" s="49"/>
      <c r="F48" s="49"/>
      <c r="G48" s="267"/>
      <c r="H48" s="267"/>
      <c r="I48" s="267"/>
      <c r="J48" s="267"/>
      <c r="K48" s="267" t="s">
        <v>10</v>
      </c>
      <c r="L48" s="273"/>
      <c r="M48" s="273"/>
      <c r="N48" s="273"/>
      <c r="O48" s="273"/>
      <c r="P48" s="273"/>
      <c r="Q48" s="273"/>
      <c r="R48" s="273"/>
      <c r="S48" s="273"/>
      <c r="T48" s="273"/>
      <c r="U48" s="273"/>
      <c r="V48" s="273"/>
      <c r="W48" s="2839">
        <f>W43+W46+W47</f>
        <v>16581002.859999999</v>
      </c>
      <c r="X48" s="2840"/>
      <c r="Y48" s="2840"/>
      <c r="Z48" s="2840"/>
      <c r="AA48" s="2840"/>
      <c r="AB48" s="2840"/>
      <c r="AC48" s="2840"/>
      <c r="AD48" s="2840"/>
      <c r="AE48" s="2840"/>
      <c r="AF48" s="2841"/>
      <c r="AG48" s="46"/>
      <c r="AH48" s="46"/>
      <c r="AI48" s="46"/>
      <c r="AJ48" s="46"/>
      <c r="AK48" s="46"/>
      <c r="AL48" s="936"/>
      <c r="AM48" s="936"/>
      <c r="AN48" s="936"/>
      <c r="AO48" s="46"/>
    </row>
    <row r="49" spans="1:48" ht="12.75" customHeight="1">
      <c r="A49" s="46"/>
      <c r="B49" s="48"/>
      <c r="C49" s="49"/>
      <c r="D49" s="49"/>
      <c r="E49" s="49"/>
      <c r="F49" s="49"/>
      <c r="G49" s="49"/>
      <c r="H49" s="49"/>
      <c r="I49" s="49"/>
      <c r="J49" s="49"/>
      <c r="K49" s="46"/>
      <c r="L49" s="46"/>
      <c r="M49" s="46"/>
      <c r="N49" s="46"/>
      <c r="O49" s="46"/>
      <c r="P49" s="46"/>
      <c r="Q49" s="46"/>
      <c r="R49" s="46"/>
      <c r="S49" s="19"/>
      <c r="T49" s="46"/>
      <c r="U49" s="46"/>
      <c r="V49" s="2842"/>
      <c r="W49" s="2842"/>
      <c r="X49" s="2842"/>
      <c r="Y49" s="2842"/>
      <c r="Z49" s="2842"/>
      <c r="AA49" s="2842"/>
      <c r="AB49" s="2842"/>
      <c r="AC49" s="2842"/>
      <c r="AD49" s="2842"/>
      <c r="AE49" s="46"/>
      <c r="AF49" s="46"/>
      <c r="AG49" s="46"/>
      <c r="AH49" s="46"/>
      <c r="AI49" s="46"/>
      <c r="AJ49" s="46"/>
      <c r="AK49" s="46"/>
      <c r="AL49" s="936"/>
      <c r="AM49" s="936"/>
      <c r="AN49" s="936"/>
      <c r="AO49" s="46"/>
    </row>
    <row r="50" spans="1:48" ht="12.75" customHeight="1">
      <c r="A50" s="46"/>
      <c r="B50" s="48"/>
      <c r="C50" s="49"/>
      <c r="D50" s="49"/>
      <c r="E50" s="49"/>
      <c r="F50" s="49"/>
      <c r="G50" s="49"/>
      <c r="H50" s="49"/>
      <c r="I50" s="49"/>
      <c r="J50" s="49"/>
      <c r="K50" s="46"/>
      <c r="L50" s="46"/>
      <c r="M50" s="936"/>
      <c r="N50" s="46"/>
      <c r="O50" s="46"/>
      <c r="P50" s="46"/>
      <c r="Q50" s="46"/>
      <c r="R50" s="46"/>
      <c r="S50" s="46"/>
      <c r="T50" s="46"/>
      <c r="U50" s="46"/>
      <c r="V50" s="949"/>
      <c r="W50" s="949"/>
      <c r="X50" s="949"/>
      <c r="Y50" s="949"/>
      <c r="Z50" s="949"/>
      <c r="AA50" s="949"/>
      <c r="AB50" s="949"/>
      <c r="AC50" s="949"/>
      <c r="AD50" s="949"/>
      <c r="AE50" s="46"/>
      <c r="AF50" s="46"/>
      <c r="AG50" s="46"/>
      <c r="AH50" s="46"/>
      <c r="AI50" s="46"/>
      <c r="AJ50" s="46"/>
      <c r="AK50" s="46"/>
      <c r="AL50" s="936"/>
      <c r="AM50" s="936"/>
      <c r="AN50" s="936"/>
      <c r="AO50" s="46"/>
    </row>
    <row r="51" spans="1:48" ht="12.75" customHeight="1">
      <c r="A51" s="46"/>
      <c r="B51" s="48" t="s">
        <v>203</v>
      </c>
      <c r="C51" s="46"/>
      <c r="D51" s="49"/>
      <c r="E51" s="49"/>
      <c r="F51" s="49"/>
      <c r="G51" s="49"/>
      <c r="H51" s="49"/>
      <c r="I51" s="49"/>
      <c r="J51" s="49"/>
      <c r="K51" s="49"/>
      <c r="L51" s="46"/>
      <c r="M51" s="942"/>
      <c r="N51" s="942"/>
      <c r="O51" s="942"/>
      <c r="P51" s="942"/>
      <c r="Q51" s="942"/>
      <c r="R51" s="942"/>
      <c r="S51" s="942"/>
      <c r="T51" s="942"/>
      <c r="U51" s="942"/>
      <c r="V51" s="942"/>
      <c r="W51" s="942"/>
      <c r="X51" s="942"/>
      <c r="Y51" s="942"/>
      <c r="Z51" s="942"/>
      <c r="AA51" s="942"/>
      <c r="AB51" s="942"/>
      <c r="AC51" s="942"/>
      <c r="AD51" s="942"/>
      <c r="AE51" s="942"/>
      <c r="AF51" s="942"/>
      <c r="AG51" s="942"/>
      <c r="AH51" s="942"/>
      <c r="AI51" s="942"/>
      <c r="AJ51" s="942"/>
      <c r="AK51" s="942"/>
      <c r="AL51" s="942"/>
      <c r="AM51" s="942"/>
      <c r="AN51" s="942"/>
      <c r="AO51" s="46"/>
    </row>
    <row r="52" spans="1:48" ht="12.75" customHeight="1">
      <c r="A52" s="46"/>
      <c r="B52" s="48"/>
      <c r="C52" s="48"/>
      <c r="D52" s="49"/>
      <c r="E52" s="49"/>
      <c r="F52" s="49"/>
      <c r="G52" s="49"/>
      <c r="H52" s="49"/>
      <c r="I52" s="49"/>
      <c r="J52" s="49"/>
      <c r="K52" s="49"/>
      <c r="L52" s="46"/>
      <c r="M52" s="942"/>
      <c r="N52" s="942"/>
      <c r="O52" s="942"/>
      <c r="P52" s="942"/>
      <c r="Q52" s="942"/>
      <c r="R52" s="942"/>
      <c r="S52" s="942"/>
      <c r="T52" s="942"/>
      <c r="U52" s="942"/>
      <c r="V52" s="942"/>
      <c r="W52" s="942"/>
      <c r="X52" s="942"/>
      <c r="Y52" s="942"/>
      <c r="Z52" s="942"/>
      <c r="AA52" s="942"/>
      <c r="AB52" s="942"/>
      <c r="AC52" s="942"/>
      <c r="AD52" s="942"/>
      <c r="AE52" s="942"/>
      <c r="AF52" s="942"/>
      <c r="AG52" s="942"/>
      <c r="AH52" s="942"/>
      <c r="AI52" s="942"/>
      <c r="AJ52" s="942"/>
      <c r="AK52" s="942"/>
      <c r="AL52" s="942"/>
      <c r="AM52" s="942"/>
      <c r="AN52" s="942"/>
      <c r="AO52" s="46"/>
    </row>
    <row r="53" spans="1:48" ht="12.75" customHeight="1">
      <c r="A53" s="46"/>
      <c r="B53" s="48"/>
      <c r="C53" s="2822" t="s">
        <v>2732</v>
      </c>
      <c r="D53" s="2823"/>
      <c r="E53" s="2823"/>
      <c r="F53" s="2823"/>
      <c r="G53" s="2823"/>
      <c r="H53" s="2823"/>
      <c r="I53" s="2823"/>
      <c r="J53" s="2823"/>
      <c r="K53" s="2823"/>
      <c r="L53" s="2823"/>
      <c r="M53" s="2823"/>
      <c r="N53" s="2823"/>
      <c r="O53" s="2823"/>
      <c r="P53" s="2823"/>
      <c r="Q53" s="2823"/>
      <c r="R53" s="2823"/>
      <c r="S53" s="2823"/>
      <c r="T53" s="2823"/>
      <c r="U53" s="2823"/>
      <c r="V53" s="2823"/>
      <c r="W53" s="2823"/>
      <c r="X53" s="2823"/>
      <c r="Y53" s="2823"/>
      <c r="Z53" s="2823"/>
      <c r="AA53" s="2823"/>
      <c r="AB53" s="2823"/>
      <c r="AC53" s="2823"/>
      <c r="AD53" s="2823"/>
      <c r="AE53" s="2823"/>
      <c r="AF53" s="2823"/>
      <c r="AG53" s="2823"/>
      <c r="AH53" s="2823"/>
      <c r="AI53" s="2823"/>
      <c r="AJ53" s="2823"/>
      <c r="AK53" s="2823"/>
      <c r="AL53" s="2823"/>
      <c r="AM53" s="2823"/>
      <c r="AN53" s="2823"/>
      <c r="AO53" s="2824"/>
    </row>
    <row r="54" spans="1:48" ht="18" customHeight="1">
      <c r="A54" s="46"/>
      <c r="B54" s="48"/>
      <c r="C54" s="2825"/>
      <c r="D54" s="2826"/>
      <c r="E54" s="2826"/>
      <c r="F54" s="2826"/>
      <c r="G54" s="2826"/>
      <c r="H54" s="2826"/>
      <c r="I54" s="2826"/>
      <c r="J54" s="2826"/>
      <c r="K54" s="2826"/>
      <c r="L54" s="2826"/>
      <c r="M54" s="2826"/>
      <c r="N54" s="2826"/>
      <c r="O54" s="2826"/>
      <c r="P54" s="2826"/>
      <c r="Q54" s="2826"/>
      <c r="R54" s="2826"/>
      <c r="S54" s="2826"/>
      <c r="T54" s="2826"/>
      <c r="U54" s="2826"/>
      <c r="V54" s="2826"/>
      <c r="W54" s="2826"/>
      <c r="X54" s="2826"/>
      <c r="Y54" s="2826"/>
      <c r="Z54" s="2826"/>
      <c r="AA54" s="2826"/>
      <c r="AB54" s="2826"/>
      <c r="AC54" s="2826"/>
      <c r="AD54" s="2826"/>
      <c r="AE54" s="2826"/>
      <c r="AF54" s="2826"/>
      <c r="AG54" s="2826"/>
      <c r="AH54" s="2826"/>
      <c r="AI54" s="2826"/>
      <c r="AJ54" s="2826"/>
      <c r="AK54" s="2826"/>
      <c r="AL54" s="2826"/>
      <c r="AM54" s="2826"/>
      <c r="AN54" s="2826"/>
      <c r="AO54" s="2827"/>
    </row>
    <row r="55" spans="1:48" ht="30.75" customHeight="1">
      <c r="A55" s="46"/>
      <c r="B55" s="48"/>
      <c r="C55" s="2828"/>
      <c r="D55" s="2829"/>
      <c r="E55" s="2829"/>
      <c r="F55" s="2829"/>
      <c r="G55" s="2829"/>
      <c r="H55" s="2829"/>
      <c r="I55" s="2829"/>
      <c r="J55" s="2829"/>
      <c r="K55" s="2829"/>
      <c r="L55" s="2829"/>
      <c r="M55" s="2829"/>
      <c r="N55" s="2829"/>
      <c r="O55" s="2829"/>
      <c r="P55" s="2829"/>
      <c r="Q55" s="2829"/>
      <c r="R55" s="2829"/>
      <c r="S55" s="2829"/>
      <c r="T55" s="2829"/>
      <c r="U55" s="2829"/>
      <c r="V55" s="2829"/>
      <c r="W55" s="2829"/>
      <c r="X55" s="2829"/>
      <c r="Y55" s="2829"/>
      <c r="Z55" s="2829"/>
      <c r="AA55" s="2829"/>
      <c r="AB55" s="2829"/>
      <c r="AC55" s="2829"/>
      <c r="AD55" s="2829"/>
      <c r="AE55" s="2829"/>
      <c r="AF55" s="2829"/>
      <c r="AG55" s="2829"/>
      <c r="AH55" s="2829"/>
      <c r="AI55" s="2829"/>
      <c r="AJ55" s="2829"/>
      <c r="AK55" s="2829"/>
      <c r="AL55" s="2829"/>
      <c r="AM55" s="2829"/>
      <c r="AN55" s="2829"/>
      <c r="AO55" s="2830"/>
    </row>
    <row r="56" spans="1:48" ht="12.75" customHeight="1">
      <c r="A56" s="46"/>
      <c r="B56" s="48"/>
      <c r="C56" s="48"/>
      <c r="D56" s="46"/>
      <c r="E56" s="46"/>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c r="AM56" s="46"/>
      <c r="AN56" s="46"/>
      <c r="AO56" s="46"/>
    </row>
    <row r="57" spans="1:48" ht="12.75" customHeight="1">
      <c r="A57" s="46"/>
      <c r="B57" s="48"/>
      <c r="C57" s="49"/>
      <c r="D57" s="49"/>
      <c r="E57" s="49"/>
      <c r="F57" s="49"/>
      <c r="G57" s="49"/>
      <c r="H57" s="49"/>
      <c r="I57" s="49"/>
      <c r="J57" s="49"/>
      <c r="K57" s="46"/>
      <c r="L57" s="46"/>
      <c r="M57" s="936"/>
      <c r="N57" s="46"/>
      <c r="O57" s="46"/>
      <c r="P57" s="46"/>
      <c r="Q57" s="46"/>
      <c r="R57" s="46"/>
      <c r="S57" s="46"/>
      <c r="T57" s="46"/>
      <c r="U57" s="46"/>
      <c r="V57" s="949"/>
      <c r="W57" s="949"/>
      <c r="X57" s="949"/>
      <c r="Y57" s="949"/>
      <c r="Z57" s="949"/>
      <c r="AA57" s="949"/>
      <c r="AB57" s="949"/>
      <c r="AC57" s="949"/>
      <c r="AD57" s="949"/>
      <c r="AE57" s="46"/>
      <c r="AF57" s="46"/>
      <c r="AG57" s="46"/>
      <c r="AH57" s="46"/>
      <c r="AI57" s="46"/>
      <c r="AJ57" s="46"/>
      <c r="AK57" s="46"/>
      <c r="AL57" s="936"/>
      <c r="AM57" s="936"/>
      <c r="AN57" s="936"/>
      <c r="AO57" s="46"/>
    </row>
    <row r="58" spans="1:48" ht="15">
      <c r="A58" s="48" t="s">
        <v>204</v>
      </c>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936"/>
      <c r="AM58" s="936"/>
      <c r="AN58" s="936"/>
      <c r="AO58" s="46"/>
    </row>
    <row r="59" spans="1:48" ht="12.75" customHeight="1">
      <c r="A59" s="48"/>
      <c r="B59" s="48" t="s">
        <v>80</v>
      </c>
      <c r="C59" s="48"/>
      <c r="D59" s="49"/>
      <c r="E59" s="49"/>
      <c r="F59" s="49"/>
      <c r="G59" s="49"/>
      <c r="H59" s="49"/>
      <c r="I59" s="49"/>
      <c r="J59" s="49"/>
      <c r="K59" s="49"/>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c r="AM59" s="46"/>
      <c r="AN59" s="46"/>
      <c r="AO59" s="46"/>
    </row>
    <row r="60" spans="1:48" ht="12.75" customHeight="1">
      <c r="A60" s="48"/>
      <c r="B60" s="46"/>
      <c r="C60" s="48"/>
      <c r="D60" s="49"/>
      <c r="E60" s="46"/>
      <c r="F60" s="48"/>
      <c r="G60" s="49"/>
      <c r="H60" s="49"/>
      <c r="I60" s="49"/>
      <c r="J60" s="49"/>
      <c r="K60" s="49"/>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950"/>
      <c r="AM60" s="46"/>
      <c r="AN60" s="46"/>
      <c r="AO60" s="46"/>
    </row>
    <row r="61" spans="1:48" ht="31.5" customHeight="1">
      <c r="A61" s="48"/>
      <c r="B61" s="46"/>
      <c r="C61" s="2831" t="s">
        <v>81</v>
      </c>
      <c r="D61" s="2832"/>
      <c r="E61" s="2832"/>
      <c r="F61" s="2832"/>
      <c r="G61" s="2832"/>
      <c r="H61" s="2832"/>
      <c r="I61" s="2832"/>
      <c r="J61" s="2833"/>
      <c r="K61" s="2831" t="s">
        <v>1127</v>
      </c>
      <c r="L61" s="2832"/>
      <c r="M61" s="2832"/>
      <c r="N61" s="2832"/>
      <c r="O61" s="2832"/>
      <c r="P61" s="2832"/>
      <c r="Q61" s="2832"/>
      <c r="R61" s="2832"/>
      <c r="S61" s="1553"/>
      <c r="T61" s="2831" t="s">
        <v>2469</v>
      </c>
      <c r="U61" s="2832"/>
      <c r="V61" s="2832"/>
      <c r="W61" s="2832"/>
      <c r="X61" s="2832"/>
      <c r="Y61" s="2832"/>
      <c r="Z61" s="2832"/>
      <c r="AA61" s="2832"/>
      <c r="AB61" s="2832"/>
      <c r="AC61" s="2832"/>
      <c r="AD61" s="2833"/>
      <c r="AE61" s="2831" t="s">
        <v>82</v>
      </c>
      <c r="AF61" s="2832"/>
      <c r="AG61" s="2832"/>
      <c r="AH61" s="2832"/>
      <c r="AI61" s="2832"/>
      <c r="AJ61" s="2833"/>
      <c r="AK61" s="2200" t="s">
        <v>2701</v>
      </c>
      <c r="AL61" s="2200"/>
      <c r="AM61" s="2200"/>
      <c r="AN61" s="46"/>
      <c r="AO61" s="46"/>
    </row>
    <row r="62" spans="1:48" ht="22.5" customHeight="1">
      <c r="A62" s="48"/>
      <c r="B62" s="46"/>
      <c r="C62" s="2834">
        <v>44585</v>
      </c>
      <c r="D62" s="2835"/>
      <c r="E62" s="2835"/>
      <c r="F62" s="2835"/>
      <c r="G62" s="2835"/>
      <c r="H62" s="2835"/>
      <c r="I62" s="2835"/>
      <c r="J62" s="2836"/>
      <c r="K62" s="2834">
        <v>44585</v>
      </c>
      <c r="L62" s="2835"/>
      <c r="M62" s="2835"/>
      <c r="N62" s="2835"/>
      <c r="O62" s="2835"/>
      <c r="P62" s="2835"/>
      <c r="Q62" s="2835"/>
      <c r="R62" s="2835"/>
      <c r="S62" s="1554"/>
      <c r="T62" s="2834">
        <v>44970</v>
      </c>
      <c r="U62" s="2835"/>
      <c r="V62" s="2835"/>
      <c r="W62" s="2835"/>
      <c r="X62" s="2835"/>
      <c r="Y62" s="2835"/>
      <c r="Z62" s="2835"/>
      <c r="AA62" s="2835"/>
      <c r="AB62" s="2835"/>
      <c r="AC62" s="2835"/>
      <c r="AD62" s="2836"/>
      <c r="AE62" s="2834">
        <v>45009</v>
      </c>
      <c r="AF62" s="2835"/>
      <c r="AG62" s="2835"/>
      <c r="AH62" s="2835"/>
      <c r="AI62" s="2835"/>
      <c r="AJ62" s="2836"/>
      <c r="AK62" s="2218">
        <v>45199</v>
      </c>
      <c r="AL62" s="2218"/>
      <c r="AM62" s="2218"/>
      <c r="AN62" s="2837"/>
      <c r="AO62" s="2838"/>
      <c r="AP62" s="2838"/>
      <c r="AQ62" s="2838"/>
      <c r="AR62" s="2838"/>
      <c r="AS62" s="2838"/>
      <c r="AT62" s="2838"/>
      <c r="AU62" s="2838"/>
      <c r="AV62" s="2838"/>
    </row>
    <row r="63" spans="1:48" ht="22.5" customHeight="1">
      <c r="A63" s="48"/>
      <c r="B63" s="46"/>
      <c r="C63" s="1900"/>
      <c r="D63" s="1900"/>
      <c r="E63" s="1900"/>
      <c r="F63" s="1900"/>
      <c r="G63" s="1900"/>
      <c r="H63" s="1900"/>
      <c r="I63" s="1900"/>
      <c r="J63" s="1900"/>
      <c r="K63" s="1900"/>
      <c r="L63" s="1900"/>
      <c r="M63" s="1900"/>
      <c r="N63" s="1900"/>
      <c r="O63" s="1900"/>
      <c r="P63" s="1900"/>
      <c r="Q63" s="1900"/>
      <c r="R63" s="1900"/>
      <c r="S63" s="1900"/>
      <c r="T63" s="1900"/>
      <c r="U63" s="1900"/>
      <c r="V63" s="1900"/>
      <c r="W63" s="1900"/>
      <c r="X63" s="1900"/>
      <c r="Y63" s="1900"/>
      <c r="Z63" s="1900"/>
      <c r="AA63" s="1900"/>
      <c r="AB63" s="1900"/>
      <c r="AC63" s="1900"/>
      <c r="AD63" s="1900"/>
      <c r="AE63" s="1900"/>
      <c r="AF63" s="1900"/>
      <c r="AG63" s="1900"/>
      <c r="AH63" s="1900"/>
      <c r="AI63" s="1900"/>
      <c r="AJ63" s="1900"/>
      <c r="AK63" s="1900"/>
      <c r="AL63" s="1900"/>
      <c r="AM63" s="1900"/>
      <c r="AN63" s="1200"/>
      <c r="AO63" s="1200"/>
      <c r="AP63" s="1200"/>
      <c r="AQ63" s="1200"/>
      <c r="AR63" s="1200"/>
      <c r="AS63" s="1200"/>
      <c r="AT63" s="1200"/>
      <c r="AU63" s="1200"/>
      <c r="AV63" s="1200"/>
    </row>
    <row r="64" spans="1:48" ht="22.5" customHeight="1">
      <c r="A64" s="48"/>
      <c r="B64" s="46"/>
      <c r="C64" s="2866" t="s">
        <v>4265</v>
      </c>
      <c r="D64" s="2866"/>
      <c r="E64" s="2866"/>
      <c r="F64" s="2866"/>
      <c r="G64" s="2866"/>
      <c r="H64" s="2866"/>
      <c r="I64" s="2866"/>
      <c r="J64" s="2866"/>
      <c r="K64" s="2866"/>
      <c r="L64" s="2866"/>
      <c r="M64" s="2866"/>
      <c r="N64" s="2866"/>
      <c r="O64" s="2866"/>
      <c r="P64" s="2866"/>
      <c r="Q64" s="2866"/>
      <c r="R64" s="2866"/>
      <c r="S64" s="2866"/>
      <c r="T64" s="2866"/>
      <c r="U64" s="2866"/>
      <c r="V64" s="2866"/>
      <c r="W64" s="2866"/>
      <c r="X64" s="2866"/>
      <c r="Y64" s="2866"/>
      <c r="Z64" s="2866"/>
      <c r="AA64" s="2866"/>
      <c r="AB64" s="2866"/>
      <c r="AC64" s="2866"/>
      <c r="AD64" s="2866"/>
      <c r="AE64" s="2866"/>
      <c r="AF64" s="2866"/>
      <c r="AG64" s="2866"/>
      <c r="AH64" s="2866"/>
      <c r="AI64" s="2866"/>
      <c r="AJ64" s="1900"/>
      <c r="AK64" s="1900"/>
      <c r="AL64" s="1900"/>
      <c r="AM64" s="1900"/>
      <c r="AN64" s="1200"/>
      <c r="AO64" s="1200"/>
      <c r="AP64" s="1200"/>
      <c r="AQ64" s="1200"/>
      <c r="AR64" s="1200"/>
      <c r="AS64" s="1200"/>
      <c r="AT64" s="1200"/>
      <c r="AU64" s="1200"/>
      <c r="AV64" s="1200"/>
    </row>
    <row r="65" spans="1:41" ht="12.75" customHeight="1" thickBot="1">
      <c r="A65" s="48"/>
      <c r="B65" s="46"/>
      <c r="C65" s="46"/>
      <c r="D65" s="49"/>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row>
    <row r="66" spans="1:41" s="1893" customFormat="1" ht="58.9" customHeight="1" thickBot="1">
      <c r="A66" s="1888"/>
      <c r="B66" s="1889"/>
      <c r="C66" s="1890"/>
      <c r="D66" s="1891"/>
      <c r="E66" s="2869" t="s">
        <v>4258</v>
      </c>
      <c r="F66" s="2870"/>
      <c r="G66" s="2870"/>
      <c r="H66" s="2870"/>
      <c r="I66" s="2870"/>
      <c r="J66" s="2870"/>
      <c r="K66" s="2870"/>
      <c r="L66" s="2871"/>
      <c r="M66" s="2872" t="s">
        <v>4259</v>
      </c>
      <c r="N66" s="2870"/>
      <c r="O66" s="2870"/>
      <c r="P66" s="2870"/>
      <c r="Q66" s="2870"/>
      <c r="R66" s="2870"/>
      <c r="S66" s="2870"/>
      <c r="T66" s="2871"/>
      <c r="U66" s="2872" t="s">
        <v>4260</v>
      </c>
      <c r="V66" s="2870"/>
      <c r="W66" s="2870"/>
      <c r="X66" s="2870"/>
      <c r="Y66" s="2870"/>
      <c r="Z66" s="2870"/>
      <c r="AA66" s="2870"/>
      <c r="AB66" s="2870"/>
      <c r="AC66" s="2873" t="s">
        <v>4261</v>
      </c>
      <c r="AD66" s="2874"/>
      <c r="AE66" s="2874"/>
      <c r="AF66" s="2874"/>
      <c r="AG66" s="2874"/>
      <c r="AH66" s="2875"/>
      <c r="AI66" s="2873" t="s">
        <v>4262</v>
      </c>
      <c r="AJ66" s="2874"/>
      <c r="AK66" s="2874"/>
      <c r="AL66" s="2874"/>
      <c r="AM66" s="2875"/>
      <c r="AN66" s="1892"/>
      <c r="AO66" s="1892"/>
    </row>
    <row r="67" spans="1:41" s="1893" customFormat="1" ht="18.75" thickBot="1">
      <c r="A67" s="1888"/>
      <c r="B67" s="1889"/>
      <c r="C67" s="1890"/>
      <c r="D67" s="1891"/>
      <c r="E67" s="2876">
        <v>45010</v>
      </c>
      <c r="F67" s="2877"/>
      <c r="G67" s="2877"/>
      <c r="H67" s="2877"/>
      <c r="I67" s="2877"/>
      <c r="J67" s="2877"/>
      <c r="K67" s="2877"/>
      <c r="L67" s="2878"/>
      <c r="M67" s="2879">
        <v>190</v>
      </c>
      <c r="N67" s="2880"/>
      <c r="O67" s="2880"/>
      <c r="P67" s="2880"/>
      <c r="Q67" s="2880"/>
      <c r="R67" s="2880"/>
      <c r="S67" s="2880"/>
      <c r="T67" s="2881"/>
      <c r="U67" s="2882">
        <v>45199</v>
      </c>
      <c r="V67" s="2883"/>
      <c r="W67" s="2883"/>
      <c r="X67" s="2883"/>
      <c r="Y67" s="2883"/>
      <c r="Z67" s="2883"/>
      <c r="AA67" s="2883"/>
      <c r="AB67" s="2883"/>
      <c r="AC67" s="2884">
        <v>425</v>
      </c>
      <c r="AD67" s="2885"/>
      <c r="AE67" s="2885"/>
      <c r="AF67" s="2885"/>
      <c r="AG67" s="2885"/>
      <c r="AH67" s="2885"/>
      <c r="AI67" s="2867">
        <f>M67+AC67</f>
        <v>615</v>
      </c>
      <c r="AJ67" s="2867"/>
      <c r="AK67" s="2867"/>
      <c r="AL67" s="2867"/>
      <c r="AM67" s="2868"/>
      <c r="AN67" s="1892"/>
      <c r="AO67" s="1892"/>
    </row>
    <row r="68" spans="1:41" s="1893" customFormat="1" ht="18">
      <c r="A68" s="1888"/>
      <c r="B68" s="1889"/>
      <c r="C68" s="1890"/>
      <c r="D68" s="1891"/>
      <c r="E68" s="1894"/>
      <c r="F68" s="1894"/>
      <c r="G68" s="1894"/>
      <c r="H68" s="1894"/>
      <c r="I68" s="1894"/>
      <c r="J68" s="1894"/>
      <c r="K68" s="1894"/>
      <c r="L68" s="1894"/>
      <c r="M68" s="1895"/>
      <c r="N68" s="1895"/>
      <c r="O68" s="1895"/>
      <c r="P68" s="1895"/>
      <c r="Q68" s="1895"/>
      <c r="R68" s="1895"/>
      <c r="S68" s="1895"/>
      <c r="T68" s="1895"/>
      <c r="U68" s="1896"/>
      <c r="V68" s="1896"/>
      <c r="W68" s="1896"/>
      <c r="X68" s="1896"/>
      <c r="Y68" s="1896"/>
      <c r="Z68" s="1896"/>
      <c r="AA68" s="1896"/>
      <c r="AB68" s="1896"/>
      <c r="AC68" s="1897"/>
      <c r="AD68" s="1897"/>
      <c r="AE68" s="1897"/>
      <c r="AF68" s="1897"/>
      <c r="AG68" s="1897"/>
      <c r="AH68" s="1897"/>
      <c r="AI68" s="1898"/>
      <c r="AJ68" s="1898"/>
      <c r="AK68" s="1898"/>
      <c r="AL68" s="1898"/>
      <c r="AM68" s="1898"/>
      <c r="AN68" s="1892"/>
      <c r="AO68" s="1892"/>
    </row>
    <row r="69" spans="1:41" s="1893" customFormat="1" ht="18.75" thickBot="1">
      <c r="A69" s="1888"/>
      <c r="B69" s="2866" t="s">
        <v>4263</v>
      </c>
      <c r="C69" s="2866"/>
      <c r="D69" s="2866"/>
      <c r="E69" s="2866"/>
      <c r="F69" s="2866"/>
      <c r="G69" s="2866"/>
      <c r="H69" s="2866"/>
      <c r="I69" s="2866"/>
      <c r="J69" s="2866"/>
      <c r="K69" s="2866"/>
      <c r="L69" s="2866"/>
      <c r="M69" s="2866"/>
      <c r="N69" s="2866"/>
      <c r="O69" s="2866"/>
      <c r="P69" s="2866"/>
      <c r="Q69" s="2866"/>
      <c r="R69" s="2866"/>
      <c r="S69" s="2866"/>
      <c r="T69" s="2866"/>
      <c r="U69" s="2866"/>
      <c r="V69" s="2866"/>
      <c r="W69" s="2866"/>
      <c r="X69" s="2866"/>
      <c r="Y69" s="2866"/>
      <c r="Z69" s="2866"/>
      <c r="AA69" s="2866"/>
      <c r="AB69" s="2866"/>
      <c r="AC69" s="2866"/>
      <c r="AD69" s="2866"/>
      <c r="AE69" s="2866"/>
      <c r="AF69" s="2866"/>
      <c r="AG69" s="2866"/>
      <c r="AH69" s="2866"/>
      <c r="AI69" s="1899"/>
      <c r="AJ69" s="1899"/>
      <c r="AK69" s="1899"/>
      <c r="AL69" s="1899"/>
      <c r="AM69" s="1899"/>
      <c r="AN69" s="1892"/>
      <c r="AO69" s="1892"/>
    </row>
    <row r="70" spans="1:41" s="1893" customFormat="1" ht="48" customHeight="1" thickBot="1">
      <c r="A70" s="1888"/>
      <c r="B70" s="1889"/>
      <c r="C70" s="1890"/>
      <c r="D70" s="1891"/>
      <c r="E70" s="2869" t="s">
        <v>4258</v>
      </c>
      <c r="F70" s="2870"/>
      <c r="G70" s="2870"/>
      <c r="H70" s="2870"/>
      <c r="I70" s="2870"/>
      <c r="J70" s="2870"/>
      <c r="K70" s="2870"/>
      <c r="L70" s="2871"/>
      <c r="M70" s="2872" t="s">
        <v>4259</v>
      </c>
      <c r="N70" s="2870"/>
      <c r="O70" s="2870"/>
      <c r="P70" s="2870"/>
      <c r="Q70" s="2870"/>
      <c r="R70" s="2870"/>
      <c r="S70" s="2870"/>
      <c r="T70" s="2871"/>
      <c r="U70" s="2872" t="s">
        <v>4260</v>
      </c>
      <c r="V70" s="2870"/>
      <c r="W70" s="2870"/>
      <c r="X70" s="2870"/>
      <c r="Y70" s="2870"/>
      <c r="Z70" s="2870"/>
      <c r="AA70" s="2870"/>
      <c r="AB70" s="2870"/>
      <c r="AC70" s="2873" t="s">
        <v>4264</v>
      </c>
      <c r="AD70" s="2874"/>
      <c r="AE70" s="2874"/>
      <c r="AF70" s="2874"/>
      <c r="AG70" s="2874"/>
      <c r="AH70" s="2875"/>
      <c r="AI70" s="2873" t="s">
        <v>4262</v>
      </c>
      <c r="AJ70" s="2874"/>
      <c r="AK70" s="2874"/>
      <c r="AL70" s="2874"/>
      <c r="AM70" s="2875"/>
      <c r="AN70" s="1892"/>
      <c r="AO70" s="1892"/>
    </row>
    <row r="71" spans="1:41" s="1893" customFormat="1" ht="51" customHeight="1" thickBot="1">
      <c r="A71" s="1888"/>
      <c r="B71" s="1889"/>
      <c r="C71" s="1890"/>
      <c r="D71" s="1891"/>
      <c r="E71" s="2876">
        <v>45200</v>
      </c>
      <c r="F71" s="2877"/>
      <c r="G71" s="2877"/>
      <c r="H71" s="2877"/>
      <c r="I71" s="2877"/>
      <c r="J71" s="2877"/>
      <c r="K71" s="2877"/>
      <c r="L71" s="2878"/>
      <c r="M71" s="2879">
        <v>92</v>
      </c>
      <c r="N71" s="2880"/>
      <c r="O71" s="2880"/>
      <c r="P71" s="2880"/>
      <c r="Q71" s="2880"/>
      <c r="R71" s="2880"/>
      <c r="S71" s="2880"/>
      <c r="T71" s="2881"/>
      <c r="U71" s="2882">
        <v>45291</v>
      </c>
      <c r="V71" s="2883"/>
      <c r="W71" s="2883"/>
      <c r="X71" s="2883"/>
      <c r="Y71" s="2883"/>
      <c r="Z71" s="2883"/>
      <c r="AA71" s="2883"/>
      <c r="AB71" s="2883"/>
      <c r="AC71" s="2884">
        <v>615</v>
      </c>
      <c r="AD71" s="2885"/>
      <c r="AE71" s="2885"/>
      <c r="AF71" s="2885"/>
      <c r="AG71" s="2885"/>
      <c r="AH71" s="2885"/>
      <c r="AI71" s="2867">
        <f>M71+AC71</f>
        <v>707</v>
      </c>
      <c r="AJ71" s="2867"/>
      <c r="AK71" s="2867"/>
      <c r="AL71" s="2867"/>
      <c r="AM71" s="2868"/>
      <c r="AN71" s="1892"/>
      <c r="AO71" s="1892"/>
    </row>
    <row r="72" spans="1:41" ht="12.75" customHeight="1">
      <c r="A72" s="48"/>
      <c r="B72" s="46"/>
      <c r="C72" s="46"/>
      <c r="D72" s="49"/>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c r="AK72" s="46"/>
      <c r="AL72" s="46"/>
      <c r="AM72" s="46"/>
      <c r="AN72" s="46"/>
      <c r="AO72" s="46"/>
    </row>
    <row r="73" spans="1:41" ht="12.75" customHeight="1">
      <c r="A73" s="48"/>
      <c r="B73" s="46"/>
      <c r="C73" s="46"/>
      <c r="D73" s="49"/>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c r="AM73" s="46"/>
      <c r="AN73" s="46"/>
      <c r="AO73" s="46"/>
    </row>
    <row r="74" spans="1:41" ht="12.75" customHeight="1">
      <c r="A74" s="48"/>
      <c r="B74" s="46"/>
      <c r="C74" s="46"/>
      <c r="D74" s="49"/>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c r="AM74" s="46"/>
      <c r="AN74" s="46"/>
      <c r="AO74" s="46"/>
    </row>
    <row r="75" spans="1:41" ht="12.75" customHeight="1">
      <c r="A75" s="48"/>
      <c r="B75" s="46"/>
      <c r="C75" s="46"/>
      <c r="D75" s="49"/>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row>
    <row r="76" spans="1:41" ht="15" customHeight="1">
      <c r="A76" s="46"/>
      <c r="B76" s="48"/>
      <c r="C76" s="46"/>
      <c r="D76" s="936"/>
      <c r="E76" s="936"/>
      <c r="F76" s="936"/>
      <c r="G76" s="936"/>
      <c r="H76" s="936"/>
      <c r="I76" s="936"/>
      <c r="J76" s="936"/>
      <c r="K76" s="936"/>
      <c r="L76" s="936"/>
      <c r="M76" s="936"/>
      <c r="N76" s="936"/>
      <c r="O76" s="936"/>
      <c r="P76" s="936"/>
      <c r="Q76" s="936"/>
      <c r="R76" s="936"/>
      <c r="S76" s="936"/>
      <c r="T76" s="936"/>
      <c r="U76" s="936"/>
      <c r="V76" s="936"/>
      <c r="W76" s="936"/>
      <c r="X76" s="936"/>
      <c r="Y76" s="936"/>
      <c r="Z76" s="936"/>
      <c r="AA76" s="936"/>
      <c r="AB76" s="936"/>
      <c r="AC76" s="936"/>
      <c r="AD76" s="936"/>
      <c r="AE76" s="936"/>
      <c r="AF76" s="936"/>
      <c r="AG76" s="936"/>
      <c r="AH76" s="936"/>
      <c r="AI76" s="936"/>
      <c r="AJ76" s="46"/>
      <c r="AK76" s="46"/>
      <c r="AL76" s="936"/>
      <c r="AM76" s="936"/>
      <c r="AN76" s="936"/>
      <c r="AO76" s="46"/>
    </row>
    <row r="77" spans="1:41" ht="15" customHeight="1">
      <c r="A77" s="46"/>
      <c r="B77" s="48"/>
      <c r="C77" s="46"/>
      <c r="D77" s="936"/>
      <c r="E77" s="936"/>
      <c r="F77" s="936"/>
      <c r="G77" s="936"/>
      <c r="H77" s="936"/>
      <c r="I77" s="936"/>
      <c r="J77" s="936"/>
      <c r="K77" s="936"/>
      <c r="L77" s="936"/>
      <c r="M77" s="936"/>
      <c r="N77" s="936"/>
      <c r="O77" s="936"/>
      <c r="P77" s="936"/>
      <c r="Q77" s="936"/>
      <c r="R77" s="936"/>
      <c r="S77" s="936"/>
      <c r="T77" s="936"/>
      <c r="U77" s="936"/>
      <c r="V77" s="936"/>
      <c r="W77" s="936"/>
      <c r="X77" s="936"/>
      <c r="Y77" s="936"/>
      <c r="Z77" s="936"/>
      <c r="AA77" s="936"/>
      <c r="AB77" s="936"/>
      <c r="AC77" s="936"/>
      <c r="AD77" s="936"/>
      <c r="AE77" s="936"/>
      <c r="AF77" s="936"/>
      <c r="AG77" s="936"/>
      <c r="AH77" s="936"/>
      <c r="AI77" s="936"/>
      <c r="AJ77" s="46"/>
      <c r="AK77" s="46"/>
      <c r="AL77" s="936"/>
      <c r="AM77" s="936"/>
      <c r="AN77" s="936"/>
      <c r="AO77" s="46"/>
    </row>
    <row r="78" spans="1:41" ht="15" customHeight="1">
      <c r="A78" s="46"/>
      <c r="B78" s="48"/>
      <c r="C78" s="46"/>
      <c r="D78" s="936"/>
      <c r="E78" s="936"/>
      <c r="F78" s="936"/>
      <c r="G78" s="936"/>
      <c r="H78" s="936"/>
      <c r="I78" s="936"/>
      <c r="J78" s="936"/>
      <c r="K78" s="936"/>
      <c r="L78" s="936"/>
      <c r="M78" s="936"/>
      <c r="N78" s="936"/>
      <c r="O78" s="936"/>
      <c r="P78" s="936"/>
      <c r="Q78" s="936"/>
      <c r="R78" s="936"/>
      <c r="S78" s="936"/>
      <c r="T78" s="936"/>
      <c r="U78" s="936"/>
      <c r="V78" s="936"/>
      <c r="W78" s="936"/>
      <c r="X78" s="936"/>
      <c r="Y78" s="936"/>
      <c r="Z78" s="936"/>
      <c r="AA78" s="936"/>
      <c r="AB78" s="936"/>
      <c r="AC78" s="936"/>
      <c r="AD78" s="936"/>
      <c r="AE78" s="936"/>
      <c r="AF78" s="936"/>
      <c r="AG78" s="936"/>
      <c r="AH78" s="936"/>
      <c r="AI78" s="936"/>
      <c r="AJ78" s="46"/>
      <c r="AK78" s="46"/>
      <c r="AL78" s="936"/>
      <c r="AM78" s="936"/>
      <c r="AN78" s="936"/>
      <c r="AO78" s="46"/>
    </row>
    <row r="79" spans="1:41" ht="15" customHeight="1">
      <c r="A79" s="46"/>
      <c r="B79" s="48"/>
      <c r="C79" s="46"/>
      <c r="D79" s="936"/>
      <c r="E79" s="936"/>
      <c r="F79" s="936"/>
      <c r="G79" s="936"/>
      <c r="H79" s="936"/>
      <c r="I79" s="936"/>
      <c r="J79" s="936"/>
      <c r="K79" s="936"/>
      <c r="L79" s="936"/>
      <c r="M79" s="936"/>
      <c r="N79" s="936"/>
      <c r="O79" s="936"/>
      <c r="P79" s="936"/>
      <c r="Q79" s="936"/>
      <c r="R79" s="936"/>
      <c r="S79" s="936"/>
      <c r="T79" s="936"/>
      <c r="U79" s="936"/>
      <c r="V79" s="936"/>
      <c r="W79" s="936"/>
      <c r="X79" s="936"/>
      <c r="Y79" s="936"/>
      <c r="Z79" s="936"/>
      <c r="AA79" s="936"/>
      <c r="AB79" s="936"/>
      <c r="AC79" s="936"/>
      <c r="AD79" s="936"/>
      <c r="AE79" s="936"/>
      <c r="AF79" s="936"/>
      <c r="AG79" s="936"/>
      <c r="AH79" s="936"/>
      <c r="AI79" s="936"/>
      <c r="AJ79" s="46"/>
      <c r="AK79" s="46"/>
      <c r="AL79" s="936"/>
      <c r="AM79" s="936"/>
      <c r="AN79" s="936"/>
      <c r="AO79" s="46"/>
    </row>
    <row r="80" spans="1:41" ht="15" customHeight="1">
      <c r="A80" s="46"/>
      <c r="B80" s="48"/>
      <c r="C80" s="46"/>
      <c r="D80" s="936"/>
      <c r="E80" s="936"/>
      <c r="F80" s="936"/>
      <c r="G80" s="936"/>
      <c r="H80" s="936"/>
      <c r="I80" s="936"/>
      <c r="J80" s="936"/>
      <c r="K80" s="936"/>
      <c r="L80" s="936"/>
      <c r="M80" s="936"/>
      <c r="N80" s="936"/>
      <c r="O80" s="936"/>
      <c r="P80" s="936"/>
      <c r="Q80" s="936"/>
      <c r="R80" s="936"/>
      <c r="S80" s="936"/>
      <c r="T80" s="936"/>
      <c r="U80" s="936"/>
      <c r="V80" s="936"/>
      <c r="W80" s="936"/>
      <c r="X80" s="936"/>
      <c r="Y80" s="936"/>
      <c r="Z80" s="936"/>
      <c r="AA80" s="936"/>
      <c r="AB80" s="936"/>
      <c r="AC80" s="936"/>
      <c r="AD80" s="936"/>
      <c r="AE80" s="936"/>
      <c r="AF80" s="936"/>
      <c r="AG80" s="936"/>
      <c r="AH80" s="936"/>
      <c r="AI80" s="936"/>
      <c r="AJ80" s="46"/>
      <c r="AK80" s="46"/>
      <c r="AL80" s="936"/>
      <c r="AM80" s="936"/>
      <c r="AN80" s="936"/>
      <c r="AO80" s="46"/>
    </row>
    <row r="81" spans="1:41" ht="15" customHeight="1">
      <c r="A81" s="46"/>
      <c r="B81" s="48"/>
      <c r="C81" s="46"/>
      <c r="D81" s="936"/>
      <c r="E81" s="936"/>
      <c r="F81" s="936"/>
      <c r="G81" s="936"/>
      <c r="H81" s="936"/>
      <c r="I81" s="936"/>
      <c r="J81" s="936"/>
      <c r="K81" s="936"/>
      <c r="L81" s="936"/>
      <c r="M81" s="936"/>
      <c r="N81" s="936"/>
      <c r="O81" s="936"/>
      <c r="P81" s="936"/>
      <c r="Q81" s="936"/>
      <c r="R81" s="936"/>
      <c r="S81" s="936"/>
      <c r="T81" s="936"/>
      <c r="U81" s="936"/>
      <c r="V81" s="936"/>
      <c r="W81" s="936"/>
      <c r="X81" s="936"/>
      <c r="Y81" s="936"/>
      <c r="Z81" s="936"/>
      <c r="AA81" s="936"/>
      <c r="AB81" s="936"/>
      <c r="AC81" s="936"/>
      <c r="AD81" s="936"/>
      <c r="AE81" s="936"/>
      <c r="AF81" s="936"/>
      <c r="AG81" s="936"/>
      <c r="AH81" s="936"/>
      <c r="AI81" s="936"/>
      <c r="AJ81" s="46"/>
      <c r="AK81" s="46"/>
      <c r="AL81" s="936"/>
      <c r="AM81" s="936"/>
      <c r="AN81" s="936"/>
      <c r="AO81" s="46"/>
    </row>
    <row r="82" spans="1:41" ht="15" customHeight="1">
      <c r="A82" s="46"/>
      <c r="B82" s="48"/>
      <c r="C82" s="46"/>
      <c r="D82" s="936"/>
      <c r="E82" s="936"/>
      <c r="F82" s="936"/>
      <c r="G82" s="936"/>
      <c r="H82" s="936"/>
      <c r="I82" s="936"/>
      <c r="J82" s="936"/>
      <c r="K82" s="936"/>
      <c r="L82" s="936"/>
      <c r="M82" s="936"/>
      <c r="N82" s="936"/>
      <c r="O82" s="936"/>
      <c r="P82" s="936"/>
      <c r="Q82" s="936"/>
      <c r="R82" s="936"/>
      <c r="S82" s="936"/>
      <c r="T82" s="936"/>
      <c r="U82" s="936"/>
      <c r="V82" s="936"/>
      <c r="W82" s="936"/>
      <c r="X82" s="936"/>
      <c r="Y82" s="936"/>
      <c r="Z82" s="936"/>
      <c r="AA82" s="936"/>
      <c r="AB82" s="936"/>
      <c r="AC82" s="936"/>
      <c r="AD82" s="936"/>
      <c r="AE82" s="936"/>
      <c r="AF82" s="936"/>
      <c r="AG82" s="936"/>
      <c r="AH82" s="936"/>
      <c r="AI82" s="936"/>
      <c r="AJ82" s="46"/>
      <c r="AK82" s="46"/>
      <c r="AL82" s="936"/>
      <c r="AM82" s="936"/>
      <c r="AN82" s="936"/>
      <c r="AO82" s="46"/>
    </row>
    <row r="83" spans="1:41" ht="15" customHeight="1">
      <c r="A83" s="46"/>
      <c r="B83" s="48"/>
      <c r="C83" s="46"/>
      <c r="D83" s="936"/>
      <c r="E83" s="936"/>
      <c r="F83" s="936"/>
      <c r="G83" s="936"/>
      <c r="H83" s="936"/>
      <c r="I83" s="936"/>
      <c r="J83" s="936"/>
      <c r="K83" s="936"/>
      <c r="L83" s="936"/>
      <c r="M83" s="936"/>
      <c r="N83" s="936"/>
      <c r="O83" s="936"/>
      <c r="P83" s="936"/>
      <c r="Q83" s="936"/>
      <c r="R83" s="936"/>
      <c r="S83" s="936"/>
      <c r="T83" s="936"/>
      <c r="U83" s="936"/>
      <c r="V83" s="936"/>
      <c r="W83" s="936"/>
      <c r="X83" s="936"/>
      <c r="Y83" s="936"/>
      <c r="Z83" s="936"/>
      <c r="AA83" s="936"/>
      <c r="AB83" s="936"/>
      <c r="AC83" s="936"/>
      <c r="AD83" s="936"/>
      <c r="AE83" s="936"/>
      <c r="AF83" s="936"/>
      <c r="AG83" s="936"/>
      <c r="AH83" s="936"/>
      <c r="AI83" s="936"/>
      <c r="AJ83" s="46"/>
      <c r="AK83" s="46"/>
      <c r="AL83" s="936"/>
      <c r="AM83" s="936"/>
      <c r="AN83" s="936"/>
      <c r="AO83" s="46"/>
    </row>
    <row r="84" spans="1:41" ht="15" customHeight="1">
      <c r="A84" s="46"/>
      <c r="B84" s="48"/>
      <c r="C84" s="46"/>
      <c r="D84" s="936"/>
      <c r="E84" s="936"/>
      <c r="F84" s="936"/>
      <c r="G84" s="936"/>
      <c r="H84" s="936"/>
      <c r="I84" s="936"/>
      <c r="J84" s="936"/>
      <c r="K84" s="936"/>
      <c r="L84" s="936"/>
      <c r="M84" s="936"/>
      <c r="N84" s="936"/>
      <c r="O84" s="936"/>
      <c r="P84" s="936"/>
      <c r="Q84" s="936"/>
      <c r="R84" s="936"/>
      <c r="S84" s="936"/>
      <c r="T84" s="936"/>
      <c r="U84" s="936"/>
      <c r="V84" s="936"/>
      <c r="W84" s="936"/>
      <c r="X84" s="936"/>
      <c r="Y84" s="936"/>
      <c r="Z84" s="936"/>
      <c r="AA84" s="936"/>
      <c r="AB84" s="936"/>
      <c r="AC84" s="936"/>
      <c r="AD84" s="936"/>
      <c r="AE84" s="936"/>
      <c r="AF84" s="936"/>
      <c r="AG84" s="936"/>
      <c r="AH84" s="936"/>
      <c r="AI84" s="936"/>
      <c r="AJ84" s="46"/>
      <c r="AK84" s="46"/>
      <c r="AL84" s="936"/>
      <c r="AM84" s="936"/>
      <c r="AN84" s="936"/>
      <c r="AO84" s="46"/>
    </row>
    <row r="85" spans="1:41" ht="15" customHeight="1">
      <c r="A85" s="46"/>
      <c r="B85" s="48"/>
      <c r="C85" s="46"/>
      <c r="D85" s="936"/>
      <c r="E85" s="936"/>
      <c r="F85" s="936"/>
      <c r="G85" s="936"/>
      <c r="H85" s="936"/>
      <c r="I85" s="936"/>
      <c r="J85" s="936"/>
      <c r="K85" s="936"/>
      <c r="L85" s="936"/>
      <c r="M85" s="936"/>
      <c r="N85" s="936"/>
      <c r="O85" s="936"/>
      <c r="P85" s="936"/>
      <c r="Q85" s="936"/>
      <c r="R85" s="936"/>
      <c r="S85" s="936"/>
      <c r="T85" s="936"/>
      <c r="U85" s="936"/>
      <c r="V85" s="936"/>
      <c r="W85" s="936"/>
      <c r="X85" s="936"/>
      <c r="Y85" s="936"/>
      <c r="Z85" s="936"/>
      <c r="AA85" s="936"/>
      <c r="AB85" s="936"/>
      <c r="AC85" s="936"/>
      <c r="AD85" s="936"/>
      <c r="AE85" s="936"/>
      <c r="AF85" s="936"/>
      <c r="AG85" s="936"/>
      <c r="AH85" s="936"/>
      <c r="AI85" s="936"/>
      <c r="AJ85" s="46"/>
      <c r="AK85" s="46"/>
      <c r="AL85" s="936"/>
      <c r="AM85" s="936"/>
      <c r="AN85" s="936"/>
      <c r="AO85" s="46"/>
    </row>
    <row r="86" spans="1:41" ht="15" customHeight="1">
      <c r="A86" s="46"/>
      <c r="B86" s="48"/>
      <c r="C86" s="46"/>
      <c r="D86" s="936"/>
      <c r="E86" s="936"/>
      <c r="F86" s="936"/>
      <c r="G86" s="936"/>
      <c r="H86" s="936"/>
      <c r="I86" s="936"/>
      <c r="J86" s="936"/>
      <c r="K86" s="936"/>
      <c r="L86" s="936"/>
      <c r="M86" s="936"/>
      <c r="N86" s="936"/>
      <c r="O86" s="936"/>
      <c r="P86" s="936"/>
      <c r="Q86" s="936"/>
      <c r="R86" s="936"/>
      <c r="S86" s="936"/>
      <c r="T86" s="936"/>
      <c r="U86" s="936"/>
      <c r="V86" s="936"/>
      <c r="W86" s="936"/>
      <c r="X86" s="936"/>
      <c r="Y86" s="936"/>
      <c r="Z86" s="936"/>
      <c r="AA86" s="936"/>
      <c r="AB86" s="936"/>
      <c r="AC86" s="936"/>
      <c r="AD86" s="936"/>
      <c r="AE86" s="936"/>
      <c r="AF86" s="936"/>
      <c r="AG86" s="936"/>
      <c r="AH86" s="936"/>
      <c r="AI86" s="936"/>
      <c r="AJ86" s="46"/>
      <c r="AK86" s="46"/>
      <c r="AL86" s="936"/>
      <c r="AM86" s="936"/>
      <c r="AN86" s="936"/>
      <c r="AO86" s="46"/>
    </row>
    <row r="87" spans="1:41" ht="15" customHeight="1">
      <c r="A87" s="46"/>
      <c r="B87" s="48"/>
      <c r="C87" s="46"/>
      <c r="D87" s="936"/>
      <c r="E87" s="936"/>
      <c r="F87" s="936"/>
      <c r="G87" s="936"/>
      <c r="H87" s="936"/>
      <c r="I87" s="936"/>
      <c r="J87" s="936"/>
      <c r="K87" s="936"/>
      <c r="L87" s="936"/>
      <c r="M87" s="936"/>
      <c r="N87" s="936"/>
      <c r="O87" s="936"/>
      <c r="P87" s="936"/>
      <c r="Q87" s="936"/>
      <c r="R87" s="936"/>
      <c r="S87" s="936"/>
      <c r="T87" s="936"/>
      <c r="U87" s="936"/>
      <c r="V87" s="936"/>
      <c r="W87" s="936"/>
      <c r="X87" s="936"/>
      <c r="Y87" s="936"/>
      <c r="Z87" s="936"/>
      <c r="AA87" s="936"/>
      <c r="AB87" s="936"/>
      <c r="AC87" s="936"/>
      <c r="AD87" s="936"/>
      <c r="AE87" s="936"/>
      <c r="AF87" s="936"/>
      <c r="AG87" s="936"/>
      <c r="AH87" s="936"/>
      <c r="AI87" s="936"/>
      <c r="AJ87" s="46"/>
      <c r="AK87" s="46"/>
      <c r="AL87" s="936"/>
      <c r="AM87" s="936"/>
      <c r="AN87" s="936"/>
      <c r="AO87" s="46"/>
    </row>
    <row r="88" spans="1:41" ht="15" customHeight="1">
      <c r="A88" s="46"/>
      <c r="B88" s="48"/>
      <c r="C88" s="46"/>
      <c r="D88" s="936"/>
      <c r="E88" s="936"/>
      <c r="F88" s="936"/>
      <c r="G88" s="936"/>
      <c r="H88" s="936"/>
      <c r="I88" s="936"/>
      <c r="J88" s="936"/>
      <c r="K88" s="936"/>
      <c r="L88" s="936"/>
      <c r="M88" s="936"/>
      <c r="N88" s="936"/>
      <c r="O88" s="936"/>
      <c r="P88" s="936"/>
      <c r="Q88" s="936"/>
      <c r="R88" s="936"/>
      <c r="S88" s="936"/>
      <c r="T88" s="936"/>
      <c r="U88" s="936"/>
      <c r="V88" s="936"/>
      <c r="W88" s="936"/>
      <c r="X88" s="936"/>
      <c r="Y88" s="936"/>
      <c r="Z88" s="936"/>
      <c r="AA88" s="936"/>
      <c r="AB88" s="936"/>
      <c r="AC88" s="936"/>
      <c r="AD88" s="936"/>
      <c r="AE88" s="936"/>
      <c r="AF88" s="936"/>
      <c r="AG88" s="936"/>
      <c r="AH88" s="936"/>
      <c r="AI88" s="936"/>
      <c r="AJ88" s="46"/>
      <c r="AK88" s="46"/>
      <c r="AL88" s="936"/>
      <c r="AM88" s="936"/>
      <c r="AN88" s="936"/>
      <c r="AO88" s="46"/>
    </row>
    <row r="89" spans="1:41" ht="15" customHeight="1">
      <c r="A89" s="46"/>
      <c r="B89" s="48"/>
      <c r="C89" s="46"/>
      <c r="D89" s="936"/>
      <c r="E89" s="936"/>
      <c r="F89" s="936"/>
      <c r="G89" s="936"/>
      <c r="H89" s="936"/>
      <c r="I89" s="936"/>
      <c r="J89" s="936"/>
      <c r="K89" s="936"/>
      <c r="L89" s="936"/>
      <c r="M89" s="936"/>
      <c r="N89" s="936"/>
      <c r="O89" s="936"/>
      <c r="P89" s="936"/>
      <c r="Q89" s="936"/>
      <c r="R89" s="936"/>
      <c r="S89" s="936"/>
      <c r="T89" s="936"/>
      <c r="U89" s="936"/>
      <c r="V89" s="936"/>
      <c r="W89" s="936"/>
      <c r="X89" s="936"/>
      <c r="Y89" s="936"/>
      <c r="Z89" s="936"/>
      <c r="AA89" s="936"/>
      <c r="AB89" s="936"/>
      <c r="AC89" s="936"/>
      <c r="AD89" s="936"/>
      <c r="AE89" s="936"/>
      <c r="AF89" s="936"/>
      <c r="AG89" s="936"/>
      <c r="AH89" s="936"/>
      <c r="AI89" s="936"/>
      <c r="AJ89" s="46"/>
      <c r="AK89" s="46"/>
      <c r="AL89" s="936"/>
      <c r="AM89" s="936"/>
      <c r="AN89" s="936"/>
      <c r="AO89" s="46"/>
    </row>
    <row r="90" spans="1:41" ht="15" customHeight="1">
      <c r="A90" s="46"/>
      <c r="B90" s="48"/>
      <c r="C90" s="46"/>
      <c r="D90" s="936"/>
      <c r="E90" s="936"/>
      <c r="F90" s="936"/>
      <c r="G90" s="936"/>
      <c r="H90" s="936"/>
      <c r="I90" s="936"/>
      <c r="J90" s="936"/>
      <c r="K90" s="936"/>
      <c r="L90" s="936"/>
      <c r="M90" s="936"/>
      <c r="N90" s="936"/>
      <c r="O90" s="936"/>
      <c r="P90" s="936"/>
      <c r="Q90" s="936"/>
      <c r="R90" s="936"/>
      <c r="S90" s="936"/>
      <c r="T90" s="936"/>
      <c r="U90" s="936"/>
      <c r="V90" s="936"/>
      <c r="W90" s="936"/>
      <c r="X90" s="936"/>
      <c r="Y90" s="936"/>
      <c r="Z90" s="936"/>
      <c r="AA90" s="936"/>
      <c r="AB90" s="936"/>
      <c r="AC90" s="936"/>
      <c r="AD90" s="936"/>
      <c r="AE90" s="936"/>
      <c r="AF90" s="936"/>
      <c r="AG90" s="936"/>
      <c r="AH90" s="936"/>
      <c r="AI90" s="936"/>
      <c r="AJ90" s="46"/>
      <c r="AK90" s="46"/>
      <c r="AL90" s="936"/>
      <c r="AM90" s="936"/>
      <c r="AN90" s="936"/>
      <c r="AO90" s="46"/>
    </row>
    <row r="91" spans="1:41" ht="15" customHeight="1">
      <c r="A91" s="46"/>
      <c r="B91" s="48"/>
      <c r="C91" s="46"/>
      <c r="D91" s="936"/>
      <c r="E91" s="936"/>
      <c r="F91" s="936"/>
      <c r="G91" s="936"/>
      <c r="H91" s="936"/>
      <c r="I91" s="936"/>
      <c r="J91" s="936"/>
      <c r="K91" s="936"/>
      <c r="L91" s="936"/>
      <c r="M91" s="936"/>
      <c r="N91" s="936"/>
      <c r="O91" s="936"/>
      <c r="P91" s="936"/>
      <c r="Q91" s="936"/>
      <c r="R91" s="936"/>
      <c r="S91" s="936"/>
      <c r="T91" s="936"/>
      <c r="U91" s="936"/>
      <c r="V91" s="936"/>
      <c r="W91" s="936"/>
      <c r="X91" s="936"/>
      <c r="Y91" s="936"/>
      <c r="Z91" s="936"/>
      <c r="AA91" s="936"/>
      <c r="AB91" s="936"/>
      <c r="AC91" s="936"/>
      <c r="AD91" s="936"/>
      <c r="AE91" s="936"/>
      <c r="AF91" s="936"/>
      <c r="AG91" s="936"/>
      <c r="AH91" s="936"/>
      <c r="AI91" s="936"/>
      <c r="AJ91" s="46"/>
      <c r="AK91" s="46"/>
      <c r="AL91" s="936"/>
      <c r="AM91" s="936"/>
      <c r="AN91" s="936"/>
      <c r="AO91" s="46"/>
    </row>
    <row r="92" spans="1:41" ht="15" customHeight="1">
      <c r="A92" s="46"/>
      <c r="B92" s="48"/>
      <c r="C92" s="46"/>
      <c r="D92" s="936"/>
      <c r="E92" s="936"/>
      <c r="F92" s="936"/>
      <c r="G92" s="936"/>
      <c r="H92" s="936"/>
      <c r="I92" s="936"/>
      <c r="J92" s="936"/>
      <c r="K92" s="936"/>
      <c r="L92" s="936"/>
      <c r="M92" s="936"/>
      <c r="N92" s="936"/>
      <c r="O92" s="936"/>
      <c r="P92" s="936"/>
      <c r="Q92" s="936"/>
      <c r="R92" s="936"/>
      <c r="S92" s="936"/>
      <c r="T92" s="936"/>
      <c r="U92" s="936"/>
      <c r="V92" s="936"/>
      <c r="W92" s="936"/>
      <c r="X92" s="936"/>
      <c r="Y92" s="936"/>
      <c r="Z92" s="936"/>
      <c r="AA92" s="936"/>
      <c r="AB92" s="936"/>
      <c r="AC92" s="936"/>
      <c r="AD92" s="936"/>
      <c r="AE92" s="936"/>
      <c r="AF92" s="936"/>
      <c r="AG92" s="936"/>
      <c r="AH92" s="936"/>
      <c r="AI92" s="936"/>
      <c r="AJ92" s="46"/>
      <c r="AK92" s="46"/>
      <c r="AL92" s="936"/>
      <c r="AM92" s="936"/>
      <c r="AN92" s="936"/>
      <c r="AO92" s="46"/>
    </row>
    <row r="93" spans="1:41" ht="15" customHeight="1">
      <c r="A93" s="46"/>
      <c r="B93" s="48"/>
      <c r="C93" s="46"/>
      <c r="D93" s="936"/>
      <c r="E93" s="936"/>
      <c r="F93" s="936"/>
      <c r="G93" s="936"/>
      <c r="H93" s="936"/>
      <c r="I93" s="936"/>
      <c r="J93" s="936"/>
      <c r="K93" s="936"/>
      <c r="L93" s="936"/>
      <c r="M93" s="936"/>
      <c r="N93" s="936"/>
      <c r="O93" s="936"/>
      <c r="P93" s="936"/>
      <c r="Q93" s="936"/>
      <c r="R93" s="936"/>
      <c r="S93" s="936"/>
      <c r="T93" s="936"/>
      <c r="U93" s="936"/>
      <c r="V93" s="936"/>
      <c r="W93" s="936"/>
      <c r="X93" s="936"/>
      <c r="Y93" s="936"/>
      <c r="Z93" s="936"/>
      <c r="AA93" s="936"/>
      <c r="AB93" s="936"/>
      <c r="AC93" s="936"/>
      <c r="AD93" s="936"/>
      <c r="AE93" s="936"/>
      <c r="AF93" s="936"/>
      <c r="AG93" s="936"/>
      <c r="AH93" s="936"/>
      <c r="AI93" s="936"/>
      <c r="AJ93" s="46"/>
      <c r="AK93" s="46"/>
      <c r="AL93" s="936"/>
      <c r="AM93" s="936"/>
      <c r="AN93" s="936"/>
      <c r="AO93" s="46"/>
    </row>
    <row r="94" spans="1:41" ht="15" customHeight="1">
      <c r="A94" s="46"/>
      <c r="B94" s="48"/>
      <c r="C94" s="46"/>
      <c r="D94" s="936"/>
      <c r="E94" s="936"/>
      <c r="F94" s="936"/>
      <c r="G94" s="936"/>
      <c r="H94" s="936"/>
      <c r="I94" s="936"/>
      <c r="J94" s="936"/>
      <c r="K94" s="936"/>
      <c r="L94" s="936"/>
      <c r="M94" s="936"/>
      <c r="N94" s="936"/>
      <c r="O94" s="936"/>
      <c r="P94" s="936"/>
      <c r="Q94" s="936"/>
      <c r="R94" s="936"/>
      <c r="S94" s="936"/>
      <c r="T94" s="936"/>
      <c r="U94" s="936"/>
      <c r="V94" s="936"/>
      <c r="W94" s="936"/>
      <c r="X94" s="936"/>
      <c r="Y94" s="936"/>
      <c r="Z94" s="936"/>
      <c r="AA94" s="936"/>
      <c r="AB94" s="936"/>
      <c r="AC94" s="936"/>
      <c r="AD94" s="936"/>
      <c r="AE94" s="936"/>
      <c r="AF94" s="936"/>
      <c r="AG94" s="936"/>
      <c r="AH94" s="936"/>
      <c r="AI94" s="936"/>
      <c r="AJ94" s="46"/>
      <c r="AK94" s="46"/>
      <c r="AL94" s="936"/>
      <c r="AM94" s="936"/>
      <c r="AN94" s="936"/>
      <c r="AO94" s="46"/>
    </row>
    <row r="95" spans="1:41" ht="15" customHeight="1">
      <c r="A95" s="46"/>
      <c r="B95" s="48"/>
      <c r="C95" s="46"/>
      <c r="D95" s="936"/>
      <c r="E95" s="936"/>
      <c r="F95" s="936"/>
      <c r="G95" s="936"/>
      <c r="H95" s="936"/>
      <c r="I95" s="936"/>
      <c r="J95" s="936"/>
      <c r="K95" s="936"/>
      <c r="L95" s="936"/>
      <c r="M95" s="936"/>
      <c r="N95" s="936"/>
      <c r="O95" s="936"/>
      <c r="P95" s="936"/>
      <c r="Q95" s="936"/>
      <c r="R95" s="936"/>
      <c r="S95" s="936"/>
      <c r="T95" s="936"/>
      <c r="U95" s="936"/>
      <c r="V95" s="936"/>
      <c r="W95" s="936"/>
      <c r="X95" s="936"/>
      <c r="Y95" s="936"/>
      <c r="Z95" s="936"/>
      <c r="AA95" s="936"/>
      <c r="AB95" s="936"/>
      <c r="AC95" s="936"/>
      <c r="AD95" s="936"/>
      <c r="AE95" s="936"/>
      <c r="AF95" s="936"/>
      <c r="AG95" s="936"/>
      <c r="AH95" s="936"/>
      <c r="AI95" s="936"/>
      <c r="AJ95" s="46"/>
      <c r="AK95" s="46"/>
      <c r="AL95" s="936"/>
      <c r="AM95" s="936"/>
      <c r="AN95" s="936"/>
      <c r="AO95" s="46"/>
    </row>
    <row r="96" spans="1:41" ht="15" customHeight="1">
      <c r="A96" s="46"/>
      <c r="B96" s="48"/>
      <c r="C96" s="46"/>
      <c r="D96" s="936"/>
      <c r="E96" s="936"/>
      <c r="F96" s="936"/>
      <c r="G96" s="936"/>
      <c r="H96" s="936"/>
      <c r="I96" s="936"/>
      <c r="J96" s="936"/>
      <c r="K96" s="936"/>
      <c r="L96" s="936"/>
      <c r="M96" s="936"/>
      <c r="N96" s="936"/>
      <c r="O96" s="936"/>
      <c r="P96" s="936"/>
      <c r="Q96" s="936"/>
      <c r="R96" s="936"/>
      <c r="S96" s="936"/>
      <c r="T96" s="936"/>
      <c r="U96" s="936"/>
      <c r="V96" s="936"/>
      <c r="W96" s="936"/>
      <c r="X96" s="936"/>
      <c r="Y96" s="936"/>
      <c r="Z96" s="936"/>
      <c r="AA96" s="936"/>
      <c r="AB96" s="936"/>
      <c r="AC96" s="936"/>
      <c r="AD96" s="936"/>
      <c r="AE96" s="936"/>
      <c r="AF96" s="936"/>
      <c r="AG96" s="936"/>
      <c r="AH96" s="936"/>
      <c r="AI96" s="936"/>
      <c r="AJ96" s="46"/>
      <c r="AK96" s="46"/>
      <c r="AL96" s="936"/>
      <c r="AM96" s="936"/>
      <c r="AN96" s="936"/>
      <c r="AO96" s="46"/>
    </row>
    <row r="97" spans="1:41" ht="15" customHeight="1">
      <c r="A97" s="46"/>
      <c r="B97" s="48"/>
      <c r="C97" s="46"/>
      <c r="D97" s="936"/>
      <c r="E97" s="936"/>
      <c r="F97" s="936"/>
      <c r="G97" s="936"/>
      <c r="H97" s="936"/>
      <c r="I97" s="936"/>
      <c r="J97" s="936"/>
      <c r="K97" s="936"/>
      <c r="L97" s="936"/>
      <c r="M97" s="936"/>
      <c r="N97" s="936"/>
      <c r="O97" s="936"/>
      <c r="P97" s="936"/>
      <c r="Q97" s="936"/>
      <c r="R97" s="936"/>
      <c r="S97" s="936"/>
      <c r="T97" s="936"/>
      <c r="U97" s="936"/>
      <c r="V97" s="936"/>
      <c r="W97" s="936"/>
      <c r="X97" s="936"/>
      <c r="Y97" s="936"/>
      <c r="Z97" s="936"/>
      <c r="AA97" s="936"/>
      <c r="AB97" s="936"/>
      <c r="AC97" s="936"/>
      <c r="AD97" s="936"/>
      <c r="AE97" s="936"/>
      <c r="AF97" s="936"/>
      <c r="AG97" s="936"/>
      <c r="AH97" s="936"/>
      <c r="AI97" s="936"/>
      <c r="AJ97" s="46"/>
      <c r="AK97" s="46"/>
      <c r="AL97" s="936"/>
      <c r="AM97" s="936"/>
      <c r="AN97" s="936"/>
      <c r="AO97" s="46"/>
    </row>
    <row r="98" spans="1:41" ht="15" customHeight="1">
      <c r="A98" s="46"/>
      <c r="B98" s="48"/>
      <c r="C98" s="46"/>
      <c r="D98" s="936"/>
      <c r="E98" s="936"/>
      <c r="F98" s="936"/>
      <c r="G98" s="936"/>
      <c r="H98" s="936"/>
      <c r="I98" s="936"/>
      <c r="J98" s="936"/>
      <c r="K98" s="936"/>
      <c r="L98" s="936"/>
      <c r="M98" s="936"/>
      <c r="N98" s="936"/>
      <c r="O98" s="936"/>
      <c r="P98" s="936"/>
      <c r="Q98" s="936"/>
      <c r="R98" s="936"/>
      <c r="S98" s="936"/>
      <c r="T98" s="936"/>
      <c r="U98" s="936"/>
      <c r="V98" s="936"/>
      <c r="W98" s="936"/>
      <c r="X98" s="936"/>
      <c r="Y98" s="936"/>
      <c r="Z98" s="936"/>
      <c r="AA98" s="936"/>
      <c r="AB98" s="936"/>
      <c r="AC98" s="936"/>
      <c r="AD98" s="936"/>
      <c r="AE98" s="936"/>
      <c r="AF98" s="936"/>
      <c r="AG98" s="936"/>
      <c r="AH98" s="936"/>
      <c r="AI98" s="936"/>
      <c r="AJ98" s="46"/>
      <c r="AK98" s="46"/>
      <c r="AL98" s="936"/>
      <c r="AM98" s="936"/>
      <c r="AN98" s="936"/>
      <c r="AO98" s="46"/>
    </row>
    <row r="99" spans="1:41" ht="15" customHeight="1">
      <c r="A99" s="46"/>
      <c r="B99" s="48"/>
      <c r="C99" s="46"/>
      <c r="D99" s="936"/>
      <c r="E99" s="936"/>
      <c r="F99" s="936"/>
      <c r="G99" s="936"/>
      <c r="H99" s="936"/>
      <c r="I99" s="936"/>
      <c r="J99" s="936"/>
      <c r="K99" s="936"/>
      <c r="L99" s="936"/>
      <c r="M99" s="936"/>
      <c r="N99" s="936"/>
      <c r="O99" s="936"/>
      <c r="P99" s="936"/>
      <c r="Q99" s="936"/>
      <c r="R99" s="936"/>
      <c r="S99" s="936"/>
      <c r="T99" s="936"/>
      <c r="U99" s="936"/>
      <c r="V99" s="936"/>
      <c r="W99" s="936"/>
      <c r="X99" s="936"/>
      <c r="Y99" s="936"/>
      <c r="Z99" s="936"/>
      <c r="AA99" s="936"/>
      <c r="AB99" s="936"/>
      <c r="AC99" s="936"/>
      <c r="AD99" s="936"/>
      <c r="AE99" s="936"/>
      <c r="AF99" s="936"/>
      <c r="AG99" s="936"/>
      <c r="AH99" s="936"/>
      <c r="AI99" s="936"/>
      <c r="AJ99" s="46"/>
      <c r="AK99" s="46"/>
      <c r="AL99" s="936"/>
      <c r="AM99" s="936"/>
      <c r="AN99" s="936"/>
      <c r="AO99" s="46"/>
    </row>
    <row r="100" spans="1:41" ht="15" customHeight="1">
      <c r="A100" s="46"/>
      <c r="B100" s="48"/>
      <c r="C100" s="46"/>
      <c r="D100" s="936"/>
      <c r="E100" s="936"/>
      <c r="F100" s="936"/>
      <c r="G100" s="936"/>
      <c r="H100" s="936"/>
      <c r="I100" s="936"/>
      <c r="J100" s="936"/>
      <c r="K100" s="936"/>
      <c r="L100" s="936"/>
      <c r="M100" s="936"/>
      <c r="N100" s="936"/>
      <c r="O100" s="936"/>
      <c r="P100" s="936"/>
      <c r="Q100" s="936"/>
      <c r="R100" s="936"/>
      <c r="S100" s="936"/>
      <c r="T100" s="936"/>
      <c r="U100" s="936"/>
      <c r="V100" s="936"/>
      <c r="W100" s="936"/>
      <c r="X100" s="936"/>
      <c r="Y100" s="936"/>
      <c r="Z100" s="936"/>
      <c r="AA100" s="936"/>
      <c r="AB100" s="936"/>
      <c r="AC100" s="936"/>
      <c r="AD100" s="936"/>
      <c r="AE100" s="936"/>
      <c r="AF100" s="936"/>
      <c r="AG100" s="936"/>
      <c r="AH100" s="936"/>
      <c r="AI100" s="936"/>
      <c r="AJ100" s="46"/>
      <c r="AK100" s="46"/>
      <c r="AL100" s="936"/>
      <c r="AM100" s="936"/>
      <c r="AN100" s="936"/>
      <c r="AO100" s="46"/>
    </row>
    <row r="101" spans="1:41" ht="15" customHeight="1">
      <c r="A101" s="46"/>
      <c r="B101" s="48"/>
      <c r="C101" s="46"/>
      <c r="D101" s="936"/>
      <c r="E101" s="936"/>
      <c r="F101" s="936"/>
      <c r="G101" s="936"/>
      <c r="H101" s="936"/>
      <c r="I101" s="936"/>
      <c r="J101" s="936"/>
      <c r="K101" s="936"/>
      <c r="L101" s="936"/>
      <c r="M101" s="936"/>
      <c r="N101" s="936"/>
      <c r="O101" s="936"/>
      <c r="P101" s="936"/>
      <c r="Q101" s="936"/>
      <c r="R101" s="936"/>
      <c r="S101" s="936"/>
      <c r="T101" s="936"/>
      <c r="U101" s="936"/>
      <c r="V101" s="936"/>
      <c r="W101" s="936"/>
      <c r="X101" s="936"/>
      <c r="Y101" s="936"/>
      <c r="Z101" s="936"/>
      <c r="AA101" s="936"/>
      <c r="AB101" s="936"/>
      <c r="AC101" s="936"/>
      <c r="AD101" s="936"/>
      <c r="AE101" s="936"/>
      <c r="AF101" s="936"/>
      <c r="AG101" s="936"/>
      <c r="AH101" s="936"/>
      <c r="AI101" s="936"/>
      <c r="AJ101" s="46"/>
      <c r="AK101" s="46"/>
      <c r="AL101" s="936"/>
      <c r="AM101" s="936"/>
      <c r="AN101" s="936"/>
      <c r="AO101" s="46"/>
    </row>
    <row r="102" spans="1:41" ht="15" customHeight="1">
      <c r="A102" s="46"/>
      <c r="B102" s="48"/>
      <c r="C102" s="46"/>
      <c r="D102" s="936"/>
      <c r="E102" s="936"/>
      <c r="F102" s="936"/>
      <c r="G102" s="936"/>
      <c r="H102" s="936"/>
      <c r="I102" s="936"/>
      <c r="J102" s="936"/>
      <c r="K102" s="936"/>
      <c r="L102" s="936"/>
      <c r="M102" s="936"/>
      <c r="N102" s="936"/>
      <c r="O102" s="936"/>
      <c r="P102" s="936"/>
      <c r="Q102" s="936"/>
      <c r="R102" s="936"/>
      <c r="S102" s="936"/>
      <c r="T102" s="936"/>
      <c r="U102" s="936"/>
      <c r="V102" s="936"/>
      <c r="W102" s="936"/>
      <c r="X102" s="936"/>
      <c r="Y102" s="936"/>
      <c r="Z102" s="936"/>
      <c r="AA102" s="936"/>
      <c r="AB102" s="936"/>
      <c r="AC102" s="936"/>
      <c r="AD102" s="936"/>
      <c r="AE102" s="936"/>
      <c r="AF102" s="936"/>
      <c r="AG102" s="936"/>
      <c r="AH102" s="936"/>
      <c r="AI102" s="936"/>
      <c r="AJ102" s="46"/>
      <c r="AK102" s="46"/>
      <c r="AL102" s="936"/>
      <c r="AM102" s="936"/>
      <c r="AN102" s="936"/>
      <c r="AO102" s="46"/>
    </row>
    <row r="103" spans="1:41" ht="15" customHeight="1">
      <c r="A103" s="46"/>
      <c r="B103" s="48"/>
      <c r="C103" s="46"/>
      <c r="D103" s="936"/>
      <c r="E103" s="936"/>
      <c r="F103" s="936"/>
      <c r="G103" s="936"/>
      <c r="H103" s="936"/>
      <c r="I103" s="936"/>
      <c r="J103" s="936"/>
      <c r="K103" s="936"/>
      <c r="L103" s="936"/>
      <c r="M103" s="936"/>
      <c r="N103" s="936"/>
      <c r="O103" s="936"/>
      <c r="P103" s="936"/>
      <c r="Q103" s="936"/>
      <c r="R103" s="936"/>
      <c r="S103" s="936"/>
      <c r="T103" s="936"/>
      <c r="U103" s="936"/>
      <c r="V103" s="936"/>
      <c r="W103" s="936"/>
      <c r="X103" s="936"/>
      <c r="Y103" s="936"/>
      <c r="Z103" s="936"/>
      <c r="AA103" s="936"/>
      <c r="AB103" s="936"/>
      <c r="AC103" s="936"/>
      <c r="AD103" s="936"/>
      <c r="AE103" s="936"/>
      <c r="AF103" s="936"/>
      <c r="AG103" s="936"/>
      <c r="AH103" s="936"/>
      <c r="AI103" s="936"/>
      <c r="AJ103" s="46"/>
      <c r="AK103" s="46"/>
      <c r="AL103" s="936"/>
      <c r="AM103" s="936"/>
      <c r="AN103" s="936"/>
      <c r="AO103" s="46"/>
    </row>
    <row r="104" spans="1:41" ht="15" customHeight="1">
      <c r="A104" s="46"/>
      <c r="B104" s="48"/>
      <c r="C104" s="46"/>
      <c r="D104" s="936"/>
      <c r="E104" s="936"/>
      <c r="F104" s="936"/>
      <c r="G104" s="936"/>
      <c r="H104" s="936"/>
      <c r="I104" s="936"/>
      <c r="J104" s="936"/>
      <c r="K104" s="936"/>
      <c r="L104" s="936"/>
      <c r="M104" s="936"/>
      <c r="N104" s="936"/>
      <c r="O104" s="936"/>
      <c r="P104" s="936"/>
      <c r="Q104" s="936"/>
      <c r="R104" s="936"/>
      <c r="S104" s="936"/>
      <c r="T104" s="936"/>
      <c r="U104" s="936"/>
      <c r="V104" s="936"/>
      <c r="W104" s="936"/>
      <c r="X104" s="936"/>
      <c r="Y104" s="936"/>
      <c r="Z104" s="936"/>
      <c r="AA104" s="936"/>
      <c r="AB104" s="936"/>
      <c r="AC104" s="936"/>
      <c r="AD104" s="936"/>
      <c r="AE104" s="936"/>
      <c r="AF104" s="936"/>
      <c r="AG104" s="936"/>
      <c r="AH104" s="936"/>
      <c r="AI104" s="936"/>
      <c r="AJ104" s="46"/>
      <c r="AK104" s="46"/>
      <c r="AL104" s="936"/>
      <c r="AM104" s="936"/>
      <c r="AN104" s="936"/>
      <c r="AO104" s="46"/>
    </row>
    <row r="105" spans="1:41" ht="15" customHeight="1">
      <c r="A105" s="46"/>
      <c r="B105" s="48"/>
      <c r="C105" s="46"/>
      <c r="D105" s="936"/>
      <c r="E105" s="936"/>
      <c r="F105" s="936"/>
      <c r="G105" s="936"/>
      <c r="H105" s="936"/>
      <c r="I105" s="936"/>
      <c r="J105" s="936"/>
      <c r="K105" s="936"/>
      <c r="L105" s="936"/>
      <c r="M105" s="936"/>
      <c r="N105" s="936"/>
      <c r="O105" s="936"/>
      <c r="P105" s="936"/>
      <c r="Q105" s="936"/>
      <c r="R105" s="936"/>
      <c r="S105" s="936"/>
      <c r="T105" s="936"/>
      <c r="U105" s="936"/>
      <c r="V105" s="936"/>
      <c r="W105" s="936"/>
      <c r="X105" s="936"/>
      <c r="Y105" s="936"/>
      <c r="Z105" s="936"/>
      <c r="AA105" s="936"/>
      <c r="AB105" s="936"/>
      <c r="AC105" s="936"/>
      <c r="AD105" s="936"/>
      <c r="AE105" s="936"/>
      <c r="AF105" s="936"/>
      <c r="AG105" s="936"/>
      <c r="AH105" s="936"/>
      <c r="AI105" s="936"/>
      <c r="AJ105" s="46"/>
      <c r="AK105" s="46"/>
      <c r="AL105" s="936"/>
      <c r="AM105" s="936"/>
      <c r="AN105" s="936"/>
      <c r="AO105" s="46"/>
    </row>
    <row r="106" spans="1:41" ht="15" customHeight="1">
      <c r="A106" s="46"/>
      <c r="B106" s="48"/>
      <c r="C106" s="46"/>
      <c r="D106" s="936"/>
      <c r="E106" s="936"/>
      <c r="F106" s="936"/>
      <c r="G106" s="936"/>
      <c r="H106" s="936"/>
      <c r="I106" s="936"/>
      <c r="J106" s="936"/>
      <c r="K106" s="936"/>
      <c r="L106" s="936"/>
      <c r="M106" s="936"/>
      <c r="N106" s="936"/>
      <c r="O106" s="936"/>
      <c r="P106" s="936"/>
      <c r="Q106" s="936"/>
      <c r="R106" s="936"/>
      <c r="S106" s="936"/>
      <c r="T106" s="936"/>
      <c r="U106" s="936"/>
      <c r="V106" s="936"/>
      <c r="W106" s="936"/>
      <c r="X106" s="936"/>
      <c r="Y106" s="936"/>
      <c r="Z106" s="936"/>
      <c r="AA106" s="936"/>
      <c r="AB106" s="936"/>
      <c r="AC106" s="936"/>
      <c r="AD106" s="936"/>
      <c r="AE106" s="936"/>
      <c r="AF106" s="936"/>
      <c r="AG106" s="936"/>
      <c r="AH106" s="936"/>
      <c r="AI106" s="936"/>
      <c r="AJ106" s="46"/>
      <c r="AK106" s="46"/>
      <c r="AL106" s="936"/>
      <c r="AM106" s="936"/>
      <c r="AN106" s="936"/>
      <c r="AO106" s="46"/>
    </row>
    <row r="107" spans="1:41" ht="15" customHeight="1">
      <c r="A107" s="46"/>
      <c r="B107" s="48"/>
      <c r="C107" s="46"/>
      <c r="D107" s="936"/>
      <c r="E107" s="936"/>
      <c r="F107" s="936"/>
      <c r="G107" s="936"/>
      <c r="H107" s="936"/>
      <c r="I107" s="936"/>
      <c r="J107" s="936"/>
      <c r="K107" s="936"/>
      <c r="L107" s="936"/>
      <c r="M107" s="936"/>
      <c r="N107" s="936"/>
      <c r="O107" s="936"/>
      <c r="P107" s="936"/>
      <c r="Q107" s="936"/>
      <c r="R107" s="936"/>
      <c r="S107" s="936"/>
      <c r="T107" s="936"/>
      <c r="U107" s="936"/>
      <c r="V107" s="936"/>
      <c r="W107" s="936"/>
      <c r="X107" s="936"/>
      <c r="Y107" s="936"/>
      <c r="Z107" s="936"/>
      <c r="AA107" s="936"/>
      <c r="AB107" s="936"/>
      <c r="AC107" s="936"/>
      <c r="AD107" s="936"/>
      <c r="AE107" s="936"/>
      <c r="AF107" s="936"/>
      <c r="AG107" s="936"/>
      <c r="AH107" s="936"/>
      <c r="AI107" s="936"/>
      <c r="AJ107" s="46"/>
      <c r="AK107" s="46"/>
      <c r="AL107" s="936"/>
      <c r="AM107" s="936"/>
      <c r="AN107" s="936"/>
      <c r="AO107" s="46"/>
    </row>
    <row r="108" spans="1:41" ht="15" customHeight="1">
      <c r="A108" s="46"/>
      <c r="B108" s="48"/>
      <c r="C108" s="46"/>
      <c r="D108" s="936"/>
      <c r="E108" s="936"/>
      <c r="F108" s="936"/>
      <c r="G108" s="936"/>
      <c r="H108" s="936"/>
      <c r="I108" s="936"/>
      <c r="J108" s="936"/>
      <c r="K108" s="936"/>
      <c r="L108" s="936"/>
      <c r="M108" s="936"/>
      <c r="N108" s="936"/>
      <c r="O108" s="936"/>
      <c r="P108" s="936"/>
      <c r="Q108" s="936"/>
      <c r="R108" s="936"/>
      <c r="S108" s="936"/>
      <c r="T108" s="936"/>
      <c r="U108" s="936"/>
      <c r="V108" s="936"/>
      <c r="W108" s="936"/>
      <c r="X108" s="936"/>
      <c r="Y108" s="936"/>
      <c r="Z108" s="936"/>
      <c r="AA108" s="936"/>
      <c r="AB108" s="936"/>
      <c r="AC108" s="936"/>
      <c r="AD108" s="936"/>
      <c r="AE108" s="936"/>
      <c r="AF108" s="936"/>
      <c r="AG108" s="936"/>
      <c r="AH108" s="936"/>
      <c r="AI108" s="936"/>
      <c r="AJ108" s="46"/>
      <c r="AK108" s="46"/>
      <c r="AL108" s="936"/>
      <c r="AM108" s="936"/>
      <c r="AN108" s="936"/>
      <c r="AO108" s="46"/>
    </row>
    <row r="109" spans="1:41" ht="15" customHeight="1">
      <c r="A109" s="46"/>
      <c r="B109" s="48"/>
      <c r="C109" s="46"/>
      <c r="D109" s="936"/>
      <c r="E109" s="936"/>
      <c r="F109" s="936"/>
      <c r="G109" s="936"/>
      <c r="H109" s="936"/>
      <c r="I109" s="936"/>
      <c r="J109" s="936"/>
      <c r="K109" s="936"/>
      <c r="L109" s="936"/>
      <c r="M109" s="936"/>
      <c r="N109" s="936"/>
      <c r="O109" s="936"/>
      <c r="P109" s="936"/>
      <c r="Q109" s="936"/>
      <c r="R109" s="936"/>
      <c r="S109" s="936"/>
      <c r="T109" s="936"/>
      <c r="U109" s="936"/>
      <c r="V109" s="936"/>
      <c r="W109" s="936"/>
      <c r="X109" s="936"/>
      <c r="Y109" s="936"/>
      <c r="Z109" s="936"/>
      <c r="AA109" s="936"/>
      <c r="AB109" s="936"/>
      <c r="AC109" s="936"/>
      <c r="AD109" s="936"/>
      <c r="AE109" s="936"/>
      <c r="AF109" s="936"/>
      <c r="AG109" s="936"/>
      <c r="AH109" s="936"/>
      <c r="AI109" s="936"/>
      <c r="AJ109" s="46"/>
      <c r="AK109" s="46"/>
      <c r="AL109" s="936"/>
      <c r="AM109" s="936"/>
      <c r="AN109" s="936"/>
      <c r="AO109" s="46"/>
    </row>
    <row r="110" spans="1:41" ht="15" customHeight="1">
      <c r="A110" s="46"/>
      <c r="B110" s="48"/>
      <c r="C110" s="46"/>
      <c r="D110" s="936"/>
      <c r="E110" s="936"/>
      <c r="F110" s="936"/>
      <c r="G110" s="936"/>
      <c r="H110" s="936"/>
      <c r="I110" s="936"/>
      <c r="J110" s="936"/>
      <c r="K110" s="936"/>
      <c r="L110" s="936"/>
      <c r="M110" s="936"/>
      <c r="N110" s="936"/>
      <c r="O110" s="936"/>
      <c r="P110" s="936"/>
      <c r="Q110" s="936"/>
      <c r="R110" s="936"/>
      <c r="S110" s="936"/>
      <c r="T110" s="936"/>
      <c r="U110" s="936"/>
      <c r="V110" s="936"/>
      <c r="W110" s="936"/>
      <c r="X110" s="936"/>
      <c r="Y110" s="936"/>
      <c r="Z110" s="936"/>
      <c r="AA110" s="936"/>
      <c r="AB110" s="936"/>
      <c r="AC110" s="936"/>
      <c r="AD110" s="936"/>
      <c r="AE110" s="936"/>
      <c r="AF110" s="936"/>
      <c r="AG110" s="936"/>
      <c r="AH110" s="936"/>
      <c r="AI110" s="936"/>
      <c r="AJ110" s="46"/>
      <c r="AK110" s="46"/>
      <c r="AL110" s="936"/>
      <c r="AM110" s="936"/>
      <c r="AN110" s="936"/>
      <c r="AO110" s="46"/>
    </row>
    <row r="111" spans="1:41" ht="15" customHeight="1">
      <c r="A111" s="46"/>
      <c r="B111" s="48"/>
      <c r="C111" s="46"/>
      <c r="D111" s="936"/>
      <c r="E111" s="936"/>
      <c r="F111" s="936"/>
      <c r="G111" s="936"/>
      <c r="H111" s="936"/>
      <c r="I111" s="936"/>
      <c r="J111" s="936"/>
      <c r="K111" s="936"/>
      <c r="L111" s="936"/>
      <c r="M111" s="936"/>
      <c r="N111" s="936"/>
      <c r="O111" s="936"/>
      <c r="P111" s="936"/>
      <c r="Q111" s="936"/>
      <c r="R111" s="936"/>
      <c r="S111" s="936"/>
      <c r="T111" s="936"/>
      <c r="U111" s="936"/>
      <c r="V111" s="936"/>
      <c r="W111" s="936"/>
      <c r="X111" s="936"/>
      <c r="Y111" s="936"/>
      <c r="Z111" s="936"/>
      <c r="AA111" s="936"/>
      <c r="AB111" s="936"/>
      <c r="AC111" s="936"/>
      <c r="AD111" s="936"/>
      <c r="AE111" s="936"/>
      <c r="AF111" s="936"/>
      <c r="AG111" s="936"/>
      <c r="AH111" s="936"/>
      <c r="AI111" s="936"/>
      <c r="AJ111" s="46"/>
      <c r="AK111" s="46"/>
      <c r="AL111" s="936"/>
      <c r="AM111" s="936"/>
      <c r="AN111" s="936"/>
      <c r="AO111" s="46"/>
    </row>
    <row r="112" spans="1:41" ht="15" customHeight="1">
      <c r="A112" s="46"/>
      <c r="B112" s="48"/>
      <c r="C112" s="46"/>
      <c r="D112" s="936"/>
      <c r="E112" s="936"/>
      <c r="F112" s="936"/>
      <c r="G112" s="936"/>
      <c r="H112" s="936"/>
      <c r="I112" s="936"/>
      <c r="J112" s="936"/>
      <c r="K112" s="936"/>
      <c r="L112" s="936"/>
      <c r="M112" s="936"/>
      <c r="N112" s="936"/>
      <c r="O112" s="936"/>
      <c r="P112" s="936"/>
      <c r="Q112" s="936"/>
      <c r="R112" s="936"/>
      <c r="S112" s="936"/>
      <c r="T112" s="936"/>
      <c r="U112" s="936"/>
      <c r="V112" s="936"/>
      <c r="W112" s="936"/>
      <c r="X112" s="936"/>
      <c r="Y112" s="936"/>
      <c r="Z112" s="936"/>
      <c r="AA112" s="936"/>
      <c r="AB112" s="936"/>
      <c r="AC112" s="936"/>
      <c r="AD112" s="936"/>
      <c r="AE112" s="936"/>
      <c r="AF112" s="936"/>
      <c r="AG112" s="936"/>
      <c r="AH112" s="936"/>
      <c r="AI112" s="936"/>
      <c r="AJ112" s="46"/>
      <c r="AK112" s="46"/>
      <c r="AL112" s="936"/>
      <c r="AM112" s="936"/>
      <c r="AN112" s="936"/>
      <c r="AO112" s="46"/>
    </row>
    <row r="113" spans="1:41" ht="15" customHeight="1">
      <c r="A113" s="46"/>
      <c r="B113" s="48"/>
      <c r="C113" s="46"/>
      <c r="D113" s="936"/>
      <c r="E113" s="936"/>
      <c r="F113" s="936"/>
      <c r="G113" s="936"/>
      <c r="H113" s="936"/>
      <c r="I113" s="936"/>
      <c r="J113" s="936"/>
      <c r="K113" s="936"/>
      <c r="L113" s="936"/>
      <c r="M113" s="936"/>
      <c r="N113" s="936"/>
      <c r="O113" s="936"/>
      <c r="P113" s="936"/>
      <c r="Q113" s="936"/>
      <c r="R113" s="936"/>
      <c r="S113" s="936"/>
      <c r="T113" s="936"/>
      <c r="U113" s="936"/>
      <c r="V113" s="936"/>
      <c r="W113" s="936"/>
      <c r="X113" s="936"/>
      <c r="Y113" s="936"/>
      <c r="Z113" s="936"/>
      <c r="AA113" s="936"/>
      <c r="AB113" s="936"/>
      <c r="AC113" s="936"/>
      <c r="AD113" s="936"/>
      <c r="AE113" s="936"/>
      <c r="AF113" s="936"/>
      <c r="AG113" s="936"/>
      <c r="AH113" s="936"/>
      <c r="AI113" s="936"/>
      <c r="AJ113" s="46"/>
      <c r="AK113" s="46"/>
      <c r="AL113" s="936"/>
      <c r="AM113" s="936"/>
      <c r="AN113" s="936"/>
      <c r="AO113" s="46"/>
    </row>
    <row r="114" spans="1:41" ht="15" customHeight="1">
      <c r="A114" s="46"/>
      <c r="B114" s="48"/>
      <c r="C114" s="46"/>
      <c r="D114" s="936"/>
      <c r="E114" s="936"/>
      <c r="F114" s="936"/>
      <c r="G114" s="936"/>
      <c r="H114" s="936"/>
      <c r="I114" s="936"/>
      <c r="J114" s="936"/>
      <c r="K114" s="936"/>
      <c r="L114" s="936"/>
      <c r="M114" s="936"/>
      <c r="N114" s="936"/>
      <c r="O114" s="936"/>
      <c r="P114" s="936"/>
      <c r="Q114" s="936"/>
      <c r="R114" s="936"/>
      <c r="S114" s="936"/>
      <c r="T114" s="936"/>
      <c r="U114" s="936"/>
      <c r="V114" s="936"/>
      <c r="W114" s="936"/>
      <c r="X114" s="936"/>
      <c r="Y114" s="936"/>
      <c r="Z114" s="936"/>
      <c r="AA114" s="936"/>
      <c r="AB114" s="936"/>
      <c r="AC114" s="936"/>
      <c r="AD114" s="936"/>
      <c r="AE114" s="936"/>
      <c r="AF114" s="936"/>
      <c r="AG114" s="936"/>
      <c r="AH114" s="936"/>
      <c r="AI114" s="936"/>
      <c r="AJ114" s="46"/>
      <c r="AK114" s="46"/>
      <c r="AL114" s="936"/>
      <c r="AM114" s="936"/>
      <c r="AN114" s="936"/>
      <c r="AO114" s="46"/>
    </row>
    <row r="115" spans="1:41" ht="15" customHeight="1">
      <c r="A115" s="46"/>
      <c r="B115" s="48"/>
      <c r="C115" s="46"/>
      <c r="D115" s="936"/>
      <c r="E115" s="936"/>
      <c r="F115" s="936"/>
      <c r="G115" s="936"/>
      <c r="H115" s="936"/>
      <c r="I115" s="936"/>
      <c r="J115" s="936"/>
      <c r="K115" s="936"/>
      <c r="L115" s="936"/>
      <c r="M115" s="936"/>
      <c r="N115" s="936"/>
      <c r="O115" s="936"/>
      <c r="P115" s="936"/>
      <c r="Q115" s="936"/>
      <c r="R115" s="936"/>
      <c r="S115" s="936"/>
      <c r="T115" s="936"/>
      <c r="U115" s="936"/>
      <c r="V115" s="936"/>
      <c r="W115" s="936"/>
      <c r="X115" s="936"/>
      <c r="Y115" s="936"/>
      <c r="Z115" s="936"/>
      <c r="AA115" s="936"/>
      <c r="AB115" s="936"/>
      <c r="AC115" s="936"/>
      <c r="AD115" s="936"/>
      <c r="AE115" s="936"/>
      <c r="AF115" s="936"/>
      <c r="AG115" s="936"/>
      <c r="AH115" s="936"/>
      <c r="AI115" s="936"/>
      <c r="AJ115" s="46"/>
      <c r="AK115" s="46"/>
      <c r="AL115" s="936"/>
      <c r="AM115" s="936"/>
      <c r="AN115" s="936"/>
      <c r="AO115" s="46"/>
    </row>
    <row r="116" spans="1:41" ht="15" customHeight="1">
      <c r="A116" s="46"/>
      <c r="B116" s="48"/>
      <c r="C116" s="46"/>
      <c r="D116" s="936"/>
      <c r="E116" s="936"/>
      <c r="F116" s="936"/>
      <c r="G116" s="936"/>
      <c r="H116" s="936"/>
      <c r="I116" s="936"/>
      <c r="J116" s="936"/>
      <c r="K116" s="936"/>
      <c r="L116" s="936"/>
      <c r="M116" s="936"/>
      <c r="N116" s="936"/>
      <c r="O116" s="936"/>
      <c r="P116" s="936"/>
      <c r="Q116" s="936"/>
      <c r="R116" s="936"/>
      <c r="S116" s="936"/>
      <c r="T116" s="936"/>
      <c r="U116" s="936"/>
      <c r="V116" s="936"/>
      <c r="W116" s="936"/>
      <c r="X116" s="936"/>
      <c r="Y116" s="936"/>
      <c r="Z116" s="936"/>
      <c r="AA116" s="936"/>
      <c r="AB116" s="936"/>
      <c r="AC116" s="936"/>
      <c r="AD116" s="936"/>
      <c r="AE116" s="936"/>
      <c r="AF116" s="936"/>
      <c r="AG116" s="936"/>
      <c r="AH116" s="936"/>
      <c r="AI116" s="936"/>
      <c r="AJ116" s="46"/>
      <c r="AK116" s="46"/>
      <c r="AL116" s="936"/>
      <c r="AM116" s="936"/>
      <c r="AN116" s="936"/>
      <c r="AO116" s="46"/>
    </row>
    <row r="117" spans="1:41" ht="15" customHeight="1">
      <c r="A117" s="46"/>
      <c r="B117" s="48"/>
      <c r="C117" s="46"/>
      <c r="D117" s="936"/>
      <c r="E117" s="936"/>
      <c r="F117" s="936"/>
      <c r="G117" s="936"/>
      <c r="H117" s="936"/>
      <c r="I117" s="936"/>
      <c r="J117" s="936"/>
      <c r="K117" s="936"/>
      <c r="L117" s="936"/>
      <c r="M117" s="936"/>
      <c r="N117" s="936"/>
      <c r="O117" s="936"/>
      <c r="P117" s="936"/>
      <c r="Q117" s="936"/>
      <c r="R117" s="936"/>
      <c r="S117" s="936"/>
      <c r="T117" s="936"/>
      <c r="U117" s="936"/>
      <c r="V117" s="936"/>
      <c r="W117" s="936"/>
      <c r="X117" s="936"/>
      <c r="Y117" s="936"/>
      <c r="Z117" s="936"/>
      <c r="AA117" s="936"/>
      <c r="AB117" s="936"/>
      <c r="AC117" s="936"/>
      <c r="AD117" s="936"/>
      <c r="AE117" s="936"/>
      <c r="AF117" s="936"/>
      <c r="AG117" s="936"/>
      <c r="AH117" s="936"/>
      <c r="AI117" s="936"/>
      <c r="AJ117" s="46"/>
      <c r="AK117" s="46"/>
      <c r="AL117" s="936"/>
      <c r="AM117" s="936"/>
      <c r="AN117" s="936"/>
      <c r="AO117" s="46"/>
    </row>
    <row r="118" spans="1:41" ht="15" customHeight="1">
      <c r="A118" s="46"/>
      <c r="B118" s="48"/>
      <c r="C118" s="46"/>
      <c r="D118" s="936"/>
      <c r="E118" s="936"/>
      <c r="F118" s="936"/>
      <c r="G118" s="936"/>
      <c r="H118" s="936"/>
      <c r="I118" s="936"/>
      <c r="J118" s="936"/>
      <c r="K118" s="936"/>
      <c r="L118" s="936"/>
      <c r="M118" s="936"/>
      <c r="N118" s="936"/>
      <c r="O118" s="936"/>
      <c r="P118" s="936"/>
      <c r="Q118" s="936"/>
      <c r="R118" s="936"/>
      <c r="S118" s="936"/>
      <c r="T118" s="936"/>
      <c r="U118" s="936"/>
      <c r="V118" s="936"/>
      <c r="W118" s="936"/>
      <c r="X118" s="936"/>
      <c r="Y118" s="936"/>
      <c r="Z118" s="936"/>
      <c r="AA118" s="936"/>
      <c r="AB118" s="936"/>
      <c r="AC118" s="936"/>
      <c r="AD118" s="936"/>
      <c r="AE118" s="936"/>
      <c r="AF118" s="936"/>
      <c r="AG118" s="936"/>
      <c r="AH118" s="936"/>
      <c r="AI118" s="936"/>
      <c r="AJ118" s="46"/>
      <c r="AK118" s="46"/>
      <c r="AL118" s="936"/>
      <c r="AM118" s="936"/>
      <c r="AN118" s="936"/>
      <c r="AO118" s="46"/>
    </row>
    <row r="119" spans="1:41" ht="15" customHeight="1">
      <c r="A119" s="46"/>
      <c r="B119" s="48"/>
      <c r="C119" s="46"/>
      <c r="D119" s="936"/>
      <c r="E119" s="936"/>
      <c r="F119" s="936"/>
      <c r="G119" s="936"/>
      <c r="H119" s="936"/>
      <c r="I119" s="936"/>
      <c r="J119" s="936"/>
      <c r="K119" s="936"/>
      <c r="L119" s="936"/>
      <c r="M119" s="936"/>
      <c r="N119" s="936"/>
      <c r="O119" s="936"/>
      <c r="P119" s="936"/>
      <c r="Q119" s="936"/>
      <c r="R119" s="936"/>
      <c r="S119" s="936"/>
      <c r="T119" s="936"/>
      <c r="U119" s="936"/>
      <c r="V119" s="936"/>
      <c r="W119" s="936"/>
      <c r="X119" s="936"/>
      <c r="Y119" s="936"/>
      <c r="Z119" s="936"/>
      <c r="AA119" s="936"/>
      <c r="AB119" s="936"/>
      <c r="AC119" s="936"/>
      <c r="AD119" s="936"/>
      <c r="AE119" s="936"/>
      <c r="AF119" s="936"/>
      <c r="AG119" s="936"/>
      <c r="AH119" s="936"/>
      <c r="AI119" s="936"/>
      <c r="AJ119" s="46"/>
      <c r="AK119" s="46"/>
      <c r="AL119" s="936"/>
      <c r="AM119" s="936"/>
      <c r="AN119" s="936"/>
      <c r="AO119" s="46"/>
    </row>
    <row r="120" spans="1:41" ht="15" customHeight="1">
      <c r="A120" s="46"/>
      <c r="B120" s="48"/>
      <c r="C120" s="46"/>
      <c r="D120" s="936"/>
      <c r="E120" s="936"/>
      <c r="F120" s="936"/>
      <c r="G120" s="936"/>
      <c r="H120" s="936"/>
      <c r="I120" s="936"/>
      <c r="J120" s="936"/>
      <c r="K120" s="936"/>
      <c r="L120" s="936"/>
      <c r="M120" s="936"/>
      <c r="N120" s="936"/>
      <c r="O120" s="936"/>
      <c r="P120" s="936"/>
      <c r="Q120" s="936"/>
      <c r="R120" s="936"/>
      <c r="S120" s="936"/>
      <c r="T120" s="936"/>
      <c r="U120" s="936"/>
      <c r="V120" s="936"/>
      <c r="W120" s="936"/>
      <c r="X120" s="936"/>
      <c r="Y120" s="936"/>
      <c r="Z120" s="936"/>
      <c r="AA120" s="936"/>
      <c r="AB120" s="936"/>
      <c r="AC120" s="936"/>
      <c r="AD120" s="936"/>
      <c r="AE120" s="936"/>
      <c r="AF120" s="936"/>
      <c r="AG120" s="936"/>
      <c r="AH120" s="936"/>
      <c r="AI120" s="936"/>
      <c r="AJ120" s="46"/>
      <c r="AK120" s="46"/>
      <c r="AL120" s="936"/>
      <c r="AM120" s="936"/>
      <c r="AN120" s="936"/>
      <c r="AO120" s="46"/>
    </row>
    <row r="121" spans="1:41" ht="15" customHeight="1">
      <c r="A121" s="46"/>
      <c r="B121" s="48"/>
      <c r="C121" s="46"/>
      <c r="D121" s="936"/>
      <c r="E121" s="936"/>
      <c r="F121" s="936"/>
      <c r="G121" s="936"/>
      <c r="H121" s="936"/>
      <c r="I121" s="936"/>
      <c r="J121" s="936"/>
      <c r="K121" s="936"/>
      <c r="L121" s="936"/>
      <c r="M121" s="936"/>
      <c r="N121" s="936"/>
      <c r="O121" s="936"/>
      <c r="P121" s="936"/>
      <c r="Q121" s="936"/>
      <c r="R121" s="936"/>
      <c r="S121" s="936"/>
      <c r="T121" s="936"/>
      <c r="U121" s="936"/>
      <c r="V121" s="936"/>
      <c r="W121" s="936"/>
      <c r="X121" s="936"/>
      <c r="Y121" s="936"/>
      <c r="Z121" s="936"/>
      <c r="AA121" s="936"/>
      <c r="AB121" s="936"/>
      <c r="AC121" s="936"/>
      <c r="AD121" s="936"/>
      <c r="AE121" s="936"/>
      <c r="AF121" s="936"/>
      <c r="AG121" s="936"/>
      <c r="AH121" s="936"/>
      <c r="AI121" s="936"/>
      <c r="AJ121" s="46"/>
      <c r="AK121" s="46"/>
      <c r="AL121" s="936"/>
      <c r="AM121" s="936"/>
      <c r="AN121" s="936"/>
      <c r="AO121" s="46"/>
    </row>
    <row r="122" spans="1:41" ht="15" customHeight="1">
      <c r="A122" s="46"/>
      <c r="B122" s="48"/>
      <c r="C122" s="46"/>
      <c r="D122" s="936"/>
      <c r="E122" s="936"/>
      <c r="F122" s="936"/>
      <c r="G122" s="936"/>
      <c r="H122" s="936"/>
      <c r="I122" s="936"/>
      <c r="J122" s="936"/>
      <c r="K122" s="936"/>
      <c r="L122" s="936"/>
      <c r="M122" s="936"/>
      <c r="N122" s="936"/>
      <c r="O122" s="936"/>
      <c r="P122" s="936"/>
      <c r="Q122" s="936"/>
      <c r="R122" s="936"/>
      <c r="S122" s="936"/>
      <c r="T122" s="936"/>
      <c r="U122" s="936"/>
      <c r="V122" s="936"/>
      <c r="W122" s="936"/>
      <c r="X122" s="936"/>
      <c r="Y122" s="936"/>
      <c r="Z122" s="936"/>
      <c r="AA122" s="936"/>
      <c r="AB122" s="936"/>
      <c r="AC122" s="936"/>
      <c r="AD122" s="936"/>
      <c r="AE122" s="936"/>
      <c r="AF122" s="936"/>
      <c r="AG122" s="936"/>
      <c r="AH122" s="936"/>
      <c r="AI122" s="936"/>
      <c r="AJ122" s="46"/>
      <c r="AK122" s="46"/>
      <c r="AL122" s="936"/>
      <c r="AM122" s="936"/>
      <c r="AN122" s="936"/>
      <c r="AO122" s="46"/>
    </row>
    <row r="123" spans="1:41" ht="15" customHeight="1">
      <c r="A123" s="46"/>
      <c r="B123" s="48"/>
      <c r="C123" s="46"/>
      <c r="D123" s="936"/>
      <c r="E123" s="936"/>
      <c r="F123" s="936"/>
      <c r="G123" s="936"/>
      <c r="H123" s="936"/>
      <c r="I123" s="936"/>
      <c r="J123" s="936"/>
      <c r="K123" s="936"/>
      <c r="L123" s="936"/>
      <c r="M123" s="936"/>
      <c r="N123" s="936"/>
      <c r="O123" s="936"/>
      <c r="P123" s="936"/>
      <c r="Q123" s="936"/>
      <c r="R123" s="936"/>
      <c r="S123" s="936"/>
      <c r="T123" s="936"/>
      <c r="U123" s="936"/>
      <c r="V123" s="936"/>
      <c r="W123" s="936"/>
      <c r="X123" s="936"/>
      <c r="Y123" s="936"/>
      <c r="Z123" s="936"/>
      <c r="AA123" s="936"/>
      <c r="AB123" s="936"/>
      <c r="AC123" s="936"/>
      <c r="AD123" s="936"/>
      <c r="AE123" s="936"/>
      <c r="AF123" s="936"/>
      <c r="AG123" s="936"/>
      <c r="AH123" s="936"/>
      <c r="AI123" s="936"/>
      <c r="AJ123" s="46"/>
      <c r="AK123" s="46"/>
      <c r="AL123" s="936"/>
      <c r="AM123" s="936"/>
      <c r="AN123" s="936"/>
      <c r="AO123" s="46"/>
    </row>
    <row r="124" spans="1:41" ht="15" customHeight="1">
      <c r="A124" s="46"/>
      <c r="B124" s="48"/>
      <c r="C124" s="46"/>
      <c r="D124" s="936"/>
      <c r="E124" s="936"/>
      <c r="F124" s="936"/>
      <c r="G124" s="936"/>
      <c r="H124" s="936"/>
      <c r="I124" s="936"/>
      <c r="J124" s="936"/>
      <c r="K124" s="936"/>
      <c r="L124" s="936"/>
      <c r="M124" s="936"/>
      <c r="N124" s="936"/>
      <c r="O124" s="936"/>
      <c r="P124" s="936"/>
      <c r="Q124" s="936"/>
      <c r="R124" s="936"/>
      <c r="S124" s="936"/>
      <c r="T124" s="936"/>
      <c r="U124" s="936"/>
      <c r="V124" s="936"/>
      <c r="W124" s="936"/>
      <c r="X124" s="936"/>
      <c r="Y124" s="936"/>
      <c r="Z124" s="936"/>
      <c r="AA124" s="936"/>
      <c r="AB124" s="936"/>
      <c r="AC124" s="936"/>
      <c r="AD124" s="936"/>
      <c r="AE124" s="936"/>
      <c r="AF124" s="936"/>
      <c r="AG124" s="936"/>
      <c r="AH124" s="936"/>
      <c r="AI124" s="936"/>
      <c r="AJ124" s="46"/>
      <c r="AK124" s="46"/>
      <c r="AL124" s="936"/>
      <c r="AM124" s="936"/>
      <c r="AN124" s="936"/>
      <c r="AO124" s="46"/>
    </row>
    <row r="125" spans="1:41" ht="15" customHeight="1">
      <c r="A125" s="46"/>
      <c r="B125" s="48"/>
      <c r="C125" s="46"/>
      <c r="D125" s="936"/>
      <c r="E125" s="936"/>
      <c r="F125" s="936"/>
      <c r="G125" s="936"/>
      <c r="H125" s="936"/>
      <c r="I125" s="936"/>
      <c r="J125" s="936"/>
      <c r="K125" s="936"/>
      <c r="L125" s="936"/>
      <c r="M125" s="936"/>
      <c r="N125" s="936"/>
      <c r="O125" s="936"/>
      <c r="P125" s="936"/>
      <c r="Q125" s="936"/>
      <c r="R125" s="936"/>
      <c r="S125" s="936"/>
      <c r="T125" s="936"/>
      <c r="U125" s="936"/>
      <c r="V125" s="936"/>
      <c r="W125" s="936"/>
      <c r="X125" s="936"/>
      <c r="Y125" s="936"/>
      <c r="Z125" s="936"/>
      <c r="AA125" s="936"/>
      <c r="AB125" s="936"/>
      <c r="AC125" s="936"/>
      <c r="AD125" s="936"/>
      <c r="AE125" s="936"/>
      <c r="AF125" s="936"/>
      <c r="AG125" s="936"/>
      <c r="AH125" s="936"/>
      <c r="AI125" s="936"/>
      <c r="AJ125" s="46"/>
      <c r="AK125" s="46"/>
      <c r="AL125" s="936"/>
      <c r="AM125" s="936"/>
      <c r="AN125" s="936"/>
      <c r="AO125" s="46"/>
    </row>
    <row r="126" spans="1:41" ht="15" customHeight="1">
      <c r="A126" s="46"/>
      <c r="B126" s="48"/>
      <c r="C126" s="46"/>
      <c r="D126" s="936"/>
      <c r="E126" s="936"/>
      <c r="F126" s="936"/>
      <c r="G126" s="936"/>
      <c r="H126" s="936"/>
      <c r="I126" s="936"/>
      <c r="J126" s="936"/>
      <c r="K126" s="936"/>
      <c r="L126" s="936"/>
      <c r="M126" s="936"/>
      <c r="N126" s="936"/>
      <c r="O126" s="936"/>
      <c r="P126" s="936"/>
      <c r="Q126" s="936"/>
      <c r="R126" s="936"/>
      <c r="S126" s="936"/>
      <c r="T126" s="936"/>
      <c r="U126" s="936"/>
      <c r="V126" s="936"/>
      <c r="W126" s="936"/>
      <c r="X126" s="936"/>
      <c r="Y126" s="936"/>
      <c r="Z126" s="936"/>
      <c r="AA126" s="936"/>
      <c r="AB126" s="936"/>
      <c r="AC126" s="936"/>
      <c r="AD126" s="936"/>
      <c r="AE126" s="936"/>
      <c r="AF126" s="936"/>
      <c r="AG126" s="936"/>
      <c r="AH126" s="936"/>
      <c r="AI126" s="936"/>
      <c r="AJ126" s="46"/>
      <c r="AK126" s="46"/>
      <c r="AL126" s="936"/>
      <c r="AM126" s="936"/>
      <c r="AN126" s="936"/>
      <c r="AO126" s="46"/>
    </row>
    <row r="127" spans="1:41" ht="15" customHeight="1">
      <c r="A127" s="46"/>
      <c r="B127" s="48"/>
      <c r="C127" s="46"/>
      <c r="D127" s="936"/>
      <c r="E127" s="936"/>
      <c r="F127" s="936"/>
      <c r="G127" s="936"/>
      <c r="H127" s="936"/>
      <c r="I127" s="936"/>
      <c r="J127" s="936"/>
      <c r="K127" s="936"/>
      <c r="L127" s="936"/>
      <c r="M127" s="936"/>
      <c r="N127" s="936"/>
      <c r="O127" s="936"/>
      <c r="P127" s="936"/>
      <c r="Q127" s="936"/>
      <c r="R127" s="936"/>
      <c r="S127" s="936"/>
      <c r="T127" s="936"/>
      <c r="U127" s="936"/>
      <c r="V127" s="936"/>
      <c r="W127" s="936"/>
      <c r="X127" s="936"/>
      <c r="Y127" s="936"/>
      <c r="Z127" s="936"/>
      <c r="AA127" s="936"/>
      <c r="AB127" s="936"/>
      <c r="AC127" s="936"/>
      <c r="AD127" s="936"/>
      <c r="AE127" s="936"/>
      <c r="AF127" s="936"/>
      <c r="AG127" s="936"/>
      <c r="AH127" s="936"/>
      <c r="AI127" s="936"/>
      <c r="AJ127" s="46"/>
      <c r="AK127" s="46"/>
      <c r="AL127" s="936"/>
      <c r="AM127" s="936"/>
      <c r="AN127" s="936"/>
      <c r="AO127" s="46"/>
    </row>
    <row r="128" spans="1:41" ht="15" customHeight="1">
      <c r="A128" s="46"/>
      <c r="B128" s="48"/>
      <c r="C128" s="46"/>
      <c r="D128" s="936"/>
      <c r="E128" s="936"/>
      <c r="F128" s="936"/>
      <c r="G128" s="936"/>
      <c r="H128" s="936"/>
      <c r="I128" s="936"/>
      <c r="J128" s="936"/>
      <c r="K128" s="936"/>
      <c r="L128" s="936"/>
      <c r="M128" s="936"/>
      <c r="N128" s="936"/>
      <c r="O128" s="936"/>
      <c r="P128" s="936"/>
      <c r="Q128" s="936"/>
      <c r="R128" s="936"/>
      <c r="S128" s="936"/>
      <c r="T128" s="936"/>
      <c r="U128" s="936"/>
      <c r="V128" s="936"/>
      <c r="W128" s="936"/>
      <c r="X128" s="936"/>
      <c r="Y128" s="936"/>
      <c r="Z128" s="936"/>
      <c r="AA128" s="936"/>
      <c r="AB128" s="936"/>
      <c r="AC128" s="936"/>
      <c r="AD128" s="936"/>
      <c r="AE128" s="936"/>
      <c r="AF128" s="936"/>
      <c r="AG128" s="936"/>
      <c r="AH128" s="936"/>
      <c r="AI128" s="936"/>
      <c r="AJ128" s="46"/>
      <c r="AK128" s="46"/>
      <c r="AL128" s="936"/>
      <c r="AM128" s="936"/>
      <c r="AN128" s="936"/>
      <c r="AO128" s="46"/>
    </row>
    <row r="129" spans="1:41" ht="15" customHeight="1">
      <c r="A129" s="46"/>
      <c r="B129" s="48"/>
      <c r="C129" s="46"/>
      <c r="D129" s="936"/>
      <c r="E129" s="936"/>
      <c r="F129" s="936"/>
      <c r="G129" s="936"/>
      <c r="H129" s="936"/>
      <c r="I129" s="936"/>
      <c r="J129" s="936"/>
      <c r="K129" s="936"/>
      <c r="L129" s="936"/>
      <c r="M129" s="936"/>
      <c r="N129" s="936"/>
      <c r="O129" s="936"/>
      <c r="P129" s="936"/>
      <c r="Q129" s="936"/>
      <c r="R129" s="936"/>
      <c r="S129" s="936"/>
      <c r="T129" s="936"/>
      <c r="U129" s="936"/>
      <c r="V129" s="936"/>
      <c r="W129" s="936"/>
      <c r="X129" s="936"/>
      <c r="Y129" s="936"/>
      <c r="Z129" s="936"/>
      <c r="AA129" s="936"/>
      <c r="AB129" s="936"/>
      <c r="AC129" s="936"/>
      <c r="AD129" s="936"/>
      <c r="AE129" s="936"/>
      <c r="AF129" s="936"/>
      <c r="AG129" s="936"/>
      <c r="AH129" s="936"/>
      <c r="AI129" s="936"/>
      <c r="AJ129" s="46"/>
      <c r="AK129" s="46"/>
      <c r="AL129" s="936"/>
      <c r="AM129" s="936"/>
      <c r="AN129" s="936"/>
      <c r="AO129" s="46"/>
    </row>
    <row r="130" spans="1:41" ht="15" customHeight="1">
      <c r="A130" s="46"/>
      <c r="B130" s="48"/>
      <c r="C130" s="46"/>
      <c r="D130" s="936"/>
      <c r="E130" s="936"/>
      <c r="F130" s="936"/>
      <c r="G130" s="936"/>
      <c r="H130" s="936"/>
      <c r="I130" s="936"/>
      <c r="J130" s="936"/>
      <c r="K130" s="936"/>
      <c r="L130" s="936"/>
      <c r="M130" s="936"/>
      <c r="N130" s="936"/>
      <c r="O130" s="936"/>
      <c r="P130" s="936"/>
      <c r="Q130" s="936"/>
      <c r="R130" s="936"/>
      <c r="S130" s="936"/>
      <c r="T130" s="936"/>
      <c r="U130" s="936"/>
      <c r="V130" s="936"/>
      <c r="W130" s="936"/>
      <c r="X130" s="936"/>
      <c r="Y130" s="936"/>
      <c r="Z130" s="936"/>
      <c r="AA130" s="936"/>
      <c r="AB130" s="936"/>
      <c r="AC130" s="936"/>
      <c r="AD130" s="936"/>
      <c r="AE130" s="936"/>
      <c r="AF130" s="936"/>
      <c r="AG130" s="936"/>
      <c r="AH130" s="936"/>
      <c r="AI130" s="936"/>
      <c r="AJ130" s="46"/>
      <c r="AK130" s="46"/>
      <c r="AL130" s="936"/>
      <c r="AM130" s="936"/>
      <c r="AN130" s="936"/>
      <c r="AO130" s="46"/>
    </row>
    <row r="131" spans="1:41" ht="15" customHeight="1">
      <c r="A131" s="46"/>
      <c r="B131" s="48"/>
      <c r="C131" s="46"/>
      <c r="D131" s="936"/>
      <c r="E131" s="936"/>
      <c r="F131" s="936"/>
      <c r="G131" s="936"/>
      <c r="H131" s="936"/>
      <c r="I131" s="936"/>
      <c r="J131" s="936"/>
      <c r="K131" s="936"/>
      <c r="L131" s="936"/>
      <c r="M131" s="936"/>
      <c r="N131" s="936"/>
      <c r="O131" s="936"/>
      <c r="P131" s="936"/>
      <c r="Q131" s="936"/>
      <c r="R131" s="936"/>
      <c r="S131" s="936"/>
      <c r="T131" s="936"/>
      <c r="U131" s="936"/>
      <c r="V131" s="936"/>
      <c r="W131" s="936"/>
      <c r="X131" s="936"/>
      <c r="Y131" s="936"/>
      <c r="Z131" s="936"/>
      <c r="AA131" s="936"/>
      <c r="AB131" s="936"/>
      <c r="AC131" s="936"/>
      <c r="AD131" s="936"/>
      <c r="AE131" s="936"/>
      <c r="AF131" s="936"/>
      <c r="AG131" s="936"/>
      <c r="AH131" s="936"/>
      <c r="AI131" s="936"/>
      <c r="AJ131" s="46"/>
      <c r="AK131" s="46"/>
      <c r="AL131" s="936"/>
      <c r="AM131" s="936"/>
      <c r="AN131" s="936"/>
      <c r="AO131" s="46"/>
    </row>
    <row r="132" spans="1:41" ht="15" customHeight="1">
      <c r="A132" s="46"/>
      <c r="B132" s="48"/>
      <c r="C132" s="46"/>
      <c r="D132" s="936"/>
      <c r="E132" s="936"/>
      <c r="F132" s="936"/>
      <c r="G132" s="936"/>
      <c r="H132" s="936"/>
      <c r="I132" s="936"/>
      <c r="J132" s="936"/>
      <c r="K132" s="936"/>
      <c r="L132" s="936"/>
      <c r="M132" s="936"/>
      <c r="N132" s="936"/>
      <c r="O132" s="936"/>
      <c r="P132" s="936"/>
      <c r="Q132" s="936"/>
      <c r="R132" s="936"/>
      <c r="S132" s="936"/>
      <c r="T132" s="936"/>
      <c r="U132" s="936"/>
      <c r="V132" s="936"/>
      <c r="W132" s="936"/>
      <c r="X132" s="936"/>
      <c r="Y132" s="936"/>
      <c r="Z132" s="936"/>
      <c r="AA132" s="936"/>
      <c r="AB132" s="936"/>
      <c r="AC132" s="936"/>
      <c r="AD132" s="936"/>
      <c r="AE132" s="936"/>
      <c r="AF132" s="936"/>
      <c r="AG132" s="936"/>
      <c r="AH132" s="936"/>
      <c r="AI132" s="936"/>
      <c r="AJ132" s="46"/>
      <c r="AK132" s="46"/>
      <c r="AL132" s="936"/>
      <c r="AM132" s="936"/>
      <c r="AN132" s="936"/>
      <c r="AO132" s="46"/>
    </row>
    <row r="133" spans="1:41" ht="15" customHeight="1">
      <c r="A133" s="46"/>
      <c r="B133" s="48"/>
      <c r="C133" s="46"/>
      <c r="D133" s="936"/>
      <c r="E133" s="936"/>
      <c r="F133" s="936"/>
      <c r="G133" s="936"/>
      <c r="H133" s="936"/>
      <c r="I133" s="936"/>
      <c r="J133" s="936"/>
      <c r="K133" s="936"/>
      <c r="L133" s="936"/>
      <c r="M133" s="936"/>
      <c r="N133" s="936"/>
      <c r="O133" s="936"/>
      <c r="P133" s="936"/>
      <c r="Q133" s="936"/>
      <c r="R133" s="936"/>
      <c r="S133" s="936"/>
      <c r="T133" s="936"/>
      <c r="U133" s="936"/>
      <c r="V133" s="936"/>
      <c r="W133" s="936"/>
      <c r="X133" s="936"/>
      <c r="Y133" s="936"/>
      <c r="Z133" s="936"/>
      <c r="AA133" s="936"/>
      <c r="AB133" s="936"/>
      <c r="AC133" s="936"/>
      <c r="AD133" s="936"/>
      <c r="AE133" s="936"/>
      <c r="AF133" s="936"/>
      <c r="AG133" s="936"/>
      <c r="AH133" s="936"/>
      <c r="AI133" s="936"/>
      <c r="AJ133" s="46"/>
      <c r="AK133" s="46"/>
      <c r="AL133" s="936"/>
      <c r="AM133" s="936"/>
      <c r="AN133" s="936"/>
      <c r="AO133" s="46"/>
    </row>
    <row r="134" spans="1:41" ht="15" customHeight="1">
      <c r="A134" s="46"/>
      <c r="B134" s="48"/>
      <c r="C134" s="46"/>
      <c r="D134" s="936"/>
      <c r="E134" s="936"/>
      <c r="F134" s="936"/>
      <c r="G134" s="936"/>
      <c r="H134" s="936"/>
      <c r="I134" s="936"/>
      <c r="J134" s="936"/>
      <c r="K134" s="936"/>
      <c r="L134" s="936"/>
      <c r="M134" s="936"/>
      <c r="N134" s="936"/>
      <c r="O134" s="936"/>
      <c r="P134" s="936"/>
      <c r="Q134" s="936"/>
      <c r="R134" s="936"/>
      <c r="S134" s="936"/>
      <c r="T134" s="936"/>
      <c r="U134" s="936"/>
      <c r="V134" s="936"/>
      <c r="W134" s="936"/>
      <c r="X134" s="936"/>
      <c r="Y134" s="936"/>
      <c r="Z134" s="936"/>
      <c r="AA134" s="936"/>
      <c r="AB134" s="936"/>
      <c r="AC134" s="936"/>
      <c r="AD134" s="936"/>
      <c r="AE134" s="936"/>
      <c r="AF134" s="936"/>
      <c r="AG134" s="936"/>
      <c r="AH134" s="936"/>
      <c r="AI134" s="936"/>
      <c r="AJ134" s="46"/>
      <c r="AK134" s="46"/>
      <c r="AL134" s="936"/>
      <c r="AM134" s="936"/>
      <c r="AN134" s="936"/>
      <c r="AO134" s="46"/>
    </row>
    <row r="135" spans="1:41" ht="15" customHeight="1">
      <c r="A135" s="46"/>
      <c r="B135" s="48"/>
      <c r="C135" s="46"/>
      <c r="D135" s="936"/>
      <c r="E135" s="936"/>
      <c r="F135" s="936"/>
      <c r="G135" s="936"/>
      <c r="H135" s="936"/>
      <c r="I135" s="936"/>
      <c r="J135" s="936"/>
      <c r="K135" s="936"/>
      <c r="L135" s="936"/>
      <c r="M135" s="936"/>
      <c r="N135" s="936"/>
      <c r="O135" s="936"/>
      <c r="P135" s="936"/>
      <c r="Q135" s="936"/>
      <c r="R135" s="936"/>
      <c r="S135" s="936"/>
      <c r="T135" s="936"/>
      <c r="U135" s="936"/>
      <c r="V135" s="936"/>
      <c r="W135" s="936"/>
      <c r="X135" s="936"/>
      <c r="Y135" s="936"/>
      <c r="Z135" s="936"/>
      <c r="AA135" s="936"/>
      <c r="AB135" s="936"/>
      <c r="AC135" s="936"/>
      <c r="AD135" s="936"/>
      <c r="AE135" s="936"/>
      <c r="AF135" s="936"/>
      <c r="AG135" s="936"/>
      <c r="AH135" s="936"/>
      <c r="AI135" s="936"/>
      <c r="AJ135" s="46"/>
      <c r="AK135" s="46"/>
      <c r="AL135" s="936"/>
      <c r="AM135" s="936"/>
      <c r="AN135" s="936"/>
      <c r="AO135" s="46"/>
    </row>
    <row r="136" spans="1:41" ht="15" customHeight="1">
      <c r="A136" s="46"/>
      <c r="B136" s="48"/>
      <c r="C136" s="46"/>
      <c r="D136" s="936"/>
      <c r="E136" s="936"/>
      <c r="F136" s="936"/>
      <c r="G136" s="936"/>
      <c r="H136" s="936"/>
      <c r="I136" s="936"/>
      <c r="J136" s="936"/>
      <c r="K136" s="936"/>
      <c r="L136" s="936"/>
      <c r="M136" s="936"/>
      <c r="N136" s="936"/>
      <c r="O136" s="936"/>
      <c r="P136" s="936"/>
      <c r="Q136" s="936"/>
      <c r="R136" s="936"/>
      <c r="S136" s="936"/>
      <c r="T136" s="936"/>
      <c r="U136" s="936"/>
      <c r="V136" s="936"/>
      <c r="W136" s="936"/>
      <c r="X136" s="936"/>
      <c r="Y136" s="936"/>
      <c r="Z136" s="936"/>
      <c r="AA136" s="936"/>
      <c r="AB136" s="936"/>
      <c r="AC136" s="936"/>
      <c r="AD136" s="936"/>
      <c r="AE136" s="936"/>
      <c r="AF136" s="936"/>
      <c r="AG136" s="936"/>
      <c r="AH136" s="936"/>
      <c r="AI136" s="936"/>
      <c r="AJ136" s="46"/>
      <c r="AK136" s="46"/>
      <c r="AL136" s="936"/>
      <c r="AM136" s="936"/>
      <c r="AN136" s="936"/>
      <c r="AO136" s="46"/>
    </row>
    <row r="137" spans="1:41" ht="15" customHeight="1">
      <c r="A137" s="46"/>
      <c r="B137" s="48"/>
      <c r="C137" s="46"/>
      <c r="D137" s="936"/>
      <c r="E137" s="936"/>
      <c r="F137" s="936"/>
      <c r="G137" s="936"/>
      <c r="H137" s="936"/>
      <c r="I137" s="936"/>
      <c r="J137" s="936"/>
      <c r="K137" s="936"/>
      <c r="L137" s="936"/>
      <c r="M137" s="936"/>
      <c r="N137" s="936"/>
      <c r="O137" s="936"/>
      <c r="P137" s="936"/>
      <c r="Q137" s="936"/>
      <c r="R137" s="936"/>
      <c r="S137" s="936"/>
      <c r="T137" s="936"/>
      <c r="U137" s="936"/>
      <c r="V137" s="936"/>
      <c r="W137" s="936"/>
      <c r="X137" s="936"/>
      <c r="Y137" s="936"/>
      <c r="Z137" s="936"/>
      <c r="AA137" s="936"/>
      <c r="AB137" s="936"/>
      <c r="AC137" s="936"/>
      <c r="AD137" s="936"/>
      <c r="AE137" s="936"/>
      <c r="AF137" s="936"/>
      <c r="AG137" s="936"/>
      <c r="AH137" s="936"/>
      <c r="AI137" s="936"/>
      <c r="AJ137" s="46"/>
      <c r="AK137" s="46"/>
      <c r="AL137" s="936"/>
      <c r="AM137" s="936"/>
      <c r="AN137" s="936"/>
      <c r="AO137" s="46"/>
    </row>
    <row r="138" spans="1:41" ht="15" customHeight="1">
      <c r="A138" s="46"/>
      <c r="B138" s="48"/>
      <c r="C138" s="46"/>
      <c r="D138" s="936"/>
      <c r="E138" s="936"/>
      <c r="F138" s="936"/>
      <c r="G138" s="936"/>
      <c r="H138" s="936"/>
      <c r="I138" s="936"/>
      <c r="J138" s="936"/>
      <c r="K138" s="936"/>
      <c r="L138" s="936"/>
      <c r="M138" s="936"/>
      <c r="N138" s="936"/>
      <c r="O138" s="936"/>
      <c r="P138" s="936"/>
      <c r="Q138" s="936"/>
      <c r="R138" s="936"/>
      <c r="S138" s="936"/>
      <c r="T138" s="936"/>
      <c r="U138" s="936"/>
      <c r="V138" s="936"/>
      <c r="W138" s="936"/>
      <c r="X138" s="936"/>
      <c r="Y138" s="936"/>
      <c r="Z138" s="936"/>
      <c r="AA138" s="936"/>
      <c r="AB138" s="936"/>
      <c r="AC138" s="936"/>
      <c r="AD138" s="936"/>
      <c r="AE138" s="936"/>
      <c r="AF138" s="936"/>
      <c r="AG138" s="936"/>
      <c r="AH138" s="936"/>
      <c r="AI138" s="936"/>
      <c r="AJ138" s="46"/>
      <c r="AK138" s="46"/>
      <c r="AL138" s="936"/>
      <c r="AM138" s="936"/>
      <c r="AN138" s="936"/>
      <c r="AO138" s="46"/>
    </row>
    <row r="139" spans="1:41" ht="15" customHeight="1">
      <c r="A139" s="46"/>
      <c r="B139" s="48"/>
      <c r="C139" s="46"/>
      <c r="D139" s="936"/>
      <c r="E139" s="936"/>
      <c r="F139" s="936"/>
      <c r="G139" s="936"/>
      <c r="H139" s="936"/>
      <c r="I139" s="936"/>
      <c r="J139" s="936"/>
      <c r="K139" s="936"/>
      <c r="L139" s="936"/>
      <c r="M139" s="936"/>
      <c r="N139" s="936"/>
      <c r="O139" s="936"/>
      <c r="P139" s="936"/>
      <c r="Q139" s="936"/>
      <c r="R139" s="936"/>
      <c r="S139" s="936"/>
      <c r="T139" s="936"/>
      <c r="U139" s="936"/>
      <c r="V139" s="936"/>
      <c r="W139" s="936"/>
      <c r="X139" s="936"/>
      <c r="Y139" s="936"/>
      <c r="Z139" s="936"/>
      <c r="AA139" s="936"/>
      <c r="AB139" s="936"/>
      <c r="AC139" s="936"/>
      <c r="AD139" s="936"/>
      <c r="AE139" s="936"/>
      <c r="AF139" s="936"/>
      <c r="AG139" s="936"/>
      <c r="AH139" s="936"/>
      <c r="AI139" s="936"/>
      <c r="AJ139" s="46"/>
      <c r="AK139" s="46"/>
      <c r="AL139" s="936"/>
      <c r="AM139" s="936"/>
      <c r="AN139" s="936"/>
      <c r="AO139" s="46"/>
    </row>
    <row r="140" spans="1:41" ht="15" customHeight="1">
      <c r="A140" s="46"/>
      <c r="B140" s="48"/>
      <c r="C140" s="46"/>
      <c r="D140" s="936"/>
      <c r="E140" s="936"/>
      <c r="F140" s="936"/>
      <c r="G140" s="936"/>
      <c r="H140" s="936"/>
      <c r="I140" s="936"/>
      <c r="J140" s="936"/>
      <c r="K140" s="936"/>
      <c r="L140" s="936"/>
      <c r="M140" s="936"/>
      <c r="N140" s="936"/>
      <c r="O140" s="936"/>
      <c r="P140" s="936"/>
      <c r="Q140" s="936"/>
      <c r="R140" s="936"/>
      <c r="S140" s="936"/>
      <c r="T140" s="936"/>
      <c r="U140" s="936"/>
      <c r="V140" s="936"/>
      <c r="W140" s="936"/>
      <c r="X140" s="936"/>
      <c r="Y140" s="936"/>
      <c r="Z140" s="936"/>
      <c r="AA140" s="936"/>
      <c r="AB140" s="936"/>
      <c r="AC140" s="936"/>
      <c r="AD140" s="936"/>
      <c r="AE140" s="936"/>
      <c r="AF140" s="936"/>
      <c r="AG140" s="936"/>
      <c r="AH140" s="936"/>
      <c r="AI140" s="936"/>
      <c r="AJ140" s="46"/>
      <c r="AK140" s="46"/>
      <c r="AL140" s="936"/>
      <c r="AM140" s="936"/>
      <c r="AN140" s="936"/>
      <c r="AO140" s="46"/>
    </row>
    <row r="141" spans="1:41" customFormat="1" ht="15">
      <c r="A141" s="272"/>
      <c r="B141" s="272"/>
      <c r="C141" s="951"/>
      <c r="D141" s="951"/>
      <c r="E141" s="951"/>
      <c r="F141" s="951"/>
      <c r="G141" s="951"/>
      <c r="H141" s="951"/>
      <c r="I141" s="951"/>
      <c r="J141" s="951"/>
      <c r="K141" s="951"/>
      <c r="L141" s="951"/>
      <c r="M141" s="951"/>
      <c r="N141" s="951"/>
      <c r="O141" s="951"/>
      <c r="P141" s="951"/>
      <c r="Q141" s="951"/>
      <c r="R141" s="951"/>
      <c r="S141" s="951"/>
      <c r="T141" s="951"/>
      <c r="U141" s="951"/>
      <c r="V141" s="951"/>
      <c r="W141" s="951"/>
      <c r="X141" s="951"/>
      <c r="Y141" s="951"/>
      <c r="Z141" s="951"/>
      <c r="AA141" s="951"/>
      <c r="AB141" s="951"/>
      <c r="AC141" s="951"/>
      <c r="AD141" s="951"/>
      <c r="AE141" s="951"/>
      <c r="AF141" s="951"/>
      <c r="AG141" s="951"/>
      <c r="AH141" s="951"/>
      <c r="AI141" s="951"/>
      <c r="AJ141" s="951"/>
      <c r="AK141" s="951"/>
      <c r="AL141" s="951"/>
      <c r="AM141" s="951"/>
      <c r="AN141" s="951"/>
      <c r="AO141" s="951"/>
    </row>
    <row r="142" spans="1:41" ht="12.75" hidden="1" customHeight="1">
      <c r="A142" s="46"/>
      <c r="B142" s="48" t="s">
        <v>205</v>
      </c>
      <c r="C142" s="46"/>
      <c r="D142" s="46"/>
      <c r="E142" s="46"/>
      <c r="F142" s="46"/>
      <c r="G142" s="46"/>
      <c r="H142" s="46"/>
      <c r="I142" s="46"/>
      <c r="J142" s="46"/>
      <c r="K142" s="46"/>
      <c r="L142" s="46"/>
      <c r="M142" s="46"/>
      <c r="N142" s="46"/>
      <c r="O142" s="46"/>
      <c r="P142" s="46"/>
      <c r="Q142" s="46"/>
      <c r="R142" s="46"/>
      <c r="S142" s="46"/>
      <c r="T142" s="46"/>
      <c r="U142" s="46"/>
      <c r="V142" s="46"/>
      <c r="W142" s="46"/>
      <c r="X142" s="46"/>
      <c r="Y142" s="952"/>
      <c r="Z142" s="952"/>
      <c r="AA142" s="952"/>
      <c r="AB142" s="952"/>
      <c r="AC142" s="952"/>
      <c r="AD142" s="952"/>
      <c r="AE142" s="952"/>
      <c r="AF142" s="952"/>
      <c r="AG142" s="952"/>
      <c r="AH142" s="952"/>
      <c r="AI142" s="952"/>
      <c r="AJ142" s="952"/>
      <c r="AK142" s="46"/>
      <c r="AL142" s="46"/>
      <c r="AM142" s="46"/>
      <c r="AN142" s="46"/>
      <c r="AO142" s="46"/>
    </row>
    <row r="143" spans="1:41" ht="14.25" hidden="1" customHeight="1">
      <c r="A143" s="46"/>
      <c r="B143" s="49"/>
      <c r="C143" s="46"/>
      <c r="D143" s="46"/>
      <c r="E143" s="50"/>
      <c r="F143" s="50"/>
      <c r="G143" s="50"/>
      <c r="H143" s="50"/>
      <c r="I143" s="50"/>
      <c r="J143" s="50"/>
      <c r="K143" s="50"/>
      <c r="L143" s="50"/>
      <c r="M143" s="50"/>
      <c r="N143" s="50"/>
      <c r="O143" s="50"/>
      <c r="P143" s="50"/>
      <c r="Q143" s="50"/>
      <c r="R143" s="50"/>
      <c r="S143" s="46"/>
      <c r="T143" s="46"/>
      <c r="U143" s="46"/>
      <c r="V143" s="46"/>
      <c r="W143" s="46"/>
      <c r="X143" s="46"/>
      <c r="Y143" s="952"/>
      <c r="Z143" s="952"/>
      <c r="AA143" s="952"/>
      <c r="AB143" s="952"/>
      <c r="AC143" s="952"/>
      <c r="AD143" s="952"/>
      <c r="AE143" s="952"/>
      <c r="AF143" s="952"/>
      <c r="AG143" s="952"/>
      <c r="AH143" s="952"/>
      <c r="AI143" s="952"/>
      <c r="AJ143" s="952"/>
      <c r="AK143" s="46"/>
      <c r="AL143" s="46"/>
      <c r="AM143" s="46"/>
      <c r="AN143" s="46"/>
      <c r="AO143" s="46"/>
    </row>
    <row r="144" spans="1:41" ht="15.75" hidden="1" customHeight="1">
      <c r="A144" s="46"/>
      <c r="B144" s="2806" t="s">
        <v>87</v>
      </c>
      <c r="C144" s="2807"/>
      <c r="D144" s="2807"/>
      <c r="E144" s="2807"/>
      <c r="F144" s="2808"/>
      <c r="G144" s="2812" t="s">
        <v>88</v>
      </c>
      <c r="H144" s="2813"/>
      <c r="I144" s="2813"/>
      <c r="J144" s="2813"/>
      <c r="K144" s="2814"/>
      <c r="L144" s="2818" t="s">
        <v>89</v>
      </c>
      <c r="M144" s="2819"/>
      <c r="N144" s="2819"/>
      <c r="O144" s="2819"/>
      <c r="P144" s="2819"/>
      <c r="Q144" s="2819"/>
      <c r="R144" s="2820"/>
      <c r="S144" s="2818" t="s">
        <v>90</v>
      </c>
      <c r="T144" s="2819"/>
      <c r="U144" s="2819"/>
      <c r="V144" s="2819"/>
      <c r="W144" s="2819"/>
      <c r="X144" s="2819"/>
      <c r="Y144" s="2819"/>
      <c r="Z144" s="2820"/>
      <c r="AA144" s="2818" t="s">
        <v>91</v>
      </c>
      <c r="AB144" s="2819"/>
      <c r="AC144" s="2819"/>
      <c r="AD144" s="2819"/>
      <c r="AE144" s="2819"/>
      <c r="AF144" s="2819"/>
      <c r="AG144" s="2820"/>
      <c r="AH144" s="2818" t="s">
        <v>92</v>
      </c>
      <c r="AI144" s="2819"/>
      <c r="AJ144" s="2819"/>
      <c r="AK144" s="2819"/>
      <c r="AL144" s="2819"/>
      <c r="AM144" s="2819"/>
      <c r="AN144" s="2821"/>
      <c r="AO144" s="46"/>
    </row>
    <row r="145" spans="1:41" ht="16.5" hidden="1" customHeight="1" thickBot="1">
      <c r="A145" s="46"/>
      <c r="B145" s="2809"/>
      <c r="C145" s="2810"/>
      <c r="D145" s="2810"/>
      <c r="E145" s="2810"/>
      <c r="F145" s="2811"/>
      <c r="G145" s="2815"/>
      <c r="H145" s="2816"/>
      <c r="I145" s="2816"/>
      <c r="J145" s="2816"/>
      <c r="K145" s="2817"/>
      <c r="L145" s="2795" t="s">
        <v>32</v>
      </c>
      <c r="M145" s="2796"/>
      <c r="N145" s="2796"/>
      <c r="O145" s="2796"/>
      <c r="P145" s="2797"/>
      <c r="Q145" s="2795" t="s">
        <v>30</v>
      </c>
      <c r="R145" s="2797"/>
      <c r="S145" s="2795" t="s">
        <v>32</v>
      </c>
      <c r="T145" s="2796"/>
      <c r="U145" s="2796"/>
      <c r="V145" s="2796"/>
      <c r="W145" s="2796"/>
      <c r="X145" s="2797"/>
      <c r="Y145" s="2795" t="s">
        <v>30</v>
      </c>
      <c r="Z145" s="2797"/>
      <c r="AA145" s="2795" t="s">
        <v>32</v>
      </c>
      <c r="AB145" s="2796"/>
      <c r="AC145" s="2796"/>
      <c r="AD145" s="2796"/>
      <c r="AE145" s="2797"/>
      <c r="AF145" s="2795" t="s">
        <v>30</v>
      </c>
      <c r="AG145" s="2797"/>
      <c r="AH145" s="2795" t="s">
        <v>32</v>
      </c>
      <c r="AI145" s="2796"/>
      <c r="AJ145" s="2796"/>
      <c r="AK145" s="2796"/>
      <c r="AL145" s="2797"/>
      <c r="AM145" s="2795" t="s">
        <v>30</v>
      </c>
      <c r="AN145" s="2798"/>
      <c r="AO145" s="46"/>
    </row>
    <row r="146" spans="1:41" ht="16.5" hidden="1" customHeight="1">
      <c r="A146" s="46"/>
      <c r="B146" s="2799" t="s">
        <v>20</v>
      </c>
      <c r="C146" s="2800"/>
      <c r="D146" s="2800"/>
      <c r="E146" s="2800"/>
      <c r="F146" s="2801"/>
      <c r="G146" s="2782">
        <f>'[13]FE-2'!H156</f>
        <v>13550641.68</v>
      </c>
      <c r="H146" s="2783"/>
      <c r="I146" s="2783"/>
      <c r="J146" s="2783"/>
      <c r="K146" s="2784"/>
      <c r="L146" s="2802">
        <v>13231739.710000001</v>
      </c>
      <c r="M146" s="2803"/>
      <c r="N146" s="2803"/>
      <c r="O146" s="2803"/>
      <c r="P146" s="2804"/>
      <c r="Q146" s="2787">
        <f>L146/G146</f>
        <v>0.97646591375294933</v>
      </c>
      <c r="R146" s="2805"/>
      <c r="S146" s="2782">
        <f>'[13]Curva S-1'!E31</f>
        <v>318901.96999999997</v>
      </c>
      <c r="T146" s="2783"/>
      <c r="U146" s="2783"/>
      <c r="V146" s="2783"/>
      <c r="W146" s="2783"/>
      <c r="X146" s="2784"/>
      <c r="Y146" s="2787">
        <f>S146/G146</f>
        <v>2.3534086247050699E-2</v>
      </c>
      <c r="Z146" s="2805"/>
      <c r="AA146" s="2782">
        <f>L146+S146</f>
        <v>13550641.680000002</v>
      </c>
      <c r="AB146" s="2783"/>
      <c r="AC146" s="2783"/>
      <c r="AD146" s="2783"/>
      <c r="AE146" s="2784"/>
      <c r="AF146" s="2785">
        <f>AA146/G146</f>
        <v>1.0000000000000002</v>
      </c>
      <c r="AG146" s="2786"/>
      <c r="AH146" s="2782">
        <f>G146-AA146</f>
        <v>0</v>
      </c>
      <c r="AI146" s="2783"/>
      <c r="AJ146" s="2783"/>
      <c r="AK146" s="2783"/>
      <c r="AL146" s="2784"/>
      <c r="AM146" s="2787">
        <f>AH146/G146</f>
        <v>0</v>
      </c>
      <c r="AN146" s="2788"/>
      <c r="AO146" s="46"/>
    </row>
    <row r="147" spans="1:41" ht="15.75" hidden="1" customHeight="1" thickBot="1">
      <c r="A147" s="46"/>
      <c r="B147" s="2789" t="s">
        <v>21</v>
      </c>
      <c r="C147" s="2790"/>
      <c r="D147" s="2790"/>
      <c r="E147" s="2790"/>
      <c r="F147" s="2791"/>
      <c r="G147" s="2792">
        <f>AA147</f>
        <v>5656630.2341</v>
      </c>
      <c r="H147" s="2793"/>
      <c r="I147" s="2793"/>
      <c r="J147" s="2793"/>
      <c r="K147" s="2794"/>
      <c r="L147" s="2792">
        <v>5528573.1699999999</v>
      </c>
      <c r="M147" s="2793"/>
      <c r="N147" s="2793"/>
      <c r="O147" s="2793"/>
      <c r="P147" s="2794"/>
      <c r="Q147" s="2773">
        <f>L147/G146</f>
        <v>0.4079934589488754</v>
      </c>
      <c r="R147" s="2774"/>
      <c r="S147" s="2770">
        <f>'[13]FE3-1 '!K544</f>
        <v>128057.06410000005</v>
      </c>
      <c r="T147" s="2771"/>
      <c r="U147" s="2771"/>
      <c r="V147" s="2771"/>
      <c r="W147" s="2771"/>
      <c r="X147" s="2772"/>
      <c r="Y147" s="2773">
        <f>S147/G146</f>
        <v>9.4502583068818962E-3</v>
      </c>
      <c r="Z147" s="2774"/>
      <c r="AA147" s="2770">
        <f>L147+S147</f>
        <v>5656630.2341</v>
      </c>
      <c r="AB147" s="2771"/>
      <c r="AC147" s="2771"/>
      <c r="AD147" s="2771"/>
      <c r="AE147" s="2772"/>
      <c r="AF147" s="2773">
        <f>AA147/G146</f>
        <v>0.4174437172557573</v>
      </c>
      <c r="AG147" s="2774"/>
      <c r="AH147" s="2770">
        <f>G146-AA147</f>
        <v>7894011.4458999997</v>
      </c>
      <c r="AI147" s="2771"/>
      <c r="AJ147" s="2771"/>
      <c r="AK147" s="2771"/>
      <c r="AL147" s="2772"/>
      <c r="AM147" s="2773">
        <f>AH147/G146</f>
        <v>0.58255628274424265</v>
      </c>
      <c r="AN147" s="2775"/>
      <c r="AO147" s="46"/>
    </row>
    <row r="148" spans="1:41" ht="15" hidden="1" customHeight="1">
      <c r="A148" s="46"/>
      <c r="B148" s="953"/>
      <c r="C148" s="953"/>
      <c r="D148" s="953"/>
      <c r="E148" s="953"/>
      <c r="F148" s="953"/>
      <c r="G148" s="954"/>
      <c r="H148" s="954"/>
      <c r="I148" s="954"/>
      <c r="J148" s="954"/>
      <c r="K148" s="954"/>
      <c r="L148" s="954"/>
      <c r="M148" s="954"/>
      <c r="N148" s="954"/>
      <c r="O148" s="954"/>
      <c r="P148" s="954"/>
      <c r="Q148" s="955"/>
      <c r="R148" s="955"/>
      <c r="S148" s="954"/>
      <c r="T148" s="954"/>
      <c r="U148" s="954"/>
      <c r="V148" s="954"/>
      <c r="W148" s="954"/>
      <c r="X148" s="954"/>
      <c r="Y148" s="955"/>
      <c r="Z148" s="955"/>
      <c r="AA148" s="954"/>
      <c r="AB148" s="954"/>
      <c r="AC148" s="954"/>
      <c r="AD148" s="954"/>
      <c r="AE148" s="954"/>
      <c r="AF148" s="955"/>
      <c r="AG148" s="955"/>
      <c r="AH148" s="954"/>
      <c r="AI148" s="954"/>
      <c r="AJ148" s="954"/>
      <c r="AK148" s="954"/>
      <c r="AL148" s="954"/>
      <c r="AM148" s="955"/>
      <c r="AN148" s="955"/>
      <c r="AO148" s="46"/>
    </row>
    <row r="149" spans="1:41" ht="45" hidden="1" customHeight="1">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row>
    <row r="150" spans="1:41" ht="15" hidden="1" customHeight="1">
      <c r="B150" s="2776" t="s">
        <v>120</v>
      </c>
      <c r="C150" s="2777"/>
      <c r="D150" s="2777"/>
      <c r="E150" s="2777"/>
      <c r="F150" s="2778"/>
      <c r="G150" s="2776" t="s">
        <v>2</v>
      </c>
      <c r="H150" s="2777"/>
      <c r="I150" s="2777"/>
      <c r="J150" s="2777"/>
      <c r="K150" s="2777"/>
      <c r="L150" s="2777"/>
      <c r="M150" s="2777"/>
      <c r="N150" s="2777"/>
      <c r="O150" s="2777"/>
      <c r="P150" s="2777"/>
      <c r="Q150" s="2777"/>
      <c r="R150" s="2777"/>
      <c r="S150" s="2777"/>
      <c r="T150" s="2777"/>
      <c r="U150" s="2777"/>
      <c r="V150" s="2777"/>
      <c r="W150" s="2777"/>
      <c r="X150" s="2777"/>
      <c r="Y150" s="2777"/>
      <c r="Z150" s="2778"/>
      <c r="AA150" s="2776" t="s">
        <v>127</v>
      </c>
      <c r="AB150" s="2777"/>
      <c r="AC150" s="2777"/>
      <c r="AD150" s="2777"/>
      <c r="AE150" s="2777"/>
      <c r="AF150" s="2777"/>
      <c r="AG150" s="2777"/>
      <c r="AH150" s="2777"/>
      <c r="AI150" s="2777"/>
      <c r="AJ150" s="2777"/>
      <c r="AK150" s="2777"/>
      <c r="AL150" s="2778"/>
      <c r="AM150" s="42"/>
      <c r="AN150" s="42"/>
    </row>
    <row r="151" spans="1:41" ht="15" hidden="1" customHeight="1">
      <c r="B151" s="2779" t="s">
        <v>145</v>
      </c>
      <c r="C151" s="2780"/>
      <c r="D151" s="2780"/>
      <c r="E151" s="2780"/>
      <c r="F151" s="2781"/>
      <c r="G151" s="2779"/>
      <c r="H151" s="2780"/>
      <c r="I151" s="2780"/>
      <c r="J151" s="2780"/>
      <c r="K151" s="2780"/>
      <c r="L151" s="2780"/>
      <c r="M151" s="2780"/>
      <c r="N151" s="2780"/>
      <c r="O151" s="2780"/>
      <c r="P151" s="2780"/>
      <c r="Q151" s="2780"/>
      <c r="R151" s="2780"/>
      <c r="S151" s="2780"/>
      <c r="T151" s="2780"/>
      <c r="U151" s="2780"/>
      <c r="V151" s="2780"/>
      <c r="W151" s="2780"/>
      <c r="X151" s="2780"/>
      <c r="Y151" s="2780"/>
      <c r="Z151" s="2781"/>
      <c r="AA151" s="2779" t="s">
        <v>22</v>
      </c>
      <c r="AB151" s="2780"/>
      <c r="AC151" s="2780"/>
      <c r="AD151" s="2780"/>
      <c r="AE151" s="2780"/>
      <c r="AF151" s="2780"/>
      <c r="AG151" s="2780"/>
      <c r="AH151" s="2780"/>
      <c r="AI151" s="2780"/>
      <c r="AJ151" s="2780"/>
      <c r="AK151" s="2780"/>
      <c r="AL151" s="2781"/>
      <c r="AM151" s="42"/>
      <c r="AN151" s="42"/>
    </row>
    <row r="152" spans="1:41" ht="15" hidden="1" customHeight="1">
      <c r="B152" s="2752"/>
      <c r="C152" s="2753"/>
      <c r="D152" s="2753"/>
      <c r="E152" s="2753"/>
      <c r="F152" s="2754"/>
      <c r="G152" s="2767" t="s">
        <v>219</v>
      </c>
      <c r="H152" s="2768"/>
      <c r="I152" s="2768"/>
      <c r="J152" s="2768"/>
      <c r="K152" s="2768"/>
      <c r="L152" s="2768"/>
      <c r="M152" s="2768"/>
      <c r="N152" s="2768"/>
      <c r="O152" s="2768"/>
      <c r="P152" s="2768"/>
      <c r="Q152" s="2768"/>
      <c r="R152" s="2768"/>
      <c r="S152" s="2768"/>
      <c r="T152" s="2768"/>
      <c r="U152" s="2768"/>
      <c r="V152" s="2768"/>
      <c r="W152" s="2768"/>
      <c r="X152" s="2768"/>
      <c r="Y152" s="2768"/>
      <c r="Z152" s="2769"/>
      <c r="AA152" s="2755"/>
      <c r="AB152" s="2756"/>
      <c r="AC152" s="2756"/>
      <c r="AD152" s="2756"/>
      <c r="AE152" s="2756"/>
      <c r="AF152" s="2756"/>
      <c r="AG152" s="2756"/>
      <c r="AH152" s="2756"/>
      <c r="AI152" s="2756"/>
      <c r="AJ152" s="2756"/>
      <c r="AK152" s="2756"/>
      <c r="AL152" s="2757"/>
      <c r="AM152" s="42"/>
      <c r="AN152" s="42"/>
    </row>
    <row r="153" spans="1:41" s="2041" customFormat="1" ht="24" hidden="1" customHeight="1">
      <c r="B153" s="2758" t="s">
        <v>447</v>
      </c>
      <c r="C153" s="2759"/>
      <c r="D153" s="2759"/>
      <c r="E153" s="2759"/>
      <c r="F153" s="2760"/>
      <c r="G153" s="2761" t="s">
        <v>444</v>
      </c>
      <c r="H153" s="2762"/>
      <c r="I153" s="2762"/>
      <c r="J153" s="2762"/>
      <c r="K153" s="2762"/>
      <c r="L153" s="2762"/>
      <c r="M153" s="2762"/>
      <c r="N153" s="2762"/>
      <c r="O153" s="2762"/>
      <c r="P153" s="2762"/>
      <c r="Q153" s="2762"/>
      <c r="R153" s="2762"/>
      <c r="S153" s="2762"/>
      <c r="T153" s="2762"/>
      <c r="U153" s="2762"/>
      <c r="V153" s="2762"/>
      <c r="W153" s="2762"/>
      <c r="X153" s="2762"/>
      <c r="Y153" s="2762"/>
      <c r="Z153" s="2763"/>
      <c r="AA153" s="2764">
        <v>28406.66</v>
      </c>
      <c r="AB153" s="2765"/>
      <c r="AC153" s="2765"/>
      <c r="AD153" s="2765"/>
      <c r="AE153" s="2765"/>
      <c r="AF153" s="2765"/>
      <c r="AG153" s="2765"/>
      <c r="AH153" s="2765"/>
      <c r="AI153" s="2765"/>
      <c r="AJ153" s="2765"/>
      <c r="AK153" s="2765"/>
      <c r="AL153" s="2766"/>
      <c r="AM153" s="2040"/>
      <c r="AN153" s="2040"/>
    </row>
    <row r="154" spans="1:41" s="2041" customFormat="1" ht="24" hidden="1" customHeight="1">
      <c r="B154" s="2758" t="s">
        <v>422</v>
      </c>
      <c r="C154" s="2759"/>
      <c r="D154" s="2759"/>
      <c r="E154" s="2759"/>
      <c r="F154" s="2760"/>
      <c r="G154" s="2761" t="s">
        <v>445</v>
      </c>
      <c r="H154" s="2762"/>
      <c r="I154" s="2762"/>
      <c r="J154" s="2762"/>
      <c r="K154" s="2762"/>
      <c r="L154" s="2762"/>
      <c r="M154" s="2762"/>
      <c r="N154" s="2762"/>
      <c r="O154" s="2762"/>
      <c r="P154" s="2762"/>
      <c r="Q154" s="2762"/>
      <c r="R154" s="2762"/>
      <c r="S154" s="2762"/>
      <c r="T154" s="2762"/>
      <c r="U154" s="2762"/>
      <c r="V154" s="2762"/>
      <c r="W154" s="2762"/>
      <c r="X154" s="2762"/>
      <c r="Y154" s="2762"/>
      <c r="Z154" s="2763"/>
      <c r="AA154" s="2764">
        <v>92529.62</v>
      </c>
      <c r="AB154" s="2765"/>
      <c r="AC154" s="2765"/>
      <c r="AD154" s="2765"/>
      <c r="AE154" s="2765"/>
      <c r="AF154" s="2765"/>
      <c r="AG154" s="2765"/>
      <c r="AH154" s="2765"/>
      <c r="AI154" s="2765"/>
      <c r="AJ154" s="2765"/>
      <c r="AK154" s="2765"/>
      <c r="AL154" s="2766"/>
      <c r="AM154" s="2040"/>
      <c r="AN154" s="2040"/>
    </row>
    <row r="155" spans="1:41" s="2041" customFormat="1" ht="24" hidden="1" customHeight="1">
      <c r="B155" s="2758" t="s">
        <v>448</v>
      </c>
      <c r="C155" s="2759"/>
      <c r="D155" s="2759"/>
      <c r="E155" s="2759"/>
      <c r="F155" s="2760"/>
      <c r="G155" s="2761" t="s">
        <v>220</v>
      </c>
      <c r="H155" s="2762"/>
      <c r="I155" s="2762"/>
      <c r="J155" s="2762"/>
      <c r="K155" s="2762"/>
      <c r="L155" s="2762"/>
      <c r="M155" s="2762"/>
      <c r="N155" s="2762"/>
      <c r="O155" s="2762"/>
      <c r="P155" s="2762"/>
      <c r="Q155" s="2762"/>
      <c r="R155" s="2762"/>
      <c r="S155" s="2762"/>
      <c r="T155" s="2762"/>
      <c r="U155" s="2762"/>
      <c r="V155" s="2762"/>
      <c r="W155" s="2762"/>
      <c r="X155" s="2762"/>
      <c r="Y155" s="2762"/>
      <c r="Z155" s="2763"/>
      <c r="AA155" s="2764">
        <v>0</v>
      </c>
      <c r="AB155" s="2765"/>
      <c r="AC155" s="2765"/>
      <c r="AD155" s="2765"/>
      <c r="AE155" s="2765"/>
      <c r="AF155" s="2765"/>
      <c r="AG155" s="2765"/>
      <c r="AH155" s="2765"/>
      <c r="AI155" s="2765"/>
      <c r="AJ155" s="2765"/>
      <c r="AK155" s="2765"/>
      <c r="AL155" s="2766"/>
      <c r="AM155" s="2040"/>
      <c r="AN155" s="2040"/>
    </row>
    <row r="156" spans="1:41" ht="15" hidden="1" customHeight="1">
      <c r="B156" s="2752"/>
      <c r="C156" s="2753"/>
      <c r="D156" s="2753"/>
      <c r="E156" s="2753"/>
      <c r="F156" s="2754"/>
      <c r="G156" s="2752" t="s">
        <v>108</v>
      </c>
      <c r="H156" s="2753"/>
      <c r="I156" s="2753"/>
      <c r="J156" s="2753"/>
      <c r="K156" s="2753"/>
      <c r="L156" s="2753"/>
      <c r="M156" s="2753"/>
      <c r="N156" s="2753"/>
      <c r="O156" s="2753"/>
      <c r="P156" s="2753"/>
      <c r="Q156" s="2753"/>
      <c r="R156" s="2753"/>
      <c r="S156" s="2753"/>
      <c r="T156" s="2753"/>
      <c r="U156" s="2753"/>
      <c r="V156" s="2753"/>
      <c r="W156" s="2753"/>
      <c r="X156" s="2753"/>
      <c r="Y156" s="2753"/>
      <c r="Z156" s="2754"/>
      <c r="AA156" s="2755"/>
      <c r="AB156" s="2756"/>
      <c r="AC156" s="2756"/>
      <c r="AD156" s="2756"/>
      <c r="AE156" s="2756"/>
      <c r="AF156" s="2756"/>
      <c r="AG156" s="2756"/>
      <c r="AH156" s="2756"/>
      <c r="AI156" s="2756"/>
      <c r="AJ156" s="2756"/>
      <c r="AK156" s="2756"/>
      <c r="AL156" s="2757"/>
      <c r="AM156" s="42"/>
      <c r="AN156" s="42"/>
    </row>
    <row r="157" spans="1:41" s="2041" customFormat="1" ht="24" hidden="1" customHeight="1">
      <c r="B157" s="2758" t="s">
        <v>447</v>
      </c>
      <c r="C157" s="2759"/>
      <c r="D157" s="2759"/>
      <c r="E157" s="2759"/>
      <c r="F157" s="2760"/>
      <c r="G157" s="2761" t="s">
        <v>444</v>
      </c>
      <c r="H157" s="2762"/>
      <c r="I157" s="2762"/>
      <c r="J157" s="2762"/>
      <c r="K157" s="2762"/>
      <c r="L157" s="2762"/>
      <c r="M157" s="2762"/>
      <c r="N157" s="2762"/>
      <c r="O157" s="2762"/>
      <c r="P157" s="2762"/>
      <c r="Q157" s="2762"/>
      <c r="R157" s="2762"/>
      <c r="S157" s="2762"/>
      <c r="T157" s="2762"/>
      <c r="U157" s="2762"/>
      <c r="V157" s="2762"/>
      <c r="W157" s="2762"/>
      <c r="X157" s="2762"/>
      <c r="Y157" s="2762"/>
      <c r="Z157" s="2763"/>
      <c r="AA157" s="2764">
        <v>0</v>
      </c>
      <c r="AB157" s="2765"/>
      <c r="AC157" s="2765"/>
      <c r="AD157" s="2765"/>
      <c r="AE157" s="2765"/>
      <c r="AF157" s="2765"/>
      <c r="AG157" s="2765"/>
      <c r="AH157" s="2765"/>
      <c r="AI157" s="2765"/>
      <c r="AJ157" s="2765"/>
      <c r="AK157" s="2765"/>
      <c r="AL157" s="2766"/>
      <c r="AM157" s="2040"/>
      <c r="AN157" s="2040"/>
    </row>
    <row r="158" spans="1:41" s="2041" customFormat="1" ht="24" hidden="1" customHeight="1">
      <c r="B158" s="2758" t="s">
        <v>422</v>
      </c>
      <c r="C158" s="2759"/>
      <c r="D158" s="2759"/>
      <c r="E158" s="2759"/>
      <c r="F158" s="2760"/>
      <c r="G158" s="2761" t="s">
        <v>446</v>
      </c>
      <c r="H158" s="2762"/>
      <c r="I158" s="2762"/>
      <c r="J158" s="2762"/>
      <c r="K158" s="2762"/>
      <c r="L158" s="2762"/>
      <c r="M158" s="2762"/>
      <c r="N158" s="2762"/>
      <c r="O158" s="2762"/>
      <c r="P158" s="2762"/>
      <c r="Q158" s="2762"/>
      <c r="R158" s="2762"/>
      <c r="S158" s="2762"/>
      <c r="T158" s="2762"/>
      <c r="U158" s="2762"/>
      <c r="V158" s="2762"/>
      <c r="W158" s="2762"/>
      <c r="X158" s="2762"/>
      <c r="Y158" s="2762"/>
      <c r="Z158" s="2763"/>
      <c r="AA158" s="2764">
        <v>506.5</v>
      </c>
      <c r="AB158" s="2765"/>
      <c r="AC158" s="2765"/>
      <c r="AD158" s="2765"/>
      <c r="AE158" s="2765"/>
      <c r="AF158" s="2765"/>
      <c r="AG158" s="2765"/>
      <c r="AH158" s="2765"/>
      <c r="AI158" s="2765"/>
      <c r="AJ158" s="2765"/>
      <c r="AK158" s="2765"/>
      <c r="AL158" s="2766"/>
      <c r="AM158" s="2040"/>
      <c r="AN158" s="2040"/>
    </row>
    <row r="159" spans="1:41" s="2041" customFormat="1" ht="24" hidden="1" customHeight="1">
      <c r="B159" s="2758" t="s">
        <v>448</v>
      </c>
      <c r="C159" s="2759"/>
      <c r="D159" s="2759"/>
      <c r="E159" s="2759"/>
      <c r="F159" s="2760"/>
      <c r="G159" s="2761" t="s">
        <v>220</v>
      </c>
      <c r="H159" s="2762"/>
      <c r="I159" s="2762"/>
      <c r="J159" s="2762"/>
      <c r="K159" s="2762"/>
      <c r="L159" s="2762"/>
      <c r="M159" s="2762"/>
      <c r="N159" s="2762"/>
      <c r="O159" s="2762"/>
      <c r="P159" s="2762"/>
      <c r="Q159" s="2762"/>
      <c r="R159" s="2762"/>
      <c r="S159" s="2762"/>
      <c r="T159" s="2762"/>
      <c r="U159" s="2762"/>
      <c r="V159" s="2762"/>
      <c r="W159" s="2762"/>
      <c r="X159" s="2762"/>
      <c r="Y159" s="2762"/>
      <c r="Z159" s="2763"/>
      <c r="AA159" s="2764">
        <v>16718</v>
      </c>
      <c r="AB159" s="2765"/>
      <c r="AC159" s="2765"/>
      <c r="AD159" s="2765"/>
      <c r="AE159" s="2765"/>
      <c r="AF159" s="2765"/>
      <c r="AG159" s="2765"/>
      <c r="AH159" s="2765"/>
      <c r="AI159" s="2765"/>
      <c r="AJ159" s="2765"/>
      <c r="AK159" s="2765"/>
      <c r="AL159" s="2766"/>
      <c r="AM159" s="2040"/>
      <c r="AN159" s="2040"/>
    </row>
    <row r="160" spans="1:41" ht="15" hidden="1" customHeight="1">
      <c r="B160" s="2752"/>
      <c r="C160" s="2753"/>
      <c r="D160" s="2753"/>
      <c r="E160" s="2753"/>
      <c r="F160" s="2754"/>
      <c r="G160" s="2752"/>
      <c r="H160" s="2753"/>
      <c r="I160" s="2753"/>
      <c r="J160" s="2753"/>
      <c r="K160" s="2753"/>
      <c r="L160" s="2753"/>
      <c r="M160" s="2753"/>
      <c r="N160" s="2753"/>
      <c r="O160" s="2753"/>
      <c r="P160" s="2753"/>
      <c r="Q160" s="2753"/>
      <c r="R160" s="2753"/>
      <c r="S160" s="2753"/>
      <c r="T160" s="2753"/>
      <c r="U160" s="2753"/>
      <c r="V160" s="2753"/>
      <c r="W160" s="2753"/>
      <c r="X160" s="2753"/>
      <c r="Y160" s="2753"/>
      <c r="Z160" s="2754"/>
      <c r="AA160" s="2755"/>
      <c r="AB160" s="2756"/>
      <c r="AC160" s="2756"/>
      <c r="AD160" s="2756"/>
      <c r="AE160" s="2756"/>
      <c r="AF160" s="2756"/>
      <c r="AG160" s="2756"/>
      <c r="AH160" s="2756"/>
      <c r="AI160" s="2756"/>
      <c r="AJ160" s="2756"/>
      <c r="AK160" s="2756"/>
      <c r="AL160" s="2757"/>
      <c r="AM160" s="42"/>
      <c r="AN160" s="42"/>
    </row>
    <row r="161" spans="2:40" ht="15" hidden="1" customHeight="1">
      <c r="B161" s="2752"/>
      <c r="C161" s="2753"/>
      <c r="D161" s="2753"/>
      <c r="E161" s="2753"/>
      <c r="F161" s="2754"/>
      <c r="G161" s="2752"/>
      <c r="H161" s="2753"/>
      <c r="I161" s="2753"/>
      <c r="J161" s="2753"/>
      <c r="K161" s="2753"/>
      <c r="L161" s="2753"/>
      <c r="M161" s="2753"/>
      <c r="N161" s="2753"/>
      <c r="O161" s="2753"/>
      <c r="P161" s="2753"/>
      <c r="Q161" s="2753"/>
      <c r="R161" s="2753"/>
      <c r="S161" s="2753"/>
      <c r="T161" s="2753"/>
      <c r="U161" s="2753"/>
      <c r="V161" s="2753"/>
      <c r="W161" s="2753"/>
      <c r="X161" s="2753"/>
      <c r="Y161" s="2753"/>
      <c r="Z161" s="2754"/>
      <c r="AA161" s="2755"/>
      <c r="AB161" s="2756"/>
      <c r="AC161" s="2756"/>
      <c r="AD161" s="2756"/>
      <c r="AE161" s="2756"/>
      <c r="AF161" s="2756"/>
      <c r="AG161" s="2756"/>
      <c r="AH161" s="2756"/>
      <c r="AI161" s="2756"/>
      <c r="AJ161" s="2756"/>
      <c r="AK161" s="2756"/>
      <c r="AL161" s="2757"/>
      <c r="AM161" s="42"/>
      <c r="AN161" s="42"/>
    </row>
    <row r="162" spans="2:40" ht="18" hidden="1" customHeight="1">
      <c r="B162" s="2728"/>
      <c r="C162" s="2729"/>
      <c r="D162" s="2729"/>
      <c r="E162" s="2729"/>
      <c r="F162" s="2730"/>
      <c r="G162" s="2731" t="s">
        <v>10</v>
      </c>
      <c r="H162" s="2732"/>
      <c r="I162" s="2732"/>
      <c r="J162" s="2732"/>
      <c r="K162" s="2732"/>
      <c r="L162" s="2732"/>
      <c r="M162" s="2732"/>
      <c r="N162" s="2732"/>
      <c r="O162" s="2732"/>
      <c r="P162" s="2732"/>
      <c r="Q162" s="2732"/>
      <c r="R162" s="2732"/>
      <c r="S162" s="2732"/>
      <c r="T162" s="2732"/>
      <c r="U162" s="2732"/>
      <c r="V162" s="2732"/>
      <c r="W162" s="2732"/>
      <c r="X162" s="2732"/>
      <c r="Y162" s="2732"/>
      <c r="Z162" s="2733"/>
      <c r="AA162" s="2734">
        <f>+SUM(AA152:AL160)</f>
        <v>138160.78</v>
      </c>
      <c r="AB162" s="2735"/>
      <c r="AC162" s="2735"/>
      <c r="AD162" s="2735"/>
      <c r="AE162" s="2735"/>
      <c r="AF162" s="2735"/>
      <c r="AG162" s="2735"/>
      <c r="AH162" s="2735"/>
      <c r="AI162" s="2735"/>
      <c r="AJ162" s="2735"/>
      <c r="AK162" s="2735"/>
      <c r="AL162" s="2736"/>
      <c r="AM162" s="42"/>
      <c r="AN162" s="42"/>
    </row>
    <row r="163" spans="2:40" ht="15" hidden="1" customHeight="1">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c r="AM163" s="42"/>
      <c r="AN163" s="42"/>
    </row>
    <row r="164" spans="2:40" ht="12.75" hidden="1" customHeight="1">
      <c r="B164" s="2737" t="s">
        <v>93</v>
      </c>
      <c r="C164" s="2738"/>
      <c r="D164" s="2738"/>
      <c r="E164" s="2738"/>
      <c r="F164" s="2739"/>
      <c r="G164" s="2743" t="s">
        <v>94</v>
      </c>
      <c r="H164" s="2744"/>
      <c r="I164" s="2744"/>
      <c r="J164" s="2744"/>
      <c r="K164" s="2745"/>
      <c r="L164" s="2749" t="s">
        <v>89</v>
      </c>
      <c r="M164" s="2750"/>
      <c r="N164" s="2750"/>
      <c r="O164" s="2750"/>
      <c r="P164" s="2750"/>
      <c r="Q164" s="2750"/>
      <c r="R164" s="2751"/>
      <c r="S164" s="2749" t="s">
        <v>90</v>
      </c>
      <c r="T164" s="2750"/>
      <c r="U164" s="2750"/>
      <c r="V164" s="2750"/>
      <c r="W164" s="2750"/>
      <c r="X164" s="2750"/>
      <c r="Y164" s="2750"/>
      <c r="Z164" s="2751"/>
      <c r="AA164" s="2749" t="s">
        <v>91</v>
      </c>
      <c r="AB164" s="2750"/>
      <c r="AC164" s="2750"/>
      <c r="AD164" s="2750"/>
      <c r="AE164" s="2750"/>
      <c r="AF164" s="2750"/>
      <c r="AG164" s="2751"/>
      <c r="AH164" s="2749" t="s">
        <v>92</v>
      </c>
      <c r="AI164" s="2750"/>
      <c r="AJ164" s="2750"/>
      <c r="AK164" s="2750"/>
      <c r="AL164" s="2750"/>
      <c r="AM164" s="2750"/>
      <c r="AN164" s="2751"/>
    </row>
    <row r="165" spans="2:40" ht="30" hidden="1" customHeight="1">
      <c r="B165" s="2740"/>
      <c r="C165" s="2741"/>
      <c r="D165" s="2741"/>
      <c r="E165" s="2741"/>
      <c r="F165" s="2742"/>
      <c r="G165" s="2746"/>
      <c r="H165" s="2747"/>
      <c r="I165" s="2747"/>
      <c r="J165" s="2747"/>
      <c r="K165" s="2748"/>
      <c r="L165" s="2749" t="s">
        <v>32</v>
      </c>
      <c r="M165" s="2750"/>
      <c r="N165" s="2750"/>
      <c r="O165" s="2750"/>
      <c r="P165" s="2751"/>
      <c r="Q165" s="2749" t="s">
        <v>30</v>
      </c>
      <c r="R165" s="2751"/>
      <c r="S165" s="2749" t="s">
        <v>32</v>
      </c>
      <c r="T165" s="2750"/>
      <c r="U165" s="2750"/>
      <c r="V165" s="2750"/>
      <c r="W165" s="2750"/>
      <c r="X165" s="2751"/>
      <c r="Y165" s="2749" t="s">
        <v>30</v>
      </c>
      <c r="Z165" s="2751"/>
      <c r="AA165" s="2749" t="s">
        <v>32</v>
      </c>
      <c r="AB165" s="2750"/>
      <c r="AC165" s="2750"/>
      <c r="AD165" s="2750"/>
      <c r="AE165" s="2751"/>
      <c r="AF165" s="2749" t="s">
        <v>30</v>
      </c>
      <c r="AG165" s="2751"/>
      <c r="AH165" s="2749" t="s">
        <v>32</v>
      </c>
      <c r="AI165" s="2750"/>
      <c r="AJ165" s="2750"/>
      <c r="AK165" s="2750"/>
      <c r="AL165" s="2751"/>
      <c r="AM165" s="2749" t="s">
        <v>30</v>
      </c>
      <c r="AN165" s="2751"/>
    </row>
    <row r="166" spans="2:40" ht="15" hidden="1" customHeight="1">
      <c r="B166" s="2719" t="s">
        <v>20</v>
      </c>
      <c r="C166" s="2720"/>
      <c r="D166" s="2720"/>
      <c r="E166" s="2720"/>
      <c r="F166" s="2721"/>
      <c r="G166" s="2689">
        <f>'[13]FE-2'!H199</f>
        <v>18320866.542200003</v>
      </c>
      <c r="H166" s="2690"/>
      <c r="I166" s="2690"/>
      <c r="J166" s="2690"/>
      <c r="K166" s="2691"/>
      <c r="L166" s="2689">
        <f>'[13]FE-2'!M199</f>
        <v>14186117.87792222</v>
      </c>
      <c r="M166" s="2690"/>
      <c r="N166" s="2690"/>
      <c r="O166" s="2690"/>
      <c r="P166" s="2691"/>
      <c r="Q166" s="2687">
        <f>L166/G166</f>
        <v>0.77431478719885516</v>
      </c>
      <c r="R166" s="2688"/>
      <c r="S166" s="2689">
        <f>'[13]FE-2'!T199</f>
        <v>337087</v>
      </c>
      <c r="T166" s="2690"/>
      <c r="U166" s="2690"/>
      <c r="V166" s="2690"/>
      <c r="W166" s="2690"/>
      <c r="X166" s="2691"/>
      <c r="Y166" s="2687">
        <f>S166/G166</f>
        <v>1.8399075132366636E-2</v>
      </c>
      <c r="Z166" s="2688"/>
      <c r="AA166" s="2689">
        <f>'[13]FE-2'!AC199</f>
        <v>14523204.87792222</v>
      </c>
      <c r="AB166" s="2690"/>
      <c r="AC166" s="2690"/>
      <c r="AD166" s="2690"/>
      <c r="AE166" s="2691"/>
      <c r="AF166" s="2687">
        <f>AA166/G166</f>
        <v>0.79271386233122176</v>
      </c>
      <c r="AG166" s="2688"/>
      <c r="AH166" s="2689">
        <f>G166-AA166</f>
        <v>3797661.6642777827</v>
      </c>
      <c r="AI166" s="2690"/>
      <c r="AJ166" s="2690"/>
      <c r="AK166" s="2690"/>
      <c r="AL166" s="2691"/>
      <c r="AM166" s="2687">
        <f>AH166/G166</f>
        <v>0.20728613766877824</v>
      </c>
      <c r="AN166" s="2688"/>
    </row>
    <row r="167" spans="2:40" ht="15" hidden="1" customHeight="1">
      <c r="B167" s="2719" t="s">
        <v>21</v>
      </c>
      <c r="C167" s="2720"/>
      <c r="D167" s="2720"/>
      <c r="E167" s="2720"/>
      <c r="F167" s="2721"/>
      <c r="G167" s="2689">
        <f>'[13]FE-2'!H200</f>
        <v>11390073.735934202</v>
      </c>
      <c r="H167" s="2690"/>
      <c r="I167" s="2690"/>
      <c r="J167" s="2690"/>
      <c r="K167" s="2691"/>
      <c r="L167" s="2689">
        <f>'[13]FE-2'!M200</f>
        <v>10811893.665934201</v>
      </c>
      <c r="M167" s="2690"/>
      <c r="N167" s="2690"/>
      <c r="O167" s="2690"/>
      <c r="P167" s="2691"/>
      <c r="Q167" s="2687">
        <f>L167/G166</f>
        <v>0.5901409543609879</v>
      </c>
      <c r="R167" s="2688"/>
      <c r="S167" s="1873">
        <f>'[13]FE-2'!T200</f>
        <v>578180.06999999995</v>
      </c>
      <c r="T167" s="1874">
        <v>138160.78</v>
      </c>
      <c r="U167" s="1874">
        <v>138160.78</v>
      </c>
      <c r="V167" s="1874">
        <v>138160.78</v>
      </c>
      <c r="W167" s="1874">
        <v>138160.78</v>
      </c>
      <c r="X167" s="1875">
        <v>138160.78</v>
      </c>
      <c r="Y167" s="2687">
        <f>S167/G166</f>
        <v>3.1558554758762576E-2</v>
      </c>
      <c r="Z167" s="2688"/>
      <c r="AA167" s="2689">
        <f>'[13]FE-2'!AC200</f>
        <v>11390073.735934202</v>
      </c>
      <c r="AB167" s="2690"/>
      <c r="AC167" s="2690"/>
      <c r="AD167" s="2690"/>
      <c r="AE167" s="2691"/>
      <c r="AF167" s="2687">
        <f>AA167/G166</f>
        <v>0.62169950911975047</v>
      </c>
      <c r="AG167" s="2688"/>
      <c r="AH167" s="2689">
        <f>G166-AA167</f>
        <v>6930792.8062658012</v>
      </c>
      <c r="AI167" s="2690"/>
      <c r="AJ167" s="2690"/>
      <c r="AK167" s="2690"/>
      <c r="AL167" s="2691"/>
      <c r="AM167" s="2687">
        <f>AH167/G166</f>
        <v>0.37830049088024953</v>
      </c>
      <c r="AN167" s="2688"/>
    </row>
    <row r="168" spans="2:40" ht="15" hidden="1" customHeight="1"/>
    <row r="169" spans="2:40" ht="15">
      <c r="B169" s="48" t="s">
        <v>1118</v>
      </c>
      <c r="C169" s="46"/>
      <c r="D169" s="46"/>
      <c r="E169" s="46"/>
      <c r="F169" s="46"/>
      <c r="G169" s="46"/>
      <c r="H169" s="46"/>
      <c r="I169" s="46"/>
      <c r="J169" s="46"/>
      <c r="K169" s="46"/>
      <c r="L169" s="46"/>
      <c r="M169" s="46"/>
      <c r="N169" s="46"/>
      <c r="O169" s="46"/>
      <c r="P169" s="46"/>
      <c r="Q169" s="46"/>
      <c r="R169" s="46"/>
      <c r="S169" s="46"/>
      <c r="T169" s="46"/>
      <c r="U169" s="46"/>
      <c r="V169" s="46"/>
      <c r="W169" s="46"/>
      <c r="X169" s="46"/>
      <c r="Y169" s="952"/>
      <c r="Z169" s="952"/>
      <c r="AA169" s="952"/>
      <c r="AB169" s="952"/>
      <c r="AC169" s="952"/>
      <c r="AD169" s="952"/>
      <c r="AE169" s="952"/>
      <c r="AF169" s="952"/>
      <c r="AG169" s="952"/>
      <c r="AH169" s="952"/>
      <c r="AI169" s="952"/>
      <c r="AJ169" s="952"/>
      <c r="AK169" s="46"/>
      <c r="AL169" s="46"/>
      <c r="AM169" s="46"/>
      <c r="AN169" s="46"/>
    </row>
    <row r="170" spans="2:40" ht="15" hidden="1" customHeight="1">
      <c r="B170" s="49"/>
      <c r="C170" s="46"/>
      <c r="D170" s="46"/>
      <c r="E170" s="50"/>
      <c r="F170" s="50"/>
      <c r="G170" s="50"/>
      <c r="H170" s="50"/>
      <c r="I170" s="50"/>
      <c r="J170" s="50"/>
      <c r="K170" s="50"/>
      <c r="L170" s="50"/>
      <c r="M170" s="50"/>
      <c r="N170" s="50"/>
      <c r="O170" s="50"/>
      <c r="P170" s="50"/>
      <c r="Q170" s="50"/>
      <c r="R170" s="50"/>
      <c r="S170" s="46"/>
      <c r="T170" s="46"/>
      <c r="U170" s="46"/>
      <c r="V170" s="46"/>
      <c r="W170" s="46"/>
      <c r="X170" s="46"/>
      <c r="Y170" s="952"/>
      <c r="Z170" s="952"/>
      <c r="AA170" s="952"/>
      <c r="AB170" s="952"/>
      <c r="AC170" s="952"/>
      <c r="AD170" s="952"/>
      <c r="AE170" s="952"/>
      <c r="AF170" s="952"/>
      <c r="AG170" s="952"/>
      <c r="AH170" s="952"/>
      <c r="AI170" s="952"/>
      <c r="AJ170" s="952"/>
      <c r="AK170" s="46"/>
      <c r="AL170" s="46"/>
      <c r="AM170" s="46"/>
      <c r="AN170" s="46"/>
    </row>
    <row r="171" spans="2:40" ht="15" hidden="1" customHeight="1">
      <c r="B171" s="2722" t="s">
        <v>87</v>
      </c>
      <c r="C171" s="2723"/>
      <c r="D171" s="2723"/>
      <c r="E171" s="2723"/>
      <c r="F171" s="2724"/>
      <c r="G171" s="2709" t="s">
        <v>88</v>
      </c>
      <c r="H171" s="2710"/>
      <c r="I171" s="2710"/>
      <c r="J171" s="2710"/>
      <c r="K171" s="2711"/>
      <c r="L171" s="2715" t="s">
        <v>89</v>
      </c>
      <c r="M171" s="2716"/>
      <c r="N171" s="2716"/>
      <c r="O171" s="2716"/>
      <c r="P171" s="2716"/>
      <c r="Q171" s="2716"/>
      <c r="R171" s="2717"/>
      <c r="S171" s="2715" t="s">
        <v>90</v>
      </c>
      <c r="T171" s="2716"/>
      <c r="U171" s="2716"/>
      <c r="V171" s="2716"/>
      <c r="W171" s="2716"/>
      <c r="X171" s="2716"/>
      <c r="Y171" s="2716"/>
      <c r="Z171" s="2717"/>
      <c r="AA171" s="2715" t="s">
        <v>91</v>
      </c>
      <c r="AB171" s="2716"/>
      <c r="AC171" s="2716"/>
      <c r="AD171" s="2716"/>
      <c r="AE171" s="2716"/>
      <c r="AF171" s="2716"/>
      <c r="AG171" s="2717"/>
      <c r="AH171" s="2715" t="s">
        <v>92</v>
      </c>
      <c r="AI171" s="2716"/>
      <c r="AJ171" s="2716"/>
      <c r="AK171" s="2716"/>
      <c r="AL171" s="2716"/>
      <c r="AM171" s="2716"/>
      <c r="AN171" s="2717"/>
    </row>
    <row r="172" spans="2:40" ht="15" hidden="1" customHeight="1">
      <c r="B172" s="2725"/>
      <c r="C172" s="2726"/>
      <c r="D172" s="2726"/>
      <c r="E172" s="2726"/>
      <c r="F172" s="2727"/>
      <c r="G172" s="2712"/>
      <c r="H172" s="2713"/>
      <c r="I172" s="2713"/>
      <c r="J172" s="2713"/>
      <c r="K172" s="2714"/>
      <c r="L172" s="2652" t="s">
        <v>32</v>
      </c>
      <c r="M172" s="2653"/>
      <c r="N172" s="2653"/>
      <c r="O172" s="2653"/>
      <c r="P172" s="2654"/>
      <c r="Q172" s="2652" t="s">
        <v>30</v>
      </c>
      <c r="R172" s="2654"/>
      <c r="S172" s="2652" t="s">
        <v>32</v>
      </c>
      <c r="T172" s="2653"/>
      <c r="U172" s="2653"/>
      <c r="V172" s="2653"/>
      <c r="W172" s="2653"/>
      <c r="X172" s="2654"/>
      <c r="Y172" s="2652" t="s">
        <v>30</v>
      </c>
      <c r="Z172" s="2654"/>
      <c r="AA172" s="2652" t="s">
        <v>32</v>
      </c>
      <c r="AB172" s="2653"/>
      <c r="AC172" s="2653"/>
      <c r="AD172" s="2653"/>
      <c r="AE172" s="2654"/>
      <c r="AF172" s="2652" t="s">
        <v>30</v>
      </c>
      <c r="AG172" s="2654"/>
      <c r="AH172" s="2652" t="s">
        <v>32</v>
      </c>
      <c r="AI172" s="2653"/>
      <c r="AJ172" s="2653"/>
      <c r="AK172" s="2653"/>
      <c r="AL172" s="2654"/>
      <c r="AM172" s="2652" t="s">
        <v>30</v>
      </c>
      <c r="AN172" s="2654"/>
    </row>
    <row r="173" spans="2:40" ht="15" hidden="1" customHeight="1">
      <c r="B173" s="2652" t="s">
        <v>20</v>
      </c>
      <c r="C173" s="2653"/>
      <c r="D173" s="2653"/>
      <c r="E173" s="2653"/>
      <c r="F173" s="2654"/>
      <c r="G173" s="2718">
        <f>'[13]FE-2'!H224</f>
        <v>3361775.66</v>
      </c>
      <c r="H173" s="2644"/>
      <c r="I173" s="2644"/>
      <c r="J173" s="2644"/>
      <c r="K173" s="2645"/>
      <c r="L173" s="2718">
        <f>'[13]FE-2'!M224</f>
        <v>3088218.92</v>
      </c>
      <c r="M173" s="2644"/>
      <c r="N173" s="2644"/>
      <c r="O173" s="2644"/>
      <c r="P173" s="2645"/>
      <c r="Q173" s="2692">
        <f>L173/G173</f>
        <v>0.91862730661807446</v>
      </c>
      <c r="R173" s="2693"/>
      <c r="S173" s="2718">
        <f>'[13]FE-2'!T224</f>
        <v>273556.74</v>
      </c>
      <c r="T173" s="2644"/>
      <c r="U173" s="2644"/>
      <c r="V173" s="2644"/>
      <c r="W173" s="2644"/>
      <c r="X173" s="2645"/>
      <c r="Y173" s="2692">
        <f>S173/G173</f>
        <v>8.1372693381925432E-2</v>
      </c>
      <c r="Z173" s="2693"/>
      <c r="AA173" s="2718">
        <f>L173+S173</f>
        <v>3361775.66</v>
      </c>
      <c r="AB173" s="2644"/>
      <c r="AC173" s="2644"/>
      <c r="AD173" s="2644"/>
      <c r="AE173" s="2645"/>
      <c r="AF173" s="2692">
        <f>AA173/G173</f>
        <v>1</v>
      </c>
      <c r="AG173" s="2693"/>
      <c r="AH173" s="2718">
        <f>G173-AA173</f>
        <v>0</v>
      </c>
      <c r="AI173" s="2644"/>
      <c r="AJ173" s="2644"/>
      <c r="AK173" s="2644"/>
      <c r="AL173" s="2645"/>
      <c r="AM173" s="2692">
        <f>AH173/G173</f>
        <v>0</v>
      </c>
      <c r="AN173" s="2693"/>
    </row>
    <row r="174" spans="2:40" ht="15" hidden="1" customHeight="1">
      <c r="B174" s="2652" t="s">
        <v>21</v>
      </c>
      <c r="C174" s="2653"/>
      <c r="D174" s="2653"/>
      <c r="E174" s="2653"/>
      <c r="F174" s="2654"/>
      <c r="G174" s="2718">
        <f>'[13]FE-2'!H225</f>
        <v>0</v>
      </c>
      <c r="H174" s="2644"/>
      <c r="I174" s="2644"/>
      <c r="J174" s="2644"/>
      <c r="K174" s="2645"/>
      <c r="L174" s="2718">
        <f>'[13]FE-2'!M225</f>
        <v>0</v>
      </c>
      <c r="M174" s="2644"/>
      <c r="N174" s="2644"/>
      <c r="O174" s="2644"/>
      <c r="P174" s="2645"/>
      <c r="Q174" s="2692">
        <f>L174/G173</f>
        <v>0</v>
      </c>
      <c r="R174" s="2693"/>
      <c r="S174" s="2718">
        <f>'[13]FE-2'!T225</f>
        <v>0</v>
      </c>
      <c r="T174" s="2644"/>
      <c r="U174" s="2644"/>
      <c r="V174" s="2644"/>
      <c r="W174" s="2644"/>
      <c r="X174" s="2645"/>
      <c r="Y174" s="2692">
        <f>S174/G173</f>
        <v>0</v>
      </c>
      <c r="Z174" s="2693"/>
      <c r="AA174" s="2718">
        <f>L174+S174</f>
        <v>0</v>
      </c>
      <c r="AB174" s="2644"/>
      <c r="AC174" s="2644"/>
      <c r="AD174" s="2644"/>
      <c r="AE174" s="2645"/>
      <c r="AF174" s="2692">
        <f>AA174/G173</f>
        <v>0</v>
      </c>
      <c r="AG174" s="2693"/>
      <c r="AH174" s="2718">
        <f>G173-AA174</f>
        <v>3361775.66</v>
      </c>
      <c r="AI174" s="2644"/>
      <c r="AJ174" s="2644"/>
      <c r="AK174" s="2644"/>
      <c r="AL174" s="2645"/>
      <c r="AM174" s="2692">
        <f>AH174/G173</f>
        <v>1</v>
      </c>
      <c r="AN174" s="2693"/>
    </row>
    <row r="175" spans="2:40" ht="15" hidden="1" customHeight="1"/>
    <row r="177" spans="2:53" ht="15">
      <c r="B177" s="2694" t="s">
        <v>93</v>
      </c>
      <c r="C177" s="2695"/>
      <c r="D177" s="2695"/>
      <c r="E177" s="2695"/>
      <c r="F177" s="2696"/>
      <c r="G177" s="2700" t="s">
        <v>88</v>
      </c>
      <c r="H177" s="2701"/>
      <c r="I177" s="2701"/>
      <c r="J177" s="2701"/>
      <c r="K177" s="2702"/>
      <c r="L177" s="2706" t="s">
        <v>89</v>
      </c>
      <c r="M177" s="2707"/>
      <c r="N177" s="2707"/>
      <c r="O177" s="2707"/>
      <c r="P177" s="2707"/>
      <c r="Q177" s="2707"/>
      <c r="R177" s="2708"/>
      <c r="S177" s="2706" t="s">
        <v>90</v>
      </c>
      <c r="T177" s="2707"/>
      <c r="U177" s="2707"/>
      <c r="V177" s="2707"/>
      <c r="W177" s="2707"/>
      <c r="X177" s="2707"/>
      <c r="Y177" s="2707"/>
      <c r="Z177" s="2708"/>
      <c r="AA177" s="2706" t="s">
        <v>91</v>
      </c>
      <c r="AB177" s="2707"/>
      <c r="AC177" s="2707"/>
      <c r="AD177" s="2707"/>
      <c r="AE177" s="2707"/>
      <c r="AF177" s="2707"/>
      <c r="AG177" s="2708"/>
      <c r="AH177" s="2706" t="s">
        <v>92</v>
      </c>
      <c r="AI177" s="2707"/>
      <c r="AJ177" s="2707"/>
      <c r="AK177" s="2707"/>
      <c r="AL177" s="2707"/>
      <c r="AM177" s="2707"/>
      <c r="AN177" s="2708"/>
    </row>
    <row r="178" spans="2:53" ht="15.75" thickBot="1">
      <c r="B178" s="2697"/>
      <c r="C178" s="2698"/>
      <c r="D178" s="2698"/>
      <c r="E178" s="2698"/>
      <c r="F178" s="2699"/>
      <c r="G178" s="2703"/>
      <c r="H178" s="2704"/>
      <c r="I178" s="2704"/>
      <c r="J178" s="2704"/>
      <c r="K178" s="2705"/>
      <c r="L178" s="2706" t="s">
        <v>32</v>
      </c>
      <c r="M178" s="2707"/>
      <c r="N178" s="2707"/>
      <c r="O178" s="2707"/>
      <c r="P178" s="2708"/>
      <c r="Q178" s="2706" t="s">
        <v>30</v>
      </c>
      <c r="R178" s="2708"/>
      <c r="S178" s="2706" t="s">
        <v>32</v>
      </c>
      <c r="T178" s="2707"/>
      <c r="U178" s="2707"/>
      <c r="V178" s="2707"/>
      <c r="W178" s="2707"/>
      <c r="X178" s="2708"/>
      <c r="Y178" s="2706" t="s">
        <v>30</v>
      </c>
      <c r="Z178" s="2708"/>
      <c r="AA178" s="2706" t="s">
        <v>32</v>
      </c>
      <c r="AB178" s="2707"/>
      <c r="AC178" s="2707"/>
      <c r="AD178" s="2707"/>
      <c r="AE178" s="2708"/>
      <c r="AF178" s="2706" t="s">
        <v>30</v>
      </c>
      <c r="AG178" s="2708"/>
      <c r="AH178" s="1521" t="s">
        <v>32</v>
      </c>
      <c r="AI178" s="1522"/>
      <c r="AJ178" s="1522"/>
      <c r="AK178" s="1522"/>
      <c r="AL178" s="1523"/>
      <c r="AM178" s="2706" t="s">
        <v>30</v>
      </c>
      <c r="AN178" s="2708"/>
      <c r="AP178" s="1198"/>
      <c r="AQ178" s="1198"/>
      <c r="AR178" s="1198"/>
      <c r="AS178" s="1198"/>
    </row>
    <row r="179" spans="2:53" ht="15">
      <c r="B179" s="2652" t="s">
        <v>20</v>
      </c>
      <c r="C179" s="2653"/>
      <c r="D179" s="2653"/>
      <c r="E179" s="2653"/>
      <c r="F179" s="2654"/>
      <c r="G179" s="2241">
        <f>W38</f>
        <v>21915999.452200003</v>
      </c>
      <c r="H179" s="2242"/>
      <c r="I179" s="2242"/>
      <c r="J179" s="2242"/>
      <c r="K179" s="2243"/>
      <c r="L179" s="2684">
        <v>20252491.879999999</v>
      </c>
      <c r="M179" s="2685"/>
      <c r="N179" s="2685"/>
      <c r="O179" s="2685"/>
      <c r="P179" s="2686"/>
      <c r="Q179" s="2266">
        <f>L179/G179</f>
        <v>0.92409620305803508</v>
      </c>
      <c r="R179" s="2267"/>
      <c r="S179" s="2452">
        <v>1323308</v>
      </c>
      <c r="T179" s="2453"/>
      <c r="U179" s="2453"/>
      <c r="V179" s="2453"/>
      <c r="W179" s="2453"/>
      <c r="X179" s="2454"/>
      <c r="Y179" s="2266">
        <f>+S179/G179</f>
        <v>6.0380910434233555E-2</v>
      </c>
      <c r="Z179" s="2271"/>
      <c r="AA179" s="2325">
        <f>+L179+S179</f>
        <v>21575799.879999999</v>
      </c>
      <c r="AB179" s="2325"/>
      <c r="AC179" s="2325"/>
      <c r="AD179" s="2325"/>
      <c r="AE179" s="2325"/>
      <c r="AF179" s="2266">
        <f>+AA179/G179</f>
        <v>0.98447711349226863</v>
      </c>
      <c r="AG179" s="2267"/>
      <c r="AH179" s="2325">
        <f>+G179-AA179</f>
        <v>340199.57220000401</v>
      </c>
      <c r="AI179" s="2325"/>
      <c r="AJ179" s="2325"/>
      <c r="AK179" s="2325"/>
      <c r="AL179" s="2325"/>
      <c r="AM179" s="2266">
        <f>+AH179/G179</f>
        <v>1.5522886507731393E-2</v>
      </c>
      <c r="AN179" s="2267"/>
      <c r="AP179" s="1198"/>
      <c r="AQ179" s="1198"/>
      <c r="AR179" s="1198"/>
      <c r="AS179" s="1198"/>
    </row>
    <row r="180" spans="2:53" ht="15">
      <c r="B180" s="2652" t="s">
        <v>21</v>
      </c>
      <c r="C180" s="2653"/>
      <c r="D180" s="2653"/>
      <c r="E180" s="2653"/>
      <c r="F180" s="2654"/>
      <c r="G180" s="2263">
        <f>AA180</f>
        <v>16519898</v>
      </c>
      <c r="H180" s="2264"/>
      <c r="I180" s="2264"/>
      <c r="J180" s="2264"/>
      <c r="K180" s="2265"/>
      <c r="L180" s="2285">
        <v>15005495.33</v>
      </c>
      <c r="M180" s="2286"/>
      <c r="N180" s="2286"/>
      <c r="O180" s="2286"/>
      <c r="P180" s="2287"/>
      <c r="Q180" s="2266">
        <f>+L180/G179</f>
        <v>0.68468222782756538</v>
      </c>
      <c r="R180" s="2267"/>
      <c r="S180" s="2452">
        <f>AH223</f>
        <v>1514402.67</v>
      </c>
      <c r="T180" s="2453"/>
      <c r="U180" s="2453"/>
      <c r="V180" s="2453"/>
      <c r="W180" s="2453"/>
      <c r="X180" s="2454"/>
      <c r="Y180" s="2266">
        <f>+S180/G179</f>
        <v>6.9100324322556916E-2</v>
      </c>
      <c r="Z180" s="2271"/>
      <c r="AA180" s="2325">
        <f>+L180+S180</f>
        <v>16519898</v>
      </c>
      <c r="AB180" s="2325"/>
      <c r="AC180" s="2325"/>
      <c r="AD180" s="2325"/>
      <c r="AE180" s="2325"/>
      <c r="AF180" s="2266">
        <f>AA180/G179</f>
        <v>0.75378255215012224</v>
      </c>
      <c r="AG180" s="2267"/>
      <c r="AH180" s="2325">
        <f>+G179-AA180</f>
        <v>5396101.452200003</v>
      </c>
      <c r="AI180" s="2325"/>
      <c r="AJ180" s="2325"/>
      <c r="AK180" s="2325"/>
      <c r="AL180" s="2325"/>
      <c r="AM180" s="2266">
        <f>AH180/G179</f>
        <v>0.24621744784987773</v>
      </c>
      <c r="AN180" s="2267"/>
      <c r="AP180" s="1198"/>
      <c r="AQ180" s="1198"/>
      <c r="AR180" s="1198"/>
      <c r="AS180" s="1198"/>
    </row>
    <row r="181" spans="2:53" ht="15">
      <c r="B181" s="2652" t="s">
        <v>2478</v>
      </c>
      <c r="C181" s="2653"/>
      <c r="D181" s="2653"/>
      <c r="E181" s="2653"/>
      <c r="F181" s="2654"/>
      <c r="G181" s="2263">
        <v>6474481</v>
      </c>
      <c r="H181" s="2264"/>
      <c r="I181" s="2264"/>
      <c r="J181" s="2264"/>
      <c r="K181" s="2265"/>
      <c r="L181" s="2285">
        <v>4898973.47</v>
      </c>
      <c r="M181" s="2286"/>
      <c r="N181" s="2286"/>
      <c r="O181" s="2286"/>
      <c r="P181" s="2287"/>
      <c r="Q181" s="2266">
        <f>+L181/G181</f>
        <v>0.75665886887304168</v>
      </c>
      <c r="R181" s="2267"/>
      <c r="S181" s="2452">
        <f>S180</f>
        <v>1514402.67</v>
      </c>
      <c r="T181" s="2453"/>
      <c r="U181" s="2453"/>
      <c r="V181" s="2453"/>
      <c r="W181" s="2453"/>
      <c r="X181" s="2454"/>
      <c r="Y181" s="2266">
        <f>+S181/G181</f>
        <v>0.23390333062989913</v>
      </c>
      <c r="Z181" s="2271"/>
      <c r="AA181" s="2325">
        <f>+L181+S181</f>
        <v>6413376.1399999997</v>
      </c>
      <c r="AB181" s="2325"/>
      <c r="AC181" s="2325"/>
      <c r="AD181" s="2325"/>
      <c r="AE181" s="2325"/>
      <c r="AF181" s="2266">
        <f>AA181/G181</f>
        <v>0.99056219950294078</v>
      </c>
      <c r="AG181" s="2267"/>
      <c r="AH181" s="2325">
        <f>+G181-AA181</f>
        <v>61104.860000000335</v>
      </c>
      <c r="AI181" s="2325"/>
      <c r="AJ181" s="2325"/>
      <c r="AK181" s="2325"/>
      <c r="AL181" s="2325"/>
      <c r="AM181" s="2266">
        <f>AH181/G181</f>
        <v>9.437800497059199E-3</v>
      </c>
      <c r="AN181" s="2267"/>
    </row>
    <row r="183" spans="2:53" ht="15">
      <c r="B183" s="48" t="s">
        <v>1144</v>
      </c>
      <c r="C183" s="953"/>
      <c r="D183" s="953"/>
      <c r="E183" s="953"/>
      <c r="F183" s="953"/>
      <c r="G183" s="954"/>
      <c r="H183" s="954"/>
      <c r="I183" s="954"/>
      <c r="J183" s="954"/>
      <c r="K183" s="954"/>
      <c r="L183" s="954"/>
      <c r="M183" s="954"/>
      <c r="N183" s="954"/>
      <c r="O183" s="954"/>
      <c r="P183" s="954"/>
      <c r="Q183" s="955"/>
      <c r="R183" s="955"/>
      <c r="S183" s="954"/>
      <c r="T183" s="954"/>
      <c r="U183" s="954"/>
      <c r="V183" s="954"/>
      <c r="W183" s="954"/>
      <c r="X183" s="954"/>
      <c r="Y183" s="955"/>
      <c r="Z183" s="955"/>
      <c r="AA183" s="954"/>
      <c r="AB183" s="954"/>
      <c r="AC183" s="954"/>
      <c r="AD183" s="954"/>
      <c r="AE183" s="954"/>
      <c r="AF183" s="955"/>
      <c r="AG183" s="955"/>
      <c r="AH183" s="954"/>
      <c r="AI183" s="954"/>
      <c r="AJ183" s="954"/>
      <c r="AK183" s="954"/>
      <c r="AL183" s="954"/>
      <c r="AM183" s="955"/>
      <c r="AN183" s="955"/>
      <c r="AR183" s="2193">
        <f>4953436+900000</f>
        <v>5853436</v>
      </c>
      <c r="AS183" s="2194">
        <v>733133.78</v>
      </c>
      <c r="AT183" s="2194">
        <v>733133.78</v>
      </c>
      <c r="AU183" s="2194">
        <v>733133.78</v>
      </c>
      <c r="AV183" s="2194"/>
      <c r="AW183" s="2194">
        <v>733133.78</v>
      </c>
      <c r="AX183" s="2194">
        <v>733133.78</v>
      </c>
      <c r="AY183" s="2194">
        <v>733133.78</v>
      </c>
      <c r="AZ183" s="2194">
        <v>733133.78</v>
      </c>
      <c r="BA183" s="2195">
        <v>733133.78</v>
      </c>
    </row>
    <row r="184" spans="2:53" ht="15">
      <c r="B184" s="953"/>
      <c r="C184" s="953"/>
      <c r="D184" s="953"/>
      <c r="E184" s="953"/>
      <c r="F184" s="953"/>
      <c r="G184" s="954"/>
      <c r="H184" s="954"/>
      <c r="I184" s="954"/>
      <c r="J184" s="954"/>
      <c r="K184" s="954"/>
      <c r="L184" s="954"/>
      <c r="M184" s="954"/>
      <c r="N184" s="954"/>
      <c r="O184" s="954"/>
      <c r="P184" s="954"/>
      <c r="Q184" s="955"/>
      <c r="R184" s="955"/>
      <c r="S184" s="954"/>
      <c r="T184" s="954"/>
      <c r="U184" s="954"/>
      <c r="V184" s="954"/>
      <c r="W184" s="954"/>
      <c r="X184" s="954"/>
      <c r="Y184" s="955"/>
      <c r="Z184" s="955"/>
      <c r="AA184" s="954"/>
      <c r="AB184" s="954"/>
      <c r="AC184" s="954"/>
      <c r="AD184" s="954"/>
      <c r="AE184" s="954"/>
      <c r="AF184" s="955"/>
      <c r="AG184" s="955"/>
      <c r="AH184" s="954"/>
      <c r="AI184" s="954"/>
      <c r="AJ184" s="954"/>
      <c r="AK184" s="954"/>
      <c r="AL184" s="954"/>
      <c r="AM184" s="955"/>
      <c r="AN184" s="955"/>
    </row>
    <row r="185" spans="2:53" ht="14.25">
      <c r="B185" s="2682" t="s">
        <v>1133</v>
      </c>
      <c r="C185" s="2682"/>
      <c r="D185" s="2682"/>
      <c r="E185" s="2682"/>
      <c r="F185" s="2682"/>
      <c r="G185" s="994"/>
      <c r="H185" s="2683" t="s">
        <v>2</v>
      </c>
      <c r="I185" s="2683"/>
      <c r="J185" s="2683"/>
      <c r="K185" s="2683"/>
      <c r="L185" s="2683"/>
      <c r="M185" s="2683"/>
      <c r="N185" s="2683"/>
      <c r="O185" s="2683"/>
      <c r="P185" s="2683"/>
      <c r="Q185" s="2683"/>
      <c r="R185" s="2683"/>
      <c r="S185" s="2683"/>
      <c r="T185" s="2683"/>
      <c r="U185" s="2683"/>
      <c r="V185" s="2683"/>
      <c r="W185" s="2683"/>
      <c r="X185" s="2683"/>
      <c r="Y185" s="2683"/>
      <c r="Z185" s="2683"/>
      <c r="AA185" s="2683"/>
      <c r="AB185" s="2683"/>
      <c r="AC185" s="2683"/>
      <c r="AD185" s="2683"/>
      <c r="AE185" s="2683"/>
      <c r="AF185" s="2683"/>
      <c r="AG185" s="2683"/>
      <c r="AH185" s="2683" t="s">
        <v>1134</v>
      </c>
      <c r="AI185" s="2683"/>
      <c r="AJ185" s="2683"/>
      <c r="AK185" s="2683"/>
      <c r="AL185" s="2683"/>
      <c r="AM185" s="2683"/>
      <c r="AN185" s="2683"/>
    </row>
    <row r="186" spans="2:53" ht="15" customHeight="1">
      <c r="B186" s="2682"/>
      <c r="C186" s="2682"/>
      <c r="D186" s="2682"/>
      <c r="E186" s="2682"/>
      <c r="F186" s="2682"/>
      <c r="G186" s="995"/>
      <c r="H186" s="2683"/>
      <c r="I186" s="2683"/>
      <c r="J186" s="2683"/>
      <c r="K186" s="2683"/>
      <c r="L186" s="2683"/>
      <c r="M186" s="2683"/>
      <c r="N186" s="2683"/>
      <c r="O186" s="2683"/>
      <c r="P186" s="2683"/>
      <c r="Q186" s="2683"/>
      <c r="R186" s="2683"/>
      <c r="S186" s="2683"/>
      <c r="T186" s="2683"/>
      <c r="U186" s="2683"/>
      <c r="V186" s="2683"/>
      <c r="W186" s="2683"/>
      <c r="X186" s="2683"/>
      <c r="Y186" s="2683"/>
      <c r="Z186" s="2683"/>
      <c r="AA186" s="2683"/>
      <c r="AB186" s="2683"/>
      <c r="AC186" s="2683"/>
      <c r="AD186" s="2683"/>
      <c r="AE186" s="2683"/>
      <c r="AF186" s="2683"/>
      <c r="AG186" s="2683"/>
      <c r="AH186" s="2683"/>
      <c r="AI186" s="2683"/>
      <c r="AJ186" s="2683"/>
      <c r="AK186" s="2683"/>
      <c r="AL186" s="2683"/>
      <c r="AM186" s="2683"/>
      <c r="AN186" s="2683"/>
    </row>
    <row r="187" spans="2:53" ht="15">
      <c r="B187" s="2668" t="s">
        <v>33</v>
      </c>
      <c r="C187" s="2669"/>
      <c r="D187" s="2669"/>
      <c r="E187" s="2669"/>
      <c r="F187" s="2669"/>
      <c r="G187" s="2669"/>
      <c r="H187" s="2669"/>
      <c r="I187" s="2669"/>
      <c r="J187" s="2669"/>
      <c r="K187" s="2669"/>
      <c r="L187" s="2669"/>
      <c r="M187" s="2669"/>
      <c r="N187" s="2669"/>
      <c r="O187" s="2669"/>
      <c r="P187" s="2669"/>
      <c r="Q187" s="2669"/>
      <c r="R187" s="2669"/>
      <c r="S187" s="2669"/>
      <c r="T187" s="2669"/>
      <c r="U187" s="2669"/>
      <c r="V187" s="2669"/>
      <c r="W187" s="2669"/>
      <c r="X187" s="2669"/>
      <c r="Y187" s="2669"/>
      <c r="Z187" s="2669"/>
      <c r="AA187" s="2669"/>
      <c r="AB187" s="2669"/>
      <c r="AC187" s="2669"/>
      <c r="AD187" s="2669"/>
      <c r="AE187" s="2669"/>
      <c r="AF187" s="2669"/>
      <c r="AG187" s="2669"/>
      <c r="AH187" s="2670">
        <f>AH188+AH189+AH190</f>
        <v>1393306.4899999998</v>
      </c>
      <c r="AI187" s="2671"/>
      <c r="AJ187" s="2671"/>
      <c r="AK187" s="2671"/>
      <c r="AL187" s="2671"/>
      <c r="AM187" s="2671"/>
      <c r="AN187" s="2672"/>
    </row>
    <row r="188" spans="2:53" ht="14.25">
      <c r="B188" s="2633" t="s">
        <v>2192</v>
      </c>
      <c r="C188" s="2633"/>
      <c r="D188" s="2633"/>
      <c r="E188" s="2633"/>
      <c r="F188" s="2633"/>
      <c r="G188" s="2673"/>
      <c r="H188" s="2643" t="s">
        <v>1135</v>
      </c>
      <c r="I188" s="2643"/>
      <c r="J188" s="2643"/>
      <c r="K188" s="2643"/>
      <c r="L188" s="2643"/>
      <c r="M188" s="2643"/>
      <c r="N188" s="2643"/>
      <c r="O188" s="2643"/>
      <c r="P188" s="2643"/>
      <c r="Q188" s="2643"/>
      <c r="R188" s="2643"/>
      <c r="S188" s="2643"/>
      <c r="T188" s="2643"/>
      <c r="U188" s="2643"/>
      <c r="V188" s="2643"/>
      <c r="W188" s="2643"/>
      <c r="X188" s="2643"/>
      <c r="Y188" s="2643"/>
      <c r="Z188" s="2643"/>
      <c r="AA188" s="2643"/>
      <c r="AB188" s="2643"/>
      <c r="AC188" s="2643"/>
      <c r="AD188" s="2643"/>
      <c r="AE188" s="2643"/>
      <c r="AF188" s="2643"/>
      <c r="AG188" s="2643"/>
      <c r="AH188" s="2675">
        <v>53950.59</v>
      </c>
      <c r="AI188" s="2675"/>
      <c r="AJ188" s="2675"/>
      <c r="AK188" s="2675"/>
      <c r="AL188" s="2675"/>
      <c r="AM188" s="2675"/>
      <c r="AN188" s="2675"/>
      <c r="AP188" s="1519"/>
    </row>
    <row r="189" spans="2:53" ht="14.25">
      <c r="B189" s="2633" t="s">
        <v>2193</v>
      </c>
      <c r="C189" s="2633"/>
      <c r="D189" s="2633"/>
      <c r="E189" s="2633"/>
      <c r="F189" s="2633"/>
      <c r="G189" s="2674"/>
      <c r="H189" s="2643" t="s">
        <v>1136</v>
      </c>
      <c r="I189" s="2643"/>
      <c r="J189" s="2643"/>
      <c r="K189" s="2643"/>
      <c r="L189" s="2643"/>
      <c r="M189" s="2643"/>
      <c r="N189" s="2643"/>
      <c r="O189" s="2643"/>
      <c r="P189" s="2643"/>
      <c r="Q189" s="2643"/>
      <c r="R189" s="2643"/>
      <c r="S189" s="2643"/>
      <c r="T189" s="2643"/>
      <c r="U189" s="2643"/>
      <c r="V189" s="2643"/>
      <c r="W189" s="2643"/>
      <c r="X189" s="2643"/>
      <c r="Y189" s="2643"/>
      <c r="Z189" s="2643"/>
      <c r="AA189" s="2643"/>
      <c r="AB189" s="2643"/>
      <c r="AC189" s="2643"/>
      <c r="AD189" s="2643"/>
      <c r="AE189" s="2643"/>
      <c r="AF189" s="2643"/>
      <c r="AG189" s="2643"/>
      <c r="AH189" s="2675">
        <v>221710</v>
      </c>
      <c r="AI189" s="2675"/>
      <c r="AJ189" s="2675"/>
      <c r="AK189" s="2675"/>
      <c r="AL189" s="2675"/>
      <c r="AM189" s="2675"/>
      <c r="AN189" s="2675"/>
    </row>
    <row r="190" spans="2:53" ht="14.25">
      <c r="B190" s="2633" t="s">
        <v>2194</v>
      </c>
      <c r="C190" s="2633"/>
      <c r="D190" s="2633"/>
      <c r="E190" s="2633"/>
      <c r="F190" s="2633"/>
      <c r="G190" s="2674"/>
      <c r="H190" s="2631" t="s">
        <v>1137</v>
      </c>
      <c r="I190" s="2631"/>
      <c r="J190" s="2631"/>
      <c r="K190" s="2631"/>
      <c r="L190" s="2631"/>
      <c r="M190" s="2631"/>
      <c r="N190" s="2631"/>
      <c r="O190" s="2631"/>
      <c r="P190" s="2631"/>
      <c r="Q190" s="2631"/>
      <c r="R190" s="2631"/>
      <c r="S190" s="2631"/>
      <c r="T190" s="2631"/>
      <c r="U190" s="2631"/>
      <c r="V190" s="2631"/>
      <c r="W190" s="2631"/>
      <c r="X190" s="2631"/>
      <c r="Y190" s="2631"/>
      <c r="Z190" s="2631"/>
      <c r="AA190" s="2631"/>
      <c r="AB190" s="2631"/>
      <c r="AC190" s="2631"/>
      <c r="AD190" s="2631"/>
      <c r="AE190" s="2631"/>
      <c r="AF190" s="2631"/>
      <c r="AG190" s="2631"/>
      <c r="AH190" s="2675">
        <v>1117645.8999999999</v>
      </c>
      <c r="AI190" s="2675"/>
      <c r="AJ190" s="2675"/>
      <c r="AK190" s="2675"/>
      <c r="AL190" s="2675"/>
      <c r="AM190" s="2675"/>
      <c r="AN190" s="2675"/>
    </row>
    <row r="191" spans="2:53" ht="15" customHeight="1">
      <c r="B191" s="2633" t="s">
        <v>2201</v>
      </c>
      <c r="C191" s="2633"/>
      <c r="D191" s="2633"/>
      <c r="E191" s="2633"/>
      <c r="F191" s="2633"/>
      <c r="G191" s="2674"/>
      <c r="H191" s="2643" t="s">
        <v>1136</v>
      </c>
      <c r="I191" s="2643"/>
      <c r="J191" s="2643"/>
      <c r="K191" s="2643"/>
      <c r="L191" s="2643"/>
      <c r="M191" s="2643"/>
      <c r="N191" s="2643"/>
      <c r="O191" s="2643"/>
      <c r="P191" s="2643"/>
      <c r="Q191" s="2643"/>
      <c r="R191" s="2643"/>
      <c r="S191" s="2643"/>
      <c r="T191" s="2643"/>
      <c r="U191" s="2643"/>
      <c r="V191" s="2643"/>
      <c r="W191" s="2643"/>
      <c r="X191" s="2643"/>
      <c r="Y191" s="2643"/>
      <c r="Z191" s="2643"/>
      <c r="AA191" s="2643"/>
      <c r="AB191" s="2643"/>
      <c r="AC191" s="2643"/>
      <c r="AD191" s="2643"/>
      <c r="AE191" s="2643"/>
      <c r="AF191" s="2643"/>
      <c r="AG191" s="2643"/>
      <c r="AH191" s="1163"/>
      <c r="AI191" s="1164"/>
      <c r="AJ191" s="1164"/>
      <c r="AK191" s="2650">
        <v>0</v>
      </c>
      <c r="AL191" s="2650"/>
      <c r="AM191" s="2650"/>
      <c r="AN191" s="2651"/>
    </row>
    <row r="192" spans="2:53" ht="15" customHeight="1">
      <c r="B192" s="2633" t="s">
        <v>2259</v>
      </c>
      <c r="C192" s="2633"/>
      <c r="D192" s="2633"/>
      <c r="E192" s="2633"/>
      <c r="F192" s="2633"/>
      <c r="G192" s="2674"/>
      <c r="H192" s="2643" t="s">
        <v>2260</v>
      </c>
      <c r="I192" s="2643"/>
      <c r="J192" s="2643"/>
      <c r="K192" s="2643"/>
      <c r="L192" s="2643"/>
      <c r="M192" s="2643"/>
      <c r="N192" s="2643"/>
      <c r="O192" s="2643"/>
      <c r="P192" s="2643"/>
      <c r="Q192" s="2643"/>
      <c r="R192" s="2643"/>
      <c r="S192" s="2643"/>
      <c r="T192" s="2643"/>
      <c r="U192" s="2643"/>
      <c r="V192" s="2643"/>
      <c r="W192" s="2643"/>
      <c r="X192" s="2643"/>
      <c r="Y192" s="2643"/>
      <c r="Z192" s="2643"/>
      <c r="AA192" s="2643"/>
      <c r="AB192" s="2643"/>
      <c r="AC192" s="2643"/>
      <c r="AD192" s="2643"/>
      <c r="AE192" s="2643"/>
      <c r="AF192" s="2643"/>
      <c r="AG192" s="2643"/>
      <c r="AH192" s="1163"/>
      <c r="AI192" s="1164"/>
      <c r="AJ192" s="1164"/>
      <c r="AK192" s="1164"/>
      <c r="AL192" s="2650">
        <v>0</v>
      </c>
      <c r="AM192" s="2650"/>
      <c r="AN192" s="2651"/>
    </row>
    <row r="193" spans="2:40" ht="15" customHeight="1">
      <c r="B193" s="2633" t="s">
        <v>2256</v>
      </c>
      <c r="C193" s="2633"/>
      <c r="D193" s="2633"/>
      <c r="E193" s="2633"/>
      <c r="F193" s="2633"/>
      <c r="G193" s="2674"/>
      <c r="H193" s="991" t="s">
        <v>2257</v>
      </c>
      <c r="I193" s="992"/>
      <c r="J193" s="992"/>
      <c r="K193" s="992"/>
      <c r="L193" s="992"/>
      <c r="M193" s="992"/>
      <c r="N193" s="992"/>
      <c r="O193" s="992"/>
      <c r="P193" s="992"/>
      <c r="Q193" s="992"/>
      <c r="R193" s="992"/>
      <c r="S193" s="992"/>
      <c r="T193" s="992"/>
      <c r="U193" s="992"/>
      <c r="V193" s="992"/>
      <c r="W193" s="992"/>
      <c r="X193" s="992"/>
      <c r="Y193" s="992"/>
      <c r="Z193" s="992"/>
      <c r="AA193" s="992"/>
      <c r="AB193" s="992"/>
      <c r="AC193" s="992"/>
      <c r="AD193" s="992"/>
      <c r="AE193" s="992"/>
      <c r="AF193" s="992"/>
      <c r="AG193" s="993"/>
      <c r="AH193" s="1163"/>
      <c r="AI193" s="1164"/>
      <c r="AJ193" s="1164"/>
      <c r="AK193" s="1164"/>
      <c r="AL193" s="2650">
        <v>0</v>
      </c>
      <c r="AM193" s="2650"/>
      <c r="AN193" s="2651"/>
    </row>
    <row r="194" spans="2:40" ht="15" customHeight="1">
      <c r="B194" s="2633" t="s">
        <v>2198</v>
      </c>
      <c r="C194" s="2633"/>
      <c r="D194" s="2633"/>
      <c r="E194" s="2633"/>
      <c r="F194" s="2633"/>
      <c r="G194" s="2674"/>
      <c r="H194" s="2676" t="s">
        <v>2195</v>
      </c>
      <c r="I194" s="2677"/>
      <c r="J194" s="2677" t="s">
        <v>2195</v>
      </c>
      <c r="K194" s="2677"/>
      <c r="L194" s="2677" t="s">
        <v>2195</v>
      </c>
      <c r="M194" s="2677"/>
      <c r="N194" s="2677" t="s">
        <v>2195</v>
      </c>
      <c r="O194" s="2677"/>
      <c r="P194" s="2677" t="s">
        <v>2195</v>
      </c>
      <c r="Q194" s="2677"/>
      <c r="R194" s="2677" t="s">
        <v>2195</v>
      </c>
      <c r="S194" s="2677"/>
      <c r="T194" s="2677" t="s">
        <v>2195</v>
      </c>
      <c r="U194" s="2677"/>
      <c r="V194" s="2677" t="s">
        <v>2195</v>
      </c>
      <c r="W194" s="2677"/>
      <c r="X194" s="2677" t="s">
        <v>2195</v>
      </c>
      <c r="Y194" s="2677"/>
      <c r="Z194" s="2677" t="s">
        <v>2195</v>
      </c>
      <c r="AA194" s="2677"/>
      <c r="AB194" s="2677" t="s">
        <v>2195</v>
      </c>
      <c r="AC194" s="2677"/>
      <c r="AD194" s="2677" t="s">
        <v>2195</v>
      </c>
      <c r="AE194" s="2677"/>
      <c r="AF194" s="2677" t="s">
        <v>2195</v>
      </c>
      <c r="AG194" s="2678"/>
      <c r="AH194" s="2679">
        <v>0</v>
      </c>
      <c r="AI194" s="2680"/>
      <c r="AJ194" s="2680"/>
      <c r="AK194" s="2680"/>
      <c r="AL194" s="2680"/>
      <c r="AM194" s="2680"/>
      <c r="AN194" s="2681"/>
    </row>
    <row r="195" spans="2:40" ht="15" customHeight="1">
      <c r="B195" s="2633" t="s">
        <v>2199</v>
      </c>
      <c r="C195" s="2633"/>
      <c r="D195" s="2633"/>
      <c r="E195" s="2633"/>
      <c r="F195" s="2633"/>
      <c r="G195" s="2674"/>
      <c r="H195" s="2676" t="s">
        <v>2196</v>
      </c>
      <c r="I195" s="2677"/>
      <c r="J195" s="2677" t="s">
        <v>2196</v>
      </c>
      <c r="K195" s="2677"/>
      <c r="L195" s="2677" t="s">
        <v>2196</v>
      </c>
      <c r="M195" s="2677"/>
      <c r="N195" s="2677" t="s">
        <v>2196</v>
      </c>
      <c r="O195" s="2677"/>
      <c r="P195" s="2677" t="s">
        <v>2196</v>
      </c>
      <c r="Q195" s="2677"/>
      <c r="R195" s="2677" t="s">
        <v>2196</v>
      </c>
      <c r="S195" s="2677"/>
      <c r="T195" s="2677" t="s">
        <v>2196</v>
      </c>
      <c r="U195" s="2677"/>
      <c r="V195" s="2677" t="s">
        <v>2196</v>
      </c>
      <c r="W195" s="2677"/>
      <c r="X195" s="2677" t="s">
        <v>2196</v>
      </c>
      <c r="Y195" s="2677"/>
      <c r="Z195" s="2677" t="s">
        <v>2196</v>
      </c>
      <c r="AA195" s="2677"/>
      <c r="AB195" s="2677" t="s">
        <v>2196</v>
      </c>
      <c r="AC195" s="2677"/>
      <c r="AD195" s="2677" t="s">
        <v>2196</v>
      </c>
      <c r="AE195" s="2677"/>
      <c r="AF195" s="2677" t="s">
        <v>2196</v>
      </c>
      <c r="AG195" s="2678"/>
      <c r="AH195" s="2679">
        <v>0</v>
      </c>
      <c r="AI195" s="2680"/>
      <c r="AJ195" s="2680"/>
      <c r="AK195" s="2680"/>
      <c r="AL195" s="2680"/>
      <c r="AM195" s="2680"/>
      <c r="AN195" s="2681"/>
    </row>
    <row r="196" spans="2:40" ht="15" customHeight="1">
      <c r="B196" s="2633" t="s">
        <v>2200</v>
      </c>
      <c r="C196" s="2633"/>
      <c r="D196" s="2633"/>
      <c r="E196" s="2633"/>
      <c r="F196" s="2633"/>
      <c r="G196" s="2674"/>
      <c r="H196" s="2676" t="s">
        <v>2197</v>
      </c>
      <c r="I196" s="2677"/>
      <c r="J196" s="2677" t="s">
        <v>2197</v>
      </c>
      <c r="K196" s="2677"/>
      <c r="L196" s="2677" t="s">
        <v>2197</v>
      </c>
      <c r="M196" s="2677"/>
      <c r="N196" s="2677" t="s">
        <v>2197</v>
      </c>
      <c r="O196" s="2677"/>
      <c r="P196" s="2677" t="s">
        <v>2197</v>
      </c>
      <c r="Q196" s="2677"/>
      <c r="R196" s="2677" t="s">
        <v>2197</v>
      </c>
      <c r="S196" s="2677"/>
      <c r="T196" s="2677" t="s">
        <v>2197</v>
      </c>
      <c r="U196" s="2677"/>
      <c r="V196" s="2677" t="s">
        <v>2197</v>
      </c>
      <c r="W196" s="2677"/>
      <c r="X196" s="2677" t="s">
        <v>2197</v>
      </c>
      <c r="Y196" s="2677"/>
      <c r="Z196" s="2677" t="s">
        <v>2197</v>
      </c>
      <c r="AA196" s="2677"/>
      <c r="AB196" s="2677" t="s">
        <v>2197</v>
      </c>
      <c r="AC196" s="2677"/>
      <c r="AD196" s="2677" t="s">
        <v>2197</v>
      </c>
      <c r="AE196" s="2677"/>
      <c r="AF196" s="2677" t="s">
        <v>2197</v>
      </c>
      <c r="AG196" s="2678"/>
      <c r="AH196" s="2679">
        <v>0</v>
      </c>
      <c r="AI196" s="2680"/>
      <c r="AJ196" s="2680"/>
      <c r="AK196" s="2680"/>
      <c r="AL196" s="2680"/>
      <c r="AM196" s="2680"/>
      <c r="AN196" s="2681"/>
    </row>
    <row r="197" spans="2:40" ht="15">
      <c r="B197" s="2628" t="s">
        <v>108</v>
      </c>
      <c r="C197" s="2628"/>
      <c r="D197" s="2628"/>
      <c r="E197" s="2628"/>
      <c r="F197" s="2628"/>
      <c r="G197" s="2628"/>
      <c r="H197" s="2628"/>
      <c r="I197" s="2628"/>
      <c r="J197" s="2628"/>
      <c r="K197" s="2628"/>
      <c r="L197" s="2628"/>
      <c r="M197" s="2628"/>
      <c r="N197" s="2628"/>
      <c r="O197" s="2628"/>
      <c r="P197" s="2628"/>
      <c r="Q197" s="2628"/>
      <c r="R197" s="2628"/>
      <c r="S197" s="2628"/>
      <c r="T197" s="2628"/>
      <c r="U197" s="2628"/>
      <c r="V197" s="2628"/>
      <c r="W197" s="2628"/>
      <c r="X197" s="2628"/>
      <c r="Y197" s="2628"/>
      <c r="Z197" s="2628"/>
      <c r="AA197" s="2628"/>
      <c r="AB197" s="2628"/>
      <c r="AC197" s="2628"/>
      <c r="AD197" s="2628"/>
      <c r="AE197" s="2628"/>
      <c r="AF197" s="2628"/>
      <c r="AG197" s="2628"/>
      <c r="AH197" s="2629">
        <f>AH198+AH199+AH200</f>
        <v>63874.84</v>
      </c>
      <c r="AI197" s="2629"/>
      <c r="AJ197" s="2629"/>
      <c r="AK197" s="2629"/>
      <c r="AL197" s="2629"/>
      <c r="AM197" s="2629"/>
      <c r="AN197" s="2629"/>
    </row>
    <row r="198" spans="2:40" ht="14.25">
      <c r="B198" s="2633" t="s">
        <v>2202</v>
      </c>
      <c r="C198" s="2633"/>
      <c r="D198" s="2633"/>
      <c r="E198" s="2633"/>
      <c r="F198" s="2633"/>
      <c r="G198" s="954"/>
      <c r="H198" s="2643" t="s">
        <v>1135</v>
      </c>
      <c r="I198" s="2643"/>
      <c r="J198" s="2643"/>
      <c r="K198" s="2643"/>
      <c r="L198" s="2643"/>
      <c r="M198" s="2643"/>
      <c r="N198" s="2643"/>
      <c r="O198" s="2643"/>
      <c r="P198" s="2643"/>
      <c r="Q198" s="2643"/>
      <c r="R198" s="2643"/>
      <c r="S198" s="2643"/>
      <c r="T198" s="2643"/>
      <c r="U198" s="2643"/>
      <c r="V198" s="2643"/>
      <c r="W198" s="2643"/>
      <c r="X198" s="2643"/>
      <c r="Y198" s="2643"/>
      <c r="Z198" s="2643"/>
      <c r="AA198" s="2643"/>
      <c r="AB198" s="2643"/>
      <c r="AC198" s="2643"/>
      <c r="AD198" s="2643"/>
      <c r="AE198" s="2643"/>
      <c r="AF198" s="2643"/>
      <c r="AG198" s="2643"/>
      <c r="AH198" s="2649">
        <v>52309.34</v>
      </c>
      <c r="AI198" s="2650"/>
      <c r="AJ198" s="2650"/>
      <c r="AK198" s="2650"/>
      <c r="AL198" s="2650"/>
      <c r="AM198" s="2650"/>
      <c r="AN198" s="2651"/>
    </row>
    <row r="199" spans="2:40" ht="15" customHeight="1">
      <c r="B199" s="2633" t="s">
        <v>2204</v>
      </c>
      <c r="C199" s="2633"/>
      <c r="D199" s="2633"/>
      <c r="E199" s="2633"/>
      <c r="F199" s="2633"/>
      <c r="G199" s="954"/>
      <c r="H199" s="2643" t="s">
        <v>1136</v>
      </c>
      <c r="I199" s="2643"/>
      <c r="J199" s="2643"/>
      <c r="K199" s="2643"/>
      <c r="L199" s="2643"/>
      <c r="M199" s="2643"/>
      <c r="N199" s="2643"/>
      <c r="O199" s="2643"/>
      <c r="P199" s="2643"/>
      <c r="Q199" s="2643"/>
      <c r="R199" s="2643"/>
      <c r="S199" s="2643"/>
      <c r="T199" s="2643"/>
      <c r="U199" s="2643"/>
      <c r="V199" s="2643"/>
      <c r="W199" s="2643"/>
      <c r="X199" s="2643"/>
      <c r="Y199" s="2643"/>
      <c r="Z199" s="2643"/>
      <c r="AA199" s="2643"/>
      <c r="AB199" s="2643"/>
      <c r="AC199" s="2643"/>
      <c r="AD199" s="2643"/>
      <c r="AE199" s="2643"/>
      <c r="AF199" s="2643"/>
      <c r="AG199" s="2643"/>
      <c r="AH199" s="2637">
        <v>10295.5</v>
      </c>
      <c r="AI199" s="2638"/>
      <c r="AJ199" s="2638"/>
      <c r="AK199" s="2638"/>
      <c r="AL199" s="2638"/>
      <c r="AM199" s="2638"/>
      <c r="AN199" s="2639"/>
    </row>
    <row r="200" spans="2:40" ht="15" customHeight="1">
      <c r="B200" s="2633" t="s">
        <v>2203</v>
      </c>
      <c r="C200" s="2633"/>
      <c r="D200" s="2633"/>
      <c r="E200" s="2633"/>
      <c r="F200" s="2633"/>
      <c r="G200" s="954"/>
      <c r="H200" s="2631" t="s">
        <v>1137</v>
      </c>
      <c r="I200" s="2631"/>
      <c r="J200" s="2631"/>
      <c r="K200" s="2631"/>
      <c r="L200" s="2631"/>
      <c r="M200" s="2631"/>
      <c r="N200" s="2631"/>
      <c r="O200" s="2631"/>
      <c r="P200" s="2631"/>
      <c r="Q200" s="2631"/>
      <c r="R200" s="2631"/>
      <c r="S200" s="2631"/>
      <c r="T200" s="2631"/>
      <c r="U200" s="2631"/>
      <c r="V200" s="2631"/>
      <c r="W200" s="2631"/>
      <c r="X200" s="2631"/>
      <c r="Y200" s="2631"/>
      <c r="Z200" s="2631"/>
      <c r="AA200" s="2631"/>
      <c r="AB200" s="2631"/>
      <c r="AC200" s="2631"/>
      <c r="AD200" s="2631"/>
      <c r="AE200" s="2631"/>
      <c r="AF200" s="2631"/>
      <c r="AG200" s="2631"/>
      <c r="AH200" s="2637">
        <v>1270</v>
      </c>
      <c r="AI200" s="2638"/>
      <c r="AJ200" s="2638"/>
      <c r="AK200" s="2638"/>
      <c r="AL200" s="2638"/>
      <c r="AM200" s="2638"/>
      <c r="AN200" s="2639"/>
    </row>
    <row r="201" spans="2:40" ht="15" customHeight="1">
      <c r="B201" s="2633" t="s">
        <v>2205</v>
      </c>
      <c r="C201" s="2633"/>
      <c r="D201" s="2633"/>
      <c r="E201" s="2633"/>
      <c r="F201" s="2633"/>
      <c r="G201" s="954"/>
      <c r="H201" s="2643" t="s">
        <v>2134</v>
      </c>
      <c r="I201" s="2643"/>
      <c r="J201" s="2643"/>
      <c r="K201" s="2643"/>
      <c r="L201" s="2643"/>
      <c r="M201" s="2643"/>
      <c r="N201" s="2643"/>
      <c r="O201" s="2643"/>
      <c r="P201" s="2643"/>
      <c r="Q201" s="2643"/>
      <c r="R201" s="2643"/>
      <c r="S201" s="2643"/>
      <c r="T201" s="2643"/>
      <c r="U201" s="2643"/>
      <c r="V201" s="2643"/>
      <c r="W201" s="2643"/>
      <c r="X201" s="2643"/>
      <c r="Y201" s="2643"/>
      <c r="Z201" s="2643"/>
      <c r="AA201" s="2643"/>
      <c r="AB201" s="2643"/>
      <c r="AC201" s="2643"/>
      <c r="AD201" s="2643"/>
      <c r="AE201" s="2643"/>
      <c r="AF201" s="2643"/>
      <c r="AG201" s="2643"/>
      <c r="AH201" s="2637">
        <v>0</v>
      </c>
      <c r="AI201" s="2638"/>
      <c r="AJ201" s="2638"/>
      <c r="AK201" s="2638"/>
      <c r="AL201" s="2638"/>
      <c r="AM201" s="2638"/>
      <c r="AN201" s="2639"/>
    </row>
    <row r="202" spans="2:40" ht="15" customHeight="1">
      <c r="B202" s="2633" t="s">
        <v>2206</v>
      </c>
      <c r="C202" s="2633"/>
      <c r="D202" s="2633"/>
      <c r="E202" s="2633"/>
      <c r="F202" s="2633"/>
      <c r="G202" s="954"/>
      <c r="H202" s="2643" t="s">
        <v>2207</v>
      </c>
      <c r="I202" s="2643"/>
      <c r="J202" s="2643"/>
      <c r="K202" s="2643"/>
      <c r="L202" s="2643"/>
      <c r="M202" s="2643"/>
      <c r="N202" s="2643"/>
      <c r="O202" s="2643"/>
      <c r="P202" s="2643"/>
      <c r="Q202" s="2643"/>
      <c r="R202" s="2643"/>
      <c r="S202" s="2643"/>
      <c r="T202" s="2643"/>
      <c r="U202" s="2643"/>
      <c r="V202" s="2643"/>
      <c r="W202" s="2643"/>
      <c r="X202" s="2643"/>
      <c r="Y202" s="2643"/>
      <c r="Z202" s="2643"/>
      <c r="AA202" s="2643"/>
      <c r="AB202" s="2643"/>
      <c r="AC202" s="2643"/>
      <c r="AD202" s="2643"/>
      <c r="AE202" s="2643"/>
      <c r="AF202" s="2643"/>
      <c r="AG202" s="2643"/>
      <c r="AH202" s="2637">
        <v>0</v>
      </c>
      <c r="AI202" s="2638"/>
      <c r="AJ202" s="2638"/>
      <c r="AK202" s="2638"/>
      <c r="AL202" s="2638"/>
      <c r="AM202" s="2638"/>
      <c r="AN202" s="2639"/>
    </row>
    <row r="203" spans="2:40" ht="15" customHeight="1">
      <c r="B203" s="2633" t="s">
        <v>2198</v>
      </c>
      <c r="C203" s="2633"/>
      <c r="D203" s="2633"/>
      <c r="E203" s="2633"/>
      <c r="F203" s="2633"/>
      <c r="G203" s="954"/>
      <c r="H203" s="2643" t="s">
        <v>2195</v>
      </c>
      <c r="I203" s="2643"/>
      <c r="J203" s="2643"/>
      <c r="K203" s="2643"/>
      <c r="L203" s="2643"/>
      <c r="M203" s="2643"/>
      <c r="N203" s="2643"/>
      <c r="O203" s="2643"/>
      <c r="P203" s="2643"/>
      <c r="Q203" s="2643"/>
      <c r="R203" s="2643"/>
      <c r="S203" s="2643"/>
      <c r="T203" s="2643"/>
      <c r="U203" s="2643"/>
      <c r="V203" s="2643"/>
      <c r="W203" s="2643"/>
      <c r="X203" s="2643"/>
      <c r="Y203" s="2643"/>
      <c r="Z203" s="2643"/>
      <c r="AA203" s="2643"/>
      <c r="AB203" s="2643"/>
      <c r="AC203" s="2643"/>
      <c r="AD203" s="2643"/>
      <c r="AE203" s="2643"/>
      <c r="AF203" s="2643"/>
      <c r="AG203" s="2643"/>
      <c r="AH203" s="1090"/>
      <c r="AI203" s="1091"/>
      <c r="AJ203" s="1091"/>
      <c r="AK203" s="1091"/>
      <c r="AL203" s="1091"/>
      <c r="AM203" s="1091"/>
      <c r="AN203" s="1092">
        <v>0</v>
      </c>
    </row>
    <row r="204" spans="2:40" ht="15" customHeight="1">
      <c r="B204" s="2633" t="s">
        <v>2199</v>
      </c>
      <c r="C204" s="2633"/>
      <c r="D204" s="2633"/>
      <c r="E204" s="2633"/>
      <c r="F204" s="2633"/>
      <c r="G204" s="954"/>
      <c r="H204" s="2643" t="s">
        <v>2196</v>
      </c>
      <c r="I204" s="2643"/>
      <c r="J204" s="2643"/>
      <c r="K204" s="2643"/>
      <c r="L204" s="2643"/>
      <c r="M204" s="2643"/>
      <c r="N204" s="2643"/>
      <c r="O204" s="2643"/>
      <c r="P204" s="2643"/>
      <c r="Q204" s="2643"/>
      <c r="R204" s="2643"/>
      <c r="S204" s="2643"/>
      <c r="T204" s="2643"/>
      <c r="U204" s="2643"/>
      <c r="V204" s="2643"/>
      <c r="W204" s="2643"/>
      <c r="X204" s="2643"/>
      <c r="Y204" s="2643"/>
      <c r="Z204" s="2643"/>
      <c r="AA204" s="2643"/>
      <c r="AB204" s="2643"/>
      <c r="AC204" s="2643"/>
      <c r="AD204" s="2643"/>
      <c r="AE204" s="2643"/>
      <c r="AF204" s="2643"/>
      <c r="AG204" s="2643"/>
      <c r="AH204" s="1090"/>
      <c r="AI204" s="1091"/>
      <c r="AJ204" s="1091"/>
      <c r="AK204" s="1091"/>
      <c r="AL204" s="1091"/>
      <c r="AM204" s="1091"/>
      <c r="AN204" s="1092">
        <v>0</v>
      </c>
    </row>
    <row r="205" spans="2:40" ht="15" customHeight="1">
      <c r="B205" s="2628" t="s">
        <v>1174</v>
      </c>
      <c r="C205" s="2628"/>
      <c r="D205" s="2628"/>
      <c r="E205" s="2628"/>
      <c r="F205" s="2628"/>
      <c r="G205" s="2628"/>
      <c r="H205" s="2628"/>
      <c r="I205" s="2628"/>
      <c r="J205" s="2628"/>
      <c r="K205" s="2628"/>
      <c r="L205" s="2628"/>
      <c r="M205" s="2628"/>
      <c r="N205" s="2628"/>
      <c r="O205" s="2628"/>
      <c r="P205" s="2628"/>
      <c r="Q205" s="2628"/>
      <c r="R205" s="2628"/>
      <c r="S205" s="2628"/>
      <c r="T205" s="2628"/>
      <c r="U205" s="2628"/>
      <c r="V205" s="2628"/>
      <c r="W205" s="2628"/>
      <c r="X205" s="2628"/>
      <c r="Y205" s="2628"/>
      <c r="Z205" s="2628"/>
      <c r="AA205" s="2628"/>
      <c r="AB205" s="2628"/>
      <c r="AC205" s="2628"/>
      <c r="AD205" s="2628"/>
      <c r="AE205" s="2628"/>
      <c r="AF205" s="2628"/>
      <c r="AG205" s="2628"/>
      <c r="AH205" s="2629">
        <v>0</v>
      </c>
      <c r="AI205" s="2629"/>
      <c r="AJ205" s="2629"/>
      <c r="AK205" s="2629"/>
      <c r="AL205" s="2629"/>
      <c r="AM205" s="2629"/>
      <c r="AN205" s="2629"/>
    </row>
    <row r="206" spans="2:40" ht="15" customHeight="1">
      <c r="B206" s="2633" t="s">
        <v>743</v>
      </c>
      <c r="C206" s="2633"/>
      <c r="D206" s="2633"/>
      <c r="E206" s="2633"/>
      <c r="F206" s="2633"/>
      <c r="G206" s="954"/>
      <c r="H206" s="2631" t="s">
        <v>1139</v>
      </c>
      <c r="I206" s="2631"/>
      <c r="J206" s="2631"/>
      <c r="K206" s="2631"/>
      <c r="L206" s="2631"/>
      <c r="M206" s="2631"/>
      <c r="N206" s="2631"/>
      <c r="O206" s="2631"/>
      <c r="P206" s="2631"/>
      <c r="Q206" s="2631"/>
      <c r="R206" s="2631"/>
      <c r="S206" s="2631"/>
      <c r="T206" s="2631"/>
      <c r="U206" s="2631"/>
      <c r="V206" s="2631"/>
      <c r="W206" s="2631"/>
      <c r="X206" s="2631"/>
      <c r="Y206" s="2631"/>
      <c r="Z206" s="2631"/>
      <c r="AA206" s="2631"/>
      <c r="AB206" s="2631"/>
      <c r="AC206" s="2631"/>
      <c r="AD206" s="2631"/>
      <c r="AE206" s="2631"/>
      <c r="AF206" s="2631"/>
      <c r="AG206" s="2631"/>
      <c r="AH206" s="2634"/>
      <c r="AI206" s="2635"/>
      <c r="AJ206" s="2635"/>
      <c r="AK206" s="2635"/>
      <c r="AL206" s="2635"/>
      <c r="AM206" s="2635"/>
      <c r="AN206" s="2636"/>
    </row>
    <row r="207" spans="2:40" ht="15" customHeight="1">
      <c r="B207" s="2633" t="s">
        <v>742</v>
      </c>
      <c r="C207" s="2633"/>
      <c r="D207" s="2633"/>
      <c r="E207" s="2633"/>
      <c r="F207" s="2633"/>
      <c r="G207" s="954"/>
      <c r="H207" s="990" t="s">
        <v>1141</v>
      </c>
      <c r="I207" s="986"/>
      <c r="J207" s="986"/>
      <c r="K207" s="986"/>
      <c r="L207" s="986"/>
      <c r="M207" s="986"/>
      <c r="N207" s="986"/>
      <c r="O207" s="986"/>
      <c r="P207" s="986"/>
      <c r="Q207" s="986"/>
      <c r="R207" s="986"/>
      <c r="S207" s="986"/>
      <c r="T207" s="986"/>
      <c r="U207" s="986"/>
      <c r="V207" s="986"/>
      <c r="W207" s="986"/>
      <c r="X207" s="986"/>
      <c r="Y207" s="986"/>
      <c r="Z207" s="986"/>
      <c r="AA207" s="986"/>
      <c r="AB207" s="986"/>
      <c r="AC207" s="986"/>
      <c r="AD207" s="986"/>
      <c r="AE207" s="986"/>
      <c r="AF207" s="986"/>
      <c r="AG207" s="987"/>
      <c r="AH207" s="2637"/>
      <c r="AI207" s="2638"/>
      <c r="AJ207" s="2638"/>
      <c r="AK207" s="2638"/>
      <c r="AL207" s="2638"/>
      <c r="AM207" s="2638"/>
      <c r="AN207" s="2639"/>
    </row>
    <row r="208" spans="2:40" ht="15" customHeight="1">
      <c r="B208" s="2633" t="s">
        <v>744</v>
      </c>
      <c r="C208" s="2633"/>
      <c r="D208" s="2633"/>
      <c r="E208" s="2633"/>
      <c r="F208" s="2633"/>
      <c r="G208" s="954"/>
      <c r="H208" s="991" t="s">
        <v>1143</v>
      </c>
      <c r="I208" s="992"/>
      <c r="J208" s="992"/>
      <c r="K208" s="992"/>
      <c r="L208" s="992"/>
      <c r="M208" s="992"/>
      <c r="N208" s="992"/>
      <c r="O208" s="992"/>
      <c r="P208" s="992"/>
      <c r="Q208" s="992"/>
      <c r="R208" s="992"/>
      <c r="S208" s="992"/>
      <c r="T208" s="992"/>
      <c r="U208" s="992"/>
      <c r="V208" s="992"/>
      <c r="W208" s="992"/>
      <c r="X208" s="992"/>
      <c r="Y208" s="992"/>
      <c r="Z208" s="992"/>
      <c r="AA208" s="992"/>
      <c r="AB208" s="992"/>
      <c r="AC208" s="992"/>
      <c r="AD208" s="992"/>
      <c r="AE208" s="992"/>
      <c r="AF208" s="992"/>
      <c r="AG208" s="993"/>
      <c r="AH208" s="2640"/>
      <c r="AI208" s="2641"/>
      <c r="AJ208" s="2641"/>
      <c r="AK208" s="2641"/>
      <c r="AL208" s="2641"/>
      <c r="AM208" s="2641"/>
      <c r="AN208" s="2642"/>
    </row>
    <row r="209" spans="2:42" ht="15" customHeight="1">
      <c r="B209" s="2633" t="s">
        <v>2233</v>
      </c>
      <c r="C209" s="2633"/>
      <c r="D209" s="2633"/>
      <c r="E209" s="2633"/>
      <c r="F209" s="2633"/>
      <c r="G209" s="954"/>
      <c r="H209" s="2646" t="s">
        <v>1141</v>
      </c>
      <c r="I209" s="2647"/>
      <c r="J209" s="2647"/>
      <c r="K209" s="2647"/>
      <c r="L209" s="2647"/>
      <c r="M209" s="2647"/>
      <c r="N209" s="2647"/>
      <c r="O209" s="2647"/>
      <c r="P209" s="2647"/>
      <c r="Q209" s="2647"/>
      <c r="R209" s="2647"/>
      <c r="S209" s="2647"/>
      <c r="T209" s="2647"/>
      <c r="U209" s="2647"/>
      <c r="V209" s="2647"/>
      <c r="W209" s="2647"/>
      <c r="X209" s="2647"/>
      <c r="Y209" s="2647"/>
      <c r="Z209" s="2647"/>
      <c r="AA209" s="2647"/>
      <c r="AB209" s="2647"/>
      <c r="AC209" s="2647"/>
      <c r="AD209" s="2647"/>
      <c r="AE209" s="2647"/>
      <c r="AF209" s="2647"/>
      <c r="AG209" s="993"/>
      <c r="AH209" s="2640"/>
      <c r="AI209" s="2641"/>
      <c r="AJ209" s="2641"/>
      <c r="AK209" s="2641"/>
      <c r="AL209" s="2641"/>
      <c r="AM209" s="2641"/>
      <c r="AN209" s="2642"/>
    </row>
    <row r="210" spans="2:42" ht="15" customHeight="1">
      <c r="B210" s="2633" t="s">
        <v>2232</v>
      </c>
      <c r="C210" s="2633"/>
      <c r="D210" s="2633"/>
      <c r="E210" s="2633"/>
      <c r="F210" s="2633"/>
      <c r="G210" s="954"/>
      <c r="H210" s="2646" t="s">
        <v>2234</v>
      </c>
      <c r="I210" s="2647"/>
      <c r="J210" s="2647"/>
      <c r="K210" s="2647"/>
      <c r="L210" s="2647"/>
      <c r="M210" s="2647"/>
      <c r="N210" s="2647"/>
      <c r="O210" s="2647"/>
      <c r="P210" s="2647"/>
      <c r="Q210" s="2647"/>
      <c r="R210" s="2647"/>
      <c r="S210" s="2647"/>
      <c r="T210" s="2647"/>
      <c r="U210" s="2647"/>
      <c r="V210" s="2647"/>
      <c r="W210" s="2647"/>
      <c r="X210" s="2647"/>
      <c r="Y210" s="2647"/>
      <c r="Z210" s="2647"/>
      <c r="AA210" s="2647"/>
      <c r="AB210" s="2647"/>
      <c r="AC210" s="2647"/>
      <c r="AD210" s="2647"/>
      <c r="AE210" s="2647"/>
      <c r="AF210" s="2647"/>
      <c r="AG210" s="993"/>
      <c r="AH210" s="2640"/>
      <c r="AI210" s="2641"/>
      <c r="AJ210" s="2641"/>
      <c r="AK210" s="2641"/>
      <c r="AL210" s="2641"/>
      <c r="AM210" s="2641"/>
      <c r="AN210" s="2642"/>
    </row>
    <row r="211" spans="2:42" ht="15" customHeight="1">
      <c r="B211" s="2633" t="s">
        <v>2235</v>
      </c>
      <c r="C211" s="2633"/>
      <c r="D211" s="2633"/>
      <c r="E211" s="2633"/>
      <c r="F211" s="2633"/>
      <c r="G211" s="954"/>
      <c r="H211" s="2646"/>
      <c r="I211" s="2647"/>
      <c r="J211" s="2647"/>
      <c r="K211" s="2647"/>
      <c r="L211" s="2647"/>
      <c r="M211" s="2647"/>
      <c r="N211" s="2647"/>
      <c r="O211" s="2647"/>
      <c r="P211" s="2647"/>
      <c r="Q211" s="2647"/>
      <c r="R211" s="2647"/>
      <c r="S211" s="2647"/>
      <c r="T211" s="2647"/>
      <c r="U211" s="2647"/>
      <c r="V211" s="2647"/>
      <c r="W211" s="2647"/>
      <c r="X211" s="2647"/>
      <c r="Y211" s="2647"/>
      <c r="Z211" s="2647"/>
      <c r="AA211" s="2647"/>
      <c r="AB211" s="2647"/>
      <c r="AC211" s="2647"/>
      <c r="AD211" s="2647"/>
      <c r="AE211" s="2647"/>
      <c r="AF211" s="2647"/>
      <c r="AG211" s="993"/>
      <c r="AH211" s="1192"/>
      <c r="AI211" s="2641"/>
      <c r="AJ211" s="2641"/>
      <c r="AK211" s="2641"/>
      <c r="AL211" s="2641"/>
      <c r="AM211" s="2641"/>
      <c r="AN211" s="2642"/>
    </row>
    <row r="212" spans="2:42" ht="15" customHeight="1">
      <c r="B212" s="2633" t="s">
        <v>2237</v>
      </c>
      <c r="C212" s="2633"/>
      <c r="D212" s="2633"/>
      <c r="E212" s="2633"/>
      <c r="F212" s="2633"/>
      <c r="G212" s="954"/>
      <c r="H212" s="2646" t="s">
        <v>2236</v>
      </c>
      <c r="I212" s="2647"/>
      <c r="J212" s="2647"/>
      <c r="K212" s="2647"/>
      <c r="L212" s="2647"/>
      <c r="M212" s="2647"/>
      <c r="N212" s="2647"/>
      <c r="O212" s="2647"/>
      <c r="P212" s="2647"/>
      <c r="Q212" s="2647"/>
      <c r="R212" s="2647"/>
      <c r="S212" s="2647"/>
      <c r="T212" s="2647"/>
      <c r="U212" s="2647"/>
      <c r="V212" s="2647"/>
      <c r="W212" s="2647"/>
      <c r="X212" s="2647"/>
      <c r="Y212" s="2647"/>
      <c r="Z212" s="2647"/>
      <c r="AA212" s="2647"/>
      <c r="AB212" s="2647"/>
      <c r="AC212" s="2647"/>
      <c r="AD212" s="2647"/>
      <c r="AE212" s="2647"/>
      <c r="AF212" s="2647"/>
      <c r="AG212" s="993"/>
      <c r="AH212" s="1192"/>
      <c r="AI212" s="2641"/>
      <c r="AJ212" s="2641"/>
      <c r="AK212" s="2641"/>
      <c r="AL212" s="2641"/>
      <c r="AM212" s="2641"/>
      <c r="AN212" s="2642"/>
    </row>
    <row r="213" spans="2:42" ht="15">
      <c r="B213" s="2628" t="s">
        <v>4272</v>
      </c>
      <c r="C213" s="2628"/>
      <c r="D213" s="2628"/>
      <c r="E213" s="2628"/>
      <c r="F213" s="2628"/>
      <c r="G213" s="2628"/>
      <c r="H213" s="2628"/>
      <c r="I213" s="2628"/>
      <c r="J213" s="2628"/>
      <c r="K213" s="2628"/>
      <c r="L213" s="2628"/>
      <c r="M213" s="2628"/>
      <c r="N213" s="2628"/>
      <c r="O213" s="2628"/>
      <c r="P213" s="2628"/>
      <c r="Q213" s="2628"/>
      <c r="R213" s="2628"/>
      <c r="S213" s="2628"/>
      <c r="T213" s="2628"/>
      <c r="U213" s="2628"/>
      <c r="V213" s="2628"/>
      <c r="W213" s="2628"/>
      <c r="X213" s="2628"/>
      <c r="Y213" s="2628"/>
      <c r="Z213" s="2628"/>
      <c r="AA213" s="2628"/>
      <c r="AB213" s="2628"/>
      <c r="AC213" s="2628"/>
      <c r="AD213" s="2628"/>
      <c r="AE213" s="2628"/>
      <c r="AF213" s="2628"/>
      <c r="AG213" s="2628"/>
      <c r="AH213" s="2629">
        <f>AH214</f>
        <v>28150</v>
      </c>
      <c r="AI213" s="2629"/>
      <c r="AJ213" s="2629"/>
      <c r="AK213" s="2629"/>
      <c r="AL213" s="2629"/>
      <c r="AM213" s="2629"/>
      <c r="AN213" s="2629"/>
    </row>
    <row r="214" spans="2:42" ht="14.25">
      <c r="B214" s="2630" t="s">
        <v>1138</v>
      </c>
      <c r="C214" s="2630"/>
      <c r="D214" s="2630"/>
      <c r="E214" s="2630"/>
      <c r="F214" s="2630"/>
      <c r="G214" s="954"/>
      <c r="H214" s="2631" t="s">
        <v>1139</v>
      </c>
      <c r="I214" s="2631"/>
      <c r="J214" s="2631"/>
      <c r="K214" s="2631"/>
      <c r="L214" s="2631"/>
      <c r="M214" s="2631"/>
      <c r="N214" s="2631"/>
      <c r="O214" s="2631"/>
      <c r="P214" s="2631"/>
      <c r="Q214" s="2631"/>
      <c r="R214" s="2631"/>
      <c r="S214" s="2631"/>
      <c r="T214" s="2631"/>
      <c r="U214" s="2631"/>
      <c r="V214" s="2631"/>
      <c r="W214" s="2631"/>
      <c r="X214" s="2631"/>
      <c r="Y214" s="2631"/>
      <c r="Z214" s="2631"/>
      <c r="AA214" s="2631"/>
      <c r="AB214" s="2631"/>
      <c r="AC214" s="2631"/>
      <c r="AD214" s="2631"/>
      <c r="AE214" s="2631"/>
      <c r="AF214" s="2631"/>
      <c r="AG214" s="2631"/>
      <c r="AH214" s="2632">
        <v>28150</v>
      </c>
      <c r="AI214" s="2632"/>
      <c r="AJ214" s="2632"/>
      <c r="AK214" s="2632"/>
      <c r="AL214" s="2632"/>
      <c r="AM214" s="2632"/>
      <c r="AN214" s="2632"/>
    </row>
    <row r="215" spans="2:42" ht="15" customHeight="1">
      <c r="B215" s="2630" t="s">
        <v>1140</v>
      </c>
      <c r="C215" s="2630"/>
      <c r="D215" s="2630"/>
      <c r="E215" s="2630"/>
      <c r="F215" s="2630"/>
      <c r="G215" s="954"/>
      <c r="H215" s="990" t="s">
        <v>1141</v>
      </c>
      <c r="I215" s="986"/>
      <c r="J215" s="986"/>
      <c r="K215" s="986"/>
      <c r="L215" s="986"/>
      <c r="M215" s="986"/>
      <c r="N215" s="986"/>
      <c r="O215" s="986"/>
      <c r="P215" s="986"/>
      <c r="Q215" s="986"/>
      <c r="R215" s="986"/>
      <c r="S215" s="986"/>
      <c r="T215" s="986"/>
      <c r="U215" s="986"/>
      <c r="V215" s="986"/>
      <c r="W215" s="986"/>
      <c r="X215" s="986"/>
      <c r="Y215" s="986"/>
      <c r="Z215" s="986"/>
      <c r="AA215" s="986"/>
      <c r="AB215" s="986"/>
      <c r="AC215" s="986"/>
      <c r="AD215" s="986"/>
      <c r="AE215" s="986"/>
      <c r="AF215" s="986"/>
      <c r="AG215" s="987"/>
      <c r="AH215" s="988"/>
      <c r="AI215" s="989"/>
      <c r="AJ215" s="989"/>
      <c r="AK215" s="989"/>
      <c r="AL215" s="989"/>
      <c r="AM215" s="2644"/>
      <c r="AN215" s="2645"/>
    </row>
    <row r="216" spans="2:42" ht="14.25">
      <c r="B216" s="2630" t="s">
        <v>1142</v>
      </c>
      <c r="C216" s="2630"/>
      <c r="D216" s="2630"/>
      <c r="E216" s="2630"/>
      <c r="F216" s="2630"/>
      <c r="G216" s="954"/>
      <c r="H216" s="991" t="s">
        <v>1143</v>
      </c>
      <c r="I216" s="992"/>
      <c r="J216" s="992"/>
      <c r="K216" s="992"/>
      <c r="L216" s="992"/>
      <c r="M216" s="992"/>
      <c r="N216" s="992"/>
      <c r="O216" s="992"/>
      <c r="P216" s="992"/>
      <c r="Q216" s="992"/>
      <c r="R216" s="992"/>
      <c r="S216" s="992"/>
      <c r="T216" s="992"/>
      <c r="U216" s="992"/>
      <c r="V216" s="992"/>
      <c r="W216" s="992"/>
      <c r="X216" s="992"/>
      <c r="Y216" s="992"/>
      <c r="Z216" s="992"/>
      <c r="AA216" s="992"/>
      <c r="AB216" s="992"/>
      <c r="AC216" s="992"/>
      <c r="AD216" s="992"/>
      <c r="AE216" s="992"/>
      <c r="AF216" s="992"/>
      <c r="AG216" s="993"/>
      <c r="AH216" s="2649"/>
      <c r="AI216" s="2650"/>
      <c r="AJ216" s="2650"/>
      <c r="AK216" s="2650"/>
      <c r="AL216" s="2650"/>
      <c r="AM216" s="2650"/>
      <c r="AN216" s="2651"/>
    </row>
    <row r="217" spans="2:42" ht="15">
      <c r="B217" s="2628" t="s">
        <v>2238</v>
      </c>
      <c r="C217" s="2628"/>
      <c r="D217" s="2628"/>
      <c r="E217" s="2628"/>
      <c r="F217" s="2628"/>
      <c r="G217" s="2628"/>
      <c r="H217" s="2628"/>
      <c r="I217" s="2628"/>
      <c r="J217" s="2628"/>
      <c r="K217" s="2628"/>
      <c r="L217" s="2628"/>
      <c r="M217" s="2628"/>
      <c r="N217" s="2628"/>
      <c r="O217" s="2628"/>
      <c r="P217" s="2628"/>
      <c r="Q217" s="2628"/>
      <c r="R217" s="2628"/>
      <c r="S217" s="2628"/>
      <c r="T217" s="2628"/>
      <c r="U217" s="2628"/>
      <c r="V217" s="2628"/>
      <c r="W217" s="2628"/>
      <c r="X217" s="2628"/>
      <c r="Y217" s="2628"/>
      <c r="Z217" s="2628"/>
      <c r="AA217" s="2628"/>
      <c r="AB217" s="2628"/>
      <c r="AC217" s="2628"/>
      <c r="AD217" s="2628"/>
      <c r="AE217" s="2628"/>
      <c r="AF217" s="2628"/>
      <c r="AG217" s="2628"/>
      <c r="AH217" s="2629">
        <f>SUM(AH218:AN221)</f>
        <v>29071.34</v>
      </c>
      <c r="AI217" s="2629"/>
      <c r="AJ217" s="2629"/>
      <c r="AK217" s="2629"/>
      <c r="AL217" s="2629"/>
      <c r="AM217" s="2629"/>
      <c r="AN217" s="2629"/>
    </row>
    <row r="218" spans="2:42">
      <c r="B218" s="2659" t="s">
        <v>2192</v>
      </c>
      <c r="C218" s="2660"/>
      <c r="D218" s="2660"/>
      <c r="E218" s="2660"/>
      <c r="F218" s="2661"/>
      <c r="G218" s="2029"/>
      <c r="H218" s="2662" t="s">
        <v>4292</v>
      </c>
      <c r="I218" s="2663"/>
      <c r="J218" s="2663"/>
      <c r="K218" s="2663"/>
      <c r="L218" s="2663"/>
      <c r="M218" s="2663"/>
      <c r="N218" s="2663"/>
      <c r="O218" s="2663"/>
      <c r="P218" s="2663"/>
      <c r="Q218" s="2663"/>
      <c r="R218" s="2663"/>
      <c r="S218" s="2663"/>
      <c r="T218" s="2663"/>
      <c r="U218" s="2663"/>
      <c r="V218" s="2663"/>
      <c r="W218" s="2663"/>
      <c r="X218" s="2663"/>
      <c r="Y218" s="2663"/>
      <c r="Z218" s="2663"/>
      <c r="AA218" s="2663"/>
      <c r="AB218" s="2663"/>
      <c r="AC218" s="2663"/>
      <c r="AD218" s="2663"/>
      <c r="AE218" s="2663"/>
      <c r="AF218" s="2663"/>
      <c r="AG218" s="2664"/>
      <c r="AH218" s="2665">
        <v>13199.64</v>
      </c>
      <c r="AI218" s="2666"/>
      <c r="AJ218" s="2666"/>
      <c r="AK218" s="2666"/>
      <c r="AL218" s="2666"/>
      <c r="AM218" s="2666"/>
      <c r="AN218" s="2667"/>
    </row>
    <row r="219" spans="2:42" ht="14.25">
      <c r="B219" s="2633" t="s">
        <v>2193</v>
      </c>
      <c r="C219" s="2633"/>
      <c r="D219" s="2633"/>
      <c r="E219" s="2633"/>
      <c r="F219" s="2633"/>
      <c r="G219" s="954"/>
      <c r="H219" s="2643" t="s">
        <v>2239</v>
      </c>
      <c r="I219" s="2643"/>
      <c r="J219" s="2643"/>
      <c r="K219" s="2643"/>
      <c r="L219" s="2643"/>
      <c r="M219" s="2643"/>
      <c r="N219" s="2643"/>
      <c r="O219" s="2643"/>
      <c r="P219" s="2643"/>
      <c r="Q219" s="2643"/>
      <c r="R219" s="2643"/>
      <c r="S219" s="2643"/>
      <c r="T219" s="2643"/>
      <c r="U219" s="2643"/>
      <c r="V219" s="2643"/>
      <c r="W219" s="2643"/>
      <c r="X219" s="2643"/>
      <c r="Y219" s="2643"/>
      <c r="Z219" s="2643"/>
      <c r="AA219" s="2643"/>
      <c r="AB219" s="2643"/>
      <c r="AC219" s="2643"/>
      <c r="AD219" s="2643"/>
      <c r="AE219" s="2643"/>
      <c r="AF219" s="2643"/>
      <c r="AG219" s="2643"/>
      <c r="AH219" s="2658"/>
      <c r="AI219" s="2658"/>
      <c r="AJ219" s="2658"/>
      <c r="AK219" s="2658"/>
      <c r="AL219" s="2658"/>
      <c r="AM219" s="2658"/>
      <c r="AN219" s="2658"/>
    </row>
    <row r="220" spans="2:42" ht="15" customHeight="1">
      <c r="B220" s="2648" t="s">
        <v>2194</v>
      </c>
      <c r="C220" s="2648"/>
      <c r="D220" s="2648"/>
      <c r="E220" s="2648"/>
      <c r="F220" s="2648"/>
      <c r="G220" s="954"/>
      <c r="H220" s="990" t="s">
        <v>2241</v>
      </c>
      <c r="I220" s="986"/>
      <c r="J220" s="986"/>
      <c r="K220" s="986"/>
      <c r="L220" s="986"/>
      <c r="M220" s="986"/>
      <c r="N220" s="986"/>
      <c r="O220" s="986"/>
      <c r="P220" s="986"/>
      <c r="Q220" s="986"/>
      <c r="R220" s="986"/>
      <c r="S220" s="986"/>
      <c r="T220" s="986"/>
      <c r="U220" s="986"/>
      <c r="V220" s="986"/>
      <c r="W220" s="986"/>
      <c r="X220" s="986"/>
      <c r="Y220" s="986"/>
      <c r="Z220" s="986"/>
      <c r="AA220" s="986"/>
      <c r="AB220" s="986"/>
      <c r="AC220" s="986"/>
      <c r="AD220" s="986"/>
      <c r="AE220" s="986"/>
      <c r="AF220" s="986"/>
      <c r="AG220" s="987"/>
      <c r="AH220" s="2649">
        <v>15871.7</v>
      </c>
      <c r="AI220" s="2650"/>
      <c r="AJ220" s="2650"/>
      <c r="AK220" s="2650"/>
      <c r="AL220" s="2650"/>
      <c r="AM220" s="2650"/>
      <c r="AN220" s="2651"/>
    </row>
    <row r="221" spans="2:42" ht="14.25">
      <c r="B221" s="2630" t="s">
        <v>2240</v>
      </c>
      <c r="C221" s="2630"/>
      <c r="D221" s="2630"/>
      <c r="E221" s="2630"/>
      <c r="F221" s="2630"/>
      <c r="G221" s="954"/>
      <c r="H221" s="991" t="s">
        <v>1143</v>
      </c>
      <c r="I221" s="992"/>
      <c r="J221" s="992"/>
      <c r="K221" s="992"/>
      <c r="L221" s="992"/>
      <c r="M221" s="992"/>
      <c r="N221" s="992"/>
      <c r="O221" s="992"/>
      <c r="P221" s="992"/>
      <c r="Q221" s="992"/>
      <c r="R221" s="992"/>
      <c r="S221" s="992"/>
      <c r="T221" s="992"/>
      <c r="U221" s="992"/>
      <c r="V221" s="992"/>
      <c r="W221" s="992"/>
      <c r="X221" s="992"/>
      <c r="Y221" s="992"/>
      <c r="Z221" s="992"/>
      <c r="AA221" s="992"/>
      <c r="AB221" s="992"/>
      <c r="AC221" s="992"/>
      <c r="AD221" s="992"/>
      <c r="AE221" s="992"/>
      <c r="AF221" s="992"/>
      <c r="AG221" s="993"/>
      <c r="AH221" s="2649"/>
      <c r="AI221" s="2650"/>
      <c r="AJ221" s="2650"/>
      <c r="AK221" s="2650"/>
      <c r="AL221" s="2650"/>
      <c r="AM221" s="2650"/>
      <c r="AN221" s="2651"/>
      <c r="AP221" s="1519"/>
    </row>
    <row r="222" spans="2:42" ht="14.25">
      <c r="B222" s="1202"/>
      <c r="C222" s="1203"/>
      <c r="D222" s="1203"/>
      <c r="E222" s="1203"/>
      <c r="F222" s="1203"/>
      <c r="G222" s="954"/>
      <c r="H222" s="992"/>
      <c r="I222" s="992"/>
      <c r="J222" s="992"/>
      <c r="K222" s="992"/>
      <c r="L222" s="992"/>
      <c r="M222" s="992"/>
      <c r="N222" s="992"/>
      <c r="O222" s="992"/>
      <c r="P222" s="992"/>
      <c r="Q222" s="992"/>
      <c r="R222" s="992"/>
      <c r="S222" s="992"/>
      <c r="T222" s="992"/>
      <c r="U222" s="992"/>
      <c r="V222" s="992"/>
      <c r="W222" s="992"/>
      <c r="X222" s="992"/>
      <c r="Y222" s="992"/>
      <c r="Z222" s="992"/>
      <c r="AA222" s="992"/>
      <c r="AB222" s="992"/>
      <c r="AC222" s="992"/>
      <c r="AD222" s="992"/>
      <c r="AE222" s="992"/>
      <c r="AF222" s="992"/>
      <c r="AG222" s="993"/>
      <c r="AH222" s="1163"/>
      <c r="AI222" s="1164"/>
      <c r="AJ222" s="1164"/>
      <c r="AK222" s="1164"/>
      <c r="AL222" s="1164"/>
      <c r="AM222" s="1164"/>
      <c r="AN222" s="1193"/>
    </row>
    <row r="223" spans="2:42" ht="15">
      <c r="B223" s="2652" t="s">
        <v>10</v>
      </c>
      <c r="C223" s="2653"/>
      <c r="D223" s="2653"/>
      <c r="E223" s="2653"/>
      <c r="F223" s="2653"/>
      <c r="G223" s="2653"/>
      <c r="H223" s="2653"/>
      <c r="I223" s="2653"/>
      <c r="J223" s="2653"/>
      <c r="K223" s="2653"/>
      <c r="L223" s="2653"/>
      <c r="M223" s="2653"/>
      <c r="N223" s="2653"/>
      <c r="O223" s="2653"/>
      <c r="P223" s="2653"/>
      <c r="Q223" s="2653"/>
      <c r="R223" s="2653"/>
      <c r="S223" s="2653"/>
      <c r="T223" s="2653"/>
      <c r="U223" s="2653"/>
      <c r="V223" s="2653"/>
      <c r="W223" s="2653"/>
      <c r="X223" s="2653"/>
      <c r="Y223" s="2653"/>
      <c r="Z223" s="2653"/>
      <c r="AA223" s="2653"/>
      <c r="AB223" s="2653"/>
      <c r="AC223" s="2653"/>
      <c r="AD223" s="2653"/>
      <c r="AE223" s="2653"/>
      <c r="AF223" s="2653"/>
      <c r="AG223" s="2654"/>
      <c r="AH223" s="2655">
        <f>AH187+AH197+AH205+AH213+AH217</f>
        <v>1514402.67</v>
      </c>
      <c r="AI223" s="2656"/>
      <c r="AJ223" s="2656"/>
      <c r="AK223" s="2656"/>
      <c r="AL223" s="2656"/>
      <c r="AM223" s="2656"/>
      <c r="AN223" s="2657"/>
      <c r="AP223" s="1528"/>
    </row>
  </sheetData>
  <mergeCells count="353">
    <mergeCell ref="C64:AI64"/>
    <mergeCell ref="AI67:AM67"/>
    <mergeCell ref="B69:AH69"/>
    <mergeCell ref="E70:L70"/>
    <mergeCell ref="M70:T70"/>
    <mergeCell ref="U70:AB70"/>
    <mergeCell ref="AC70:AH70"/>
    <mergeCell ref="AI70:AM70"/>
    <mergeCell ref="E71:L71"/>
    <mergeCell ref="M71:T71"/>
    <mergeCell ref="U71:AB71"/>
    <mergeCell ref="AC71:AH71"/>
    <mergeCell ref="AI71:AM71"/>
    <mergeCell ref="E66:L66"/>
    <mergeCell ref="M66:T66"/>
    <mergeCell ref="U66:AB66"/>
    <mergeCell ref="AC66:AH66"/>
    <mergeCell ref="AI66:AM66"/>
    <mergeCell ref="E67:L67"/>
    <mergeCell ref="M67:T67"/>
    <mergeCell ref="U67:AB67"/>
    <mergeCell ref="AC67:AH67"/>
    <mergeCell ref="B174:F174"/>
    <mergeCell ref="AH174:AL174"/>
    <mergeCell ref="AF174:AG174"/>
    <mergeCell ref="AA174:AE174"/>
    <mergeCell ref="Y174:Z174"/>
    <mergeCell ref="AH173:AL173"/>
    <mergeCell ref="AF173:AG173"/>
    <mergeCell ref="AA173:AE173"/>
    <mergeCell ref="Y173:Z173"/>
    <mergeCell ref="B173:F173"/>
    <mergeCell ref="G173:K173"/>
    <mergeCell ref="L173:P173"/>
    <mergeCell ref="Q173:R173"/>
    <mergeCell ref="S173:X173"/>
    <mergeCell ref="AG38:AI38"/>
    <mergeCell ref="AR183:BA183"/>
    <mergeCell ref="W43:AF43"/>
    <mergeCell ref="A1:AO1"/>
    <mergeCell ref="A2:AO2"/>
    <mergeCell ref="A3:AN3"/>
    <mergeCell ref="B5:K5"/>
    <mergeCell ref="M5:AN5"/>
    <mergeCell ref="B6:K6"/>
    <mergeCell ref="M6:AN6"/>
    <mergeCell ref="L18:W18"/>
    <mergeCell ref="L20:AN20"/>
    <mergeCell ref="J26:AN26"/>
    <mergeCell ref="J27:AN27"/>
    <mergeCell ref="V32:AD32"/>
    <mergeCell ref="W33:AF33"/>
    <mergeCell ref="B7:K7"/>
    <mergeCell ref="M7:AN7"/>
    <mergeCell ref="B8:K8"/>
    <mergeCell ref="B10:K10"/>
    <mergeCell ref="M10:AN10"/>
    <mergeCell ref="L16:W16"/>
    <mergeCell ref="AC16:AN16"/>
    <mergeCell ref="W44:AF44"/>
    <mergeCell ref="W45:AF45"/>
    <mergeCell ref="W46:AF46"/>
    <mergeCell ref="W47:AF47"/>
    <mergeCell ref="W48:AF48"/>
    <mergeCell ref="V49:AD49"/>
    <mergeCell ref="W34:AF34"/>
    <mergeCell ref="W35:AF35"/>
    <mergeCell ref="W36:AF36"/>
    <mergeCell ref="W38:AF38"/>
    <mergeCell ref="W40:AF40"/>
    <mergeCell ref="W41:AF41"/>
    <mergeCell ref="W39:AF39"/>
    <mergeCell ref="W37:AF37"/>
    <mergeCell ref="C53:AO55"/>
    <mergeCell ref="C61:J61"/>
    <mergeCell ref="K61:R61"/>
    <mergeCell ref="T61:AD61"/>
    <mergeCell ref="AE61:AJ61"/>
    <mergeCell ref="C62:J62"/>
    <mergeCell ref="K62:R62"/>
    <mergeCell ref="T62:AD62"/>
    <mergeCell ref="AE62:AJ62"/>
    <mergeCell ref="AK61:AM61"/>
    <mergeCell ref="AK62:AM62"/>
    <mergeCell ref="AN62:AV62"/>
    <mergeCell ref="AA145:AE145"/>
    <mergeCell ref="AF145:AG145"/>
    <mergeCell ref="AH145:AL145"/>
    <mergeCell ref="AM145:AN145"/>
    <mergeCell ref="B146:F146"/>
    <mergeCell ref="G146:K146"/>
    <mergeCell ref="L146:P146"/>
    <mergeCell ref="Q146:R146"/>
    <mergeCell ref="S146:X146"/>
    <mergeCell ref="Y146:Z146"/>
    <mergeCell ref="B144:F145"/>
    <mergeCell ref="G144:K145"/>
    <mergeCell ref="L144:R144"/>
    <mergeCell ref="S144:Z144"/>
    <mergeCell ref="AA144:AG144"/>
    <mergeCell ref="AH144:AN144"/>
    <mergeCell ref="L145:P145"/>
    <mergeCell ref="Q145:R145"/>
    <mergeCell ref="S145:X145"/>
    <mergeCell ref="Y145:Z145"/>
    <mergeCell ref="AM147:AN147"/>
    <mergeCell ref="B150:F150"/>
    <mergeCell ref="G150:Z151"/>
    <mergeCell ref="AA150:AL150"/>
    <mergeCell ref="B151:F151"/>
    <mergeCell ref="AA151:AL151"/>
    <mergeCell ref="AA146:AE146"/>
    <mergeCell ref="AF146:AG146"/>
    <mergeCell ref="AH146:AL146"/>
    <mergeCell ref="AM146:AN146"/>
    <mergeCell ref="B147:F147"/>
    <mergeCell ref="G147:K147"/>
    <mergeCell ref="L147:P147"/>
    <mergeCell ref="Q147:R147"/>
    <mergeCell ref="S147:X147"/>
    <mergeCell ref="Y147:Z147"/>
    <mergeCell ref="B152:F152"/>
    <mergeCell ref="G152:Z152"/>
    <mergeCell ref="AA152:AL152"/>
    <mergeCell ref="B153:F153"/>
    <mergeCell ref="G153:Z153"/>
    <mergeCell ref="AA153:AL153"/>
    <mergeCell ref="AA147:AE147"/>
    <mergeCell ref="AF147:AG147"/>
    <mergeCell ref="AH147:AL147"/>
    <mergeCell ref="B156:F156"/>
    <mergeCell ref="G156:Z156"/>
    <mergeCell ref="AA156:AL156"/>
    <mergeCell ref="B157:F157"/>
    <mergeCell ref="G157:Z157"/>
    <mergeCell ref="AA157:AL157"/>
    <mergeCell ref="B154:F154"/>
    <mergeCell ref="G154:Z154"/>
    <mergeCell ref="AA154:AL154"/>
    <mergeCell ref="B155:F155"/>
    <mergeCell ref="G155:Z155"/>
    <mergeCell ref="AA155:AL155"/>
    <mergeCell ref="B160:F160"/>
    <mergeCell ref="G160:Z160"/>
    <mergeCell ref="AA160:AL160"/>
    <mergeCell ref="B161:F161"/>
    <mergeCell ref="G161:Z161"/>
    <mergeCell ref="AA161:AL161"/>
    <mergeCell ref="B158:F158"/>
    <mergeCell ref="G158:Z158"/>
    <mergeCell ref="AA158:AL158"/>
    <mergeCell ref="B159:F159"/>
    <mergeCell ref="G159:Z159"/>
    <mergeCell ref="AA159:AL159"/>
    <mergeCell ref="B162:F162"/>
    <mergeCell ref="G162:Z162"/>
    <mergeCell ref="AA162:AL162"/>
    <mergeCell ref="B164:F165"/>
    <mergeCell ref="G164:K165"/>
    <mergeCell ref="L164:R164"/>
    <mergeCell ref="S164:Z164"/>
    <mergeCell ref="AA164:AG164"/>
    <mergeCell ref="AH164:AN164"/>
    <mergeCell ref="L165:P165"/>
    <mergeCell ref="AM165:AN165"/>
    <mergeCell ref="Q165:R165"/>
    <mergeCell ref="S165:X165"/>
    <mergeCell ref="Y165:Z165"/>
    <mergeCell ref="AA165:AE165"/>
    <mergeCell ref="AF165:AG165"/>
    <mergeCell ref="AH165:AL165"/>
    <mergeCell ref="B166:F166"/>
    <mergeCell ref="G166:K166"/>
    <mergeCell ref="L166:P166"/>
    <mergeCell ref="Q166:R166"/>
    <mergeCell ref="S166:X166"/>
    <mergeCell ref="Y166:Z166"/>
    <mergeCell ref="AA166:AE166"/>
    <mergeCell ref="AF166:AG166"/>
    <mergeCell ref="B171:F172"/>
    <mergeCell ref="B167:F167"/>
    <mergeCell ref="G167:K167"/>
    <mergeCell ref="L167:P167"/>
    <mergeCell ref="Q167:R167"/>
    <mergeCell ref="Y167:Z167"/>
    <mergeCell ref="AA167:AE167"/>
    <mergeCell ref="AF167:AG167"/>
    <mergeCell ref="AH167:AL167"/>
    <mergeCell ref="AM167:AN167"/>
    <mergeCell ref="S174:X174"/>
    <mergeCell ref="Y172:Z172"/>
    <mergeCell ref="AA172:AE172"/>
    <mergeCell ref="AA171:AG171"/>
    <mergeCell ref="AH171:AN171"/>
    <mergeCell ref="L172:P172"/>
    <mergeCell ref="Q172:R172"/>
    <mergeCell ref="S172:X172"/>
    <mergeCell ref="L174:P174"/>
    <mergeCell ref="Q174:R174"/>
    <mergeCell ref="AM166:AN166"/>
    <mergeCell ref="AH166:AL166"/>
    <mergeCell ref="AF172:AG172"/>
    <mergeCell ref="AH172:AL172"/>
    <mergeCell ref="AM172:AN172"/>
    <mergeCell ref="AM173:AN173"/>
    <mergeCell ref="AM174:AN174"/>
    <mergeCell ref="B177:F178"/>
    <mergeCell ref="G177:K178"/>
    <mergeCell ref="L177:R177"/>
    <mergeCell ref="S177:Z177"/>
    <mergeCell ref="AA177:AG177"/>
    <mergeCell ref="AH177:AN177"/>
    <mergeCell ref="L178:P178"/>
    <mergeCell ref="Q178:R178"/>
    <mergeCell ref="S178:X178"/>
    <mergeCell ref="Y178:Z178"/>
    <mergeCell ref="AA178:AE178"/>
    <mergeCell ref="AF178:AG178"/>
    <mergeCell ref="AM178:AN178"/>
    <mergeCell ref="G171:K172"/>
    <mergeCell ref="L171:R171"/>
    <mergeCell ref="S171:Z171"/>
    <mergeCell ref="G174:K174"/>
    <mergeCell ref="AA179:AE179"/>
    <mergeCell ref="AF179:AG179"/>
    <mergeCell ref="AH179:AL179"/>
    <mergeCell ref="AM179:AN179"/>
    <mergeCell ref="B180:F180"/>
    <mergeCell ref="G180:K180"/>
    <mergeCell ref="L180:P180"/>
    <mergeCell ref="Q180:R180"/>
    <mergeCell ref="S180:X180"/>
    <mergeCell ref="Y180:Z180"/>
    <mergeCell ref="B179:F179"/>
    <mergeCell ref="G179:K179"/>
    <mergeCell ref="L179:P179"/>
    <mergeCell ref="Q179:R179"/>
    <mergeCell ref="S179:X179"/>
    <mergeCell ref="Y179:Z179"/>
    <mergeCell ref="AA181:AE181"/>
    <mergeCell ref="AF181:AG181"/>
    <mergeCell ref="AH181:AL181"/>
    <mergeCell ref="AM181:AN181"/>
    <mergeCell ref="B185:F186"/>
    <mergeCell ref="H185:AG186"/>
    <mergeCell ref="AH185:AN186"/>
    <mergeCell ref="AA180:AE180"/>
    <mergeCell ref="AF180:AG180"/>
    <mergeCell ref="AH180:AL180"/>
    <mergeCell ref="AM180:AN180"/>
    <mergeCell ref="B181:F181"/>
    <mergeCell ref="G181:K181"/>
    <mergeCell ref="L181:P181"/>
    <mergeCell ref="Q181:R181"/>
    <mergeCell ref="S181:X181"/>
    <mergeCell ref="Y181:Z181"/>
    <mergeCell ref="B187:AG187"/>
    <mergeCell ref="AH187:AN187"/>
    <mergeCell ref="B188:F188"/>
    <mergeCell ref="G188:G196"/>
    <mergeCell ref="H188:AG188"/>
    <mergeCell ref="AH188:AN188"/>
    <mergeCell ref="B189:F189"/>
    <mergeCell ref="H189:AG189"/>
    <mergeCell ref="AH189:AN189"/>
    <mergeCell ref="B190:F190"/>
    <mergeCell ref="B196:F196"/>
    <mergeCell ref="H196:AG196"/>
    <mergeCell ref="AH196:AN196"/>
    <mergeCell ref="B193:F193"/>
    <mergeCell ref="AL193:AN193"/>
    <mergeCell ref="B194:F194"/>
    <mergeCell ref="H194:AG194"/>
    <mergeCell ref="AH194:AN194"/>
    <mergeCell ref="B195:F195"/>
    <mergeCell ref="H195:AG195"/>
    <mergeCell ref="AH195:AN195"/>
    <mergeCell ref="H190:AG190"/>
    <mergeCell ref="AH190:AN190"/>
    <mergeCell ref="B191:F191"/>
    <mergeCell ref="B202:F202"/>
    <mergeCell ref="H202:AG202"/>
    <mergeCell ref="AH202:AN202"/>
    <mergeCell ref="H191:AG191"/>
    <mergeCell ref="AK191:AN191"/>
    <mergeCell ref="B192:F192"/>
    <mergeCell ref="H192:AG192"/>
    <mergeCell ref="AL192:AN192"/>
    <mergeCell ref="B199:F199"/>
    <mergeCell ref="H199:AG199"/>
    <mergeCell ref="AH199:AN199"/>
    <mergeCell ref="B200:F200"/>
    <mergeCell ref="H200:AG200"/>
    <mergeCell ref="AH200:AN200"/>
    <mergeCell ref="B197:AG197"/>
    <mergeCell ref="AH197:AN197"/>
    <mergeCell ref="B198:F198"/>
    <mergeCell ref="H198:AG198"/>
    <mergeCell ref="AH198:AN198"/>
    <mergeCell ref="B220:F220"/>
    <mergeCell ref="AH220:AN220"/>
    <mergeCell ref="B221:F221"/>
    <mergeCell ref="AH221:AN221"/>
    <mergeCell ref="B223:AG223"/>
    <mergeCell ref="AH223:AN223"/>
    <mergeCell ref="B216:F216"/>
    <mergeCell ref="AH216:AN216"/>
    <mergeCell ref="B217:AG217"/>
    <mergeCell ref="AH217:AN217"/>
    <mergeCell ref="B219:F219"/>
    <mergeCell ref="H219:AG219"/>
    <mergeCell ref="AH219:AN219"/>
    <mergeCell ref="B218:F218"/>
    <mergeCell ref="H218:AG218"/>
    <mergeCell ref="AH218:AN218"/>
    <mergeCell ref="B215:F215"/>
    <mergeCell ref="AM215:AN215"/>
    <mergeCell ref="B211:F211"/>
    <mergeCell ref="H211:AF211"/>
    <mergeCell ref="AI211:AN211"/>
    <mergeCell ref="B212:F212"/>
    <mergeCell ref="H212:AF212"/>
    <mergeCell ref="AI212:AN212"/>
    <mergeCell ref="B209:F209"/>
    <mergeCell ref="H209:AF209"/>
    <mergeCell ref="AH209:AN209"/>
    <mergeCell ref="B210:F210"/>
    <mergeCell ref="H210:AF210"/>
    <mergeCell ref="AH210:AN210"/>
    <mergeCell ref="K23:X23"/>
    <mergeCell ref="K24:X24"/>
    <mergeCell ref="K25:R25"/>
    <mergeCell ref="B213:AG213"/>
    <mergeCell ref="AH213:AN213"/>
    <mergeCell ref="B214:F214"/>
    <mergeCell ref="H214:AG214"/>
    <mergeCell ref="AH214:AN214"/>
    <mergeCell ref="B206:F206"/>
    <mergeCell ref="H206:AG206"/>
    <mergeCell ref="AH206:AN206"/>
    <mergeCell ref="B207:F207"/>
    <mergeCell ref="AH207:AN207"/>
    <mergeCell ref="B208:F208"/>
    <mergeCell ref="AH208:AN208"/>
    <mergeCell ref="B203:F203"/>
    <mergeCell ref="H203:AG203"/>
    <mergeCell ref="B204:F204"/>
    <mergeCell ref="H204:AG204"/>
    <mergeCell ref="B205:AG205"/>
    <mergeCell ref="AH205:AN205"/>
    <mergeCell ref="B201:F201"/>
    <mergeCell ref="H201:AG201"/>
    <mergeCell ref="AH201:AN201"/>
  </mergeCells>
  <printOptions horizontalCentered="1"/>
  <pageMargins left="0.25" right="0.25" top="0.75" bottom="0.75" header="0.3" footer="0.3"/>
  <pageSetup paperSize="9" scale="52" fitToHeight="0" orientation="portrait" r:id="rId1"/>
  <headerFooter alignWithMargins="0">
    <oddHeader>&amp;C&amp;9FORMATO FE - 14&amp;R&amp;9MUNICIPALIDAD PROVINCIAL DE ABANCAY</oddHeader>
    <oddFooter>&amp;C&amp;8Página &amp;P de &amp;N</oddFooter>
  </headerFooter>
  <rowBreaks count="2" manualBreakCount="2">
    <brk id="73" max="39" man="1"/>
    <brk id="140" max="39"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9D444-B42E-4BE8-9ED4-18FE386D180A}">
  <sheetPr>
    <tabColor rgb="FF002060"/>
    <pageSetUpPr fitToPage="1"/>
  </sheetPr>
  <dimension ref="B1:AB68"/>
  <sheetViews>
    <sheetView view="pageBreakPreview" topLeftCell="A13" zoomScale="90" zoomScaleNormal="90" zoomScaleSheetLayoutView="90" workbookViewId="0">
      <selection activeCell="J28" sqref="J28:J40"/>
    </sheetView>
  </sheetViews>
  <sheetFormatPr baseColWidth="10" defaultColWidth="11.42578125" defaultRowHeight="15"/>
  <cols>
    <col min="1" max="1" width="4.28515625" customWidth="1"/>
    <col min="2" max="2" width="12.7109375" customWidth="1"/>
    <col min="3" max="4" width="10.42578125" customWidth="1"/>
    <col min="5" max="5" width="20.7109375" customWidth="1"/>
    <col min="6" max="6" width="13.7109375" customWidth="1"/>
    <col min="8" max="8" width="16.28515625" customWidth="1"/>
    <col min="9" max="9" width="11.42578125" customWidth="1"/>
    <col min="11" max="11" width="3.5703125" customWidth="1"/>
    <col min="12" max="12" width="14" customWidth="1"/>
    <col min="13" max="13" width="15.140625" customWidth="1"/>
    <col min="14" max="14" width="12.5703125" bestFit="1" customWidth="1"/>
    <col min="15" max="15" width="11.7109375" bestFit="1" customWidth="1"/>
  </cols>
  <sheetData>
    <row r="1" spans="2:28" s="9" customFormat="1" ht="12.75"/>
    <row r="2" spans="2:28" s="9" customFormat="1" ht="15.75">
      <c r="E2" s="1013" t="s">
        <v>4297</v>
      </c>
      <c r="F2" s="17"/>
      <c r="H2" s="658"/>
    </row>
    <row r="3" spans="2:28" s="9" customFormat="1" ht="15.75" customHeight="1">
      <c r="C3" s="2589" t="str">
        <f>[14]Datos!C25</f>
        <v>“MEJORAMIENTO DE LA GESTIÓN MUNICIPAL Y SERVICIO ADMINISTRATIVO DE LA MUNICIPALIDAD PROVINCIAL DE ABANCAY, DISTRITO DE ABANCAY - PROVINCIA DE ABANCAY - DEPARTAMENTO DE APURIMAC”.</v>
      </c>
      <c r="D3" s="2589"/>
      <c r="E3" s="2589"/>
      <c r="F3" s="2589"/>
      <c r="G3" s="2589"/>
      <c r="H3" s="2589"/>
      <c r="I3" s="2589"/>
      <c r="J3" s="2589"/>
      <c r="K3" s="1014"/>
      <c r="L3" s="1014"/>
    </row>
    <row r="4" spans="2:28" s="9" customFormat="1" ht="12.75" customHeight="1">
      <c r="C4" s="2589"/>
      <c r="D4" s="2589"/>
      <c r="E4" s="2589"/>
      <c r="F4" s="2589"/>
      <c r="G4" s="2589"/>
      <c r="H4" s="2589"/>
      <c r="I4" s="2589"/>
      <c r="J4" s="2589"/>
      <c r="K4" s="1014"/>
      <c r="L4" s="1014"/>
    </row>
    <row r="5" spans="2:28" s="9" customFormat="1" ht="53.25" customHeight="1">
      <c r="B5" s="560" t="s">
        <v>109</v>
      </c>
      <c r="C5" s="2589"/>
      <c r="D5" s="2589"/>
      <c r="E5" s="2589"/>
      <c r="F5" s="2589"/>
      <c r="G5" s="2589"/>
      <c r="H5" s="2589"/>
      <c r="I5" s="2589"/>
      <c r="J5" s="2589"/>
      <c r="K5" s="1014"/>
      <c r="L5" s="1014"/>
      <c r="M5"/>
      <c r="N5"/>
      <c r="O5"/>
      <c r="P5"/>
      <c r="Q5"/>
      <c r="R5"/>
      <c r="S5"/>
      <c r="T5"/>
      <c r="U5"/>
      <c r="V5"/>
      <c r="W5"/>
      <c r="X5"/>
      <c r="Y5"/>
      <c r="Z5"/>
      <c r="AA5"/>
      <c r="AB5"/>
    </row>
    <row r="6" spans="2:28" s="9" customFormat="1" ht="12.75">
      <c r="B6" s="56" t="s">
        <v>152</v>
      </c>
      <c r="C6" s="56"/>
      <c r="D6" s="1015" t="s">
        <v>2479</v>
      </c>
      <c r="E6" s="54"/>
      <c r="F6" s="54"/>
      <c r="H6" s="54"/>
      <c r="I6" s="54"/>
      <c r="J6" s="54"/>
    </row>
    <row r="7" spans="2:28" s="9" customFormat="1" ht="12.75">
      <c r="B7" s="56" t="s">
        <v>209</v>
      </c>
      <c r="C7" s="54"/>
      <c r="D7" s="54" t="str">
        <f>[14]Datos!B56</f>
        <v>Canon y Sobrecanon, Regalías, Renta de Aduanas y Participaciones</v>
      </c>
      <c r="E7" s="54"/>
      <c r="F7" s="562"/>
      <c r="I7" s="576"/>
      <c r="J7" s="54"/>
    </row>
    <row r="8" spans="2:28" s="45" customFormat="1" ht="15" customHeight="1">
      <c r="B8" s="237" t="s">
        <v>112</v>
      </c>
      <c r="C8" s="237"/>
      <c r="D8" s="238" t="s">
        <v>710</v>
      </c>
      <c r="E8" s="238"/>
      <c r="F8" s="564"/>
      <c r="H8" s="565"/>
      <c r="J8" s="563"/>
      <c r="L8" s="9"/>
      <c r="M8" s="9"/>
      <c r="N8" s="9"/>
      <c r="O8" s="9"/>
    </row>
    <row r="9" spans="2:28" s="9" customFormat="1" ht="13.5">
      <c r="B9" s="56" t="s">
        <v>210</v>
      </c>
      <c r="C9" s="56"/>
      <c r="D9" s="55" t="str">
        <f>[15]Datos!C73</f>
        <v>ING. RICHARD ERWIN MONTALVO ALVARO</v>
      </c>
      <c r="E9" s="55"/>
      <c r="F9" s="564"/>
      <c r="H9" s="565"/>
      <c r="J9" s="565"/>
    </row>
    <row r="10" spans="2:28" s="9" customFormat="1" ht="13.5">
      <c r="B10" s="56" t="s">
        <v>211</v>
      </c>
      <c r="C10" s="56"/>
      <c r="D10" s="55" t="str">
        <f>[14]Datos!C80</f>
        <v>ING. IVES BUSTHER GUTIERREZ ARENAS</v>
      </c>
      <c r="E10" s="55"/>
      <c r="F10" s="564"/>
      <c r="H10" s="568"/>
      <c r="I10" s="1424"/>
      <c r="J10" s="565"/>
    </row>
    <row r="11" spans="2:28" s="9" customFormat="1" ht="12.75">
      <c r="B11" s="561" t="s">
        <v>212</v>
      </c>
      <c r="C11" s="561"/>
      <c r="D11" s="566">
        <v>45291</v>
      </c>
      <c r="E11" s="567"/>
      <c r="J11" s="569"/>
    </row>
    <row r="12" spans="2:28" ht="11.25" customHeight="1">
      <c r="B12" s="676"/>
      <c r="C12" s="676"/>
      <c r="D12" s="676"/>
      <c r="E12" s="758"/>
      <c r="L12" s="9"/>
      <c r="M12" s="9"/>
      <c r="N12" s="9"/>
      <c r="O12" s="9"/>
    </row>
    <row r="13" spans="2:28" ht="11.25" customHeight="1">
      <c r="B13" s="2580" t="s">
        <v>761</v>
      </c>
      <c r="C13" s="2581" t="s">
        <v>762</v>
      </c>
      <c r="D13" s="2582"/>
      <c r="E13" s="684" t="s">
        <v>20</v>
      </c>
      <c r="F13" s="685"/>
      <c r="G13" s="686"/>
      <c r="H13" s="684" t="s">
        <v>21</v>
      </c>
      <c r="I13" s="687"/>
      <c r="J13" s="688"/>
      <c r="L13" s="9"/>
      <c r="M13" s="9"/>
      <c r="N13" s="9"/>
      <c r="O13" s="9"/>
    </row>
    <row r="14" spans="2:28" ht="11.25" customHeight="1">
      <c r="B14" s="2580"/>
      <c r="C14" s="2583"/>
      <c r="D14" s="2584"/>
      <c r="E14" s="2587" t="s">
        <v>127</v>
      </c>
      <c r="F14" s="685" t="s">
        <v>763</v>
      </c>
      <c r="G14" s="686"/>
      <c r="H14" s="2587" t="s">
        <v>127</v>
      </c>
      <c r="I14" s="684" t="s">
        <v>763</v>
      </c>
      <c r="J14" s="686"/>
      <c r="L14" s="9"/>
      <c r="M14" s="9"/>
      <c r="N14" s="9"/>
      <c r="O14" s="9"/>
    </row>
    <row r="15" spans="2:28" ht="11.25" customHeight="1">
      <c r="B15" s="2580"/>
      <c r="C15" s="2585"/>
      <c r="D15" s="2586"/>
      <c r="E15" s="2588"/>
      <c r="F15" s="689" t="s">
        <v>20</v>
      </c>
      <c r="G15" s="690" t="s">
        <v>22</v>
      </c>
      <c r="H15" s="2588"/>
      <c r="I15" s="690" t="s">
        <v>21</v>
      </c>
      <c r="J15" s="690" t="s">
        <v>22</v>
      </c>
      <c r="L15" s="9"/>
      <c r="M15" s="9"/>
      <c r="N15" s="9"/>
      <c r="O15" s="9"/>
    </row>
    <row r="16" spans="2:28" ht="11.25" customHeight="1">
      <c r="B16" s="698">
        <v>0</v>
      </c>
      <c r="C16" s="699"/>
      <c r="D16" s="700">
        <v>44585</v>
      </c>
      <c r="E16" s="701">
        <v>0</v>
      </c>
      <c r="F16" s="697">
        <v>0</v>
      </c>
      <c r="G16" s="695">
        <v>0</v>
      </c>
      <c r="H16" s="696">
        <v>0</v>
      </c>
      <c r="I16" s="697">
        <f t="shared" ref="I16:I34" si="0">H16/$E$41</f>
        <v>0</v>
      </c>
      <c r="J16" s="695">
        <f>I16</f>
        <v>0</v>
      </c>
      <c r="L16" s="9"/>
      <c r="M16" s="9"/>
      <c r="N16" s="9"/>
      <c r="O16" s="9"/>
    </row>
    <row r="17" spans="2:15" ht="11.25" customHeight="1">
      <c r="B17" s="677">
        <v>1</v>
      </c>
      <c r="C17" s="678"/>
      <c r="D17" s="679">
        <v>44592</v>
      </c>
      <c r="E17" s="680">
        <v>53407.59</v>
      </c>
      <c r="F17" s="681">
        <f t="shared" ref="F17:F40" si="1">E17/$E$41</f>
        <v>2.7773438283630403E-3</v>
      </c>
      <c r="G17" s="682">
        <f>G16+F17</f>
        <v>2.7773438283630403E-3</v>
      </c>
      <c r="H17" s="683">
        <v>53407.59</v>
      </c>
      <c r="I17" s="681">
        <f t="shared" si="0"/>
        <v>2.7773438283630403E-3</v>
      </c>
      <c r="J17" s="682">
        <f>J16+I17</f>
        <v>2.7773438283630403E-3</v>
      </c>
      <c r="L17" s="9"/>
      <c r="M17" s="9"/>
      <c r="N17" s="9"/>
      <c r="O17" s="9"/>
    </row>
    <row r="18" spans="2:15" ht="11.25" customHeight="1">
      <c r="B18" s="677">
        <v>2</v>
      </c>
      <c r="C18" s="678"/>
      <c r="D18" s="679">
        <v>44620</v>
      </c>
      <c r="E18" s="680">
        <v>111320.735</v>
      </c>
      <c r="F18" s="681">
        <f t="shared" si="1"/>
        <v>5.7889890991353011E-3</v>
      </c>
      <c r="G18" s="682">
        <f t="shared" ref="G18:G36" si="2">G17+F18</f>
        <v>8.5663329274983414E-3</v>
      </c>
      <c r="H18" s="683">
        <v>111320.735</v>
      </c>
      <c r="I18" s="681">
        <f t="shared" si="0"/>
        <v>5.7889890991353011E-3</v>
      </c>
      <c r="J18" s="682">
        <f t="shared" ref="J18:J23" si="3">I18+J17</f>
        <v>8.5663329274983414E-3</v>
      </c>
      <c r="L18" s="9"/>
      <c r="M18" s="9"/>
      <c r="N18" s="9"/>
      <c r="O18" s="9"/>
    </row>
    <row r="19" spans="2:15" ht="11.25" customHeight="1">
      <c r="B19" s="677">
        <v>3</v>
      </c>
      <c r="C19" s="678"/>
      <c r="D19" s="679">
        <v>44651</v>
      </c>
      <c r="E19" s="680">
        <v>602565.47966399998</v>
      </c>
      <c r="F19" s="681">
        <f t="shared" si="1"/>
        <v>3.1335087693142971E-2</v>
      </c>
      <c r="G19" s="682">
        <f t="shared" si="2"/>
        <v>3.9901420620641309E-2</v>
      </c>
      <c r="H19" s="683">
        <v>602565.47966399998</v>
      </c>
      <c r="I19" s="681">
        <f t="shared" si="0"/>
        <v>3.1335087693142971E-2</v>
      </c>
      <c r="J19" s="682">
        <f t="shared" si="3"/>
        <v>3.9901420620641309E-2</v>
      </c>
      <c r="L19" s="9"/>
      <c r="M19" s="9"/>
      <c r="N19" s="9"/>
      <c r="O19" s="9"/>
    </row>
    <row r="20" spans="2:15" ht="11.25" customHeight="1">
      <c r="B20" s="677">
        <v>4</v>
      </c>
      <c r="C20" s="678"/>
      <c r="D20" s="679">
        <v>44681</v>
      </c>
      <c r="E20" s="680">
        <v>475142.56469999999</v>
      </c>
      <c r="F20" s="681">
        <f t="shared" si="1"/>
        <v>2.4708740268230257E-2</v>
      </c>
      <c r="G20" s="682">
        <f t="shared" si="2"/>
        <v>6.461016088887156E-2</v>
      </c>
      <c r="H20" s="683">
        <v>475142.56469999999</v>
      </c>
      <c r="I20" s="681">
        <f t="shared" si="0"/>
        <v>2.4708740268230257E-2</v>
      </c>
      <c r="J20" s="682">
        <f t="shared" si="3"/>
        <v>6.461016088887156E-2</v>
      </c>
      <c r="L20" s="9"/>
      <c r="M20" s="9"/>
      <c r="N20" s="9"/>
      <c r="O20" s="9"/>
    </row>
    <row r="21" spans="2:15" ht="11.25" customHeight="1">
      <c r="B21" s="677">
        <v>5</v>
      </c>
      <c r="C21" s="678"/>
      <c r="D21" s="679">
        <v>44712</v>
      </c>
      <c r="E21" s="680">
        <v>770146.7504100001</v>
      </c>
      <c r="F21" s="681">
        <f t="shared" si="1"/>
        <v>4.0049781766693923E-2</v>
      </c>
      <c r="G21" s="682">
        <f t="shared" si="2"/>
        <v>0.10465994265556548</v>
      </c>
      <c r="H21" s="683">
        <v>770146.7504100001</v>
      </c>
      <c r="I21" s="681">
        <f t="shared" si="0"/>
        <v>4.0049781766693923E-2</v>
      </c>
      <c r="J21" s="682">
        <f t="shared" si="3"/>
        <v>0.10465994265556548</v>
      </c>
      <c r="L21" s="9"/>
      <c r="M21" s="9"/>
      <c r="N21" s="9"/>
      <c r="O21" s="9"/>
    </row>
    <row r="22" spans="2:15" ht="11.25" customHeight="1">
      <c r="B22" s="677">
        <v>6</v>
      </c>
      <c r="C22" s="678"/>
      <c r="D22" s="679">
        <v>44742</v>
      </c>
      <c r="E22" s="680">
        <v>781839.06169999996</v>
      </c>
      <c r="F22" s="681">
        <f t="shared" si="1"/>
        <v>4.0657814606231905E-2</v>
      </c>
      <c r="G22" s="682">
        <f t="shared" si="2"/>
        <v>0.14531775726179738</v>
      </c>
      <c r="H22" s="683">
        <v>781839.06169999996</v>
      </c>
      <c r="I22" s="681">
        <f t="shared" si="0"/>
        <v>4.0657814606231905E-2</v>
      </c>
      <c r="J22" s="682">
        <f t="shared" si="3"/>
        <v>0.14531775726179738</v>
      </c>
      <c r="L22" s="9"/>
      <c r="M22" s="9"/>
      <c r="N22" s="9"/>
      <c r="O22" s="9"/>
    </row>
    <row r="23" spans="2:15" ht="11.25" customHeight="1">
      <c r="B23" s="677">
        <v>7</v>
      </c>
      <c r="C23" s="678"/>
      <c r="D23" s="679">
        <v>44773</v>
      </c>
      <c r="E23" s="683">
        <v>764380.52</v>
      </c>
      <c r="F23" s="681">
        <f t="shared" si="1"/>
        <v>3.9749921682347616E-2</v>
      </c>
      <c r="G23" s="682">
        <f t="shared" si="2"/>
        <v>0.185067678944145</v>
      </c>
      <c r="H23" s="683">
        <v>769761.1825391968</v>
      </c>
      <c r="I23" s="681">
        <f t="shared" si="0"/>
        <v>4.0029731160658513E-2</v>
      </c>
      <c r="J23" s="682">
        <f t="shared" si="3"/>
        <v>0.18534748842245591</v>
      </c>
      <c r="L23" s="9"/>
      <c r="M23" s="9"/>
      <c r="N23" s="9"/>
      <c r="O23" s="9"/>
    </row>
    <row r="24" spans="2:15" ht="11.25" customHeight="1">
      <c r="B24" s="677">
        <v>8</v>
      </c>
      <c r="C24" s="678"/>
      <c r="D24" s="679">
        <v>44804</v>
      </c>
      <c r="E24" s="683">
        <v>890331.56450227846</v>
      </c>
      <c r="F24" s="681">
        <f t="shared" si="1"/>
        <v>4.6299727732841217E-2</v>
      </c>
      <c r="G24" s="682">
        <f t="shared" si="2"/>
        <v>0.23136740667698621</v>
      </c>
      <c r="H24" s="683">
        <v>890331.56450227846</v>
      </c>
      <c r="I24" s="681">
        <f t="shared" si="0"/>
        <v>4.6299727732841217E-2</v>
      </c>
      <c r="J24" s="682">
        <f>I24+J23</f>
        <v>0.23164721615529713</v>
      </c>
      <c r="L24" s="9"/>
      <c r="M24" s="9"/>
      <c r="N24" s="9"/>
      <c r="O24" s="9"/>
    </row>
    <row r="25" spans="2:15" ht="10.9" customHeight="1">
      <c r="B25" s="677">
        <v>9</v>
      </c>
      <c r="C25" s="678"/>
      <c r="D25" s="679">
        <v>44834</v>
      </c>
      <c r="E25" s="683">
        <v>535322.8769578943</v>
      </c>
      <c r="F25" s="681">
        <f t="shared" si="1"/>
        <v>2.7838284567803098E-2</v>
      </c>
      <c r="G25" s="682">
        <f t="shared" si="2"/>
        <v>0.25920569124478932</v>
      </c>
      <c r="H25" s="683">
        <v>535322.8769578943</v>
      </c>
      <c r="I25" s="681">
        <f t="shared" si="0"/>
        <v>2.7838284567803098E-2</v>
      </c>
      <c r="J25" s="682">
        <f>I25+J24</f>
        <v>0.25948550072310023</v>
      </c>
      <c r="L25" s="9"/>
      <c r="M25" s="9"/>
      <c r="N25" s="9"/>
      <c r="O25" s="9"/>
    </row>
    <row r="26" spans="2:15" ht="12.6" customHeight="1">
      <c r="B26" s="677">
        <v>10</v>
      </c>
      <c r="C26" s="678"/>
      <c r="D26" s="679">
        <v>44865</v>
      </c>
      <c r="E26" s="683">
        <v>126918.10130000002</v>
      </c>
      <c r="F26" s="681">
        <f t="shared" si="1"/>
        <v>6.6000957046200778E-3</v>
      </c>
      <c r="G26" s="682">
        <f t="shared" si="2"/>
        <v>0.26580578694940937</v>
      </c>
      <c r="H26" s="683">
        <v>126918.10130000002</v>
      </c>
      <c r="I26" s="681">
        <f t="shared" si="0"/>
        <v>6.6000957046200778E-3</v>
      </c>
      <c r="J26" s="682">
        <f>I26+J25</f>
        <v>0.26608559642772028</v>
      </c>
      <c r="L26" s="9"/>
      <c r="M26" s="1424">
        <f>SUM(H17:H28)</f>
        <v>7091140.4126483696</v>
      </c>
    </row>
    <row r="27" spans="2:15" ht="12" customHeight="1">
      <c r="B27" s="677">
        <v>11</v>
      </c>
      <c r="C27" s="678"/>
      <c r="D27" s="679">
        <v>44895</v>
      </c>
      <c r="E27" s="683">
        <v>282926.96000000002</v>
      </c>
      <c r="F27" s="681">
        <f t="shared" si="1"/>
        <v>1.4712992034156883E-2</v>
      </c>
      <c r="G27" s="682">
        <f t="shared" si="2"/>
        <v>0.28051877898356625</v>
      </c>
      <c r="H27" s="683">
        <v>287143.51587499998</v>
      </c>
      <c r="I27" s="681">
        <f t="shared" si="0"/>
        <v>1.4932264714994552E-2</v>
      </c>
      <c r="J27" s="682">
        <f>I27+J26</f>
        <v>0.28101786114271482</v>
      </c>
      <c r="L27" s="9"/>
      <c r="M27" s="1424"/>
    </row>
    <row r="28" spans="2:15" ht="11.25" customHeight="1">
      <c r="B28" s="677">
        <v>12</v>
      </c>
      <c r="C28" s="1096"/>
      <c r="D28" s="679">
        <v>44926</v>
      </c>
      <c r="E28" s="683">
        <v>1689197.91228</v>
      </c>
      <c r="F28" s="681">
        <f t="shared" si="1"/>
        <v>8.7843008766255712E-2</v>
      </c>
      <c r="G28" s="682">
        <f t="shared" si="2"/>
        <v>0.36836178774982198</v>
      </c>
      <c r="H28" s="683">
        <f>1689753.2-2512.21</f>
        <v>1687240.99</v>
      </c>
      <c r="I28" s="681">
        <f t="shared" si="0"/>
        <v>8.7741243342709274E-2</v>
      </c>
      <c r="J28" s="682">
        <f>I28+J27</f>
        <v>0.36875910448542409</v>
      </c>
      <c r="L28" s="9"/>
      <c r="M28" s="9"/>
    </row>
    <row r="29" spans="2:15" ht="11.25" customHeight="1">
      <c r="B29" s="677">
        <v>13</v>
      </c>
      <c r="C29" s="1096"/>
      <c r="D29" s="679">
        <v>44957</v>
      </c>
      <c r="E29" s="680">
        <v>0</v>
      </c>
      <c r="F29" s="681">
        <f t="shared" si="1"/>
        <v>0</v>
      </c>
      <c r="G29" s="682">
        <f t="shared" si="2"/>
        <v>0.36836178774982198</v>
      </c>
      <c r="H29" s="1411">
        <v>0</v>
      </c>
      <c r="I29" s="1412">
        <f t="shared" si="0"/>
        <v>0</v>
      </c>
      <c r="J29" s="682">
        <f t="shared" ref="J29:J38" si="4">I29+J28</f>
        <v>0.36875910448542409</v>
      </c>
      <c r="L29" s="9"/>
      <c r="M29" s="9"/>
    </row>
    <row r="30" spans="2:15" ht="11.25" customHeight="1">
      <c r="B30" s="677">
        <v>14</v>
      </c>
      <c r="C30" s="1095"/>
      <c r="D30" s="679">
        <v>44985</v>
      </c>
      <c r="E30" s="680">
        <v>187191.96</v>
      </c>
      <c r="F30" s="681">
        <f t="shared" si="1"/>
        <v>9.7345046804242826E-3</v>
      </c>
      <c r="G30" s="682">
        <f t="shared" si="2"/>
        <v>0.37809629243024628</v>
      </c>
      <c r="H30" s="683">
        <v>187379.55779999995</v>
      </c>
      <c r="I30" s="681">
        <f t="shared" si="0"/>
        <v>9.7442602899180716E-3</v>
      </c>
      <c r="J30" s="682">
        <f t="shared" si="4"/>
        <v>0.37850336477534219</v>
      </c>
      <c r="L30" s="9"/>
      <c r="M30" s="1424"/>
    </row>
    <row r="31" spans="2:15" ht="11.25" customHeight="1">
      <c r="B31" s="677">
        <v>15</v>
      </c>
      <c r="C31" s="1096"/>
      <c r="D31" s="679">
        <v>45016</v>
      </c>
      <c r="E31" s="680">
        <v>529264.90829999978</v>
      </c>
      <c r="F31" s="681">
        <f t="shared" si="1"/>
        <v>2.7523253279845335E-2</v>
      </c>
      <c r="G31" s="682">
        <f t="shared" si="2"/>
        <v>0.40561954571009162</v>
      </c>
      <c r="H31" s="683">
        <v>529264.90829999978</v>
      </c>
      <c r="I31" s="681">
        <f t="shared" si="0"/>
        <v>2.7523253279845335E-2</v>
      </c>
      <c r="J31" s="682">
        <f t="shared" si="4"/>
        <v>0.40602661805518753</v>
      </c>
      <c r="L31" s="1424">
        <f>SUM(E17:E28)</f>
        <v>7083500.1165141733</v>
      </c>
      <c r="M31" s="9"/>
    </row>
    <row r="32" spans="2:15" ht="11.25" customHeight="1">
      <c r="B32" s="677">
        <v>16</v>
      </c>
      <c r="C32" s="1096"/>
      <c r="D32" s="679">
        <v>45046</v>
      </c>
      <c r="E32" s="680">
        <v>402591.79</v>
      </c>
      <c r="F32" s="681">
        <f t="shared" si="1"/>
        <v>2.0935897375375469E-2</v>
      </c>
      <c r="G32" s="682">
        <f t="shared" si="2"/>
        <v>0.42655544308546711</v>
      </c>
      <c r="H32" s="683">
        <v>403927.93</v>
      </c>
      <c r="I32" s="681">
        <f t="shared" si="0"/>
        <v>2.1005380386738257E-2</v>
      </c>
      <c r="J32" s="682">
        <f t="shared" si="4"/>
        <v>0.4270319984419258</v>
      </c>
      <c r="L32" s="9"/>
      <c r="M32" s="9"/>
    </row>
    <row r="33" spans="2:14" ht="11.25" customHeight="1">
      <c r="B33" s="677">
        <v>17</v>
      </c>
      <c r="C33" s="1096"/>
      <c r="D33" s="679">
        <v>45077</v>
      </c>
      <c r="E33" s="680">
        <v>490350.66999999993</v>
      </c>
      <c r="F33" s="681">
        <f t="shared" si="1"/>
        <v>2.5499604214647798E-2</v>
      </c>
      <c r="G33" s="682">
        <f t="shared" si="2"/>
        <v>0.45205504730011492</v>
      </c>
      <c r="H33" s="683">
        <v>490350.67</v>
      </c>
      <c r="I33" s="681">
        <f t="shared" si="0"/>
        <v>2.5499604214647802E-2</v>
      </c>
      <c r="J33" s="682">
        <f t="shared" si="4"/>
        <v>0.45253160265657361</v>
      </c>
      <c r="L33" s="9"/>
      <c r="M33" s="9"/>
    </row>
    <row r="34" spans="2:14" ht="11.25" customHeight="1">
      <c r="B34" s="677">
        <v>18</v>
      </c>
      <c r="C34" s="1096"/>
      <c r="D34" s="679">
        <v>45107</v>
      </c>
      <c r="E34" s="680">
        <v>503062.95</v>
      </c>
      <c r="F34" s="681">
        <f t="shared" si="1"/>
        <v>2.6160678275514861E-2</v>
      </c>
      <c r="G34" s="682">
        <f t="shared" si="2"/>
        <v>0.4782157255756298</v>
      </c>
      <c r="H34" s="683">
        <v>503062.91</v>
      </c>
      <c r="I34" s="681">
        <f t="shared" si="0"/>
        <v>2.6160676195403153E-2</v>
      </c>
      <c r="J34" s="682">
        <f t="shared" si="4"/>
        <v>0.47869227885197674</v>
      </c>
      <c r="L34" s="9"/>
      <c r="M34" s="9"/>
    </row>
    <row r="35" spans="2:14" ht="11.25" customHeight="1">
      <c r="B35" s="677">
        <v>19</v>
      </c>
      <c r="C35" s="1096"/>
      <c r="D35" s="679">
        <v>45138</v>
      </c>
      <c r="E35" s="680">
        <v>387540.08</v>
      </c>
      <c r="F35" s="681">
        <f t="shared" si="1"/>
        <v>2.0153166421314254E-2</v>
      </c>
      <c r="G35" s="682">
        <f t="shared" si="2"/>
        <v>0.49836889199694406</v>
      </c>
      <c r="H35" s="683">
        <v>387914.16</v>
      </c>
      <c r="I35" s="681">
        <f t="shared" ref="I35:I40" si="5">H35/$E$41</f>
        <v>2.0172619625986359E-2</v>
      </c>
      <c r="J35" s="682">
        <f t="shared" si="4"/>
        <v>0.49886489847796311</v>
      </c>
      <c r="L35" s="9"/>
      <c r="M35" s="9"/>
    </row>
    <row r="36" spans="2:14" ht="11.25" customHeight="1">
      <c r="B36" s="677">
        <v>20</v>
      </c>
      <c r="C36" s="1096"/>
      <c r="D36" s="679">
        <v>45169</v>
      </c>
      <c r="E36" s="680">
        <v>300133.5393</v>
      </c>
      <c r="F36" s="681">
        <f t="shared" si="1"/>
        <v>1.5607782209600003E-2</v>
      </c>
      <c r="G36" s="682">
        <f t="shared" si="2"/>
        <v>0.51397667420654403</v>
      </c>
      <c r="H36" s="683">
        <f>E36</f>
        <v>300133.5393</v>
      </c>
      <c r="I36" s="681">
        <f t="shared" si="5"/>
        <v>1.5607782209600003E-2</v>
      </c>
      <c r="J36" s="682">
        <f t="shared" si="4"/>
        <v>0.51447268068756313</v>
      </c>
      <c r="L36" s="1424">
        <f>SUM(H17:H40)</f>
        <v>13031125.745748369</v>
      </c>
      <c r="M36" s="9"/>
      <c r="N36" s="1016">
        <f>SUM(E17:E28)</f>
        <v>7083500.1165141733</v>
      </c>
    </row>
    <row r="37" spans="2:14" ht="11.25" customHeight="1">
      <c r="B37" s="677">
        <v>21</v>
      </c>
      <c r="C37" s="1096"/>
      <c r="D37" s="679">
        <v>45199</v>
      </c>
      <c r="E37" s="680">
        <v>1674595.675230332</v>
      </c>
      <c r="F37" s="681">
        <f t="shared" si="1"/>
        <v>8.70836516608295E-2</v>
      </c>
      <c r="G37" s="1697">
        <f>G36+F37</f>
        <v>0.60106032586737357</v>
      </c>
      <c r="H37" s="683">
        <v>1817618.37</v>
      </c>
      <c r="I37" s="681">
        <f t="shared" si="5"/>
        <v>9.452123120026179E-2</v>
      </c>
      <c r="J37" s="682">
        <f t="shared" si="4"/>
        <v>0.60899391188782492</v>
      </c>
      <c r="L37" s="9"/>
      <c r="M37" s="9"/>
    </row>
    <row r="38" spans="2:14" ht="11.25" customHeight="1">
      <c r="B38" s="677">
        <v>22</v>
      </c>
      <c r="C38" s="1096"/>
      <c r="D38" s="679">
        <v>45230</v>
      </c>
      <c r="E38" s="680">
        <v>2273531.7999999998</v>
      </c>
      <c r="F38" s="681">
        <f t="shared" si="1"/>
        <v>0.11823000276397257</v>
      </c>
      <c r="G38" s="1697">
        <f>G37+F38</f>
        <v>0.71929032863134612</v>
      </c>
      <c r="H38" s="683">
        <v>507933.04</v>
      </c>
      <c r="I38" s="681">
        <f t="shared" si="5"/>
        <v>2.6413936555940407E-2</v>
      </c>
      <c r="J38" s="682">
        <f t="shared" si="4"/>
        <v>0.6354078484437653</v>
      </c>
      <c r="L38" s="9"/>
      <c r="M38" s="9"/>
    </row>
    <row r="39" spans="2:14" ht="11.25" customHeight="1">
      <c r="B39" s="677">
        <v>23</v>
      </c>
      <c r="C39" s="1096"/>
      <c r="D39" s="679">
        <v>45260</v>
      </c>
      <c r="E39" s="680">
        <v>550208.32449999987</v>
      </c>
      <c r="F39" s="681">
        <f t="shared" si="1"/>
        <v>2.8612369409742017E-2</v>
      </c>
      <c r="G39" s="1697">
        <f t="shared" ref="G39:G40" si="6">G38+F39</f>
        <v>0.74790269804108811</v>
      </c>
      <c r="H39" s="683">
        <v>458699.57770000002</v>
      </c>
      <c r="I39" s="681">
        <f t="shared" si="5"/>
        <v>2.3853659024828267E-2</v>
      </c>
      <c r="J39" s="682">
        <f>I39+J38</f>
        <v>0.65926150746859358</v>
      </c>
      <c r="L39" s="9"/>
      <c r="M39" s="9"/>
    </row>
    <row r="40" spans="2:14" ht="11.25" customHeight="1">
      <c r="B40" s="677">
        <v>24</v>
      </c>
      <c r="C40" s="1096"/>
      <c r="D40" s="679">
        <v>45291</v>
      </c>
      <c r="E40" s="680">
        <v>4847764.92</v>
      </c>
      <c r="F40" s="681">
        <f t="shared" si="1"/>
        <v>0.25209731391955426</v>
      </c>
      <c r="G40" s="1697">
        <f t="shared" si="6"/>
        <v>1.0000000119606423</v>
      </c>
      <c r="H40" s="683">
        <v>353700.67</v>
      </c>
      <c r="I40" s="681">
        <f t="shared" si="5"/>
        <v>1.8393422599903352E-2</v>
      </c>
      <c r="J40" s="682">
        <f>I40+J39</f>
        <v>0.67765493006849697</v>
      </c>
      <c r="L40" s="9"/>
      <c r="M40" s="9"/>
    </row>
    <row r="41" spans="2:14" ht="11.25" customHeight="1">
      <c r="B41" s="684" t="s">
        <v>1116</v>
      </c>
      <c r="C41" s="685"/>
      <c r="D41" s="686"/>
      <c r="E41" s="1555">
        <f>SUM(E17:E40)-0.23</f>
        <v>19229736.503844503</v>
      </c>
      <c r="F41" s="692"/>
      <c r="G41" s="693"/>
      <c r="H41" s="1555">
        <f>SUM(H17:H40)</f>
        <v>13031125.745748369</v>
      </c>
      <c r="I41" s="694">
        <f>SUM(I17:I40)</f>
        <v>0.67765493006849697</v>
      </c>
      <c r="J41" s="985">
        <f>SUM(I17:I40)</f>
        <v>0.67765493006849697</v>
      </c>
      <c r="L41" s="1424">
        <f>SUM(E17:E40)</f>
        <v>19229736.733844504</v>
      </c>
      <c r="M41" s="1424"/>
      <c r="N41" s="1016"/>
    </row>
    <row r="42" spans="2:14" ht="11.25" customHeight="1">
      <c r="E42" s="1016"/>
      <c r="L42" s="51"/>
      <c r="M42" s="1424"/>
    </row>
    <row r="43" spans="2:14">
      <c r="L43" s="51">
        <v>353700.67850000004</v>
      </c>
      <c r="M43" s="1016"/>
    </row>
    <row r="44" spans="2:14">
      <c r="L44" s="51"/>
    </row>
    <row r="45" spans="2:14">
      <c r="L45" s="51"/>
    </row>
    <row r="46" spans="2:14">
      <c r="L46" s="51"/>
    </row>
    <row r="47" spans="2:14">
      <c r="L47" s="51"/>
    </row>
    <row r="48" spans="2:14">
      <c r="F48" s="51"/>
      <c r="L48" s="51"/>
    </row>
    <row r="49" spans="6:12">
      <c r="L49" s="51"/>
    </row>
    <row r="50" spans="6:12">
      <c r="L50" s="51"/>
    </row>
    <row r="51" spans="6:12">
      <c r="L51" s="51"/>
    </row>
    <row r="52" spans="6:12">
      <c r="F52" s="5"/>
      <c r="G52" s="5"/>
      <c r="H52" s="5"/>
      <c r="I52" s="5"/>
      <c r="L52" s="51"/>
    </row>
    <row r="53" spans="6:12">
      <c r="F53" s="5"/>
      <c r="G53" s="5"/>
      <c r="H53" s="5"/>
      <c r="I53" s="5"/>
      <c r="L53" s="51"/>
    </row>
    <row r="54" spans="6:12">
      <c r="L54" s="51"/>
    </row>
    <row r="55" spans="6:12">
      <c r="I55" s="233"/>
    </row>
    <row r="56" spans="6:12">
      <c r="H56" s="232"/>
      <c r="I56" s="231"/>
    </row>
    <row r="57" spans="6:12">
      <c r="G57" s="231"/>
    </row>
    <row r="67" spans="6:6" ht="21" customHeight="1">
      <c r="F67" t="s">
        <v>423</v>
      </c>
    </row>
    <row r="68" spans="6:6" ht="19.5" customHeight="1"/>
  </sheetData>
  <mergeCells count="5">
    <mergeCell ref="C3:J5"/>
    <mergeCell ref="B13:B15"/>
    <mergeCell ref="C13:D15"/>
    <mergeCell ref="E14:E15"/>
    <mergeCell ref="H14:H15"/>
  </mergeCells>
  <pageMargins left="0.25" right="0.25" top="0.75" bottom="0.75" header="0.3" footer="0.3"/>
  <pageSetup paperSize="9" scale="78"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A7629-4638-4C68-924A-A3E1F1046561}">
  <sheetPr>
    <tabColor rgb="FFFF0000"/>
    <pageSetUpPr fitToPage="1"/>
  </sheetPr>
  <dimension ref="A2:AI2529"/>
  <sheetViews>
    <sheetView view="pageBreakPreview" zoomScale="55" zoomScaleNormal="40" zoomScaleSheetLayoutView="55" zoomScalePageLayoutView="60" workbookViewId="0">
      <pane xSplit="5" topLeftCell="F1" activePane="topRight" state="frozen"/>
      <selection activeCell="A7" sqref="A7"/>
      <selection pane="topRight" activeCell="E105" sqref="A105:XFD108"/>
    </sheetView>
  </sheetViews>
  <sheetFormatPr baseColWidth="10" defaultColWidth="11.5703125" defaultRowHeight="15.75"/>
  <cols>
    <col min="1" max="1" width="19" style="1675" customWidth="1"/>
    <col min="2" max="2" width="78.85546875" style="1675" customWidth="1"/>
    <col min="3" max="3" width="9.7109375" style="1560" customWidth="1"/>
    <col min="4" max="4" width="29.5703125" style="1690" customWidth="1"/>
    <col min="5" max="5" width="9.28515625" style="1691" customWidth="1"/>
    <col min="6" max="8" width="17" style="1691" customWidth="1"/>
    <col min="9" max="14" width="19.7109375" style="1691" customWidth="1"/>
    <col min="15" max="15" width="17" style="1691" customWidth="1"/>
    <col min="16" max="16" width="19.5703125" style="1691" customWidth="1"/>
    <col min="17" max="17" width="19.42578125" style="1691" customWidth="1"/>
    <col min="18" max="24" width="19.42578125" style="1560" customWidth="1"/>
    <col min="25" max="25" width="25.85546875" style="1560" customWidth="1"/>
    <col min="26" max="26" width="22.85546875" style="1560" customWidth="1"/>
    <col min="27" max="27" width="20.7109375" style="1560" customWidth="1"/>
    <col min="28" max="28" width="26.7109375" style="1560" customWidth="1"/>
    <col min="29" max="29" width="30.85546875" style="1560" customWidth="1"/>
    <col min="30" max="30" width="20.85546875" style="1692" customWidth="1"/>
    <col min="31" max="31" width="26.42578125" style="1790" customWidth="1"/>
    <col min="32" max="32" width="18.42578125" style="1791" customWidth="1"/>
    <col min="33" max="34" width="11.5703125" style="1560"/>
    <col min="35" max="35" width="21.7109375" style="1560" bestFit="1" customWidth="1"/>
    <col min="36" max="243" width="11.5703125" style="1560"/>
    <col min="244" max="244" width="54.28515625" style="1560" customWidth="1"/>
    <col min="245" max="245" width="5.85546875" style="1560" customWidth="1"/>
    <col min="246" max="246" width="19.42578125" style="1560" customWidth="1"/>
    <col min="247" max="247" width="9.42578125" style="1560" customWidth="1"/>
    <col min="248" max="278" width="8.7109375" style="1560" customWidth="1"/>
    <col min="279" max="279" width="9.5703125" style="1560" customWidth="1"/>
    <col min="280" max="280" width="20.42578125" style="1560" customWidth="1"/>
    <col min="281" max="499" width="11.5703125" style="1560"/>
    <col min="500" max="500" width="54.28515625" style="1560" customWidth="1"/>
    <col min="501" max="501" width="5.85546875" style="1560" customWidth="1"/>
    <col min="502" max="502" width="19.42578125" style="1560" customWidth="1"/>
    <col min="503" max="503" width="9.42578125" style="1560" customWidth="1"/>
    <col min="504" max="534" width="8.7109375" style="1560" customWidth="1"/>
    <col min="535" max="535" width="9.5703125" style="1560" customWidth="1"/>
    <col min="536" max="536" width="20.42578125" style="1560" customWidth="1"/>
    <col min="537" max="755" width="11.5703125" style="1560"/>
    <col min="756" max="756" width="54.28515625" style="1560" customWidth="1"/>
    <col min="757" max="757" width="5.85546875" style="1560" customWidth="1"/>
    <col min="758" max="758" width="19.42578125" style="1560" customWidth="1"/>
    <col min="759" max="759" width="9.42578125" style="1560" customWidth="1"/>
    <col min="760" max="790" width="8.7109375" style="1560" customWidth="1"/>
    <col min="791" max="791" width="9.5703125" style="1560" customWidth="1"/>
    <col min="792" max="792" width="20.42578125" style="1560" customWidth="1"/>
    <col min="793" max="1011" width="11.5703125" style="1560"/>
    <col min="1012" max="1012" width="54.28515625" style="1560" customWidth="1"/>
    <col min="1013" max="1013" width="5.85546875" style="1560" customWidth="1"/>
    <col min="1014" max="1014" width="19.42578125" style="1560" customWidth="1"/>
    <col min="1015" max="1015" width="9.42578125" style="1560" customWidth="1"/>
    <col min="1016" max="1046" width="8.7109375" style="1560" customWidth="1"/>
    <col min="1047" max="1047" width="9.5703125" style="1560" customWidth="1"/>
    <col min="1048" max="1048" width="20.42578125" style="1560" customWidth="1"/>
    <col min="1049" max="1267" width="11.5703125" style="1560"/>
    <col min="1268" max="1268" width="54.28515625" style="1560" customWidth="1"/>
    <col min="1269" max="1269" width="5.85546875" style="1560" customWidth="1"/>
    <col min="1270" max="1270" width="19.42578125" style="1560" customWidth="1"/>
    <col min="1271" max="1271" width="9.42578125" style="1560" customWidth="1"/>
    <col min="1272" max="1302" width="8.7109375" style="1560" customWidth="1"/>
    <col min="1303" max="1303" width="9.5703125" style="1560" customWidth="1"/>
    <col min="1304" max="1304" width="20.42578125" style="1560" customWidth="1"/>
    <col min="1305" max="1523" width="11.5703125" style="1560"/>
    <col min="1524" max="1524" width="54.28515625" style="1560" customWidth="1"/>
    <col min="1525" max="1525" width="5.85546875" style="1560" customWidth="1"/>
    <col min="1526" max="1526" width="19.42578125" style="1560" customWidth="1"/>
    <col min="1527" max="1527" width="9.42578125" style="1560" customWidth="1"/>
    <col min="1528" max="1558" width="8.7109375" style="1560" customWidth="1"/>
    <col min="1559" max="1559" width="9.5703125" style="1560" customWidth="1"/>
    <col min="1560" max="1560" width="20.42578125" style="1560" customWidth="1"/>
    <col min="1561" max="1779" width="11.5703125" style="1560"/>
    <col min="1780" max="1780" width="54.28515625" style="1560" customWidth="1"/>
    <col min="1781" max="1781" width="5.85546875" style="1560" customWidth="1"/>
    <col min="1782" max="1782" width="19.42578125" style="1560" customWidth="1"/>
    <col min="1783" max="1783" width="9.42578125" style="1560" customWidth="1"/>
    <col min="1784" max="1814" width="8.7109375" style="1560" customWidth="1"/>
    <col min="1815" max="1815" width="9.5703125" style="1560" customWidth="1"/>
    <col min="1816" max="1816" width="20.42578125" style="1560" customWidth="1"/>
    <col min="1817" max="2035" width="11.5703125" style="1560"/>
    <col min="2036" max="2036" width="54.28515625" style="1560" customWidth="1"/>
    <col min="2037" max="2037" width="5.85546875" style="1560" customWidth="1"/>
    <col min="2038" max="2038" width="19.42578125" style="1560" customWidth="1"/>
    <col min="2039" max="2039" width="9.42578125" style="1560" customWidth="1"/>
    <col min="2040" max="2070" width="8.7109375" style="1560" customWidth="1"/>
    <col min="2071" max="2071" width="9.5703125" style="1560" customWidth="1"/>
    <col min="2072" max="2072" width="20.42578125" style="1560" customWidth="1"/>
    <col min="2073" max="2291" width="11.5703125" style="1560"/>
    <col min="2292" max="2292" width="54.28515625" style="1560" customWidth="1"/>
    <col min="2293" max="2293" width="5.85546875" style="1560" customWidth="1"/>
    <col min="2294" max="2294" width="19.42578125" style="1560" customWidth="1"/>
    <col min="2295" max="2295" width="9.42578125" style="1560" customWidth="1"/>
    <col min="2296" max="2326" width="8.7109375" style="1560" customWidth="1"/>
    <col min="2327" max="2327" width="9.5703125" style="1560" customWidth="1"/>
    <col min="2328" max="2328" width="20.42578125" style="1560" customWidth="1"/>
    <col min="2329" max="2547" width="11.5703125" style="1560"/>
    <col min="2548" max="2548" width="54.28515625" style="1560" customWidth="1"/>
    <col min="2549" max="2549" width="5.85546875" style="1560" customWidth="1"/>
    <col min="2550" max="2550" width="19.42578125" style="1560" customWidth="1"/>
    <col min="2551" max="2551" width="9.42578125" style="1560" customWidth="1"/>
    <col min="2552" max="2582" width="8.7109375" style="1560" customWidth="1"/>
    <col min="2583" max="2583" width="9.5703125" style="1560" customWidth="1"/>
    <col min="2584" max="2584" width="20.42578125" style="1560" customWidth="1"/>
    <col min="2585" max="2803" width="11.5703125" style="1560"/>
    <col min="2804" max="2804" width="54.28515625" style="1560" customWidth="1"/>
    <col min="2805" max="2805" width="5.85546875" style="1560" customWidth="1"/>
    <col min="2806" max="2806" width="19.42578125" style="1560" customWidth="1"/>
    <col min="2807" max="2807" width="9.42578125" style="1560" customWidth="1"/>
    <col min="2808" max="2838" width="8.7109375" style="1560" customWidth="1"/>
    <col min="2839" max="2839" width="9.5703125" style="1560" customWidth="1"/>
    <col min="2840" max="2840" width="20.42578125" style="1560" customWidth="1"/>
    <col min="2841" max="3059" width="11.5703125" style="1560"/>
    <col min="3060" max="3060" width="54.28515625" style="1560" customWidth="1"/>
    <col min="3061" max="3061" width="5.85546875" style="1560" customWidth="1"/>
    <col min="3062" max="3062" width="19.42578125" style="1560" customWidth="1"/>
    <col min="3063" max="3063" width="9.42578125" style="1560" customWidth="1"/>
    <col min="3064" max="3094" width="8.7109375" style="1560" customWidth="1"/>
    <col min="3095" max="3095" width="9.5703125" style="1560" customWidth="1"/>
    <col min="3096" max="3096" width="20.42578125" style="1560" customWidth="1"/>
    <col min="3097" max="3315" width="11.5703125" style="1560"/>
    <col min="3316" max="3316" width="54.28515625" style="1560" customWidth="1"/>
    <col min="3317" max="3317" width="5.85546875" style="1560" customWidth="1"/>
    <col min="3318" max="3318" width="19.42578125" style="1560" customWidth="1"/>
    <col min="3319" max="3319" width="9.42578125" style="1560" customWidth="1"/>
    <col min="3320" max="3350" width="8.7109375" style="1560" customWidth="1"/>
    <col min="3351" max="3351" width="9.5703125" style="1560" customWidth="1"/>
    <col min="3352" max="3352" width="20.42578125" style="1560" customWidth="1"/>
    <col min="3353" max="3571" width="11.5703125" style="1560"/>
    <col min="3572" max="3572" width="54.28515625" style="1560" customWidth="1"/>
    <col min="3573" max="3573" width="5.85546875" style="1560" customWidth="1"/>
    <col min="3574" max="3574" width="19.42578125" style="1560" customWidth="1"/>
    <col min="3575" max="3575" width="9.42578125" style="1560" customWidth="1"/>
    <col min="3576" max="3606" width="8.7109375" style="1560" customWidth="1"/>
    <col min="3607" max="3607" width="9.5703125" style="1560" customWidth="1"/>
    <col min="3608" max="3608" width="20.42578125" style="1560" customWidth="1"/>
    <col min="3609" max="3827" width="11.5703125" style="1560"/>
    <col min="3828" max="3828" width="54.28515625" style="1560" customWidth="1"/>
    <col min="3829" max="3829" width="5.85546875" style="1560" customWidth="1"/>
    <col min="3830" max="3830" width="19.42578125" style="1560" customWidth="1"/>
    <col min="3831" max="3831" width="9.42578125" style="1560" customWidth="1"/>
    <col min="3832" max="3862" width="8.7109375" style="1560" customWidth="1"/>
    <col min="3863" max="3863" width="9.5703125" style="1560" customWidth="1"/>
    <col min="3864" max="3864" width="20.42578125" style="1560" customWidth="1"/>
    <col min="3865" max="4083" width="11.5703125" style="1560"/>
    <col min="4084" max="4084" width="54.28515625" style="1560" customWidth="1"/>
    <col min="4085" max="4085" width="5.85546875" style="1560" customWidth="1"/>
    <col min="4086" max="4086" width="19.42578125" style="1560" customWidth="1"/>
    <col min="4087" max="4087" width="9.42578125" style="1560" customWidth="1"/>
    <col min="4088" max="4118" width="8.7109375" style="1560" customWidth="1"/>
    <col min="4119" max="4119" width="9.5703125" style="1560" customWidth="1"/>
    <col min="4120" max="4120" width="20.42578125" style="1560" customWidth="1"/>
    <col min="4121" max="4339" width="11.5703125" style="1560"/>
    <col min="4340" max="4340" width="54.28515625" style="1560" customWidth="1"/>
    <col min="4341" max="4341" width="5.85546875" style="1560" customWidth="1"/>
    <col min="4342" max="4342" width="19.42578125" style="1560" customWidth="1"/>
    <col min="4343" max="4343" width="9.42578125" style="1560" customWidth="1"/>
    <col min="4344" max="4374" width="8.7109375" style="1560" customWidth="1"/>
    <col min="4375" max="4375" width="9.5703125" style="1560" customWidth="1"/>
    <col min="4376" max="4376" width="20.42578125" style="1560" customWidth="1"/>
    <col min="4377" max="4595" width="11.5703125" style="1560"/>
    <col min="4596" max="4596" width="54.28515625" style="1560" customWidth="1"/>
    <col min="4597" max="4597" width="5.85546875" style="1560" customWidth="1"/>
    <col min="4598" max="4598" width="19.42578125" style="1560" customWidth="1"/>
    <col min="4599" max="4599" width="9.42578125" style="1560" customWidth="1"/>
    <col min="4600" max="4630" width="8.7109375" style="1560" customWidth="1"/>
    <col min="4631" max="4631" width="9.5703125" style="1560" customWidth="1"/>
    <col min="4632" max="4632" width="20.42578125" style="1560" customWidth="1"/>
    <col min="4633" max="4851" width="11.5703125" style="1560"/>
    <col min="4852" max="4852" width="54.28515625" style="1560" customWidth="1"/>
    <col min="4853" max="4853" width="5.85546875" style="1560" customWidth="1"/>
    <col min="4854" max="4854" width="19.42578125" style="1560" customWidth="1"/>
    <col min="4855" max="4855" width="9.42578125" style="1560" customWidth="1"/>
    <col min="4856" max="4886" width="8.7109375" style="1560" customWidth="1"/>
    <col min="4887" max="4887" width="9.5703125" style="1560" customWidth="1"/>
    <col min="4888" max="4888" width="20.42578125" style="1560" customWidth="1"/>
    <col min="4889" max="5107" width="11.5703125" style="1560"/>
    <col min="5108" max="5108" width="54.28515625" style="1560" customWidth="1"/>
    <col min="5109" max="5109" width="5.85546875" style="1560" customWidth="1"/>
    <col min="5110" max="5110" width="19.42578125" style="1560" customWidth="1"/>
    <col min="5111" max="5111" width="9.42578125" style="1560" customWidth="1"/>
    <col min="5112" max="5142" width="8.7109375" style="1560" customWidth="1"/>
    <col min="5143" max="5143" width="9.5703125" style="1560" customWidth="1"/>
    <col min="5144" max="5144" width="20.42578125" style="1560" customWidth="1"/>
    <col min="5145" max="5363" width="11.5703125" style="1560"/>
    <col min="5364" max="5364" width="54.28515625" style="1560" customWidth="1"/>
    <col min="5365" max="5365" width="5.85546875" style="1560" customWidth="1"/>
    <col min="5366" max="5366" width="19.42578125" style="1560" customWidth="1"/>
    <col min="5367" max="5367" width="9.42578125" style="1560" customWidth="1"/>
    <col min="5368" max="5398" width="8.7109375" style="1560" customWidth="1"/>
    <col min="5399" max="5399" width="9.5703125" style="1560" customWidth="1"/>
    <col min="5400" max="5400" width="20.42578125" style="1560" customWidth="1"/>
    <col min="5401" max="5619" width="11.5703125" style="1560"/>
    <col min="5620" max="5620" width="54.28515625" style="1560" customWidth="1"/>
    <col min="5621" max="5621" width="5.85546875" style="1560" customWidth="1"/>
    <col min="5622" max="5622" width="19.42578125" style="1560" customWidth="1"/>
    <col min="5623" max="5623" width="9.42578125" style="1560" customWidth="1"/>
    <col min="5624" max="5654" width="8.7109375" style="1560" customWidth="1"/>
    <col min="5655" max="5655" width="9.5703125" style="1560" customWidth="1"/>
    <col min="5656" max="5656" width="20.42578125" style="1560" customWidth="1"/>
    <col min="5657" max="5875" width="11.5703125" style="1560"/>
    <col min="5876" max="5876" width="54.28515625" style="1560" customWidth="1"/>
    <col min="5877" max="5877" width="5.85546875" style="1560" customWidth="1"/>
    <col min="5878" max="5878" width="19.42578125" style="1560" customWidth="1"/>
    <col min="5879" max="5879" width="9.42578125" style="1560" customWidth="1"/>
    <col min="5880" max="5910" width="8.7109375" style="1560" customWidth="1"/>
    <col min="5911" max="5911" width="9.5703125" style="1560" customWidth="1"/>
    <col min="5912" max="5912" width="20.42578125" style="1560" customWidth="1"/>
    <col min="5913" max="6131" width="11.5703125" style="1560"/>
    <col min="6132" max="6132" width="54.28515625" style="1560" customWidth="1"/>
    <col min="6133" max="6133" width="5.85546875" style="1560" customWidth="1"/>
    <col min="6134" max="6134" width="19.42578125" style="1560" customWidth="1"/>
    <col min="6135" max="6135" width="9.42578125" style="1560" customWidth="1"/>
    <col min="6136" max="6166" width="8.7109375" style="1560" customWidth="1"/>
    <col min="6167" max="6167" width="9.5703125" style="1560" customWidth="1"/>
    <col min="6168" max="6168" width="20.42578125" style="1560" customWidth="1"/>
    <col min="6169" max="6387" width="11.5703125" style="1560"/>
    <col min="6388" max="6388" width="54.28515625" style="1560" customWidth="1"/>
    <col min="6389" max="6389" width="5.85546875" style="1560" customWidth="1"/>
    <col min="6390" max="6390" width="19.42578125" style="1560" customWidth="1"/>
    <col min="6391" max="6391" width="9.42578125" style="1560" customWidth="1"/>
    <col min="6392" max="6422" width="8.7109375" style="1560" customWidth="1"/>
    <col min="6423" max="6423" width="9.5703125" style="1560" customWidth="1"/>
    <col min="6424" max="6424" width="20.42578125" style="1560" customWidth="1"/>
    <col min="6425" max="6643" width="11.5703125" style="1560"/>
    <col min="6644" max="6644" width="54.28515625" style="1560" customWidth="1"/>
    <col min="6645" max="6645" width="5.85546875" style="1560" customWidth="1"/>
    <col min="6646" max="6646" width="19.42578125" style="1560" customWidth="1"/>
    <col min="6647" max="6647" width="9.42578125" style="1560" customWidth="1"/>
    <col min="6648" max="6678" width="8.7109375" style="1560" customWidth="1"/>
    <col min="6679" max="6679" width="9.5703125" style="1560" customWidth="1"/>
    <col min="6680" max="6680" width="20.42578125" style="1560" customWidth="1"/>
    <col min="6681" max="6899" width="11.5703125" style="1560"/>
    <col min="6900" max="6900" width="54.28515625" style="1560" customWidth="1"/>
    <col min="6901" max="6901" width="5.85546875" style="1560" customWidth="1"/>
    <col min="6902" max="6902" width="19.42578125" style="1560" customWidth="1"/>
    <col min="6903" max="6903" width="9.42578125" style="1560" customWidth="1"/>
    <col min="6904" max="6934" width="8.7109375" style="1560" customWidth="1"/>
    <col min="6935" max="6935" width="9.5703125" style="1560" customWidth="1"/>
    <col min="6936" max="6936" width="20.42578125" style="1560" customWidth="1"/>
    <col min="6937" max="7155" width="11.5703125" style="1560"/>
    <col min="7156" max="7156" width="54.28515625" style="1560" customWidth="1"/>
    <col min="7157" max="7157" width="5.85546875" style="1560" customWidth="1"/>
    <col min="7158" max="7158" width="19.42578125" style="1560" customWidth="1"/>
    <col min="7159" max="7159" width="9.42578125" style="1560" customWidth="1"/>
    <col min="7160" max="7190" width="8.7109375" style="1560" customWidth="1"/>
    <col min="7191" max="7191" width="9.5703125" style="1560" customWidth="1"/>
    <col min="7192" max="7192" width="20.42578125" style="1560" customWidth="1"/>
    <col min="7193" max="7411" width="11.5703125" style="1560"/>
    <col min="7412" max="7412" width="54.28515625" style="1560" customWidth="1"/>
    <col min="7413" max="7413" width="5.85546875" style="1560" customWidth="1"/>
    <col min="7414" max="7414" width="19.42578125" style="1560" customWidth="1"/>
    <col min="7415" max="7415" width="9.42578125" style="1560" customWidth="1"/>
    <col min="7416" max="7446" width="8.7109375" style="1560" customWidth="1"/>
    <col min="7447" max="7447" width="9.5703125" style="1560" customWidth="1"/>
    <col min="7448" max="7448" width="20.42578125" style="1560" customWidth="1"/>
    <col min="7449" max="7667" width="11.5703125" style="1560"/>
    <col min="7668" max="7668" width="54.28515625" style="1560" customWidth="1"/>
    <col min="7669" max="7669" width="5.85546875" style="1560" customWidth="1"/>
    <col min="7670" max="7670" width="19.42578125" style="1560" customWidth="1"/>
    <col min="7671" max="7671" width="9.42578125" style="1560" customWidth="1"/>
    <col min="7672" max="7702" width="8.7109375" style="1560" customWidth="1"/>
    <col min="7703" max="7703" width="9.5703125" style="1560" customWidth="1"/>
    <col min="7704" max="7704" width="20.42578125" style="1560" customWidth="1"/>
    <col min="7705" max="7923" width="11.5703125" style="1560"/>
    <col min="7924" max="7924" width="54.28515625" style="1560" customWidth="1"/>
    <col min="7925" max="7925" width="5.85546875" style="1560" customWidth="1"/>
    <col min="7926" max="7926" width="19.42578125" style="1560" customWidth="1"/>
    <col min="7927" max="7927" width="9.42578125" style="1560" customWidth="1"/>
    <col min="7928" max="7958" width="8.7109375" style="1560" customWidth="1"/>
    <col min="7959" max="7959" width="9.5703125" style="1560" customWidth="1"/>
    <col min="7960" max="7960" width="20.42578125" style="1560" customWidth="1"/>
    <col min="7961" max="8179" width="11.5703125" style="1560"/>
    <col min="8180" max="8180" width="54.28515625" style="1560" customWidth="1"/>
    <col min="8181" max="8181" width="5.85546875" style="1560" customWidth="1"/>
    <col min="8182" max="8182" width="19.42578125" style="1560" customWidth="1"/>
    <col min="8183" max="8183" width="9.42578125" style="1560" customWidth="1"/>
    <col min="8184" max="8214" width="8.7109375" style="1560" customWidth="1"/>
    <col min="8215" max="8215" width="9.5703125" style="1560" customWidth="1"/>
    <col min="8216" max="8216" width="20.42578125" style="1560" customWidth="1"/>
    <col min="8217" max="8435" width="11.5703125" style="1560"/>
    <col min="8436" max="8436" width="54.28515625" style="1560" customWidth="1"/>
    <col min="8437" max="8437" width="5.85546875" style="1560" customWidth="1"/>
    <col min="8438" max="8438" width="19.42578125" style="1560" customWidth="1"/>
    <col min="8439" max="8439" width="9.42578125" style="1560" customWidth="1"/>
    <col min="8440" max="8470" width="8.7109375" style="1560" customWidth="1"/>
    <col min="8471" max="8471" width="9.5703125" style="1560" customWidth="1"/>
    <col min="8472" max="8472" width="20.42578125" style="1560" customWidth="1"/>
    <col min="8473" max="8691" width="11.5703125" style="1560"/>
    <col min="8692" max="8692" width="54.28515625" style="1560" customWidth="1"/>
    <col min="8693" max="8693" width="5.85546875" style="1560" customWidth="1"/>
    <col min="8694" max="8694" width="19.42578125" style="1560" customWidth="1"/>
    <col min="8695" max="8695" width="9.42578125" style="1560" customWidth="1"/>
    <col min="8696" max="8726" width="8.7109375" style="1560" customWidth="1"/>
    <col min="8727" max="8727" width="9.5703125" style="1560" customWidth="1"/>
    <col min="8728" max="8728" width="20.42578125" style="1560" customWidth="1"/>
    <col min="8729" max="8947" width="11.5703125" style="1560"/>
    <col min="8948" max="8948" width="54.28515625" style="1560" customWidth="1"/>
    <col min="8949" max="8949" width="5.85546875" style="1560" customWidth="1"/>
    <col min="8950" max="8950" width="19.42578125" style="1560" customWidth="1"/>
    <col min="8951" max="8951" width="9.42578125" style="1560" customWidth="1"/>
    <col min="8952" max="8982" width="8.7109375" style="1560" customWidth="1"/>
    <col min="8983" max="8983" width="9.5703125" style="1560" customWidth="1"/>
    <col min="8984" max="8984" width="20.42578125" style="1560" customWidth="1"/>
    <col min="8985" max="9203" width="11.5703125" style="1560"/>
    <col min="9204" max="9204" width="54.28515625" style="1560" customWidth="1"/>
    <col min="9205" max="9205" width="5.85546875" style="1560" customWidth="1"/>
    <col min="9206" max="9206" width="19.42578125" style="1560" customWidth="1"/>
    <col min="9207" max="9207" width="9.42578125" style="1560" customWidth="1"/>
    <col min="9208" max="9238" width="8.7109375" style="1560" customWidth="1"/>
    <col min="9239" max="9239" width="9.5703125" style="1560" customWidth="1"/>
    <col min="9240" max="9240" width="20.42578125" style="1560" customWidth="1"/>
    <col min="9241" max="9459" width="11.5703125" style="1560"/>
    <col min="9460" max="9460" width="54.28515625" style="1560" customWidth="1"/>
    <col min="9461" max="9461" width="5.85546875" style="1560" customWidth="1"/>
    <col min="9462" max="9462" width="19.42578125" style="1560" customWidth="1"/>
    <col min="9463" max="9463" width="9.42578125" style="1560" customWidth="1"/>
    <col min="9464" max="9494" width="8.7109375" style="1560" customWidth="1"/>
    <col min="9495" max="9495" width="9.5703125" style="1560" customWidth="1"/>
    <col min="9496" max="9496" width="20.42578125" style="1560" customWidth="1"/>
    <col min="9497" max="9715" width="11.5703125" style="1560"/>
    <col min="9716" max="9716" width="54.28515625" style="1560" customWidth="1"/>
    <col min="9717" max="9717" width="5.85546875" style="1560" customWidth="1"/>
    <col min="9718" max="9718" width="19.42578125" style="1560" customWidth="1"/>
    <col min="9719" max="9719" width="9.42578125" style="1560" customWidth="1"/>
    <col min="9720" max="9750" width="8.7109375" style="1560" customWidth="1"/>
    <col min="9751" max="9751" width="9.5703125" style="1560" customWidth="1"/>
    <col min="9752" max="9752" width="20.42578125" style="1560" customWidth="1"/>
    <col min="9753" max="9971" width="11.5703125" style="1560"/>
    <col min="9972" max="9972" width="54.28515625" style="1560" customWidth="1"/>
    <col min="9973" max="9973" width="5.85546875" style="1560" customWidth="1"/>
    <col min="9974" max="9974" width="19.42578125" style="1560" customWidth="1"/>
    <col min="9975" max="9975" width="9.42578125" style="1560" customWidth="1"/>
    <col min="9976" max="10006" width="8.7109375" style="1560" customWidth="1"/>
    <col min="10007" max="10007" width="9.5703125" style="1560" customWidth="1"/>
    <col min="10008" max="10008" width="20.42578125" style="1560" customWidth="1"/>
    <col min="10009" max="10227" width="11.5703125" style="1560"/>
    <col min="10228" max="10228" width="54.28515625" style="1560" customWidth="1"/>
    <col min="10229" max="10229" width="5.85546875" style="1560" customWidth="1"/>
    <col min="10230" max="10230" width="19.42578125" style="1560" customWidth="1"/>
    <col min="10231" max="10231" width="9.42578125" style="1560" customWidth="1"/>
    <col min="10232" max="10262" width="8.7109375" style="1560" customWidth="1"/>
    <col min="10263" max="10263" width="9.5703125" style="1560" customWidth="1"/>
    <col min="10264" max="10264" width="20.42578125" style="1560" customWidth="1"/>
    <col min="10265" max="10483" width="11.5703125" style="1560"/>
    <col min="10484" max="10484" width="54.28515625" style="1560" customWidth="1"/>
    <col min="10485" max="10485" width="5.85546875" style="1560" customWidth="1"/>
    <col min="10486" max="10486" width="19.42578125" style="1560" customWidth="1"/>
    <col min="10487" max="10487" width="9.42578125" style="1560" customWidth="1"/>
    <col min="10488" max="10518" width="8.7109375" style="1560" customWidth="1"/>
    <col min="10519" max="10519" width="9.5703125" style="1560" customWidth="1"/>
    <col min="10520" max="10520" width="20.42578125" style="1560" customWidth="1"/>
    <col min="10521" max="10739" width="11.5703125" style="1560"/>
    <col min="10740" max="10740" width="54.28515625" style="1560" customWidth="1"/>
    <col min="10741" max="10741" width="5.85546875" style="1560" customWidth="1"/>
    <col min="10742" max="10742" width="19.42578125" style="1560" customWidth="1"/>
    <col min="10743" max="10743" width="9.42578125" style="1560" customWidth="1"/>
    <col min="10744" max="10774" width="8.7109375" style="1560" customWidth="1"/>
    <col min="10775" max="10775" width="9.5703125" style="1560" customWidth="1"/>
    <col min="10776" max="10776" width="20.42578125" style="1560" customWidth="1"/>
    <col min="10777" max="10995" width="11.5703125" style="1560"/>
    <col min="10996" max="10996" width="54.28515625" style="1560" customWidth="1"/>
    <col min="10997" max="10997" width="5.85546875" style="1560" customWidth="1"/>
    <col min="10998" max="10998" width="19.42578125" style="1560" customWidth="1"/>
    <col min="10999" max="10999" width="9.42578125" style="1560" customWidth="1"/>
    <col min="11000" max="11030" width="8.7109375" style="1560" customWidth="1"/>
    <col min="11031" max="11031" width="9.5703125" style="1560" customWidth="1"/>
    <col min="11032" max="11032" width="20.42578125" style="1560" customWidth="1"/>
    <col min="11033" max="11251" width="11.5703125" style="1560"/>
    <col min="11252" max="11252" width="54.28515625" style="1560" customWidth="1"/>
    <col min="11253" max="11253" width="5.85546875" style="1560" customWidth="1"/>
    <col min="11254" max="11254" width="19.42578125" style="1560" customWidth="1"/>
    <col min="11255" max="11255" width="9.42578125" style="1560" customWidth="1"/>
    <col min="11256" max="11286" width="8.7109375" style="1560" customWidth="1"/>
    <col min="11287" max="11287" width="9.5703125" style="1560" customWidth="1"/>
    <col min="11288" max="11288" width="20.42578125" style="1560" customWidth="1"/>
    <col min="11289" max="11507" width="11.5703125" style="1560"/>
    <col min="11508" max="11508" width="54.28515625" style="1560" customWidth="1"/>
    <col min="11509" max="11509" width="5.85546875" style="1560" customWidth="1"/>
    <col min="11510" max="11510" width="19.42578125" style="1560" customWidth="1"/>
    <col min="11511" max="11511" width="9.42578125" style="1560" customWidth="1"/>
    <col min="11512" max="11542" width="8.7109375" style="1560" customWidth="1"/>
    <col min="11543" max="11543" width="9.5703125" style="1560" customWidth="1"/>
    <col min="11544" max="11544" width="20.42578125" style="1560" customWidth="1"/>
    <col min="11545" max="11763" width="11.5703125" style="1560"/>
    <col min="11764" max="11764" width="54.28515625" style="1560" customWidth="1"/>
    <col min="11765" max="11765" width="5.85546875" style="1560" customWidth="1"/>
    <col min="11766" max="11766" width="19.42578125" style="1560" customWidth="1"/>
    <col min="11767" max="11767" width="9.42578125" style="1560" customWidth="1"/>
    <col min="11768" max="11798" width="8.7109375" style="1560" customWidth="1"/>
    <col min="11799" max="11799" width="9.5703125" style="1560" customWidth="1"/>
    <col min="11800" max="11800" width="20.42578125" style="1560" customWidth="1"/>
    <col min="11801" max="12019" width="11.5703125" style="1560"/>
    <col min="12020" max="12020" width="54.28515625" style="1560" customWidth="1"/>
    <col min="12021" max="12021" width="5.85546875" style="1560" customWidth="1"/>
    <col min="12022" max="12022" width="19.42578125" style="1560" customWidth="1"/>
    <col min="12023" max="12023" width="9.42578125" style="1560" customWidth="1"/>
    <col min="12024" max="12054" width="8.7109375" style="1560" customWidth="1"/>
    <col min="12055" max="12055" width="9.5703125" style="1560" customWidth="1"/>
    <col min="12056" max="12056" width="20.42578125" style="1560" customWidth="1"/>
    <col min="12057" max="12275" width="11.5703125" style="1560"/>
    <col min="12276" max="12276" width="54.28515625" style="1560" customWidth="1"/>
    <col min="12277" max="12277" width="5.85546875" style="1560" customWidth="1"/>
    <col min="12278" max="12278" width="19.42578125" style="1560" customWidth="1"/>
    <col min="12279" max="12279" width="9.42578125" style="1560" customWidth="1"/>
    <col min="12280" max="12310" width="8.7109375" style="1560" customWidth="1"/>
    <col min="12311" max="12311" width="9.5703125" style="1560" customWidth="1"/>
    <col min="12312" max="12312" width="20.42578125" style="1560" customWidth="1"/>
    <col min="12313" max="12531" width="11.5703125" style="1560"/>
    <col min="12532" max="12532" width="54.28515625" style="1560" customWidth="1"/>
    <col min="12533" max="12533" width="5.85546875" style="1560" customWidth="1"/>
    <col min="12534" max="12534" width="19.42578125" style="1560" customWidth="1"/>
    <col min="12535" max="12535" width="9.42578125" style="1560" customWidth="1"/>
    <col min="12536" max="12566" width="8.7109375" style="1560" customWidth="1"/>
    <col min="12567" max="12567" width="9.5703125" style="1560" customWidth="1"/>
    <col min="12568" max="12568" width="20.42578125" style="1560" customWidth="1"/>
    <col min="12569" max="12787" width="11.5703125" style="1560"/>
    <col min="12788" max="12788" width="54.28515625" style="1560" customWidth="1"/>
    <col min="12789" max="12789" width="5.85546875" style="1560" customWidth="1"/>
    <col min="12790" max="12790" width="19.42578125" style="1560" customWidth="1"/>
    <col min="12791" max="12791" width="9.42578125" style="1560" customWidth="1"/>
    <col min="12792" max="12822" width="8.7109375" style="1560" customWidth="1"/>
    <col min="12823" max="12823" width="9.5703125" style="1560" customWidth="1"/>
    <col min="12824" max="12824" width="20.42578125" style="1560" customWidth="1"/>
    <col min="12825" max="13043" width="11.5703125" style="1560"/>
    <col min="13044" max="13044" width="54.28515625" style="1560" customWidth="1"/>
    <col min="13045" max="13045" width="5.85546875" style="1560" customWidth="1"/>
    <col min="13046" max="13046" width="19.42578125" style="1560" customWidth="1"/>
    <col min="13047" max="13047" width="9.42578125" style="1560" customWidth="1"/>
    <col min="13048" max="13078" width="8.7109375" style="1560" customWidth="1"/>
    <col min="13079" max="13079" width="9.5703125" style="1560" customWidth="1"/>
    <col min="13080" max="13080" width="20.42578125" style="1560" customWidth="1"/>
    <col min="13081" max="13299" width="11.5703125" style="1560"/>
    <col min="13300" max="13300" width="54.28515625" style="1560" customWidth="1"/>
    <col min="13301" max="13301" width="5.85546875" style="1560" customWidth="1"/>
    <col min="13302" max="13302" width="19.42578125" style="1560" customWidth="1"/>
    <col min="13303" max="13303" width="9.42578125" style="1560" customWidth="1"/>
    <col min="13304" max="13334" width="8.7109375" style="1560" customWidth="1"/>
    <col min="13335" max="13335" width="9.5703125" style="1560" customWidth="1"/>
    <col min="13336" max="13336" width="20.42578125" style="1560" customWidth="1"/>
    <col min="13337" max="13555" width="11.5703125" style="1560"/>
    <col min="13556" max="13556" width="54.28515625" style="1560" customWidth="1"/>
    <col min="13557" max="13557" width="5.85546875" style="1560" customWidth="1"/>
    <col min="13558" max="13558" width="19.42578125" style="1560" customWidth="1"/>
    <col min="13559" max="13559" width="9.42578125" style="1560" customWidth="1"/>
    <col min="13560" max="13590" width="8.7109375" style="1560" customWidth="1"/>
    <col min="13591" max="13591" width="9.5703125" style="1560" customWidth="1"/>
    <col min="13592" max="13592" width="20.42578125" style="1560" customWidth="1"/>
    <col min="13593" max="13811" width="11.5703125" style="1560"/>
    <col min="13812" max="13812" width="54.28515625" style="1560" customWidth="1"/>
    <col min="13813" max="13813" width="5.85546875" style="1560" customWidth="1"/>
    <col min="13814" max="13814" width="19.42578125" style="1560" customWidth="1"/>
    <col min="13815" max="13815" width="9.42578125" style="1560" customWidth="1"/>
    <col min="13816" max="13846" width="8.7109375" style="1560" customWidth="1"/>
    <col min="13847" max="13847" width="9.5703125" style="1560" customWidth="1"/>
    <col min="13848" max="13848" width="20.42578125" style="1560" customWidth="1"/>
    <col min="13849" max="14067" width="11.5703125" style="1560"/>
    <col min="14068" max="14068" width="54.28515625" style="1560" customWidth="1"/>
    <col min="14069" max="14069" width="5.85546875" style="1560" customWidth="1"/>
    <col min="14070" max="14070" width="19.42578125" style="1560" customWidth="1"/>
    <col min="14071" max="14071" width="9.42578125" style="1560" customWidth="1"/>
    <col min="14072" max="14102" width="8.7109375" style="1560" customWidth="1"/>
    <col min="14103" max="14103" width="9.5703125" style="1560" customWidth="1"/>
    <col min="14104" max="14104" width="20.42578125" style="1560" customWidth="1"/>
    <col min="14105" max="14323" width="11.5703125" style="1560"/>
    <col min="14324" max="14324" width="54.28515625" style="1560" customWidth="1"/>
    <col min="14325" max="14325" width="5.85546875" style="1560" customWidth="1"/>
    <col min="14326" max="14326" width="19.42578125" style="1560" customWidth="1"/>
    <col min="14327" max="14327" width="9.42578125" style="1560" customWidth="1"/>
    <col min="14328" max="14358" width="8.7109375" style="1560" customWidth="1"/>
    <col min="14359" max="14359" width="9.5703125" style="1560" customWidth="1"/>
    <col min="14360" max="14360" width="20.42578125" style="1560" customWidth="1"/>
    <col min="14361" max="14579" width="11.5703125" style="1560"/>
    <col min="14580" max="14580" width="54.28515625" style="1560" customWidth="1"/>
    <col min="14581" max="14581" width="5.85546875" style="1560" customWidth="1"/>
    <col min="14582" max="14582" width="19.42578125" style="1560" customWidth="1"/>
    <col min="14583" max="14583" width="9.42578125" style="1560" customWidth="1"/>
    <col min="14584" max="14614" width="8.7109375" style="1560" customWidth="1"/>
    <col min="14615" max="14615" width="9.5703125" style="1560" customWidth="1"/>
    <col min="14616" max="14616" width="20.42578125" style="1560" customWidth="1"/>
    <col min="14617" max="14835" width="11.5703125" style="1560"/>
    <col min="14836" max="14836" width="54.28515625" style="1560" customWidth="1"/>
    <col min="14837" max="14837" width="5.85546875" style="1560" customWidth="1"/>
    <col min="14838" max="14838" width="19.42578125" style="1560" customWidth="1"/>
    <col min="14839" max="14839" width="9.42578125" style="1560" customWidth="1"/>
    <col min="14840" max="14870" width="8.7109375" style="1560" customWidth="1"/>
    <col min="14871" max="14871" width="9.5703125" style="1560" customWidth="1"/>
    <col min="14872" max="14872" width="20.42578125" style="1560" customWidth="1"/>
    <col min="14873" max="15091" width="11.5703125" style="1560"/>
    <col min="15092" max="15092" width="54.28515625" style="1560" customWidth="1"/>
    <col min="15093" max="15093" width="5.85546875" style="1560" customWidth="1"/>
    <col min="15094" max="15094" width="19.42578125" style="1560" customWidth="1"/>
    <col min="15095" max="15095" width="9.42578125" style="1560" customWidth="1"/>
    <col min="15096" max="15126" width="8.7109375" style="1560" customWidth="1"/>
    <col min="15127" max="15127" width="9.5703125" style="1560" customWidth="1"/>
    <col min="15128" max="15128" width="20.42578125" style="1560" customWidth="1"/>
    <col min="15129" max="15347" width="11.5703125" style="1560"/>
    <col min="15348" max="15348" width="54.28515625" style="1560" customWidth="1"/>
    <col min="15349" max="15349" width="5.85546875" style="1560" customWidth="1"/>
    <col min="15350" max="15350" width="19.42578125" style="1560" customWidth="1"/>
    <col min="15351" max="15351" width="9.42578125" style="1560" customWidth="1"/>
    <col min="15352" max="15382" width="8.7109375" style="1560" customWidth="1"/>
    <col min="15383" max="15383" width="9.5703125" style="1560" customWidth="1"/>
    <col min="15384" max="15384" width="20.42578125" style="1560" customWidth="1"/>
    <col min="15385" max="15603" width="11.5703125" style="1560"/>
    <col min="15604" max="15604" width="54.28515625" style="1560" customWidth="1"/>
    <col min="15605" max="15605" width="5.85546875" style="1560" customWidth="1"/>
    <col min="15606" max="15606" width="19.42578125" style="1560" customWidth="1"/>
    <col min="15607" max="15607" width="9.42578125" style="1560" customWidth="1"/>
    <col min="15608" max="15638" width="8.7109375" style="1560" customWidth="1"/>
    <col min="15639" max="15639" width="9.5703125" style="1560" customWidth="1"/>
    <col min="15640" max="15640" width="20.42578125" style="1560" customWidth="1"/>
    <col min="15641" max="15859" width="11.5703125" style="1560"/>
    <col min="15860" max="15860" width="54.28515625" style="1560" customWidth="1"/>
    <col min="15861" max="15861" width="5.85546875" style="1560" customWidth="1"/>
    <col min="15862" max="15862" width="19.42578125" style="1560" customWidth="1"/>
    <col min="15863" max="15863" width="9.42578125" style="1560" customWidth="1"/>
    <col min="15864" max="15894" width="8.7109375" style="1560" customWidth="1"/>
    <col min="15895" max="15895" width="9.5703125" style="1560" customWidth="1"/>
    <col min="15896" max="15896" width="20.42578125" style="1560" customWidth="1"/>
    <col min="15897" max="16115" width="11.5703125" style="1560"/>
    <col min="16116" max="16116" width="54.28515625" style="1560" customWidth="1"/>
    <col min="16117" max="16117" width="5.85546875" style="1560" customWidth="1"/>
    <col min="16118" max="16118" width="19.42578125" style="1560" customWidth="1"/>
    <col min="16119" max="16119" width="9.42578125" style="1560" customWidth="1"/>
    <col min="16120" max="16150" width="8.7109375" style="1560" customWidth="1"/>
    <col min="16151" max="16151" width="9.5703125" style="1560" customWidth="1"/>
    <col min="16152" max="16152" width="20.42578125" style="1560" customWidth="1"/>
    <col min="16153" max="16384" width="11.5703125" style="1560"/>
  </cols>
  <sheetData>
    <row r="2" spans="1:32">
      <c r="A2" s="2930" t="s">
        <v>3804</v>
      </c>
      <c r="B2" s="2930"/>
      <c r="C2" s="2930"/>
      <c r="D2" s="2930"/>
      <c r="E2" s="2930"/>
      <c r="F2" s="2930"/>
      <c r="G2" s="2930"/>
      <c r="H2" s="2930"/>
      <c r="I2" s="2930"/>
      <c r="J2" s="2930"/>
      <c r="K2" s="2930"/>
      <c r="L2" s="2930"/>
      <c r="M2" s="2930"/>
      <c r="N2" s="2930"/>
      <c r="O2" s="2930"/>
      <c r="P2" s="2930"/>
      <c r="Q2" s="2930"/>
      <c r="R2" s="2930"/>
      <c r="S2" s="2930"/>
      <c r="T2" s="2930"/>
      <c r="U2" s="2930"/>
      <c r="V2" s="2930"/>
      <c r="W2" s="2930"/>
      <c r="X2" s="2930"/>
      <c r="Y2" s="2930"/>
      <c r="Z2" s="2930"/>
      <c r="AA2" s="2930"/>
      <c r="AB2" s="2930"/>
      <c r="AC2" s="2930"/>
      <c r="AD2" s="2930"/>
    </row>
    <row r="3" spans="1:32">
      <c r="A3" s="1561"/>
      <c r="B3" s="1561"/>
      <c r="C3" s="1562"/>
      <c r="D3" s="1563"/>
      <c r="E3" s="1564"/>
      <c r="F3" s="1564"/>
      <c r="G3" s="1564"/>
      <c r="H3" s="1564"/>
      <c r="I3" s="1565"/>
      <c r="J3" s="1564"/>
      <c r="K3" s="1564"/>
      <c r="L3" s="1564"/>
      <c r="M3" s="1564"/>
      <c r="N3" s="1564"/>
      <c r="O3" s="1564"/>
      <c r="P3" s="1564"/>
      <c r="Q3" s="1564"/>
      <c r="R3" s="1562"/>
      <c r="S3" s="1562"/>
      <c r="T3" s="1562"/>
      <c r="U3" s="1562"/>
      <c r="V3" s="1562"/>
      <c r="W3" s="1562"/>
      <c r="X3" s="1562"/>
      <c r="Y3" s="1562"/>
      <c r="Z3" s="1562"/>
      <c r="AA3" s="1562"/>
      <c r="AB3" s="1562"/>
      <c r="AC3" s="1562"/>
      <c r="AD3" s="1566"/>
    </row>
    <row r="4" spans="1:32" ht="45.75" customHeight="1">
      <c r="A4" s="1561"/>
      <c r="B4" s="1567" t="s">
        <v>2733</v>
      </c>
      <c r="C4" s="2931" t="s">
        <v>1175</v>
      </c>
      <c r="D4" s="2931"/>
      <c r="E4" s="2931"/>
      <c r="F4" s="2931"/>
      <c r="G4" s="2931"/>
      <c r="H4" s="2931"/>
      <c r="I4" s="2931"/>
      <c r="J4" s="2931"/>
      <c r="K4" s="2931"/>
      <c r="L4" s="2931"/>
      <c r="M4" s="2931"/>
      <c r="N4" s="2931"/>
      <c r="O4" s="2931"/>
      <c r="P4" s="2931"/>
      <c r="Q4" s="2931"/>
      <c r="R4" s="2931"/>
      <c r="S4" s="2931"/>
      <c r="T4" s="2931"/>
      <c r="U4" s="2931"/>
      <c r="V4" s="2931"/>
      <c r="W4" s="2931"/>
      <c r="X4" s="2931"/>
      <c r="Y4" s="2931"/>
      <c r="Z4" s="2931"/>
      <c r="AA4" s="2931"/>
      <c r="AB4" s="2931"/>
      <c r="AC4" s="2931"/>
      <c r="AD4" s="2931"/>
    </row>
    <row r="5" spans="1:32" ht="31.5" customHeight="1">
      <c r="A5" s="1561"/>
      <c r="B5" s="1568" t="s">
        <v>2485</v>
      </c>
      <c r="C5" s="2932" t="s">
        <v>4283</v>
      </c>
      <c r="D5" s="2932"/>
      <c r="E5" s="2932"/>
      <c r="F5" s="2932"/>
      <c r="G5" s="2932"/>
      <c r="H5" s="2932"/>
      <c r="I5" s="2932"/>
      <c r="J5" s="2932"/>
      <c r="K5" s="2932"/>
      <c r="L5" s="2932"/>
      <c r="M5" s="2932"/>
      <c r="N5" s="2932"/>
      <c r="O5" s="2932"/>
      <c r="P5" s="2932"/>
      <c r="Q5" s="2932"/>
      <c r="R5" s="2932"/>
      <c r="S5" s="2932"/>
      <c r="T5" s="2932"/>
      <c r="U5" s="2932"/>
      <c r="V5" s="2932"/>
      <c r="W5" s="2932"/>
      <c r="X5" s="2932"/>
      <c r="Y5" s="2932"/>
      <c r="Z5" s="2932"/>
      <c r="AA5" s="2932"/>
      <c r="AB5" s="2932"/>
      <c r="AC5" s="1568"/>
      <c r="AD5" s="1569"/>
    </row>
    <row r="6" spans="1:32" ht="24.95" customHeight="1">
      <c r="A6" s="1561"/>
      <c r="B6" s="1568" t="s">
        <v>2486</v>
      </c>
      <c r="C6" s="2933" t="str">
        <f>[16]Datos!C73</f>
        <v>ING. RICHARD ERWIN MONTALVO ALVARO</v>
      </c>
      <c r="D6" s="2933"/>
      <c r="E6" s="2933"/>
      <c r="F6" s="2933"/>
      <c r="G6" s="2933"/>
      <c r="H6" s="2933"/>
      <c r="I6" s="2933"/>
      <c r="J6" s="2933"/>
      <c r="K6" s="2933"/>
      <c r="L6" s="2933"/>
      <c r="M6" s="2933"/>
      <c r="N6" s="2933"/>
      <c r="O6" s="2933"/>
      <c r="P6" s="2933"/>
      <c r="Q6" s="2933"/>
      <c r="R6" s="2933"/>
      <c r="S6" s="2933"/>
      <c r="T6" s="2933"/>
      <c r="U6" s="2933"/>
      <c r="V6" s="2933"/>
      <c r="W6" s="2933"/>
      <c r="X6" s="2933"/>
      <c r="Y6" s="2933"/>
      <c r="Z6" s="2933"/>
      <c r="AA6" s="2933"/>
      <c r="AB6" s="1568"/>
      <c r="AC6" s="1568"/>
      <c r="AD6" s="1569"/>
    </row>
    <row r="7" spans="1:32" ht="24.95" customHeight="1">
      <c r="A7" s="1561"/>
      <c r="B7" s="1570" t="s">
        <v>2487</v>
      </c>
      <c r="C7" s="1571" t="s">
        <v>2466</v>
      </c>
      <c r="D7" s="1571"/>
      <c r="E7" s="1571"/>
      <c r="F7" s="1571"/>
      <c r="G7" s="1571"/>
      <c r="H7" s="1564"/>
      <c r="I7" s="1565"/>
      <c r="J7" s="1564"/>
      <c r="K7" s="1564"/>
      <c r="L7" s="1564"/>
      <c r="M7" s="1564"/>
      <c r="N7" s="1564"/>
      <c r="O7" s="1564"/>
      <c r="P7" s="1564"/>
      <c r="Q7" s="1564"/>
      <c r="R7" s="1562"/>
      <c r="S7" s="1562"/>
      <c r="T7" s="1562"/>
      <c r="U7" s="1562"/>
      <c r="V7" s="1562"/>
      <c r="W7" s="1562"/>
      <c r="X7" s="1562"/>
      <c r="Y7" s="1562"/>
      <c r="Z7" s="1562"/>
      <c r="AA7" s="1562"/>
      <c r="AB7" s="1562"/>
      <c r="AC7" s="1562"/>
      <c r="AD7" s="1566"/>
    </row>
    <row r="8" spans="1:32">
      <c r="A8" s="1561"/>
      <c r="B8" s="1561"/>
      <c r="C8" s="2934" t="s">
        <v>18</v>
      </c>
      <c r="D8" s="2934"/>
      <c r="E8" s="1572"/>
      <c r="F8" s="2935">
        <f>AD2495</f>
        <v>19229736.5</v>
      </c>
      <c r="G8" s="2936"/>
      <c r="H8" s="1564"/>
      <c r="I8" s="1565"/>
      <c r="J8" s="1564"/>
      <c r="K8" s="1564"/>
      <c r="L8" s="1564"/>
      <c r="M8" s="1564"/>
      <c r="N8" s="1564"/>
      <c r="O8" s="1564"/>
      <c r="P8" s="1564"/>
      <c r="Q8" s="1564"/>
      <c r="R8" s="1562"/>
      <c r="S8" s="1562"/>
      <c r="T8" s="1562"/>
      <c r="U8" s="1562"/>
      <c r="V8" s="1562"/>
      <c r="W8" s="1562"/>
      <c r="X8" s="1562"/>
      <c r="Y8" s="1562"/>
      <c r="Z8" s="1562"/>
      <c r="AA8" s="1562"/>
      <c r="AB8" s="1562"/>
      <c r="AC8" s="1562"/>
      <c r="AD8" s="1566"/>
    </row>
    <row r="9" spans="1:32" ht="15.75" customHeight="1">
      <c r="A9" s="1561"/>
      <c r="B9" s="1561"/>
      <c r="C9" s="2938" t="s">
        <v>2488</v>
      </c>
      <c r="D9" s="2938"/>
      <c r="E9" s="1573"/>
      <c r="F9" s="2939">
        <v>2493834</v>
      </c>
      <c r="G9" s="2940"/>
      <c r="H9" s="1574"/>
      <c r="I9" s="1575"/>
      <c r="J9" s="1574"/>
      <c r="K9" s="1574"/>
      <c r="L9" s="1574"/>
      <c r="M9" s="1574"/>
      <c r="N9" s="1574"/>
      <c r="O9" s="1574"/>
      <c r="P9" s="1574"/>
      <c r="Q9" s="1574"/>
      <c r="R9" s="1576"/>
      <c r="S9" s="1576"/>
      <c r="T9" s="1576"/>
      <c r="U9" s="1576"/>
      <c r="V9" s="1576"/>
      <c r="W9" s="1576"/>
      <c r="X9" s="1576"/>
      <c r="Y9" s="1576"/>
      <c r="Z9" s="1576"/>
      <c r="AA9" s="1576"/>
      <c r="AB9" s="1576"/>
      <c r="AC9" s="1576"/>
      <c r="AD9" s="1577"/>
    </row>
    <row r="10" spans="1:32" ht="15" customHeight="1">
      <c r="A10" s="2941" t="s">
        <v>31</v>
      </c>
      <c r="B10" s="2941" t="s">
        <v>2</v>
      </c>
      <c r="C10" s="2942" t="s">
        <v>2489</v>
      </c>
      <c r="D10" s="2943" t="s">
        <v>2490</v>
      </c>
      <c r="E10" s="2944" t="s">
        <v>2491</v>
      </c>
      <c r="F10" s="1578">
        <v>44562</v>
      </c>
      <c r="G10" s="1578">
        <v>44593</v>
      </c>
      <c r="H10" s="1578">
        <v>44621</v>
      </c>
      <c r="I10" s="1578">
        <v>44652</v>
      </c>
      <c r="J10" s="1578">
        <v>44682</v>
      </c>
      <c r="K10" s="1578">
        <v>44713</v>
      </c>
      <c r="L10" s="1578">
        <v>44743</v>
      </c>
      <c r="M10" s="1578">
        <v>44774</v>
      </c>
      <c r="N10" s="1578">
        <v>44805</v>
      </c>
      <c r="O10" s="1578">
        <v>44835</v>
      </c>
      <c r="P10" s="1578">
        <v>44866</v>
      </c>
      <c r="Q10" s="1578">
        <v>44896</v>
      </c>
      <c r="R10" s="1578">
        <v>44927</v>
      </c>
      <c r="S10" s="1578">
        <v>44958</v>
      </c>
      <c r="T10" s="1578">
        <v>44986</v>
      </c>
      <c r="U10" s="1578">
        <v>45017</v>
      </c>
      <c r="V10" s="1578">
        <v>45047</v>
      </c>
      <c r="W10" s="1578">
        <v>45078</v>
      </c>
      <c r="X10" s="1578">
        <v>45108</v>
      </c>
      <c r="Y10" s="1578">
        <v>45139</v>
      </c>
      <c r="Z10" s="1578">
        <v>45199</v>
      </c>
      <c r="AA10" s="1578" t="s">
        <v>3805</v>
      </c>
      <c r="AB10" s="1578">
        <v>45260</v>
      </c>
      <c r="AC10" s="1578">
        <v>45291</v>
      </c>
      <c r="AD10" s="2937" t="s">
        <v>10</v>
      </c>
    </row>
    <row r="11" spans="1:32" ht="15" customHeight="1">
      <c r="A11" s="2941"/>
      <c r="B11" s="2941"/>
      <c r="C11" s="2942"/>
      <c r="D11" s="2943"/>
      <c r="E11" s="2944"/>
      <c r="F11" s="2929" t="s">
        <v>2492</v>
      </c>
      <c r="G11" s="2929" t="s">
        <v>2493</v>
      </c>
      <c r="H11" s="2929" t="s">
        <v>2494</v>
      </c>
      <c r="I11" s="2929" t="s">
        <v>2495</v>
      </c>
      <c r="J11" s="2929" t="str">
        <f>H11</f>
        <v>Del 01 al 31</v>
      </c>
      <c r="K11" s="2929" t="str">
        <f>I11</f>
        <v xml:space="preserve">Del 01 al 30 </v>
      </c>
      <c r="L11" s="2929" t="str">
        <f>J11</f>
        <v>Del 01 al 31</v>
      </c>
      <c r="M11" s="2929" t="str">
        <f>J11</f>
        <v>Del 01 al 31</v>
      </c>
      <c r="N11" s="2929" t="str">
        <f>K11</f>
        <v xml:space="preserve">Del 01 al 30 </v>
      </c>
      <c r="O11" s="2929" t="str">
        <f>J11</f>
        <v>Del 01 al 31</v>
      </c>
      <c r="P11" s="2929" t="str">
        <f>N11</f>
        <v xml:space="preserve">Del 01 al 30 </v>
      </c>
      <c r="Q11" s="2929" t="str">
        <f>O11</f>
        <v>Del 01 al 31</v>
      </c>
      <c r="R11" s="2929" t="str">
        <f>Q11</f>
        <v>Del 01 al 31</v>
      </c>
      <c r="S11" s="2929" t="str">
        <f>G11</f>
        <v xml:space="preserve">Del 01 al 28 </v>
      </c>
      <c r="T11" s="2929" t="str">
        <f>Q11</f>
        <v>Del 01 al 31</v>
      </c>
      <c r="U11" s="2929" t="s">
        <v>2734</v>
      </c>
      <c r="V11" s="2929" t="s">
        <v>2494</v>
      </c>
      <c r="W11" s="2929" t="s">
        <v>2734</v>
      </c>
      <c r="X11" s="2929" t="str">
        <f>R11</f>
        <v>Del 01 al 31</v>
      </c>
      <c r="Y11" s="2929" t="s">
        <v>2494</v>
      </c>
      <c r="Z11" s="2929" t="s">
        <v>2734</v>
      </c>
      <c r="AA11" s="2929" t="s">
        <v>2494</v>
      </c>
      <c r="AB11" s="2929" t="s">
        <v>2734</v>
      </c>
      <c r="AC11" s="2929" t="s">
        <v>2494</v>
      </c>
      <c r="AD11" s="2937"/>
    </row>
    <row r="12" spans="1:32" ht="15" customHeight="1">
      <c r="A12" s="2941"/>
      <c r="B12" s="2941"/>
      <c r="C12" s="2942"/>
      <c r="D12" s="2943"/>
      <c r="E12" s="2944"/>
      <c r="F12" s="2929"/>
      <c r="G12" s="2929"/>
      <c r="H12" s="2929"/>
      <c r="I12" s="2929"/>
      <c r="J12" s="2929"/>
      <c r="K12" s="2929"/>
      <c r="L12" s="2929"/>
      <c r="M12" s="2929"/>
      <c r="N12" s="2929"/>
      <c r="O12" s="2929"/>
      <c r="P12" s="2929"/>
      <c r="Q12" s="2929"/>
      <c r="R12" s="2929"/>
      <c r="S12" s="2929"/>
      <c r="T12" s="2929"/>
      <c r="U12" s="2929"/>
      <c r="V12" s="2929"/>
      <c r="W12" s="2929"/>
      <c r="X12" s="2929"/>
      <c r="Y12" s="2929"/>
      <c r="Z12" s="2929"/>
      <c r="AA12" s="2929"/>
      <c r="AB12" s="2929"/>
      <c r="AC12" s="2929"/>
      <c r="AD12" s="2937"/>
    </row>
    <row r="13" spans="1:32" ht="39.75" customHeight="1">
      <c r="A13" s="1579">
        <v>1</v>
      </c>
      <c r="B13" s="1580" t="s">
        <v>1671</v>
      </c>
      <c r="C13" s="1581"/>
      <c r="D13" s="1582"/>
      <c r="E13" s="1581"/>
      <c r="F13" s="1583"/>
      <c r="G13" s="1583"/>
      <c r="H13" s="1583"/>
      <c r="I13" s="1584"/>
      <c r="J13" s="1583"/>
      <c r="K13" s="1583"/>
      <c r="L13" s="1583"/>
      <c r="M13" s="1583"/>
      <c r="N13" s="1583"/>
      <c r="O13" s="1583"/>
      <c r="P13" s="1583"/>
      <c r="Q13" s="1583"/>
      <c r="R13" s="1583"/>
      <c r="S13" s="1583"/>
      <c r="T13" s="1583"/>
      <c r="U13" s="1583"/>
      <c r="V13" s="1583"/>
      <c r="W13" s="1583"/>
      <c r="X13" s="1583"/>
      <c r="Y13" s="1585"/>
      <c r="Z13" s="1585"/>
      <c r="AA13" s="1585"/>
      <c r="AB13" s="1585"/>
      <c r="AC13" s="1585"/>
      <c r="AD13" s="1586"/>
    </row>
    <row r="14" spans="1:32" ht="27.75" customHeight="1">
      <c r="A14" s="1579">
        <v>1.1000000000000001</v>
      </c>
      <c r="B14" s="1587" t="s">
        <v>1672</v>
      </c>
      <c r="C14" s="1588"/>
      <c r="D14" s="1589"/>
      <c r="E14" s="1588"/>
      <c r="F14" s="1583"/>
      <c r="G14" s="1583"/>
      <c r="H14" s="1583"/>
      <c r="I14" s="1584"/>
      <c r="J14" s="1583"/>
      <c r="K14" s="1583"/>
      <c r="L14" s="1583"/>
      <c r="M14" s="1583"/>
      <c r="N14" s="1583"/>
      <c r="O14" s="1583"/>
      <c r="P14" s="1583"/>
      <c r="Q14" s="1583"/>
      <c r="R14" s="1583"/>
      <c r="S14" s="1583"/>
      <c r="T14" s="1583"/>
      <c r="U14" s="1583"/>
      <c r="V14" s="1583"/>
      <c r="W14" s="1583"/>
      <c r="X14" s="1583"/>
      <c r="Y14" s="1585"/>
      <c r="Z14" s="1585"/>
      <c r="AA14" s="1585"/>
      <c r="AB14" s="1585"/>
      <c r="AC14" s="1585"/>
      <c r="AD14" s="1586"/>
    </row>
    <row r="15" spans="1:32" ht="27.75" customHeight="1">
      <c r="A15" s="1579" t="s">
        <v>1189</v>
      </c>
      <c r="B15" s="1590" t="s">
        <v>1673</v>
      </c>
      <c r="C15" s="1591"/>
      <c r="D15" s="1592"/>
      <c r="E15" s="1593"/>
      <c r="F15" s="1583"/>
      <c r="G15" s="1583"/>
      <c r="H15" s="1583"/>
      <c r="I15" s="1584"/>
      <c r="J15" s="1583"/>
      <c r="K15" s="1583"/>
      <c r="L15" s="1583"/>
      <c r="M15" s="1583"/>
      <c r="N15" s="1583"/>
      <c r="O15" s="1583"/>
      <c r="P15" s="1583"/>
      <c r="Q15" s="1583"/>
      <c r="R15" s="1583"/>
      <c r="S15" s="1583"/>
      <c r="T15" s="1583"/>
      <c r="U15" s="1583"/>
      <c r="V15" s="1583"/>
      <c r="W15" s="1583"/>
      <c r="X15" s="1583"/>
      <c r="Y15" s="1585"/>
      <c r="Z15" s="1583"/>
      <c r="AA15" s="1583"/>
      <c r="AB15" s="1583"/>
      <c r="AC15" s="1583"/>
      <c r="AD15" s="1586"/>
    </row>
    <row r="16" spans="1:32" s="1602" customFormat="1" ht="26.1" customHeight="1">
      <c r="A16" s="2918" t="s">
        <v>1190</v>
      </c>
      <c r="B16" s="2919" t="s">
        <v>1674</v>
      </c>
      <c r="C16" s="2920" t="s">
        <v>268</v>
      </c>
      <c r="D16" s="2917">
        <v>2500</v>
      </c>
      <c r="E16" s="1598" t="s">
        <v>2496</v>
      </c>
      <c r="F16" s="1599"/>
      <c r="G16" s="1585"/>
      <c r="H16" s="1585">
        <v>1000</v>
      </c>
      <c r="I16" s="1585">
        <f>I17</f>
        <v>1000</v>
      </c>
      <c r="J16" s="1585">
        <f>J17</f>
        <v>500</v>
      </c>
      <c r="K16" s="1583"/>
      <c r="L16" s="1583"/>
      <c r="M16" s="1583"/>
      <c r="N16" s="1583"/>
      <c r="O16" s="1583"/>
      <c r="P16" s="1583"/>
      <c r="Q16" s="1583"/>
      <c r="R16" s="1600"/>
      <c r="S16" s="1600"/>
      <c r="T16" s="1585"/>
      <c r="U16" s="1585"/>
      <c r="V16" s="1585"/>
      <c r="W16" s="1585"/>
      <c r="X16" s="1585"/>
      <c r="Y16" s="1585"/>
      <c r="Z16" s="1585"/>
      <c r="AA16" s="1585"/>
      <c r="AB16" s="1585"/>
      <c r="AC16" s="1585"/>
      <c r="AD16" s="1601">
        <f>SUM(F16:AC16)</f>
        <v>2500</v>
      </c>
      <c r="AE16" s="1790">
        <v>2500</v>
      </c>
      <c r="AF16" s="1792"/>
    </row>
    <row r="17" spans="1:32" s="1602" customFormat="1" ht="26.1" customHeight="1">
      <c r="A17" s="2918"/>
      <c r="B17" s="2919"/>
      <c r="C17" s="2920"/>
      <c r="D17" s="2917">
        <v>1</v>
      </c>
      <c r="E17" s="1603" t="s">
        <v>2497</v>
      </c>
      <c r="F17" s="1599"/>
      <c r="G17" s="1604"/>
      <c r="H17" s="1604">
        <v>1000</v>
      </c>
      <c r="I17" s="1604">
        <v>1000</v>
      </c>
      <c r="J17" s="1604">
        <v>500</v>
      </c>
      <c r="K17" s="1599"/>
      <c r="L17" s="1599"/>
      <c r="M17" s="1599"/>
      <c r="N17" s="1599"/>
      <c r="O17" s="1599"/>
      <c r="P17" s="1599"/>
      <c r="Q17" s="1599"/>
      <c r="R17" s="1599"/>
      <c r="S17" s="1599"/>
      <c r="T17" s="1585"/>
      <c r="U17" s="1585"/>
      <c r="V17" s="1585"/>
      <c r="W17" s="1585"/>
      <c r="X17" s="1585"/>
      <c r="Y17" s="1585"/>
      <c r="Z17" s="1585"/>
      <c r="AA17" s="1585"/>
      <c r="AB17" s="1585"/>
      <c r="AC17" s="1585"/>
      <c r="AD17" s="1601">
        <f t="shared" ref="AD17:AD80" si="0">SUM(F17:AC17)</f>
        <v>2500</v>
      </c>
      <c r="AE17" s="1790">
        <v>2500</v>
      </c>
      <c r="AF17" s="1792"/>
    </row>
    <row r="18" spans="1:32" s="1602" customFormat="1" ht="26.1" customHeight="1">
      <c r="A18" s="2918" t="s">
        <v>1191</v>
      </c>
      <c r="B18" s="2919" t="s">
        <v>1675</v>
      </c>
      <c r="C18" s="2920" t="s">
        <v>2145</v>
      </c>
      <c r="D18" s="2917">
        <v>930.35</v>
      </c>
      <c r="E18" s="1598" t="s">
        <v>2496</v>
      </c>
      <c r="F18" s="1585">
        <f>F19</f>
        <v>930.35</v>
      </c>
      <c r="G18" s="1583"/>
      <c r="H18" s="1605"/>
      <c r="I18" s="1585"/>
      <c r="J18" s="1605"/>
      <c r="K18" s="1583"/>
      <c r="L18" s="1583"/>
      <c r="M18" s="1583"/>
      <c r="N18" s="1583"/>
      <c r="O18" s="1583"/>
      <c r="P18" s="1583"/>
      <c r="Q18" s="1583"/>
      <c r="R18" s="1600"/>
      <c r="S18" s="1600"/>
      <c r="T18" s="1585"/>
      <c r="U18" s="1585"/>
      <c r="V18" s="1585"/>
      <c r="W18" s="1585"/>
      <c r="X18" s="1585"/>
      <c r="Y18" s="1585"/>
      <c r="Z18" s="1585"/>
      <c r="AA18" s="1585"/>
      <c r="AB18" s="1585"/>
      <c r="AC18" s="1585"/>
      <c r="AD18" s="1601">
        <f t="shared" si="0"/>
        <v>930.35</v>
      </c>
      <c r="AE18" s="1790">
        <v>930.35</v>
      </c>
      <c r="AF18" s="1792"/>
    </row>
    <row r="19" spans="1:32" s="1602" customFormat="1" ht="26.1" customHeight="1">
      <c r="A19" s="2918"/>
      <c r="B19" s="2919"/>
      <c r="C19" s="2920"/>
      <c r="D19" s="2917">
        <v>203.2</v>
      </c>
      <c r="E19" s="1603" t="s">
        <v>2497</v>
      </c>
      <c r="F19" s="1604">
        <v>930.35</v>
      </c>
      <c r="G19" s="1604"/>
      <c r="H19" s="1605"/>
      <c r="I19" s="1604"/>
      <c r="J19" s="1605"/>
      <c r="K19" s="1583"/>
      <c r="L19" s="1583"/>
      <c r="M19" s="1583"/>
      <c r="N19" s="1583"/>
      <c r="O19" s="1583"/>
      <c r="P19" s="1583"/>
      <c r="Q19" s="1583"/>
      <c r="R19" s="1600"/>
      <c r="S19" s="1600"/>
      <c r="T19" s="1585"/>
      <c r="U19" s="1585"/>
      <c r="V19" s="1585"/>
      <c r="W19" s="1585"/>
      <c r="X19" s="1585"/>
      <c r="Y19" s="1585"/>
      <c r="Z19" s="1585"/>
      <c r="AA19" s="1585"/>
      <c r="AB19" s="1585"/>
      <c r="AC19" s="1585"/>
      <c r="AD19" s="1601">
        <f t="shared" si="0"/>
        <v>930.35</v>
      </c>
      <c r="AE19" s="1790">
        <v>930.35</v>
      </c>
      <c r="AF19" s="1792"/>
    </row>
    <row r="20" spans="1:32" s="1602" customFormat="1" ht="26.1" customHeight="1">
      <c r="A20" s="2918" t="s">
        <v>1192</v>
      </c>
      <c r="B20" s="2919" t="s">
        <v>1676</v>
      </c>
      <c r="C20" s="2920" t="s">
        <v>268</v>
      </c>
      <c r="D20" s="2917">
        <v>2000</v>
      </c>
      <c r="E20" s="1598" t="s">
        <v>2496</v>
      </c>
      <c r="F20" s="1597"/>
      <c r="G20" s="1585"/>
      <c r="I20" s="1585">
        <f>I21</f>
        <v>2000</v>
      </c>
      <c r="J20" s="1583"/>
      <c r="K20" s="1583"/>
      <c r="L20" s="1583"/>
      <c r="M20" s="1583"/>
      <c r="N20" s="1583"/>
      <c r="O20" s="1583"/>
      <c r="P20" s="1583"/>
      <c r="Q20" s="1583"/>
      <c r="R20" s="1600"/>
      <c r="S20" s="1600"/>
      <c r="T20" s="1585"/>
      <c r="U20" s="1585"/>
      <c r="V20" s="1585"/>
      <c r="W20" s="1585"/>
      <c r="X20" s="1585"/>
      <c r="Y20" s="1585"/>
      <c r="Z20" s="1585"/>
      <c r="AA20" s="1585"/>
      <c r="AB20" s="1585"/>
      <c r="AC20" s="1585"/>
      <c r="AD20" s="1601">
        <f t="shared" si="0"/>
        <v>2000</v>
      </c>
      <c r="AE20" s="1790">
        <v>2000</v>
      </c>
      <c r="AF20" s="1792"/>
    </row>
    <row r="21" spans="1:32" s="1602" customFormat="1" ht="26.1" customHeight="1">
      <c r="A21" s="2918"/>
      <c r="B21" s="2919"/>
      <c r="C21" s="2920"/>
      <c r="D21" s="2917">
        <v>1</v>
      </c>
      <c r="E21" s="1603" t="s">
        <v>2497</v>
      </c>
      <c r="F21" s="1597"/>
      <c r="G21" s="1604"/>
      <c r="H21" s="1583"/>
      <c r="I21" s="1604">
        <v>2000</v>
      </c>
      <c r="J21" s="1583"/>
      <c r="K21" s="1583"/>
      <c r="L21" s="1583"/>
      <c r="M21" s="1583"/>
      <c r="N21" s="1583"/>
      <c r="O21" s="1583"/>
      <c r="P21" s="1583"/>
      <c r="Q21" s="1583"/>
      <c r="R21" s="1600"/>
      <c r="S21" s="1600"/>
      <c r="T21" s="1585"/>
      <c r="U21" s="1585"/>
      <c r="V21" s="1585"/>
      <c r="W21" s="1585"/>
      <c r="X21" s="1585"/>
      <c r="Y21" s="1585"/>
      <c r="Z21" s="1585"/>
      <c r="AA21" s="1585"/>
      <c r="AB21" s="1585"/>
      <c r="AC21" s="1585"/>
      <c r="AD21" s="1601">
        <f t="shared" si="0"/>
        <v>2000</v>
      </c>
      <c r="AE21" s="1790">
        <v>2000</v>
      </c>
      <c r="AF21" s="1792"/>
    </row>
    <row r="22" spans="1:32" s="1602" customFormat="1" ht="26.1" customHeight="1">
      <c r="A22" s="2918" t="s">
        <v>1193</v>
      </c>
      <c r="B22" s="2919" t="s">
        <v>1677</v>
      </c>
      <c r="C22" s="2920" t="s">
        <v>51</v>
      </c>
      <c r="D22" s="2917">
        <v>2477.2399999999998</v>
      </c>
      <c r="E22" s="1598" t="s">
        <v>2496</v>
      </c>
      <c r="F22" s="1585">
        <f>F23</f>
        <v>2477.2399999999998</v>
      </c>
      <c r="G22" s="1585"/>
      <c r="H22" s="1605"/>
      <c r="I22" s="1585"/>
      <c r="J22" s="1605"/>
      <c r="K22" s="1605"/>
      <c r="L22" s="1605"/>
      <c r="M22" s="1605"/>
      <c r="N22" s="1605"/>
      <c r="O22" s="1605"/>
      <c r="P22" s="1605"/>
      <c r="Q22" s="1605"/>
      <c r="R22" s="1606"/>
      <c r="S22" s="1606"/>
      <c r="T22" s="1585"/>
      <c r="U22" s="1585"/>
      <c r="V22" s="1585"/>
      <c r="W22" s="1585"/>
      <c r="X22" s="1585"/>
      <c r="Y22" s="1585"/>
      <c r="Z22" s="1585"/>
      <c r="AA22" s="1585"/>
      <c r="AB22" s="1585"/>
      <c r="AC22" s="1585"/>
      <c r="AD22" s="1601">
        <f t="shared" si="0"/>
        <v>2477.2399999999998</v>
      </c>
      <c r="AE22" s="1790">
        <v>2477.2399999999998</v>
      </c>
      <c r="AF22" s="1792"/>
    </row>
    <row r="23" spans="1:32" s="1602" customFormat="1" ht="26.1" customHeight="1">
      <c r="A23" s="2918"/>
      <c r="B23" s="2919"/>
      <c r="C23" s="2920"/>
      <c r="D23" s="2917">
        <v>203.2</v>
      </c>
      <c r="E23" s="1603" t="s">
        <v>2497</v>
      </c>
      <c r="F23" s="1607">
        <v>2477.2399999999998</v>
      </c>
      <c r="G23" s="1604"/>
      <c r="H23" s="1605"/>
      <c r="I23" s="1604"/>
      <c r="J23" s="1605"/>
      <c r="K23" s="1605"/>
      <c r="L23" s="1605"/>
      <c r="M23" s="1605"/>
      <c r="N23" s="1605"/>
      <c r="O23" s="1605"/>
      <c r="P23" s="1605"/>
      <c r="Q23" s="1605"/>
      <c r="R23" s="1606"/>
      <c r="S23" s="1606"/>
      <c r="T23" s="1585"/>
      <c r="U23" s="1585"/>
      <c r="V23" s="1585"/>
      <c r="W23" s="1585"/>
      <c r="X23" s="1585"/>
      <c r="Y23" s="1585"/>
      <c r="Z23" s="1585"/>
      <c r="AA23" s="1585"/>
      <c r="AB23" s="1585"/>
      <c r="AC23" s="1585"/>
      <c r="AD23" s="1601">
        <f t="shared" si="0"/>
        <v>2477.2399999999998</v>
      </c>
      <c r="AE23" s="1790">
        <v>2477.2399999999998</v>
      </c>
      <c r="AF23" s="1792"/>
    </row>
    <row r="24" spans="1:32" s="1602" customFormat="1" ht="25.5" customHeight="1">
      <c r="A24" s="1608" t="s">
        <v>1194</v>
      </c>
      <c r="B24" s="1609" t="s">
        <v>1678</v>
      </c>
      <c r="C24" s="1608"/>
      <c r="D24" s="1610"/>
      <c r="E24" s="1611"/>
      <c r="F24" s="1597"/>
      <c r="G24" s="1583"/>
      <c r="H24" s="1583"/>
      <c r="I24" s="1583"/>
      <c r="J24" s="1583"/>
      <c r="K24" s="1583"/>
      <c r="L24" s="1583"/>
      <c r="M24" s="1583"/>
      <c r="N24" s="1583"/>
      <c r="O24" s="1583"/>
      <c r="P24" s="1583"/>
      <c r="Q24" s="1583"/>
      <c r="R24" s="1600"/>
      <c r="S24" s="1600"/>
      <c r="T24" s="1585"/>
      <c r="U24" s="1585"/>
      <c r="V24" s="1585"/>
      <c r="W24" s="1585"/>
      <c r="X24" s="1585"/>
      <c r="Y24" s="1585"/>
      <c r="Z24" s="1585"/>
      <c r="AA24" s="1585"/>
      <c r="AB24" s="1585"/>
      <c r="AC24" s="1585"/>
      <c r="AD24" s="1601">
        <f t="shared" si="0"/>
        <v>0</v>
      </c>
      <c r="AE24" s="1790">
        <v>0</v>
      </c>
      <c r="AF24" s="1792"/>
    </row>
    <row r="25" spans="1:32" s="1602" customFormat="1" ht="26.1" customHeight="1">
      <c r="A25" s="2918" t="s">
        <v>1195</v>
      </c>
      <c r="B25" s="2919" t="s">
        <v>1679</v>
      </c>
      <c r="C25" s="2920" t="s">
        <v>268</v>
      </c>
      <c r="D25" s="2917">
        <v>1500</v>
      </c>
      <c r="E25" s="1598" t="s">
        <v>2496</v>
      </c>
      <c r="F25" s="1612"/>
      <c r="G25" s="1585"/>
      <c r="H25" s="1583"/>
      <c r="I25" s="1585">
        <f t="shared" ref="I25" si="1">I26</f>
        <v>1500</v>
      </c>
      <c r="J25" s="1583"/>
      <c r="K25" s="1583"/>
      <c r="L25" s="1583"/>
      <c r="M25" s="1583"/>
      <c r="N25" s="1583"/>
      <c r="O25" s="1583"/>
      <c r="P25" s="1583"/>
      <c r="Q25" s="1583"/>
      <c r="R25" s="1600"/>
      <c r="S25" s="1600"/>
      <c r="T25" s="1585"/>
      <c r="U25" s="1585"/>
      <c r="V25" s="1585"/>
      <c r="W25" s="1585"/>
      <c r="X25" s="1585"/>
      <c r="Y25" s="1585"/>
      <c r="Z25" s="1585"/>
      <c r="AA25" s="1585"/>
      <c r="AB25" s="1585"/>
      <c r="AC25" s="1585"/>
      <c r="AD25" s="1601">
        <f t="shared" si="0"/>
        <v>1500</v>
      </c>
      <c r="AE25" s="1790">
        <v>1500</v>
      </c>
      <c r="AF25" s="1792"/>
    </row>
    <row r="26" spans="1:32" s="1602" customFormat="1" ht="26.1" customHeight="1">
      <c r="A26" s="2918"/>
      <c r="B26" s="2919"/>
      <c r="C26" s="2920"/>
      <c r="D26" s="2917">
        <v>1</v>
      </c>
      <c r="E26" s="1603" t="s">
        <v>2497</v>
      </c>
      <c r="F26" s="1612"/>
      <c r="G26" s="1604"/>
      <c r="H26" s="1583"/>
      <c r="I26" s="1604">
        <v>1500</v>
      </c>
      <c r="J26" s="1583"/>
      <c r="K26" s="1583"/>
      <c r="L26" s="1583"/>
      <c r="M26" s="1583"/>
      <c r="N26" s="1583"/>
      <c r="O26" s="1583"/>
      <c r="P26" s="1583"/>
      <c r="Q26" s="1583"/>
      <c r="R26" s="1600"/>
      <c r="S26" s="1600"/>
      <c r="T26" s="1585"/>
      <c r="U26" s="1585"/>
      <c r="V26" s="1585"/>
      <c r="W26" s="1585"/>
      <c r="X26" s="1585"/>
      <c r="Y26" s="1585"/>
      <c r="Z26" s="1585"/>
      <c r="AA26" s="1585"/>
      <c r="AB26" s="1585"/>
      <c r="AC26" s="1585"/>
      <c r="AD26" s="1601">
        <f t="shared" si="0"/>
        <v>1500</v>
      </c>
      <c r="AE26" s="1790">
        <v>1500</v>
      </c>
      <c r="AF26" s="1792"/>
    </row>
    <row r="27" spans="1:32" s="1602" customFormat="1" ht="26.1" customHeight="1">
      <c r="A27" s="2918" t="s">
        <v>1196</v>
      </c>
      <c r="B27" s="2919" t="s">
        <v>1680</v>
      </c>
      <c r="C27" s="2920" t="s">
        <v>268</v>
      </c>
      <c r="D27" s="2917">
        <v>1500</v>
      </c>
      <c r="E27" s="1598" t="s">
        <v>2496</v>
      </c>
      <c r="F27" s="1597"/>
      <c r="G27" s="1585"/>
      <c r="H27" s="1583"/>
      <c r="I27" s="1585">
        <f t="shared" ref="I27" si="2">I28</f>
        <v>1500</v>
      </c>
      <c r="J27" s="1583"/>
      <c r="K27" s="1583"/>
      <c r="L27" s="1583"/>
      <c r="M27" s="1583"/>
      <c r="N27" s="1583"/>
      <c r="O27" s="1583"/>
      <c r="P27" s="1583"/>
      <c r="Q27" s="1583"/>
      <c r="R27" s="1600"/>
      <c r="S27" s="1600"/>
      <c r="T27" s="1585"/>
      <c r="U27" s="1585"/>
      <c r="V27" s="1585"/>
      <c r="W27" s="1585"/>
      <c r="X27" s="1585"/>
      <c r="Y27" s="1585"/>
      <c r="Z27" s="1585"/>
      <c r="AA27" s="1585"/>
      <c r="AB27" s="1585"/>
      <c r="AC27" s="1585"/>
      <c r="AD27" s="1601">
        <f t="shared" si="0"/>
        <v>1500</v>
      </c>
      <c r="AE27" s="1790">
        <v>1500</v>
      </c>
      <c r="AF27" s="1792"/>
    </row>
    <row r="28" spans="1:32" s="1602" customFormat="1" ht="26.1" customHeight="1">
      <c r="A28" s="2918"/>
      <c r="B28" s="2919"/>
      <c r="C28" s="2920"/>
      <c r="D28" s="2917">
        <v>1</v>
      </c>
      <c r="E28" s="1603" t="s">
        <v>2497</v>
      </c>
      <c r="F28" s="1597"/>
      <c r="G28" s="1604"/>
      <c r="H28" s="1583"/>
      <c r="I28" s="1604">
        <v>1500</v>
      </c>
      <c r="J28" s="1583"/>
      <c r="K28" s="1583"/>
      <c r="L28" s="1583"/>
      <c r="M28" s="1583"/>
      <c r="N28" s="1583"/>
      <c r="O28" s="1583"/>
      <c r="P28" s="1583"/>
      <c r="Q28" s="1583"/>
      <c r="R28" s="1600"/>
      <c r="S28" s="1600"/>
      <c r="T28" s="1585"/>
      <c r="U28" s="1585"/>
      <c r="V28" s="1585"/>
      <c r="W28" s="1585"/>
      <c r="X28" s="1585"/>
      <c r="Y28" s="1585"/>
      <c r="Z28" s="1585"/>
      <c r="AA28" s="1585"/>
      <c r="AB28" s="1585"/>
      <c r="AC28" s="1585"/>
      <c r="AD28" s="1601">
        <f t="shared" si="0"/>
        <v>1500</v>
      </c>
      <c r="AE28" s="1790">
        <v>1500</v>
      </c>
      <c r="AF28" s="1792"/>
    </row>
    <row r="29" spans="1:32" s="1602" customFormat="1" ht="26.1" customHeight="1">
      <c r="A29" s="1594" t="s">
        <v>1197</v>
      </c>
      <c r="B29" s="1609" t="s">
        <v>1681</v>
      </c>
      <c r="C29" s="1594"/>
      <c r="D29" s="1613"/>
      <c r="E29" s="1600"/>
      <c r="F29" s="1597"/>
      <c r="G29" s="1583"/>
      <c r="H29" s="1583"/>
      <c r="I29" s="1583"/>
      <c r="J29" s="1583"/>
      <c r="K29" s="1583"/>
      <c r="L29" s="1583"/>
      <c r="M29" s="1583"/>
      <c r="N29" s="1583"/>
      <c r="O29" s="1583"/>
      <c r="P29" s="1583"/>
      <c r="Q29" s="1583"/>
      <c r="R29" s="1600"/>
      <c r="S29" s="1600"/>
      <c r="T29" s="1585"/>
      <c r="U29" s="1585"/>
      <c r="V29" s="1585"/>
      <c r="W29" s="1585"/>
      <c r="X29" s="1585"/>
      <c r="Y29" s="1585"/>
      <c r="Z29" s="1585"/>
      <c r="AA29" s="1585"/>
      <c r="AB29" s="1585"/>
      <c r="AC29" s="1585"/>
      <c r="AD29" s="1601">
        <f t="shared" si="0"/>
        <v>0</v>
      </c>
      <c r="AE29" s="1790">
        <v>0</v>
      </c>
      <c r="AF29" s="1792"/>
    </row>
    <row r="30" spans="1:32" s="1602" customFormat="1" ht="26.1" customHeight="1">
      <c r="A30" s="2918" t="s">
        <v>1198</v>
      </c>
      <c r="B30" s="2919" t="s">
        <v>1682</v>
      </c>
      <c r="C30" s="2920" t="s">
        <v>2146</v>
      </c>
      <c r="D30" s="2917">
        <v>50000</v>
      </c>
      <c r="E30" s="1598" t="s">
        <v>2496</v>
      </c>
      <c r="F30" s="1585">
        <v>50000</v>
      </c>
      <c r="G30" s="1585"/>
      <c r="H30" s="1583"/>
      <c r="I30" s="1583"/>
      <c r="J30" s="1583"/>
      <c r="K30" s="1583"/>
      <c r="L30" s="1583"/>
      <c r="M30" s="1583"/>
      <c r="N30" s="1583"/>
      <c r="O30" s="1583"/>
      <c r="P30" s="1583"/>
      <c r="Q30" s="1583"/>
      <c r="R30" s="1600"/>
      <c r="S30" s="1600"/>
      <c r="T30" s="1585"/>
      <c r="U30" s="1585"/>
      <c r="V30" s="1585"/>
      <c r="W30" s="1585"/>
      <c r="X30" s="1585"/>
      <c r="Y30" s="1585"/>
      <c r="Z30" s="1585"/>
      <c r="AA30" s="1585"/>
      <c r="AB30" s="1585"/>
      <c r="AC30" s="1585"/>
      <c r="AD30" s="1601">
        <f t="shared" si="0"/>
        <v>50000</v>
      </c>
      <c r="AE30" s="1790">
        <v>50000</v>
      </c>
      <c r="AF30" s="1792"/>
    </row>
    <row r="31" spans="1:32" s="1602" customFormat="1" ht="26.1" customHeight="1">
      <c r="A31" s="2918"/>
      <c r="B31" s="2919"/>
      <c r="C31" s="2920"/>
      <c r="D31" s="2917">
        <v>1</v>
      </c>
      <c r="E31" s="1603" t="s">
        <v>2497</v>
      </c>
      <c r="F31" s="1597">
        <f>F30</f>
        <v>50000</v>
      </c>
      <c r="G31" s="1604"/>
      <c r="H31" s="1583"/>
      <c r="I31" s="1583"/>
      <c r="J31" s="1583"/>
      <c r="K31" s="1583"/>
      <c r="L31" s="1583"/>
      <c r="M31" s="1583"/>
      <c r="N31" s="1583"/>
      <c r="O31" s="1583"/>
      <c r="P31" s="1583"/>
      <c r="Q31" s="1583"/>
      <c r="R31" s="1600"/>
      <c r="S31" s="1600"/>
      <c r="T31" s="1585"/>
      <c r="U31" s="1585"/>
      <c r="V31" s="1585"/>
      <c r="W31" s="1585"/>
      <c r="X31" s="1585"/>
      <c r="Y31" s="1585"/>
      <c r="Z31" s="1585"/>
      <c r="AA31" s="1585"/>
      <c r="AB31" s="1585"/>
      <c r="AC31" s="1585"/>
      <c r="AD31" s="1601">
        <f t="shared" si="0"/>
        <v>50000</v>
      </c>
      <c r="AE31" s="1790">
        <v>50000</v>
      </c>
      <c r="AF31" s="1792"/>
    </row>
    <row r="32" spans="1:32" s="1602" customFormat="1" ht="26.1" customHeight="1">
      <c r="A32" s="1594" t="s">
        <v>1199</v>
      </c>
      <c r="B32" s="1609" t="s">
        <v>1683</v>
      </c>
      <c r="C32" s="1596"/>
      <c r="D32" s="1597"/>
      <c r="E32" s="1593"/>
      <c r="F32" s="1605"/>
      <c r="G32" s="1605"/>
      <c r="H32" s="1605"/>
      <c r="I32" s="1605"/>
      <c r="J32" s="1605"/>
      <c r="K32" s="1605"/>
      <c r="L32" s="1605"/>
      <c r="M32" s="1583"/>
      <c r="N32" s="1583"/>
      <c r="O32" s="1583"/>
      <c r="P32" s="1583"/>
      <c r="Q32" s="1583"/>
      <c r="R32" s="1600"/>
      <c r="S32" s="1600"/>
      <c r="T32" s="1585"/>
      <c r="U32" s="1585"/>
      <c r="V32" s="1585"/>
      <c r="W32" s="1585"/>
      <c r="X32" s="1585"/>
      <c r="Y32" s="1585"/>
      <c r="Z32" s="1585"/>
      <c r="AA32" s="1585"/>
      <c r="AB32" s="1585"/>
      <c r="AC32" s="1585"/>
      <c r="AD32" s="1601">
        <f t="shared" si="0"/>
        <v>0</v>
      </c>
      <c r="AE32" s="1790">
        <v>0</v>
      </c>
      <c r="AF32" s="1792"/>
    </row>
    <row r="33" spans="1:32" s="1602" customFormat="1" ht="26.1" customHeight="1">
      <c r="A33" s="2918" t="s">
        <v>1200</v>
      </c>
      <c r="B33" s="2919" t="s">
        <v>1684</v>
      </c>
      <c r="C33" s="2920" t="s">
        <v>2146</v>
      </c>
      <c r="D33" s="2917">
        <v>2250</v>
      </c>
      <c r="E33" s="1598" t="s">
        <v>2496</v>
      </c>
      <c r="F33" s="1583"/>
      <c r="G33" s="1585">
        <f>G34</f>
        <v>2250</v>
      </c>
      <c r="H33" s="1583"/>
      <c r="I33" s="1583"/>
      <c r="J33" s="1583"/>
      <c r="K33" s="1583"/>
      <c r="L33" s="1583"/>
      <c r="M33" s="1583"/>
      <c r="N33" s="1583"/>
      <c r="O33" s="1583"/>
      <c r="P33" s="1583"/>
      <c r="Q33" s="1583"/>
      <c r="R33" s="1600"/>
      <c r="S33" s="1600"/>
      <c r="T33" s="1585"/>
      <c r="U33" s="1585"/>
      <c r="V33" s="1585"/>
      <c r="W33" s="1585"/>
      <c r="X33" s="1585"/>
      <c r="Y33" s="1585"/>
      <c r="Z33" s="1585"/>
      <c r="AA33" s="1585"/>
      <c r="AB33" s="1585"/>
      <c r="AC33" s="1585"/>
      <c r="AD33" s="1601">
        <f t="shared" si="0"/>
        <v>2250</v>
      </c>
      <c r="AE33" s="1790">
        <v>2250</v>
      </c>
      <c r="AF33" s="1792"/>
    </row>
    <row r="34" spans="1:32" s="1602" customFormat="1" ht="26.1" customHeight="1">
      <c r="A34" s="2918"/>
      <c r="B34" s="2919"/>
      <c r="C34" s="2920"/>
      <c r="D34" s="2917">
        <v>1</v>
      </c>
      <c r="E34" s="1603" t="s">
        <v>2497</v>
      </c>
      <c r="F34" s="1583"/>
      <c r="G34" s="1604">
        <v>2250</v>
      </c>
      <c r="H34" s="1583"/>
      <c r="I34" s="1583"/>
      <c r="J34" s="1583"/>
      <c r="K34" s="1583"/>
      <c r="L34" s="1583"/>
      <c r="M34" s="1583"/>
      <c r="N34" s="1583"/>
      <c r="O34" s="1583"/>
      <c r="P34" s="1583"/>
      <c r="Q34" s="1583"/>
      <c r="R34" s="1600"/>
      <c r="S34" s="1600"/>
      <c r="T34" s="1585"/>
      <c r="U34" s="1585"/>
      <c r="V34" s="1585"/>
      <c r="W34" s="1585"/>
      <c r="X34" s="1585"/>
      <c r="Y34" s="1585"/>
      <c r="Z34" s="1585"/>
      <c r="AA34" s="1585"/>
      <c r="AB34" s="1585"/>
      <c r="AC34" s="1585"/>
      <c r="AD34" s="1601">
        <f t="shared" si="0"/>
        <v>2250</v>
      </c>
      <c r="AE34" s="1790">
        <v>2250</v>
      </c>
      <c r="AF34" s="1792"/>
    </row>
    <row r="35" spans="1:32" s="1602" customFormat="1" ht="26.1" customHeight="1">
      <c r="A35" s="1594" t="s">
        <v>1201</v>
      </c>
      <c r="B35" s="1609" t="s">
        <v>1685</v>
      </c>
      <c r="C35" s="1596"/>
      <c r="D35" s="1597"/>
      <c r="E35" s="1593"/>
      <c r="F35" s="1605"/>
      <c r="G35" s="1605"/>
      <c r="H35" s="1605"/>
      <c r="I35" s="1605"/>
      <c r="J35" s="1605"/>
      <c r="K35" s="1605"/>
      <c r="L35" s="1605"/>
      <c r="M35" s="1605"/>
      <c r="N35" s="1605"/>
      <c r="O35" s="1605"/>
      <c r="P35" s="1605"/>
      <c r="Q35" s="1605"/>
      <c r="R35" s="1606"/>
      <c r="S35" s="1606"/>
      <c r="T35" s="1585"/>
      <c r="U35" s="1585"/>
      <c r="V35" s="1585"/>
      <c r="W35" s="1585"/>
      <c r="X35" s="1585"/>
      <c r="Y35" s="1585"/>
      <c r="Z35" s="1585"/>
      <c r="AA35" s="1585"/>
      <c r="AB35" s="1585"/>
      <c r="AC35" s="1585"/>
      <c r="AD35" s="1601">
        <f t="shared" si="0"/>
        <v>0</v>
      </c>
      <c r="AE35" s="1790">
        <v>0</v>
      </c>
      <c r="AF35" s="1792"/>
    </row>
    <row r="36" spans="1:32" s="1602" customFormat="1" ht="26.1" customHeight="1">
      <c r="A36" s="2918" t="s">
        <v>1202</v>
      </c>
      <c r="B36" s="2919" t="s">
        <v>1686</v>
      </c>
      <c r="C36" s="2920" t="s">
        <v>49</v>
      </c>
      <c r="D36" s="2917">
        <v>1548.79</v>
      </c>
      <c r="E36" s="1598" t="s">
        <v>2496</v>
      </c>
      <c r="F36" s="1583"/>
      <c r="G36" s="1585">
        <f>G37</f>
        <v>1548.79</v>
      </c>
      <c r="H36" s="1583"/>
      <c r="I36" s="1583"/>
      <c r="J36" s="1583"/>
      <c r="K36" s="1583"/>
      <c r="L36" s="1583"/>
      <c r="M36" s="1583"/>
      <c r="N36" s="1583"/>
      <c r="O36" s="1583"/>
      <c r="P36" s="1583"/>
      <c r="Q36" s="1583"/>
      <c r="R36" s="1600"/>
      <c r="S36" s="1600"/>
      <c r="T36" s="1585"/>
      <c r="U36" s="1585"/>
      <c r="V36" s="1585"/>
      <c r="W36" s="1585"/>
      <c r="X36" s="1585"/>
      <c r="Y36" s="1585"/>
      <c r="Z36" s="1585"/>
      <c r="AA36" s="1585"/>
      <c r="AB36" s="1585"/>
      <c r="AC36" s="1585"/>
      <c r="AD36" s="1601">
        <f t="shared" si="0"/>
        <v>1548.79</v>
      </c>
      <c r="AE36" s="1790">
        <v>1548.79</v>
      </c>
      <c r="AF36" s="1792"/>
    </row>
    <row r="37" spans="1:32" s="1602" customFormat="1" ht="26.1" customHeight="1">
      <c r="A37" s="2918"/>
      <c r="B37" s="2919"/>
      <c r="C37" s="2920"/>
      <c r="D37" s="2917"/>
      <c r="E37" s="1603" t="s">
        <v>2497</v>
      </c>
      <c r="F37" s="1583"/>
      <c r="G37" s="1604">
        <v>1548.79</v>
      </c>
      <c r="H37" s="1583"/>
      <c r="I37" s="1583"/>
      <c r="J37" s="1583"/>
      <c r="K37" s="1583"/>
      <c r="L37" s="1583"/>
      <c r="M37" s="1583"/>
      <c r="N37" s="1583"/>
      <c r="O37" s="1583"/>
      <c r="P37" s="1583"/>
      <c r="Q37" s="1583"/>
      <c r="R37" s="1600"/>
      <c r="S37" s="1600"/>
      <c r="T37" s="1585"/>
      <c r="U37" s="1585"/>
      <c r="V37" s="1585"/>
      <c r="W37" s="1585"/>
      <c r="X37" s="1585"/>
      <c r="Y37" s="1585"/>
      <c r="Z37" s="1585"/>
      <c r="AA37" s="1585"/>
      <c r="AB37" s="1585"/>
      <c r="AC37" s="1585"/>
      <c r="AD37" s="1601">
        <f t="shared" si="0"/>
        <v>1548.79</v>
      </c>
      <c r="AE37" s="1790">
        <v>1548.79</v>
      </c>
      <c r="AF37" s="1792"/>
    </row>
    <row r="38" spans="1:32" s="1602" customFormat="1" ht="26.1" customHeight="1">
      <c r="A38" s="2918" t="s">
        <v>1203</v>
      </c>
      <c r="B38" s="2919" t="s">
        <v>1687</v>
      </c>
      <c r="C38" s="2920" t="s">
        <v>49</v>
      </c>
      <c r="D38" s="2917">
        <v>1548.79</v>
      </c>
      <c r="E38" s="1598" t="s">
        <v>2496</v>
      </c>
      <c r="F38" s="1605"/>
      <c r="G38" s="1585"/>
      <c r="H38" s="1585">
        <f t="shared" ref="H38:H49" si="3">H39</f>
        <v>1007.29</v>
      </c>
      <c r="I38" s="1585"/>
      <c r="J38" s="1583"/>
      <c r="K38" s="1583"/>
      <c r="L38" s="1585">
        <f t="shared" ref="L38" si="4">L39</f>
        <v>541.5</v>
      </c>
      <c r="M38" s="1583"/>
      <c r="N38" s="1583"/>
      <c r="O38" s="1583"/>
      <c r="P38" s="1583"/>
      <c r="Q38" s="1583"/>
      <c r="R38" s="1600"/>
      <c r="S38" s="1600"/>
      <c r="T38" s="1585"/>
      <c r="U38" s="1585"/>
      <c r="V38" s="1585"/>
      <c r="W38" s="1585"/>
      <c r="X38" s="1585"/>
      <c r="Y38" s="1585"/>
      <c r="Z38" s="1585"/>
      <c r="AA38" s="1585"/>
      <c r="AB38" s="1585"/>
      <c r="AC38" s="1585"/>
      <c r="AD38" s="1601">
        <f t="shared" si="0"/>
        <v>1548.79</v>
      </c>
      <c r="AE38" s="1790">
        <v>1548.79</v>
      </c>
      <c r="AF38" s="1792"/>
    </row>
    <row r="39" spans="1:32" s="1602" customFormat="1" ht="26.1" customHeight="1">
      <c r="A39" s="2918"/>
      <c r="B39" s="2919"/>
      <c r="C39" s="2920"/>
      <c r="D39" s="2917"/>
      <c r="E39" s="1603" t="s">
        <v>2497</v>
      </c>
      <c r="F39" s="1605"/>
      <c r="G39" s="1604"/>
      <c r="H39" s="1604">
        <v>1007.29</v>
      </c>
      <c r="I39" s="1604"/>
      <c r="J39" s="1583"/>
      <c r="K39" s="1583"/>
      <c r="L39" s="1604">
        <v>541.5</v>
      </c>
      <c r="M39" s="1583"/>
      <c r="N39" s="1583"/>
      <c r="O39" s="1583"/>
      <c r="P39" s="1583"/>
      <c r="Q39" s="1583"/>
      <c r="R39" s="1600"/>
      <c r="S39" s="1600"/>
      <c r="T39" s="1585"/>
      <c r="U39" s="1585"/>
      <c r="V39" s="1585"/>
      <c r="W39" s="1585"/>
      <c r="X39" s="1585"/>
      <c r="Y39" s="1585"/>
      <c r="Z39" s="1585"/>
      <c r="AA39" s="1585"/>
      <c r="AB39" s="1585"/>
      <c r="AC39" s="1585"/>
      <c r="AD39" s="1601">
        <f t="shared" si="0"/>
        <v>1548.79</v>
      </c>
      <c r="AE39" s="1790">
        <v>1548.79</v>
      </c>
      <c r="AF39" s="1792"/>
    </row>
    <row r="40" spans="1:32" s="1602" customFormat="1" ht="26.1" customHeight="1">
      <c r="A40" s="1594">
        <v>1.2</v>
      </c>
      <c r="B40" s="1614" t="s">
        <v>1688</v>
      </c>
      <c r="C40" s="1594"/>
      <c r="D40" s="1613"/>
      <c r="E40" s="1600"/>
      <c r="F40" s="1583"/>
      <c r="G40" s="1583"/>
      <c r="H40" s="1583"/>
      <c r="I40" s="1583"/>
      <c r="J40" s="1583"/>
      <c r="K40" s="1583"/>
      <c r="L40" s="1583"/>
      <c r="M40" s="1583"/>
      <c r="N40" s="1583"/>
      <c r="O40" s="1583"/>
      <c r="P40" s="1583"/>
      <c r="Q40" s="1583"/>
      <c r="R40" s="1600"/>
      <c r="S40" s="1600"/>
      <c r="T40" s="1585"/>
      <c r="U40" s="1585"/>
      <c r="V40" s="1585"/>
      <c r="W40" s="1585"/>
      <c r="X40" s="1585"/>
      <c r="Y40" s="1585"/>
      <c r="Z40" s="1585"/>
      <c r="AA40" s="1585"/>
      <c r="AB40" s="1585"/>
      <c r="AC40" s="1585"/>
      <c r="AD40" s="1601">
        <f t="shared" si="0"/>
        <v>0</v>
      </c>
      <c r="AE40" s="1790">
        <v>0</v>
      </c>
      <c r="AF40" s="1792"/>
    </row>
    <row r="41" spans="1:32" s="1602" customFormat="1" ht="26.1" customHeight="1">
      <c r="A41" s="2918" t="s">
        <v>1204</v>
      </c>
      <c r="B41" s="2919" t="s">
        <v>1689</v>
      </c>
      <c r="C41" s="2920" t="s">
        <v>268</v>
      </c>
      <c r="D41" s="2917">
        <v>4750</v>
      </c>
      <c r="E41" s="1598" t="s">
        <v>2496</v>
      </c>
      <c r="F41" s="1605"/>
      <c r="G41" s="1585"/>
      <c r="H41" s="1585">
        <f t="shared" si="3"/>
        <v>4750</v>
      </c>
      <c r="I41" s="1583"/>
      <c r="J41" s="1583"/>
      <c r="K41" s="1583"/>
      <c r="L41" s="1583"/>
      <c r="M41" s="1583"/>
      <c r="N41" s="1583"/>
      <c r="O41" s="1583"/>
      <c r="P41" s="1583"/>
      <c r="Q41" s="1583"/>
      <c r="R41" s="1600"/>
      <c r="S41" s="1600"/>
      <c r="T41" s="1585"/>
      <c r="U41" s="1585"/>
      <c r="V41" s="1585"/>
      <c r="W41" s="1585"/>
      <c r="X41" s="1585"/>
      <c r="Y41" s="1585"/>
      <c r="Z41" s="1585"/>
      <c r="AA41" s="1585"/>
      <c r="AB41" s="1585"/>
      <c r="AC41" s="1585"/>
      <c r="AD41" s="1601">
        <f t="shared" si="0"/>
        <v>4750</v>
      </c>
      <c r="AE41" s="1790">
        <v>4750</v>
      </c>
      <c r="AF41" s="1792"/>
    </row>
    <row r="42" spans="1:32" s="1602" customFormat="1" ht="26.1" customHeight="1">
      <c r="A42" s="2918"/>
      <c r="B42" s="2919"/>
      <c r="C42" s="2920"/>
      <c r="D42" s="2917"/>
      <c r="E42" s="1603" t="s">
        <v>2497</v>
      </c>
      <c r="F42" s="1605"/>
      <c r="G42" s="1604"/>
      <c r="H42" s="1604">
        <v>4750</v>
      </c>
      <c r="I42" s="1583"/>
      <c r="J42" s="1583"/>
      <c r="K42" s="1583"/>
      <c r="L42" s="1583"/>
      <c r="M42" s="1583"/>
      <c r="N42" s="1583"/>
      <c r="O42" s="1583"/>
      <c r="P42" s="1583"/>
      <c r="Q42" s="1583"/>
      <c r="R42" s="1600"/>
      <c r="S42" s="1600"/>
      <c r="T42" s="1585"/>
      <c r="U42" s="1585"/>
      <c r="V42" s="1585"/>
      <c r="W42" s="1585"/>
      <c r="X42" s="1585"/>
      <c r="Y42" s="1585"/>
      <c r="Z42" s="1585"/>
      <c r="AA42" s="1585"/>
      <c r="AB42" s="1585"/>
      <c r="AC42" s="1585"/>
      <c r="AD42" s="1601">
        <f t="shared" si="0"/>
        <v>4750</v>
      </c>
      <c r="AE42" s="1790">
        <v>4750</v>
      </c>
      <c r="AF42" s="1792"/>
    </row>
    <row r="43" spans="1:32" s="1602" customFormat="1" ht="26.1" customHeight="1">
      <c r="A43" s="2918" t="s">
        <v>1205</v>
      </c>
      <c r="B43" s="2919" t="s">
        <v>1690</v>
      </c>
      <c r="C43" s="2920" t="s">
        <v>52</v>
      </c>
      <c r="D43" s="2917">
        <v>28250</v>
      </c>
      <c r="E43" s="1598" t="s">
        <v>2496</v>
      </c>
      <c r="F43" s="1583"/>
      <c r="G43" s="1585">
        <f>G44</f>
        <v>28250</v>
      </c>
      <c r="H43" s="1583"/>
      <c r="I43" s="1583"/>
      <c r="J43" s="1583"/>
      <c r="K43" s="1583"/>
      <c r="L43" s="1583"/>
      <c r="M43" s="1583"/>
      <c r="N43" s="1583"/>
      <c r="O43" s="1583"/>
      <c r="P43" s="1583"/>
      <c r="Q43" s="1583"/>
      <c r="R43" s="1600"/>
      <c r="S43" s="1600"/>
      <c r="T43" s="1585"/>
      <c r="U43" s="1585"/>
      <c r="V43" s="1585"/>
      <c r="W43" s="1585"/>
      <c r="X43" s="1585"/>
      <c r="Y43" s="1585"/>
      <c r="Z43" s="1585"/>
      <c r="AA43" s="1585"/>
      <c r="AB43" s="1585"/>
      <c r="AC43" s="1585"/>
      <c r="AD43" s="1601">
        <f t="shared" si="0"/>
        <v>28250</v>
      </c>
      <c r="AE43" s="1790">
        <v>28250</v>
      </c>
      <c r="AF43" s="1792"/>
    </row>
    <row r="44" spans="1:32" s="1602" customFormat="1" ht="26.1" customHeight="1">
      <c r="A44" s="2918"/>
      <c r="B44" s="2919"/>
      <c r="C44" s="2920"/>
      <c r="D44" s="2917"/>
      <c r="E44" s="1603" t="s">
        <v>2497</v>
      </c>
      <c r="F44" s="1583"/>
      <c r="G44" s="1604">
        <v>28250</v>
      </c>
      <c r="H44" s="1583"/>
      <c r="I44" s="1583"/>
      <c r="J44" s="1583"/>
      <c r="K44" s="1583"/>
      <c r="L44" s="1583"/>
      <c r="M44" s="1583"/>
      <c r="N44" s="1583"/>
      <c r="O44" s="1583"/>
      <c r="P44" s="1583"/>
      <c r="Q44" s="1583"/>
      <c r="R44" s="1600"/>
      <c r="S44" s="1600"/>
      <c r="T44" s="1585"/>
      <c r="U44" s="1585"/>
      <c r="V44" s="1585"/>
      <c r="W44" s="1585"/>
      <c r="X44" s="1585"/>
      <c r="Y44" s="1585"/>
      <c r="Z44" s="1585"/>
      <c r="AA44" s="1585"/>
      <c r="AB44" s="1585"/>
      <c r="AC44" s="1585"/>
      <c r="AD44" s="1601">
        <f t="shared" si="0"/>
        <v>28250</v>
      </c>
      <c r="AE44" s="1790">
        <v>28250</v>
      </c>
      <c r="AF44" s="1792"/>
    </row>
    <row r="45" spans="1:32" s="1602" customFormat="1" ht="25.5" customHeight="1">
      <c r="A45" s="2918" t="s">
        <v>1206</v>
      </c>
      <c r="B45" s="2919" t="s">
        <v>1691</v>
      </c>
      <c r="C45" s="2920" t="s">
        <v>268</v>
      </c>
      <c r="D45" s="2917">
        <v>54000</v>
      </c>
      <c r="E45" s="1598" t="s">
        <v>2496</v>
      </c>
      <c r="F45" s="1583"/>
      <c r="G45" s="1585"/>
      <c r="H45" s="1583"/>
      <c r="I45" s="1583"/>
      <c r="J45" s="1585">
        <f>J46</f>
        <v>54000</v>
      </c>
      <c r="K45" s="1583"/>
      <c r="L45" s="1583"/>
      <c r="M45" s="1583"/>
      <c r="N45" s="1583"/>
      <c r="O45" s="1583"/>
      <c r="P45" s="1583"/>
      <c r="Q45" s="1583"/>
      <c r="R45" s="1600"/>
      <c r="S45" s="1600"/>
      <c r="T45" s="1585"/>
      <c r="U45" s="1585"/>
      <c r="V45" s="1585"/>
      <c r="W45" s="1585"/>
      <c r="X45" s="1585"/>
      <c r="Y45" s="1585"/>
      <c r="Z45" s="1585"/>
      <c r="AA45" s="1585"/>
      <c r="AB45" s="1585"/>
      <c r="AC45" s="1585"/>
      <c r="AD45" s="1601">
        <f t="shared" si="0"/>
        <v>54000</v>
      </c>
      <c r="AE45" s="1790">
        <v>54000</v>
      </c>
      <c r="AF45" s="1792"/>
    </row>
    <row r="46" spans="1:32" s="1602" customFormat="1" ht="25.5" customHeight="1">
      <c r="A46" s="2918"/>
      <c r="B46" s="2919"/>
      <c r="C46" s="2920"/>
      <c r="D46" s="2917"/>
      <c r="E46" s="1603" t="s">
        <v>2497</v>
      </c>
      <c r="F46" s="1583"/>
      <c r="G46" s="1604"/>
      <c r="H46" s="1583"/>
      <c r="I46" s="1583"/>
      <c r="J46" s="1604">
        <v>54000</v>
      </c>
      <c r="K46" s="1583"/>
      <c r="L46" s="1583"/>
      <c r="M46" s="1583"/>
      <c r="N46" s="1583"/>
      <c r="O46" s="1583"/>
      <c r="P46" s="1583"/>
      <c r="Q46" s="1583"/>
      <c r="R46" s="1600"/>
      <c r="S46" s="1600"/>
      <c r="T46" s="1585"/>
      <c r="U46" s="1585"/>
      <c r="V46" s="1585"/>
      <c r="W46" s="1585"/>
      <c r="X46" s="1585"/>
      <c r="Y46" s="1585"/>
      <c r="Z46" s="1585"/>
      <c r="AA46" s="1585"/>
      <c r="AB46" s="1585"/>
      <c r="AC46" s="1585"/>
      <c r="AD46" s="1601">
        <f t="shared" si="0"/>
        <v>54000</v>
      </c>
      <c r="AE46" s="1790">
        <v>54000</v>
      </c>
      <c r="AF46" s="1792"/>
    </row>
    <row r="47" spans="1:32" s="1602" customFormat="1" ht="26.1" customHeight="1">
      <c r="A47" s="2918" t="s">
        <v>1207</v>
      </c>
      <c r="B47" s="2919" t="s">
        <v>1692</v>
      </c>
      <c r="C47" s="2920" t="s">
        <v>268</v>
      </c>
      <c r="D47" s="2917">
        <v>3100</v>
      </c>
      <c r="E47" s="1598" t="s">
        <v>2496</v>
      </c>
      <c r="F47" s="1605"/>
      <c r="G47" s="1585">
        <f>G48</f>
        <v>3100</v>
      </c>
      <c r="H47" s="1605"/>
      <c r="I47" s="1605"/>
      <c r="J47" s="1605"/>
      <c r="K47" s="1605"/>
      <c r="L47" s="1583"/>
      <c r="M47" s="1605"/>
      <c r="N47" s="1605"/>
      <c r="O47" s="1605"/>
      <c r="P47" s="1605"/>
      <c r="Q47" s="1605"/>
      <c r="R47" s="1606"/>
      <c r="S47" s="1606"/>
      <c r="T47" s="1585"/>
      <c r="U47" s="1585"/>
      <c r="V47" s="1585"/>
      <c r="W47" s="1585"/>
      <c r="X47" s="1585"/>
      <c r="Y47" s="1585"/>
      <c r="Z47" s="1585"/>
      <c r="AA47" s="1585"/>
      <c r="AB47" s="1585"/>
      <c r="AC47" s="1585"/>
      <c r="AD47" s="1601">
        <f t="shared" si="0"/>
        <v>3100</v>
      </c>
      <c r="AE47" s="1790">
        <v>3100</v>
      </c>
      <c r="AF47" s="1792"/>
    </row>
    <row r="48" spans="1:32" s="1602" customFormat="1" ht="26.1" customHeight="1">
      <c r="A48" s="2918"/>
      <c r="B48" s="2919"/>
      <c r="C48" s="2920"/>
      <c r="D48" s="2917"/>
      <c r="E48" s="1603" t="s">
        <v>2497</v>
      </c>
      <c r="F48" s="1605"/>
      <c r="G48" s="1604">
        <v>3100</v>
      </c>
      <c r="H48" s="1605"/>
      <c r="I48" s="1605"/>
      <c r="J48" s="1605"/>
      <c r="K48" s="1605"/>
      <c r="L48" s="1583"/>
      <c r="M48" s="1605"/>
      <c r="N48" s="1605"/>
      <c r="O48" s="1583"/>
      <c r="P48" s="1605"/>
      <c r="Q48" s="1605"/>
      <c r="R48" s="1606"/>
      <c r="S48" s="1606"/>
      <c r="T48" s="1585"/>
      <c r="U48" s="1585"/>
      <c r="V48" s="1585"/>
      <c r="W48" s="1585"/>
      <c r="X48" s="1585"/>
      <c r="Y48" s="1585"/>
      <c r="Z48" s="1585"/>
      <c r="AA48" s="1585"/>
      <c r="AB48" s="1585"/>
      <c r="AC48" s="1585"/>
      <c r="AD48" s="1601">
        <f t="shared" si="0"/>
        <v>3100</v>
      </c>
      <c r="AE48" s="1790">
        <v>3100</v>
      </c>
      <c r="AF48" s="1792"/>
    </row>
    <row r="49" spans="1:32" s="1602" customFormat="1" ht="26.1" customHeight="1">
      <c r="A49" s="2918" t="s">
        <v>1208</v>
      </c>
      <c r="B49" s="2919" t="s">
        <v>1693</v>
      </c>
      <c r="C49" s="2920" t="s">
        <v>268</v>
      </c>
      <c r="D49" s="2917">
        <v>4950</v>
      </c>
      <c r="E49" s="1598" t="s">
        <v>2496</v>
      </c>
      <c r="F49" s="1583"/>
      <c r="G49" s="1585"/>
      <c r="H49" s="1585">
        <f t="shared" si="3"/>
        <v>4950</v>
      </c>
      <c r="I49" s="1583"/>
      <c r="J49" s="1583"/>
      <c r="K49" s="1583"/>
      <c r="L49" s="1583"/>
      <c r="M49" s="1583"/>
      <c r="N49" s="1583"/>
      <c r="O49" s="1583"/>
      <c r="P49" s="1583"/>
      <c r="Q49" s="1583"/>
      <c r="R49" s="1600"/>
      <c r="S49" s="1600"/>
      <c r="T49" s="1585"/>
      <c r="U49" s="1585"/>
      <c r="V49" s="1585"/>
      <c r="W49" s="1585"/>
      <c r="X49" s="1585"/>
      <c r="Y49" s="1585"/>
      <c r="Z49" s="1585"/>
      <c r="AA49" s="1585"/>
      <c r="AB49" s="1585"/>
      <c r="AC49" s="1585"/>
      <c r="AD49" s="1601">
        <f t="shared" si="0"/>
        <v>4950</v>
      </c>
      <c r="AE49" s="1790">
        <v>4950</v>
      </c>
      <c r="AF49" s="1792"/>
    </row>
    <row r="50" spans="1:32" s="1602" customFormat="1" ht="26.1" customHeight="1">
      <c r="A50" s="2918"/>
      <c r="B50" s="2919"/>
      <c r="C50" s="2920"/>
      <c r="D50" s="2917"/>
      <c r="E50" s="1603" t="s">
        <v>2497</v>
      </c>
      <c r="F50" s="1583"/>
      <c r="G50" s="1604"/>
      <c r="H50" s="1604">
        <v>4950</v>
      </c>
      <c r="I50" s="1583"/>
      <c r="J50" s="1583"/>
      <c r="K50" s="1583"/>
      <c r="L50" s="1583"/>
      <c r="M50" s="1583"/>
      <c r="N50" s="1583"/>
      <c r="O50" s="1583"/>
      <c r="P50" s="1583"/>
      <c r="Q50" s="1583"/>
      <c r="R50" s="1600"/>
      <c r="S50" s="1600"/>
      <c r="T50" s="1585"/>
      <c r="U50" s="1585"/>
      <c r="V50" s="1585"/>
      <c r="W50" s="1585"/>
      <c r="X50" s="1585"/>
      <c r="Y50" s="1585"/>
      <c r="Z50" s="1585"/>
      <c r="AA50" s="1585"/>
      <c r="AB50" s="1585"/>
      <c r="AC50" s="1585"/>
      <c r="AD50" s="1601">
        <f t="shared" si="0"/>
        <v>4950</v>
      </c>
      <c r="AE50" s="1790">
        <v>4950</v>
      </c>
      <c r="AF50" s="1792"/>
    </row>
    <row r="51" spans="1:32" s="1602" customFormat="1" ht="26.1" customHeight="1">
      <c r="A51" s="2918" t="s">
        <v>1209</v>
      </c>
      <c r="B51" s="2919" t="s">
        <v>1694</v>
      </c>
      <c r="C51" s="2920" t="s">
        <v>268</v>
      </c>
      <c r="D51" s="2917">
        <v>1282.8</v>
      </c>
      <c r="E51" s="1598" t="s">
        <v>2496</v>
      </c>
      <c r="F51" s="1605"/>
      <c r="G51" s="1585"/>
      <c r="H51" s="1605"/>
      <c r="I51" s="1605"/>
      <c r="J51" s="1585">
        <f>J52</f>
        <v>1282.8</v>
      </c>
      <c r="K51" s="1605"/>
      <c r="L51" s="1605"/>
      <c r="M51" s="1605"/>
      <c r="N51" s="1605"/>
      <c r="O51" s="1583"/>
      <c r="P51" s="1605"/>
      <c r="Q51" s="1605"/>
      <c r="R51" s="1606"/>
      <c r="S51" s="1606"/>
      <c r="T51" s="1585"/>
      <c r="U51" s="1585"/>
      <c r="V51" s="1585"/>
      <c r="W51" s="1585"/>
      <c r="X51" s="1585"/>
      <c r="Y51" s="1585"/>
      <c r="Z51" s="1585"/>
      <c r="AA51" s="1585"/>
      <c r="AB51" s="1585"/>
      <c r="AC51" s="1585"/>
      <c r="AD51" s="1601">
        <f t="shared" si="0"/>
        <v>1282.8</v>
      </c>
      <c r="AE51" s="1790">
        <v>1282.8</v>
      </c>
      <c r="AF51" s="1792"/>
    </row>
    <row r="52" spans="1:32" s="1602" customFormat="1" ht="26.1" customHeight="1">
      <c r="A52" s="2918"/>
      <c r="B52" s="2919"/>
      <c r="C52" s="2920"/>
      <c r="D52" s="2917"/>
      <c r="E52" s="1603" t="s">
        <v>2497</v>
      </c>
      <c r="F52" s="1605"/>
      <c r="G52" s="1604"/>
      <c r="H52" s="1605"/>
      <c r="I52" s="1605"/>
      <c r="J52" s="1604">
        <v>1282.8</v>
      </c>
      <c r="K52" s="1605"/>
      <c r="L52" s="1605"/>
      <c r="M52" s="1605"/>
      <c r="N52" s="1605"/>
      <c r="O52" s="1583"/>
      <c r="P52" s="1605"/>
      <c r="Q52" s="1605"/>
      <c r="R52" s="1606"/>
      <c r="S52" s="1606"/>
      <c r="T52" s="1585"/>
      <c r="U52" s="1585"/>
      <c r="V52" s="1585"/>
      <c r="W52" s="1585"/>
      <c r="X52" s="1585"/>
      <c r="Y52" s="1585"/>
      <c r="Z52" s="1585"/>
      <c r="AA52" s="1585"/>
      <c r="AB52" s="1585"/>
      <c r="AC52" s="1585"/>
      <c r="AD52" s="1601">
        <f t="shared" si="0"/>
        <v>1282.8</v>
      </c>
      <c r="AE52" s="1790">
        <v>1282.8</v>
      </c>
      <c r="AF52" s="1792"/>
    </row>
    <row r="53" spans="1:32" s="1602" customFormat="1" ht="26.1" customHeight="1">
      <c r="A53" s="1594">
        <v>2</v>
      </c>
      <c r="B53" s="1614" t="s">
        <v>1695</v>
      </c>
      <c r="C53" s="1594"/>
      <c r="D53" s="1613"/>
      <c r="E53" s="1600"/>
      <c r="F53" s="1583"/>
      <c r="G53" s="1583"/>
      <c r="H53" s="1583"/>
      <c r="I53" s="1583"/>
      <c r="J53" s="1583"/>
      <c r="K53" s="1583"/>
      <c r="L53" s="1583"/>
      <c r="M53" s="1583"/>
      <c r="N53" s="1583"/>
      <c r="O53" s="1583"/>
      <c r="P53" s="1583"/>
      <c r="Q53" s="1583"/>
      <c r="R53" s="1600"/>
      <c r="S53" s="1600"/>
      <c r="T53" s="1585"/>
      <c r="U53" s="1585"/>
      <c r="V53" s="1585"/>
      <c r="W53" s="1585"/>
      <c r="X53" s="1585"/>
      <c r="Y53" s="1585"/>
      <c r="Z53" s="1585"/>
      <c r="AA53" s="1585"/>
      <c r="AB53" s="1585"/>
      <c r="AC53" s="1585"/>
      <c r="AD53" s="1601">
        <f t="shared" si="0"/>
        <v>0</v>
      </c>
      <c r="AE53" s="1790">
        <v>0</v>
      </c>
      <c r="AF53" s="1792"/>
    </row>
    <row r="54" spans="1:32" s="1602" customFormat="1" ht="26.1" customHeight="1">
      <c r="A54" s="1594">
        <v>2.1</v>
      </c>
      <c r="B54" s="1614" t="s">
        <v>1696</v>
      </c>
      <c r="C54" s="1594"/>
      <c r="D54" s="1613"/>
      <c r="E54" s="1600"/>
      <c r="F54" s="1583"/>
      <c r="G54" s="1583"/>
      <c r="H54" s="1583"/>
      <c r="I54" s="1583"/>
      <c r="J54" s="1583"/>
      <c r="K54" s="1583"/>
      <c r="L54" s="1583"/>
      <c r="M54" s="1583"/>
      <c r="N54" s="1583"/>
      <c r="O54" s="1583"/>
      <c r="P54" s="1583"/>
      <c r="Q54" s="1583"/>
      <c r="R54" s="1600"/>
      <c r="S54" s="1600"/>
      <c r="T54" s="1585"/>
      <c r="U54" s="1585"/>
      <c r="V54" s="1585"/>
      <c r="W54" s="1585"/>
      <c r="X54" s="1585"/>
      <c r="Y54" s="1585"/>
      <c r="Z54" s="1585"/>
      <c r="AA54" s="1585"/>
      <c r="AB54" s="1585"/>
      <c r="AC54" s="1585"/>
      <c r="AD54" s="1601">
        <f t="shared" si="0"/>
        <v>0</v>
      </c>
      <c r="AE54" s="1790">
        <v>0</v>
      </c>
      <c r="AF54" s="1792"/>
    </row>
    <row r="55" spans="1:32" s="1602" customFormat="1" ht="26.1" customHeight="1">
      <c r="A55" s="1594" t="s">
        <v>1210</v>
      </c>
      <c r="B55" s="1609" t="s">
        <v>1697</v>
      </c>
      <c r="C55" s="1594"/>
      <c r="D55" s="1613"/>
      <c r="E55" s="1600"/>
      <c r="F55" s="1583"/>
      <c r="G55" s="1583"/>
      <c r="H55" s="1583"/>
      <c r="I55" s="1583"/>
      <c r="J55" s="1583"/>
      <c r="K55" s="1583"/>
      <c r="L55" s="1583"/>
      <c r="M55" s="1583"/>
      <c r="N55" s="1583"/>
      <c r="O55" s="1583"/>
      <c r="P55" s="1583"/>
      <c r="Q55" s="1583"/>
      <c r="R55" s="1600"/>
      <c r="S55" s="1600"/>
      <c r="T55" s="1585"/>
      <c r="U55" s="1585"/>
      <c r="V55" s="1585"/>
      <c r="W55" s="1585"/>
      <c r="X55" s="1585"/>
      <c r="Y55" s="1585"/>
      <c r="Z55" s="1585"/>
      <c r="AA55" s="1585"/>
      <c r="AB55" s="1585"/>
      <c r="AC55" s="1585"/>
      <c r="AD55" s="1601">
        <f t="shared" si="0"/>
        <v>0</v>
      </c>
      <c r="AE55" s="1790">
        <v>0</v>
      </c>
      <c r="AF55" s="1792"/>
    </row>
    <row r="56" spans="1:32" s="1602" customFormat="1" ht="26.1" customHeight="1">
      <c r="A56" s="2899" t="s">
        <v>1211</v>
      </c>
      <c r="B56" s="2901" t="s">
        <v>1698</v>
      </c>
      <c r="C56" s="2903" t="s">
        <v>49</v>
      </c>
      <c r="D56" s="2905">
        <f>68312.22-14769.82</f>
        <v>53542.400000000001</v>
      </c>
      <c r="E56" s="1598" t="s">
        <v>2496</v>
      </c>
      <c r="F56" s="1583"/>
      <c r="G56" s="1585">
        <f>G57</f>
        <v>18903.599999999999</v>
      </c>
      <c r="H56" s="1585">
        <f t="shared" ref="H56:H59" si="5">H57</f>
        <v>19046</v>
      </c>
      <c r="I56" s="1583"/>
      <c r="J56" s="1583"/>
      <c r="K56" s="1585">
        <f t="shared" ref="K56" si="6">K57</f>
        <v>15592.8</v>
      </c>
      <c r="L56" s="1583"/>
      <c r="M56" s="1583"/>
      <c r="N56" s="1583"/>
      <c r="O56" s="1583"/>
      <c r="P56" s="1583"/>
      <c r="Q56" s="1583"/>
      <c r="R56" s="1600"/>
      <c r="S56" s="1600"/>
      <c r="T56" s="1585"/>
      <c r="U56" s="1585"/>
      <c r="V56" s="1585"/>
      <c r="W56" s="1585"/>
      <c r="X56" s="1585"/>
      <c r="Y56" s="1585"/>
      <c r="Z56" s="1585"/>
      <c r="AA56" s="1585"/>
      <c r="AB56" s="1585"/>
      <c r="AC56" s="1585"/>
      <c r="AD56" s="1601">
        <f t="shared" si="0"/>
        <v>53542.399999999994</v>
      </c>
      <c r="AE56" s="1790">
        <v>53542.399999999994</v>
      </c>
      <c r="AF56" s="1792"/>
    </row>
    <row r="57" spans="1:32" s="1602" customFormat="1" ht="26.1" customHeight="1">
      <c r="A57" s="2900"/>
      <c r="B57" s="2902"/>
      <c r="C57" s="2904"/>
      <c r="D57" s="2906"/>
      <c r="E57" s="1603" t="s">
        <v>2497</v>
      </c>
      <c r="F57" s="1583"/>
      <c r="G57" s="1604">
        <v>18903.599999999999</v>
      </c>
      <c r="H57" s="1604">
        <v>19046</v>
      </c>
      <c r="I57" s="1583"/>
      <c r="J57" s="1583"/>
      <c r="K57" s="1604">
        <v>15592.8</v>
      </c>
      <c r="L57" s="1583"/>
      <c r="M57" s="1583"/>
      <c r="N57" s="1583"/>
      <c r="O57" s="1583"/>
      <c r="P57" s="1583"/>
      <c r="Q57" s="1583"/>
      <c r="R57" s="1600"/>
      <c r="S57" s="1600"/>
      <c r="T57" s="1585"/>
      <c r="U57" s="1585"/>
      <c r="V57" s="1585"/>
      <c r="W57" s="1585"/>
      <c r="X57" s="1585"/>
      <c r="Y57" s="1585"/>
      <c r="Z57" s="1585"/>
      <c r="AA57" s="1585"/>
      <c r="AB57" s="1585"/>
      <c r="AC57" s="1585"/>
      <c r="AD57" s="1601">
        <f t="shared" si="0"/>
        <v>53542.399999999994</v>
      </c>
      <c r="AE57" s="1790">
        <v>53542.399999999994</v>
      </c>
      <c r="AF57" s="1792"/>
    </row>
    <row r="58" spans="1:32" s="1602" customFormat="1" ht="25.5" customHeight="1">
      <c r="A58" s="1594" t="s">
        <v>1212</v>
      </c>
      <c r="B58" s="1609" t="s">
        <v>1699</v>
      </c>
      <c r="C58" s="1615"/>
      <c r="D58" s="1616"/>
      <c r="E58" s="1617"/>
      <c r="F58" s="1583"/>
      <c r="G58" s="1583"/>
      <c r="H58" s="1583"/>
      <c r="I58" s="1583"/>
      <c r="J58" s="1583"/>
      <c r="K58" s="1583"/>
      <c r="L58" s="1583"/>
      <c r="M58" s="1583"/>
      <c r="N58" s="1583"/>
      <c r="O58" s="1583"/>
      <c r="P58" s="1583"/>
      <c r="Q58" s="1583"/>
      <c r="R58" s="1600"/>
      <c r="S58" s="1600"/>
      <c r="T58" s="1585"/>
      <c r="U58" s="1585"/>
      <c r="V58" s="1585"/>
      <c r="W58" s="1585"/>
      <c r="X58" s="1585"/>
      <c r="Y58" s="1585"/>
      <c r="Z58" s="1585"/>
      <c r="AA58" s="1585"/>
      <c r="AB58" s="1585"/>
      <c r="AC58" s="1585"/>
      <c r="AD58" s="1601"/>
      <c r="AE58" s="1790">
        <v>0</v>
      </c>
      <c r="AF58" s="1792"/>
    </row>
    <row r="59" spans="1:32" s="1602" customFormat="1" ht="29.25" customHeight="1">
      <c r="A59" s="2918" t="s">
        <v>1213</v>
      </c>
      <c r="B59" s="2919" t="s">
        <v>1700</v>
      </c>
      <c r="C59" s="2920" t="s">
        <v>49</v>
      </c>
      <c r="D59" s="2917">
        <f>214724.82-25901.04</f>
        <v>188823.78</v>
      </c>
      <c r="E59" s="1598" t="s">
        <v>2496</v>
      </c>
      <c r="F59" s="1583"/>
      <c r="G59" s="1585">
        <f>G60</f>
        <v>57268.35</v>
      </c>
      <c r="H59" s="1585">
        <f t="shared" si="5"/>
        <v>57699.75</v>
      </c>
      <c r="I59" s="1583"/>
      <c r="J59" s="1583"/>
      <c r="K59" s="1585">
        <f t="shared" ref="K59" si="7">K60</f>
        <v>47238.3</v>
      </c>
      <c r="L59" s="1583"/>
      <c r="M59" s="1583"/>
      <c r="N59" s="1583"/>
      <c r="O59" s="1583"/>
      <c r="P59" s="1583"/>
      <c r="Q59" s="1583"/>
      <c r="R59" s="1600"/>
      <c r="S59" s="1600"/>
      <c r="T59" s="1585">
        <v>1509.9</v>
      </c>
      <c r="U59" s="1585">
        <v>3235.5</v>
      </c>
      <c r="V59" s="1585">
        <v>6902.4</v>
      </c>
      <c r="W59" s="1585">
        <v>7420.08</v>
      </c>
      <c r="X59" s="1585">
        <v>3235.5</v>
      </c>
      <c r="Y59" s="1585">
        <v>1941.3</v>
      </c>
      <c r="Z59" s="1585"/>
      <c r="AA59" s="1585"/>
      <c r="AB59" s="1585"/>
      <c r="AC59" s="1585">
        <f>D59-AD60</f>
        <v>2372.7000000000116</v>
      </c>
      <c r="AD59" s="1601">
        <f t="shared" si="0"/>
        <v>188823.78</v>
      </c>
      <c r="AE59" s="1790">
        <v>186451.08</v>
      </c>
      <c r="AF59" s="1792"/>
    </row>
    <row r="60" spans="1:32" s="1602" customFormat="1" ht="26.1" customHeight="1">
      <c r="A60" s="2918"/>
      <c r="B60" s="2919"/>
      <c r="C60" s="2920"/>
      <c r="D60" s="2917"/>
      <c r="E60" s="1603" t="s">
        <v>2497</v>
      </c>
      <c r="F60" s="1583"/>
      <c r="G60" s="1604">
        <v>57268.35</v>
      </c>
      <c r="H60" s="1604">
        <v>57699.75</v>
      </c>
      <c r="I60" s="1583"/>
      <c r="J60" s="1583"/>
      <c r="K60" s="1604">
        <v>47238.3</v>
      </c>
      <c r="L60" s="1583"/>
      <c r="M60" s="1583"/>
      <c r="N60" s="1583"/>
      <c r="O60" s="1583"/>
      <c r="P60" s="1583"/>
      <c r="Q60" s="1583"/>
      <c r="R60" s="1600"/>
      <c r="S60" s="1600"/>
      <c r="T60" s="1604">
        <f>T59</f>
        <v>1509.9</v>
      </c>
      <c r="U60" s="1604">
        <v>3235.5</v>
      </c>
      <c r="V60" s="1604">
        <v>6902.4</v>
      </c>
      <c r="W60" s="1604">
        <v>7420.08</v>
      </c>
      <c r="X60" s="1604">
        <v>3235.5</v>
      </c>
      <c r="Y60" s="1604">
        <v>1941.3</v>
      </c>
      <c r="Z60" s="1585"/>
      <c r="AA60" s="1585"/>
      <c r="AB60" s="1585"/>
      <c r="AC60" s="1585"/>
      <c r="AD60" s="1601">
        <f t="shared" si="0"/>
        <v>186451.08</v>
      </c>
      <c r="AE60" s="1790">
        <v>186451.08</v>
      </c>
      <c r="AF60" s="1792"/>
    </row>
    <row r="61" spans="1:32" s="1602" customFormat="1" ht="26.1" customHeight="1">
      <c r="A61" s="1594">
        <v>2.2000000000000002</v>
      </c>
      <c r="B61" s="1614" t="s">
        <v>1701</v>
      </c>
      <c r="C61" s="1594"/>
      <c r="D61" s="1613"/>
      <c r="E61" s="1600"/>
      <c r="F61" s="1605"/>
      <c r="G61" s="1583"/>
      <c r="H61" s="1583"/>
      <c r="I61" s="1583"/>
      <c r="J61" s="1583"/>
      <c r="K61" s="1583"/>
      <c r="L61" s="1583"/>
      <c r="M61" s="1583"/>
      <c r="N61" s="1583"/>
      <c r="O61" s="1583"/>
      <c r="P61" s="1583"/>
      <c r="Q61" s="1583"/>
      <c r="R61" s="1600"/>
      <c r="S61" s="1600"/>
      <c r="T61" s="1585"/>
      <c r="U61" s="1585"/>
      <c r="V61" s="1585"/>
      <c r="W61" s="1585"/>
      <c r="X61" s="1585"/>
      <c r="Y61" s="1585"/>
      <c r="Z61" s="1585"/>
      <c r="AA61" s="1585"/>
      <c r="AB61" s="1585"/>
      <c r="AC61" s="1585"/>
      <c r="AD61" s="1601"/>
      <c r="AE61" s="1790">
        <v>0</v>
      </c>
      <c r="AF61" s="1792"/>
    </row>
    <row r="62" spans="1:32" s="1602" customFormat="1" ht="26.1" customHeight="1">
      <c r="A62" s="1594" t="s">
        <v>1214</v>
      </c>
      <c r="B62" s="1609" t="s">
        <v>1702</v>
      </c>
      <c r="C62" s="1594"/>
      <c r="D62" s="1613"/>
      <c r="E62" s="1600"/>
      <c r="F62" s="1583"/>
      <c r="G62" s="1583"/>
      <c r="H62" s="1583"/>
      <c r="I62" s="1583"/>
      <c r="J62" s="1583"/>
      <c r="K62" s="1583"/>
      <c r="L62" s="1583"/>
      <c r="M62" s="1583"/>
      <c r="N62" s="1583"/>
      <c r="O62" s="1583"/>
      <c r="P62" s="1583"/>
      <c r="Q62" s="1583"/>
      <c r="R62" s="1600"/>
      <c r="S62" s="1600"/>
      <c r="T62" s="1585"/>
      <c r="U62" s="1585"/>
      <c r="V62" s="1585"/>
      <c r="W62" s="1585"/>
      <c r="X62" s="1585"/>
      <c r="Y62" s="1585"/>
      <c r="Z62" s="1585"/>
      <c r="AA62" s="1585"/>
      <c r="AB62" s="1585"/>
      <c r="AC62" s="1585"/>
      <c r="AD62" s="1601"/>
      <c r="AE62" s="1790">
        <v>0</v>
      </c>
      <c r="AF62" s="1792"/>
    </row>
    <row r="63" spans="1:32" s="1602" customFormat="1" ht="26.1" customHeight="1">
      <c r="A63" s="2918" t="s">
        <v>1215</v>
      </c>
      <c r="B63" s="2919" t="s">
        <v>1703</v>
      </c>
      <c r="C63" s="2920" t="s">
        <v>2148</v>
      </c>
      <c r="D63" s="2917">
        <v>156671.47</v>
      </c>
      <c r="E63" s="1598" t="s">
        <v>2496</v>
      </c>
      <c r="F63" s="1605"/>
      <c r="G63" s="1585"/>
      <c r="H63" s="1585">
        <f t="shared" ref="H63:H65" si="8">H64</f>
        <v>92484.66</v>
      </c>
      <c r="I63" s="1583"/>
      <c r="J63" s="1583"/>
      <c r="K63" s="1583"/>
      <c r="L63" s="1585">
        <f t="shared" ref="L63" si="9">L64</f>
        <v>64186.8</v>
      </c>
      <c r="M63" s="1583"/>
      <c r="N63" s="1583"/>
      <c r="O63" s="1583"/>
      <c r="P63" s="1583"/>
      <c r="Q63" s="1583"/>
      <c r="R63" s="1600"/>
      <c r="S63" s="1600"/>
      <c r="T63" s="1585"/>
      <c r="U63" s="1585"/>
      <c r="V63" s="1585"/>
      <c r="W63" s="1585"/>
      <c r="X63" s="1585"/>
      <c r="Y63" s="1585"/>
      <c r="Z63" s="1585"/>
      <c r="AA63" s="1585"/>
      <c r="AB63" s="1585"/>
      <c r="AC63" s="1585"/>
      <c r="AD63" s="1601">
        <f t="shared" si="0"/>
        <v>156671.46000000002</v>
      </c>
      <c r="AE63" s="1790">
        <v>156671.46000000002</v>
      </c>
      <c r="AF63" s="1792"/>
    </row>
    <row r="64" spans="1:32" s="1602" customFormat="1" ht="26.1" customHeight="1">
      <c r="A64" s="2918"/>
      <c r="B64" s="2919"/>
      <c r="C64" s="2920"/>
      <c r="D64" s="2917"/>
      <c r="E64" s="1603" t="s">
        <v>2497</v>
      </c>
      <c r="F64" s="1605"/>
      <c r="G64" s="1604"/>
      <c r="H64" s="1604">
        <v>92484.66</v>
      </c>
      <c r="I64" s="1583"/>
      <c r="J64" s="1583"/>
      <c r="K64" s="1583"/>
      <c r="L64" s="1604">
        <v>64186.8</v>
      </c>
      <c r="M64" s="1583"/>
      <c r="N64" s="1583"/>
      <c r="O64" s="1583"/>
      <c r="P64" s="1583"/>
      <c r="Q64" s="1583"/>
      <c r="R64" s="1600"/>
      <c r="S64" s="1600"/>
      <c r="T64" s="1585"/>
      <c r="U64" s="1585"/>
      <c r="V64" s="1585"/>
      <c r="W64" s="1585"/>
      <c r="X64" s="1585"/>
      <c r="Y64" s="1585"/>
      <c r="Z64" s="1585"/>
      <c r="AA64" s="1585"/>
      <c r="AB64" s="1585"/>
      <c r="AC64" s="1585"/>
      <c r="AD64" s="1601">
        <f t="shared" si="0"/>
        <v>156671.46000000002</v>
      </c>
      <c r="AE64" s="1790">
        <v>156671.46000000002</v>
      </c>
      <c r="AF64" s="1792"/>
    </row>
    <row r="65" spans="1:32" s="1602" customFormat="1" ht="26.1" customHeight="1">
      <c r="A65" s="2918" t="s">
        <v>1217</v>
      </c>
      <c r="B65" s="2919" t="s">
        <v>1705</v>
      </c>
      <c r="C65" s="2920" t="s">
        <v>420</v>
      </c>
      <c r="D65" s="2917">
        <f>262937.1542-52682.35</f>
        <v>210254.80419999998</v>
      </c>
      <c r="E65" s="1598" t="s">
        <v>2496</v>
      </c>
      <c r="F65" s="1583"/>
      <c r="G65" s="1585"/>
      <c r="H65" s="1585">
        <f t="shared" si="8"/>
        <v>105554.5</v>
      </c>
      <c r="I65" s="1583"/>
      <c r="J65" s="1583"/>
      <c r="K65" s="1583"/>
      <c r="L65" s="1585">
        <f t="shared" ref="L65" si="10">L66</f>
        <v>104700.3</v>
      </c>
      <c r="M65" s="1583"/>
      <c r="N65" s="1583"/>
      <c r="O65" s="1583"/>
      <c r="P65" s="1583"/>
      <c r="Q65" s="1583"/>
      <c r="R65" s="1600"/>
      <c r="S65" s="1600"/>
      <c r="T65" s="1585"/>
      <c r="U65" s="1585"/>
      <c r="V65" s="1585"/>
      <c r="W65" s="1585"/>
      <c r="X65" s="1585"/>
      <c r="Y65" s="1585"/>
      <c r="Z65" s="1585"/>
      <c r="AA65" s="1585"/>
      <c r="AB65" s="1585"/>
      <c r="AC65" s="1585"/>
      <c r="AD65" s="1601">
        <f t="shared" si="0"/>
        <v>210254.8</v>
      </c>
      <c r="AE65" s="1790">
        <v>210254.8</v>
      </c>
      <c r="AF65" s="1792"/>
    </row>
    <row r="66" spans="1:32" s="1602" customFormat="1" ht="26.1" customHeight="1">
      <c r="A66" s="2918"/>
      <c r="B66" s="2919"/>
      <c r="C66" s="2920"/>
      <c r="D66" s="2917"/>
      <c r="E66" s="1603" t="s">
        <v>2497</v>
      </c>
      <c r="F66" s="1583"/>
      <c r="G66" s="1604"/>
      <c r="H66" s="1604">
        <v>105554.5</v>
      </c>
      <c r="I66" s="1583"/>
      <c r="J66" s="1583"/>
      <c r="K66" s="1583"/>
      <c r="L66" s="1604">
        <v>104700.3</v>
      </c>
      <c r="M66" s="1583"/>
      <c r="N66" s="1583"/>
      <c r="O66" s="1583"/>
      <c r="P66" s="1583"/>
      <c r="Q66" s="1583"/>
      <c r="R66" s="1600"/>
      <c r="S66" s="1600"/>
      <c r="T66" s="1585"/>
      <c r="U66" s="1585"/>
      <c r="V66" s="1585"/>
      <c r="W66" s="1585"/>
      <c r="X66" s="1585"/>
      <c r="Y66" s="1585"/>
      <c r="Z66" s="1585"/>
      <c r="AA66" s="1585"/>
      <c r="AB66" s="1585"/>
      <c r="AC66" s="1585"/>
      <c r="AD66" s="1601">
        <f t="shared" si="0"/>
        <v>210254.8</v>
      </c>
      <c r="AE66" s="1790">
        <v>210254.8</v>
      </c>
      <c r="AF66" s="1792"/>
    </row>
    <row r="67" spans="1:32" s="1602" customFormat="1" ht="26.1" customHeight="1">
      <c r="A67" s="1594" t="s">
        <v>1218</v>
      </c>
      <c r="B67" s="1609" t="s">
        <v>1706</v>
      </c>
      <c r="C67" s="1596"/>
      <c r="D67" s="1597"/>
      <c r="E67" s="1600"/>
      <c r="F67" s="1583"/>
      <c r="G67" s="1605"/>
      <c r="H67" s="1583"/>
      <c r="I67" s="1583"/>
      <c r="J67" s="1583"/>
      <c r="K67" s="1583"/>
      <c r="L67" s="1583"/>
      <c r="M67" s="1583"/>
      <c r="N67" s="1583"/>
      <c r="O67" s="1583"/>
      <c r="P67" s="1583"/>
      <c r="Q67" s="1583"/>
      <c r="R67" s="1600"/>
      <c r="S67" s="1600"/>
      <c r="T67" s="1585"/>
      <c r="U67" s="1585"/>
      <c r="V67" s="1585"/>
      <c r="W67" s="1585"/>
      <c r="X67" s="1585"/>
      <c r="Y67" s="1585"/>
      <c r="Z67" s="1585"/>
      <c r="AA67" s="1585"/>
      <c r="AB67" s="1585"/>
      <c r="AC67" s="1585"/>
      <c r="AD67" s="1601">
        <f t="shared" si="0"/>
        <v>0</v>
      </c>
      <c r="AE67" s="1790">
        <v>0</v>
      </c>
      <c r="AF67" s="1792"/>
    </row>
    <row r="68" spans="1:32" s="1602" customFormat="1" ht="26.1" customHeight="1">
      <c r="A68" s="2918" t="s">
        <v>1219</v>
      </c>
      <c r="B68" s="2919" t="s">
        <v>1707</v>
      </c>
      <c r="C68" s="2920" t="s">
        <v>2148</v>
      </c>
      <c r="D68" s="2917">
        <v>101739.75</v>
      </c>
      <c r="E68" s="1598" t="s">
        <v>2496</v>
      </c>
      <c r="F68" s="1583"/>
      <c r="G68" s="1585"/>
      <c r="H68" s="1585">
        <f t="shared" ref="H68:H72" si="11">H69</f>
        <v>61323.64</v>
      </c>
      <c r="I68" s="1583"/>
      <c r="J68" s="1583"/>
      <c r="K68" s="1583"/>
      <c r="L68" s="1585">
        <f t="shared" ref="L68" si="12">L69</f>
        <v>40416.111440248518</v>
      </c>
      <c r="M68" s="1583"/>
      <c r="N68" s="1583"/>
      <c r="O68" s="1583"/>
      <c r="P68" s="1583"/>
      <c r="Q68" s="1583"/>
      <c r="R68" s="1600"/>
      <c r="S68" s="1600"/>
      <c r="T68" s="1585"/>
      <c r="U68" s="1585"/>
      <c r="V68" s="1585"/>
      <c r="W68" s="1585"/>
      <c r="X68" s="1585"/>
      <c r="Y68" s="1585"/>
      <c r="Z68" s="1585"/>
      <c r="AA68" s="1585"/>
      <c r="AB68" s="1585"/>
      <c r="AC68" s="1585"/>
      <c r="AD68" s="1601">
        <f t="shared" si="0"/>
        <v>101739.75144024851</v>
      </c>
      <c r="AE68" s="1790">
        <v>101739.75144024851</v>
      </c>
      <c r="AF68" s="1792"/>
    </row>
    <row r="69" spans="1:32" s="1602" customFormat="1" ht="26.1" customHeight="1">
      <c r="A69" s="2918"/>
      <c r="B69" s="2919"/>
      <c r="C69" s="2920"/>
      <c r="D69" s="2917"/>
      <c r="E69" s="1603" t="s">
        <v>2497</v>
      </c>
      <c r="F69" s="1583"/>
      <c r="G69" s="1604"/>
      <c r="H69" s="1604">
        <v>61323.64</v>
      </c>
      <c r="I69" s="1583"/>
      <c r="J69" s="1583"/>
      <c r="K69" s="1583"/>
      <c r="L69" s="1604">
        <v>40416.111440248518</v>
      </c>
      <c r="M69" s="1583"/>
      <c r="N69" s="1583"/>
      <c r="O69" s="1583"/>
      <c r="P69" s="1583"/>
      <c r="Q69" s="1583"/>
      <c r="R69" s="1600"/>
      <c r="S69" s="1600"/>
      <c r="T69" s="1585"/>
      <c r="U69" s="1585"/>
      <c r="V69" s="1585"/>
      <c r="W69" s="1585"/>
      <c r="X69" s="1585"/>
      <c r="Y69" s="1585"/>
      <c r="Z69" s="1585"/>
      <c r="AA69" s="1585"/>
      <c r="AB69" s="1585"/>
      <c r="AC69" s="1585"/>
      <c r="AD69" s="1601">
        <f t="shared" si="0"/>
        <v>101739.75144024851</v>
      </c>
      <c r="AE69" s="1790">
        <v>101739.75144024851</v>
      </c>
      <c r="AF69" s="1792"/>
    </row>
    <row r="70" spans="1:32" s="1602" customFormat="1" ht="26.1" customHeight="1">
      <c r="A70" s="2918" t="s">
        <v>1220</v>
      </c>
      <c r="B70" s="2919" t="s">
        <v>1708</v>
      </c>
      <c r="C70" s="2920" t="s">
        <v>2147</v>
      </c>
      <c r="D70" s="2917">
        <v>16592.4012</v>
      </c>
      <c r="E70" s="1598" t="s">
        <v>2496</v>
      </c>
      <c r="F70" s="1583"/>
      <c r="G70" s="1585"/>
      <c r="H70" s="1585">
        <f t="shared" si="11"/>
        <v>14615.79</v>
      </c>
      <c r="I70" s="1605"/>
      <c r="J70" s="1605"/>
      <c r="K70" s="1605"/>
      <c r="L70" s="1585">
        <f t="shared" ref="L70" si="13">L71</f>
        <v>1976.6104000000003</v>
      </c>
      <c r="M70" s="1605"/>
      <c r="N70" s="1605"/>
      <c r="O70" s="1605"/>
      <c r="P70" s="1605"/>
      <c r="Q70" s="1583"/>
      <c r="R70" s="1600"/>
      <c r="S70" s="1600"/>
      <c r="T70" s="1585"/>
      <c r="U70" s="1585"/>
      <c r="V70" s="1585"/>
      <c r="W70" s="1585"/>
      <c r="X70" s="1585"/>
      <c r="Y70" s="1585"/>
      <c r="Z70" s="1585"/>
      <c r="AA70" s="1585"/>
      <c r="AB70" s="1585"/>
      <c r="AC70" s="1585"/>
      <c r="AD70" s="1601">
        <f t="shared" si="0"/>
        <v>16592.400400000002</v>
      </c>
      <c r="AE70" s="1790">
        <v>16592.400400000002</v>
      </c>
      <c r="AF70" s="1792"/>
    </row>
    <row r="71" spans="1:32" s="1602" customFormat="1" ht="26.1" customHeight="1">
      <c r="A71" s="2918"/>
      <c r="B71" s="2919"/>
      <c r="C71" s="2920"/>
      <c r="D71" s="2917"/>
      <c r="E71" s="1603" t="s">
        <v>2497</v>
      </c>
      <c r="F71" s="1583"/>
      <c r="G71" s="1604"/>
      <c r="H71" s="1604">
        <v>14615.79</v>
      </c>
      <c r="I71" s="1605"/>
      <c r="J71" s="1605"/>
      <c r="K71" s="1605"/>
      <c r="L71" s="1604">
        <v>1976.6104000000003</v>
      </c>
      <c r="M71" s="1605"/>
      <c r="N71" s="1605"/>
      <c r="O71" s="1605"/>
      <c r="P71" s="1605"/>
      <c r="Q71" s="1583"/>
      <c r="R71" s="1600"/>
      <c r="S71" s="1600"/>
      <c r="T71" s="1585"/>
      <c r="U71" s="1585"/>
      <c r="V71" s="1585"/>
      <c r="W71" s="1585"/>
      <c r="X71" s="1585"/>
      <c r="Y71" s="1585"/>
      <c r="Z71" s="1585"/>
      <c r="AA71" s="1585"/>
      <c r="AB71" s="1585"/>
      <c r="AC71" s="1585"/>
      <c r="AD71" s="1601">
        <f t="shared" si="0"/>
        <v>16592.400400000002</v>
      </c>
      <c r="AE71" s="1790">
        <v>16592.400400000002</v>
      </c>
      <c r="AF71" s="1792"/>
    </row>
    <row r="72" spans="1:32" s="1602" customFormat="1" ht="26.1" customHeight="1">
      <c r="A72" s="2918" t="s">
        <v>1221</v>
      </c>
      <c r="B72" s="2919" t="s">
        <v>1709</v>
      </c>
      <c r="C72" s="2920" t="s">
        <v>420</v>
      </c>
      <c r="D72" s="2917">
        <v>106246.92</v>
      </c>
      <c r="E72" s="1598" t="s">
        <v>2496</v>
      </c>
      <c r="F72" s="1583"/>
      <c r="G72" s="1585"/>
      <c r="H72" s="1585">
        <f t="shared" si="11"/>
        <v>63434.05</v>
      </c>
      <c r="I72" s="1583"/>
      <c r="J72" s="1583"/>
      <c r="K72" s="1583"/>
      <c r="L72" s="1585">
        <f t="shared" ref="L72" si="14">L73</f>
        <v>42812.872199999998</v>
      </c>
      <c r="M72" s="1583"/>
      <c r="N72" s="1583"/>
      <c r="O72" s="1583"/>
      <c r="P72" s="1583"/>
      <c r="Q72" s="1583"/>
      <c r="R72" s="1600"/>
      <c r="S72" s="1600"/>
      <c r="T72" s="1585"/>
      <c r="U72" s="1585"/>
      <c r="V72" s="1585"/>
      <c r="W72" s="1585"/>
      <c r="X72" s="1585"/>
      <c r="Y72" s="1585"/>
      <c r="Z72" s="1585"/>
      <c r="AA72" s="1585"/>
      <c r="AB72" s="1585"/>
      <c r="AC72" s="1585"/>
      <c r="AD72" s="1601">
        <f t="shared" si="0"/>
        <v>106246.9222</v>
      </c>
      <c r="AE72" s="1790">
        <v>106246.9222</v>
      </c>
      <c r="AF72" s="1792"/>
    </row>
    <row r="73" spans="1:32" s="1602" customFormat="1" ht="26.1" customHeight="1">
      <c r="A73" s="2918"/>
      <c r="B73" s="2919"/>
      <c r="C73" s="2920"/>
      <c r="D73" s="2917"/>
      <c r="E73" s="1603" t="s">
        <v>2497</v>
      </c>
      <c r="F73" s="1583"/>
      <c r="G73" s="1604"/>
      <c r="H73" s="1604">
        <v>63434.05</v>
      </c>
      <c r="I73" s="1583"/>
      <c r="J73" s="1583"/>
      <c r="K73" s="1583"/>
      <c r="L73" s="1604">
        <v>42812.872199999998</v>
      </c>
      <c r="M73" s="1583"/>
      <c r="N73" s="1583"/>
      <c r="O73" s="1583"/>
      <c r="P73" s="1583"/>
      <c r="Q73" s="1583"/>
      <c r="R73" s="1600"/>
      <c r="S73" s="1600"/>
      <c r="T73" s="1585"/>
      <c r="U73" s="1585"/>
      <c r="V73" s="1585"/>
      <c r="W73" s="1585"/>
      <c r="X73" s="1585"/>
      <c r="Y73" s="1585"/>
      <c r="Z73" s="1585"/>
      <c r="AA73" s="1585"/>
      <c r="AB73" s="1585"/>
      <c r="AC73" s="1585"/>
      <c r="AD73" s="1601">
        <f t="shared" si="0"/>
        <v>106246.9222</v>
      </c>
      <c r="AE73" s="1790">
        <v>106246.9222</v>
      </c>
      <c r="AF73" s="1792"/>
    </row>
    <row r="74" spans="1:32" s="1602" customFormat="1" ht="26.1" customHeight="1">
      <c r="A74" s="1594" t="s">
        <v>1222</v>
      </c>
      <c r="B74" s="1609" t="s">
        <v>1710</v>
      </c>
      <c r="C74" s="1596"/>
      <c r="D74" s="1597"/>
      <c r="E74" s="1600"/>
      <c r="F74" s="1583"/>
      <c r="G74" s="1583"/>
      <c r="H74" s="1583"/>
      <c r="I74" s="1583"/>
      <c r="J74" s="1583"/>
      <c r="K74" s="1583"/>
      <c r="L74" s="1583"/>
      <c r="M74" s="1583"/>
      <c r="N74" s="1583"/>
      <c r="O74" s="1583"/>
      <c r="P74" s="1583"/>
      <c r="Q74" s="1583"/>
      <c r="R74" s="1600"/>
      <c r="S74" s="1600"/>
      <c r="T74" s="1585"/>
      <c r="U74" s="1585"/>
      <c r="V74" s="1585"/>
      <c r="W74" s="1585"/>
      <c r="X74" s="1585"/>
      <c r="Y74" s="1585"/>
      <c r="Z74" s="1585"/>
      <c r="AA74" s="1585"/>
      <c r="AB74" s="1585"/>
      <c r="AC74" s="1585"/>
      <c r="AD74" s="1601"/>
      <c r="AE74" s="1790">
        <v>0</v>
      </c>
      <c r="AF74" s="1792"/>
    </row>
    <row r="75" spans="1:32" s="1602" customFormat="1" ht="26.1" customHeight="1">
      <c r="A75" s="2918" t="s">
        <v>1223</v>
      </c>
      <c r="B75" s="2919" t="s">
        <v>1711</v>
      </c>
      <c r="C75" s="2920" t="s">
        <v>2148</v>
      </c>
      <c r="D75" s="2917">
        <v>203896.54800000001</v>
      </c>
      <c r="E75" s="1598" t="s">
        <v>2496</v>
      </c>
      <c r="F75" s="1583"/>
      <c r="G75" s="1585"/>
      <c r="H75" s="1585">
        <f t="shared" ref="H75:P86" si="15">H76</f>
        <v>3611.43</v>
      </c>
      <c r="I75" s="1585">
        <f t="shared" si="15"/>
        <v>54165.35</v>
      </c>
      <c r="J75" s="1585">
        <f t="shared" si="15"/>
        <v>21747.747100000001</v>
      </c>
      <c r="K75" s="1585">
        <f t="shared" si="15"/>
        <v>8775.83</v>
      </c>
      <c r="L75" s="1585">
        <f t="shared" si="15"/>
        <v>43491.311519319999</v>
      </c>
      <c r="M75" s="1585">
        <f t="shared" si="15"/>
        <v>35243.4087</v>
      </c>
      <c r="N75" s="1585">
        <f t="shared" si="15"/>
        <v>36861.47</v>
      </c>
      <c r="O75" s="1583"/>
      <c r="P75" s="1583"/>
      <c r="Q75" s="1583"/>
      <c r="R75" s="1600"/>
      <c r="S75" s="1600"/>
      <c r="T75" s="1585"/>
      <c r="U75" s="1585"/>
      <c r="V75" s="1585"/>
      <c r="W75" s="1585"/>
      <c r="X75" s="1585"/>
      <c r="Y75" s="1585"/>
      <c r="Z75" s="1585"/>
      <c r="AA75" s="1585"/>
      <c r="AB75" s="1585"/>
      <c r="AC75" s="1585"/>
      <c r="AD75" s="1601">
        <f t="shared" si="0"/>
        <v>203896.54731932</v>
      </c>
      <c r="AE75" s="1790">
        <v>203896.54731932</v>
      </c>
      <c r="AF75" s="1792"/>
    </row>
    <row r="76" spans="1:32" s="1602" customFormat="1" ht="26.1" customHeight="1">
      <c r="A76" s="2918"/>
      <c r="B76" s="2919"/>
      <c r="C76" s="2920"/>
      <c r="D76" s="2917"/>
      <c r="E76" s="1603" t="s">
        <v>2497</v>
      </c>
      <c r="F76" s="1583"/>
      <c r="G76" s="1604"/>
      <c r="H76" s="1604">
        <v>3611.43</v>
      </c>
      <c r="I76" s="1604">
        <v>54165.35</v>
      </c>
      <c r="J76" s="1604">
        <v>21747.747100000001</v>
      </c>
      <c r="K76" s="1604">
        <v>8775.83</v>
      </c>
      <c r="L76" s="1604">
        <v>43491.311519319999</v>
      </c>
      <c r="M76" s="1604">
        <v>35243.4087</v>
      </c>
      <c r="N76" s="1604">
        <v>36861.47</v>
      </c>
      <c r="O76" s="1583"/>
      <c r="P76" s="1583"/>
      <c r="Q76" s="1583"/>
      <c r="R76" s="1600"/>
      <c r="S76" s="1600"/>
      <c r="T76" s="1585"/>
      <c r="U76" s="1585"/>
      <c r="V76" s="1585"/>
      <c r="W76" s="1585"/>
      <c r="X76" s="1585"/>
      <c r="Y76" s="1585"/>
      <c r="Z76" s="1585"/>
      <c r="AA76" s="1585"/>
      <c r="AB76" s="1585"/>
      <c r="AC76" s="1585"/>
      <c r="AD76" s="1601">
        <f t="shared" si="0"/>
        <v>203896.54731932</v>
      </c>
      <c r="AE76" s="1790">
        <v>203896.54731932</v>
      </c>
      <c r="AF76" s="1792"/>
    </row>
    <row r="77" spans="1:32" s="1602" customFormat="1" ht="26.1" customHeight="1">
      <c r="A77" s="2918" t="s">
        <v>1224</v>
      </c>
      <c r="B77" s="2919" t="s">
        <v>1712</v>
      </c>
      <c r="C77" s="2920" t="s">
        <v>2147</v>
      </c>
      <c r="D77" s="2917">
        <v>148705.30499999999</v>
      </c>
      <c r="E77" s="1598" t="s">
        <v>2496</v>
      </c>
      <c r="F77" s="1583"/>
      <c r="G77" s="1585"/>
      <c r="H77" s="1585"/>
      <c r="I77" s="1585">
        <f t="shared" ref="I77" si="16">I78</f>
        <v>43758.33</v>
      </c>
      <c r="J77" s="1585">
        <f t="shared" si="15"/>
        <v>22285.48</v>
      </c>
      <c r="K77" s="1585">
        <f t="shared" si="15"/>
        <v>11189.96</v>
      </c>
      <c r="L77" s="1585">
        <f t="shared" si="15"/>
        <v>34853.514500000005</v>
      </c>
      <c r="M77" s="1585">
        <f t="shared" si="15"/>
        <v>26764.255000000001</v>
      </c>
      <c r="N77" s="1585">
        <f t="shared" si="15"/>
        <v>9853.77</v>
      </c>
      <c r="O77" s="1583"/>
      <c r="P77" s="1583"/>
      <c r="Q77" s="1583"/>
      <c r="R77" s="1600"/>
      <c r="S77" s="1600"/>
      <c r="T77" s="1585"/>
      <c r="U77" s="1585"/>
      <c r="V77" s="1585"/>
      <c r="W77" s="1585"/>
      <c r="X77" s="1585"/>
      <c r="Y77" s="1585"/>
      <c r="Z77" s="1585"/>
      <c r="AA77" s="1585"/>
      <c r="AB77" s="1585"/>
      <c r="AC77" s="1585"/>
      <c r="AD77" s="1601">
        <f t="shared" si="0"/>
        <v>148705.30949999997</v>
      </c>
      <c r="AE77" s="1790">
        <v>148705.30949999997</v>
      </c>
      <c r="AF77" s="1792"/>
    </row>
    <row r="78" spans="1:32" s="1602" customFormat="1" ht="26.1" customHeight="1">
      <c r="A78" s="2918"/>
      <c r="B78" s="2919"/>
      <c r="C78" s="2920"/>
      <c r="D78" s="2917"/>
      <c r="E78" s="1603" t="s">
        <v>2497</v>
      </c>
      <c r="F78" s="1583"/>
      <c r="G78" s="1604"/>
      <c r="H78" s="1604"/>
      <c r="I78" s="1604">
        <v>43758.33</v>
      </c>
      <c r="J78" s="1604">
        <v>22285.48</v>
      </c>
      <c r="K78" s="1604">
        <v>11189.96</v>
      </c>
      <c r="L78" s="1604">
        <v>34853.514500000005</v>
      </c>
      <c r="M78" s="1604">
        <v>26764.255000000001</v>
      </c>
      <c r="N78" s="1604">
        <v>9853.77</v>
      </c>
      <c r="O78" s="1583"/>
      <c r="P78" s="1583"/>
      <c r="Q78" s="1583"/>
      <c r="R78" s="1600"/>
      <c r="S78" s="1600"/>
      <c r="T78" s="1585"/>
      <c r="U78" s="1585"/>
      <c r="V78" s="1585"/>
      <c r="W78" s="1585"/>
      <c r="X78" s="1585"/>
      <c r="Y78" s="1585"/>
      <c r="Z78" s="1585"/>
      <c r="AA78" s="1585"/>
      <c r="AB78" s="1585"/>
      <c r="AC78" s="1585"/>
      <c r="AD78" s="1601">
        <f t="shared" si="0"/>
        <v>148705.30949999997</v>
      </c>
      <c r="AE78" s="1790">
        <v>148705.30949999997</v>
      </c>
      <c r="AF78" s="1792"/>
    </row>
    <row r="79" spans="1:32" s="1602" customFormat="1" ht="26.1" customHeight="1">
      <c r="A79" s="2899" t="s">
        <v>1225</v>
      </c>
      <c r="B79" s="2901" t="s">
        <v>1713</v>
      </c>
      <c r="C79" s="2903" t="s">
        <v>420</v>
      </c>
      <c r="D79" s="2905">
        <f>243011.7781-70825.08</f>
        <v>172186.69809999998</v>
      </c>
      <c r="E79" s="1598" t="s">
        <v>2496</v>
      </c>
      <c r="F79" s="1583"/>
      <c r="G79" s="1585"/>
      <c r="H79" s="1585">
        <f t="shared" si="15"/>
        <v>96794.38</v>
      </c>
      <c r="I79" s="1585">
        <f t="shared" si="15"/>
        <v>13678.58</v>
      </c>
      <c r="J79" s="1585">
        <f t="shared" si="15"/>
        <v>3218.9198999999994</v>
      </c>
      <c r="K79" s="1585">
        <f t="shared" si="15"/>
        <v>3833.16</v>
      </c>
      <c r="L79" s="1585">
        <f t="shared" si="15"/>
        <v>26958.4231</v>
      </c>
      <c r="M79" s="1585">
        <f t="shared" si="15"/>
        <v>12026.256899999998</v>
      </c>
      <c r="N79" s="1585">
        <f t="shared" si="15"/>
        <v>8570.4699999999993</v>
      </c>
      <c r="O79" s="1585">
        <f t="shared" si="15"/>
        <v>851.86</v>
      </c>
      <c r="P79" s="1585">
        <f t="shared" si="15"/>
        <v>6254.65</v>
      </c>
      <c r="Q79" s="1583"/>
      <c r="R79" s="1600"/>
      <c r="S79" s="1600"/>
      <c r="T79" s="1585"/>
      <c r="U79" s="1585"/>
      <c r="V79" s="1585"/>
      <c r="W79" s="1585"/>
      <c r="X79" s="1585"/>
      <c r="Y79" s="1585"/>
      <c r="Z79" s="1585"/>
      <c r="AA79" s="1585"/>
      <c r="AB79" s="1585"/>
      <c r="AC79" s="1585"/>
      <c r="AD79" s="1601">
        <f t="shared" si="0"/>
        <v>172186.69989999998</v>
      </c>
      <c r="AE79" s="1790">
        <v>172186.69989999998</v>
      </c>
      <c r="AF79" s="1792"/>
    </row>
    <row r="80" spans="1:32" s="1602" customFormat="1" ht="26.1" customHeight="1">
      <c r="A80" s="2900"/>
      <c r="B80" s="2902"/>
      <c r="C80" s="2904"/>
      <c r="D80" s="2906"/>
      <c r="E80" s="1603" t="s">
        <v>2497</v>
      </c>
      <c r="F80" s="1583"/>
      <c r="G80" s="1604"/>
      <c r="H80" s="1604">
        <v>96794.38</v>
      </c>
      <c r="I80" s="1604">
        <v>13678.58</v>
      </c>
      <c r="J80" s="1604">
        <v>3218.9198999999994</v>
      </c>
      <c r="K80" s="1604">
        <v>3833.16</v>
      </c>
      <c r="L80" s="1604">
        <v>26958.4231</v>
      </c>
      <c r="M80" s="1604">
        <v>12026.256899999998</v>
      </c>
      <c r="N80" s="1604">
        <v>8570.4699999999993</v>
      </c>
      <c r="O80" s="1604">
        <v>851.86</v>
      </c>
      <c r="P80" s="1604">
        <v>6254.65</v>
      </c>
      <c r="Q80" s="1583"/>
      <c r="R80" s="1600"/>
      <c r="S80" s="1600"/>
      <c r="T80" s="1585"/>
      <c r="U80" s="1585"/>
      <c r="V80" s="1585"/>
      <c r="W80" s="1585"/>
      <c r="X80" s="1585"/>
      <c r="Y80" s="1585"/>
      <c r="Z80" s="1585"/>
      <c r="AA80" s="1585"/>
      <c r="AB80" s="1585"/>
      <c r="AC80" s="1585"/>
      <c r="AD80" s="1601">
        <f t="shared" si="0"/>
        <v>172186.69989999998</v>
      </c>
      <c r="AE80" s="1790">
        <v>172186.69989999998</v>
      </c>
      <c r="AF80" s="1792"/>
    </row>
    <row r="81" spans="1:32" s="1602" customFormat="1" ht="26.1" customHeight="1">
      <c r="A81" s="1594" t="s">
        <v>1226</v>
      </c>
      <c r="B81" s="1609" t="s">
        <v>1714</v>
      </c>
      <c r="C81" s="1596"/>
      <c r="D81" s="1597"/>
      <c r="E81" s="1600"/>
      <c r="F81" s="1583"/>
      <c r="G81" s="1583"/>
      <c r="H81" s="1583"/>
      <c r="I81" s="1583"/>
      <c r="J81" s="1583"/>
      <c r="K81" s="1583"/>
      <c r="L81" s="1583"/>
      <c r="M81" s="1583"/>
      <c r="N81" s="1583"/>
      <c r="O81" s="1583"/>
      <c r="P81" s="1583"/>
      <c r="Q81" s="1583"/>
      <c r="R81" s="1600"/>
      <c r="S81" s="1600"/>
      <c r="T81" s="1585"/>
      <c r="U81" s="1585"/>
      <c r="V81" s="1585"/>
      <c r="W81" s="1585"/>
      <c r="X81" s="1585"/>
      <c r="Y81" s="1585"/>
      <c r="Z81" s="1585"/>
      <c r="AA81" s="1585"/>
      <c r="AB81" s="1585"/>
      <c r="AC81" s="1585"/>
      <c r="AD81" s="1601">
        <f t="shared" ref="AD81:AD144" si="17">SUM(F81:AC81)</f>
        <v>0</v>
      </c>
      <c r="AE81" s="1790">
        <v>0</v>
      </c>
      <c r="AF81" s="1792"/>
    </row>
    <row r="82" spans="1:32" s="2032" customFormat="1" ht="26.1" customHeight="1">
      <c r="A82" s="2925" t="s">
        <v>1227</v>
      </c>
      <c r="B82" s="2926" t="s">
        <v>1715</v>
      </c>
      <c r="C82" s="2927" t="s">
        <v>2148</v>
      </c>
      <c r="D82" s="2928">
        <f>1331241.05-932365.84</f>
        <v>398875.21000000008</v>
      </c>
      <c r="E82" s="1598" t="s">
        <v>2496</v>
      </c>
      <c r="F82" s="2034"/>
      <c r="G82" s="2036"/>
      <c r="H82" s="2036">
        <f t="shared" ref="H82:M86" si="18">H83</f>
        <v>1522.53</v>
      </c>
      <c r="I82" s="2036">
        <f t="shared" si="18"/>
        <v>50870.61</v>
      </c>
      <c r="J82" s="2036">
        <f t="shared" si="18"/>
        <v>85200.498999999996</v>
      </c>
      <c r="K82" s="2036">
        <f t="shared" si="18"/>
        <v>63440.57</v>
      </c>
      <c r="L82" s="2036">
        <f t="shared" si="18"/>
        <v>52847.326912950011</v>
      </c>
      <c r="M82" s="2036">
        <f t="shared" si="18"/>
        <v>95705.921499999997</v>
      </c>
      <c r="N82" s="2036">
        <f t="shared" si="15"/>
        <v>42887.07</v>
      </c>
      <c r="O82" s="2034"/>
      <c r="P82" s="2036">
        <v>6400.68</v>
      </c>
      <c r="Q82" s="2034"/>
      <c r="R82" s="2035"/>
      <c r="S82" s="2035"/>
      <c r="T82" s="2036"/>
      <c r="U82" s="2036"/>
      <c r="V82" s="2036"/>
      <c r="W82" s="2036"/>
      <c r="X82" s="2036"/>
      <c r="Y82" s="2036"/>
      <c r="Z82" s="2036"/>
      <c r="AA82" s="2036"/>
      <c r="AB82" s="2036"/>
      <c r="AC82" s="2036"/>
      <c r="AD82" s="1601">
        <f t="shared" si="17"/>
        <v>398875.20741295</v>
      </c>
      <c r="AE82" s="2037">
        <v>398875.22741295001</v>
      </c>
      <c r="AF82" s="2031"/>
    </row>
    <row r="83" spans="1:32" s="2032" customFormat="1" ht="26.1" customHeight="1">
      <c r="A83" s="2925"/>
      <c r="B83" s="2926"/>
      <c r="C83" s="2927"/>
      <c r="D83" s="2928"/>
      <c r="E83" s="2033" t="s">
        <v>2497</v>
      </c>
      <c r="F83" s="2034"/>
      <c r="G83" s="2039"/>
      <c r="H83" s="2039">
        <v>1522.53</v>
      </c>
      <c r="I83" s="2039">
        <v>50870.61</v>
      </c>
      <c r="J83" s="2039">
        <v>85200.498999999996</v>
      </c>
      <c r="K83" s="2039">
        <v>63440.57</v>
      </c>
      <c r="L83" s="2039">
        <v>52847.326912950011</v>
      </c>
      <c r="M83" s="2039">
        <v>95705.921499999997</v>
      </c>
      <c r="N83" s="2039">
        <v>42887.07</v>
      </c>
      <c r="O83" s="2034"/>
      <c r="P83" s="2039">
        <v>6400.7</v>
      </c>
      <c r="Q83" s="2034"/>
      <c r="R83" s="2035"/>
      <c r="S83" s="2035"/>
      <c r="T83" s="2036"/>
      <c r="U83" s="2036"/>
      <c r="V83" s="2036"/>
      <c r="W83" s="2036"/>
      <c r="X83" s="2036"/>
      <c r="Y83" s="2036"/>
      <c r="Z83" s="2036"/>
      <c r="AA83" s="2036"/>
      <c r="AB83" s="2036"/>
      <c r="AC83" s="2036"/>
      <c r="AD83" s="1601">
        <f t="shared" si="17"/>
        <v>398875.22741295001</v>
      </c>
      <c r="AE83" s="2037">
        <v>398875.22741295001</v>
      </c>
      <c r="AF83" s="2031"/>
    </row>
    <row r="84" spans="1:32" s="1602" customFormat="1" ht="26.1" customHeight="1">
      <c r="A84" s="2918" t="s">
        <v>1228</v>
      </c>
      <c r="B84" s="2919" t="s">
        <v>1716</v>
      </c>
      <c r="C84" s="2920" t="s">
        <v>2147</v>
      </c>
      <c r="D84" s="2917">
        <v>271365.20840000006</v>
      </c>
      <c r="E84" s="1598" t="s">
        <v>2496</v>
      </c>
      <c r="F84" s="1583"/>
      <c r="G84" s="1585"/>
      <c r="H84" s="1583"/>
      <c r="I84" s="1585">
        <f t="shared" ref="I84" si="19">I85</f>
        <v>30553.3</v>
      </c>
      <c r="J84" s="1585">
        <f t="shared" si="18"/>
        <v>56664.262600000009</v>
      </c>
      <c r="K84" s="1585">
        <f t="shared" si="18"/>
        <v>42811.92</v>
      </c>
      <c r="L84" s="1585">
        <f t="shared" si="18"/>
        <v>26011.876840000001</v>
      </c>
      <c r="M84" s="1585">
        <f t="shared" si="18"/>
        <v>62417.030200000008</v>
      </c>
      <c r="N84" s="1585">
        <f t="shared" si="15"/>
        <v>36993.160000000003</v>
      </c>
      <c r="O84" s="1583"/>
      <c r="P84" s="1585">
        <f t="shared" ref="P84" si="20">P85</f>
        <v>4707.13</v>
      </c>
      <c r="Q84" s="1583"/>
      <c r="R84" s="1600"/>
      <c r="S84" s="1600"/>
      <c r="T84" s="1585"/>
      <c r="U84" s="1585"/>
      <c r="V84" s="1585"/>
      <c r="W84" s="1585"/>
      <c r="X84" s="1585"/>
      <c r="Y84" s="1585"/>
      <c r="Z84" s="1585"/>
      <c r="AA84" s="1585"/>
      <c r="AB84" s="1585"/>
      <c r="AC84" s="1585">
        <f>D84-AD85</f>
        <v>11206.528760000045</v>
      </c>
      <c r="AD84" s="1601">
        <f t="shared" si="17"/>
        <v>271365.20840000006</v>
      </c>
      <c r="AE84" s="1790">
        <v>260158.67964000002</v>
      </c>
      <c r="AF84" s="1792"/>
    </row>
    <row r="85" spans="1:32" s="1602" customFormat="1" ht="26.1" customHeight="1">
      <c r="A85" s="2918"/>
      <c r="B85" s="2919"/>
      <c r="C85" s="2920"/>
      <c r="D85" s="2917"/>
      <c r="E85" s="1603" t="s">
        <v>2497</v>
      </c>
      <c r="F85" s="1583"/>
      <c r="G85" s="1604"/>
      <c r="H85" s="1583"/>
      <c r="I85" s="1604">
        <v>30553.3</v>
      </c>
      <c r="J85" s="1604">
        <v>56664.262600000009</v>
      </c>
      <c r="K85" s="1604">
        <v>42811.92</v>
      </c>
      <c r="L85" s="1604">
        <v>26011.876840000001</v>
      </c>
      <c r="M85" s="1604">
        <v>62417.030200000008</v>
      </c>
      <c r="N85" s="1604">
        <v>36993.160000000003</v>
      </c>
      <c r="O85" s="1583"/>
      <c r="P85" s="1604">
        <v>4707.13</v>
      </c>
      <c r="Q85" s="1583"/>
      <c r="R85" s="1600"/>
      <c r="S85" s="1600"/>
      <c r="T85" s="1585"/>
      <c r="U85" s="1585"/>
      <c r="V85" s="1585"/>
      <c r="W85" s="1585"/>
      <c r="X85" s="1585"/>
      <c r="Y85" s="1585"/>
      <c r="Z85" s="1585"/>
      <c r="AA85" s="1585"/>
      <c r="AB85" s="1585"/>
      <c r="AC85" s="1585"/>
      <c r="AD85" s="1601">
        <f t="shared" si="17"/>
        <v>260158.67964000002</v>
      </c>
      <c r="AE85" s="1790">
        <v>260158.67964000002</v>
      </c>
      <c r="AF85" s="1792"/>
    </row>
    <row r="86" spans="1:32" s="1602" customFormat="1" ht="26.1" customHeight="1">
      <c r="A86" s="2918" t="s">
        <v>1229</v>
      </c>
      <c r="B86" s="2919" t="s">
        <v>1717</v>
      </c>
      <c r="C86" s="2920" t="s">
        <v>420</v>
      </c>
      <c r="D86" s="2917">
        <v>544222.40529999998</v>
      </c>
      <c r="E86" s="1598" t="s">
        <v>2496</v>
      </c>
      <c r="F86" s="1583"/>
      <c r="G86" s="1585"/>
      <c r="H86" s="1585">
        <f t="shared" ref="H86:N93" si="21">H87</f>
        <v>74771.460000000006</v>
      </c>
      <c r="I86" s="1585">
        <f t="shared" si="21"/>
        <v>61382.879999999997</v>
      </c>
      <c r="J86" s="1585">
        <f t="shared" si="18"/>
        <v>117801.01746</v>
      </c>
      <c r="K86" s="1585">
        <f t="shared" si="18"/>
        <v>41577.980000000003</v>
      </c>
      <c r="L86" s="1585">
        <f t="shared" si="18"/>
        <v>80223.486933333334</v>
      </c>
      <c r="M86" s="1585">
        <f t="shared" si="18"/>
        <v>135276.59109999999</v>
      </c>
      <c r="N86" s="1585">
        <f t="shared" si="15"/>
        <v>33188.99</v>
      </c>
      <c r="O86" s="1583"/>
      <c r="P86" s="1583"/>
      <c r="Q86" s="1583"/>
      <c r="R86" s="1600"/>
      <c r="S86" s="1600"/>
      <c r="T86" s="1585"/>
      <c r="U86" s="1585"/>
      <c r="V86" s="1585"/>
      <c r="W86" s="1585"/>
      <c r="X86" s="1585"/>
      <c r="Y86" s="1585"/>
      <c r="Z86" s="1585"/>
      <c r="AA86" s="1585"/>
      <c r="AB86" s="1585"/>
      <c r="AC86" s="1585"/>
      <c r="AD86" s="1601">
        <f t="shared" si="17"/>
        <v>544222.40549333335</v>
      </c>
      <c r="AE86" s="1790">
        <v>544222.40549333335</v>
      </c>
      <c r="AF86" s="1792"/>
    </row>
    <row r="87" spans="1:32" s="1602" customFormat="1" ht="26.1" customHeight="1">
      <c r="A87" s="2918"/>
      <c r="B87" s="2919"/>
      <c r="C87" s="2920"/>
      <c r="D87" s="2917"/>
      <c r="E87" s="1603" t="s">
        <v>2497</v>
      </c>
      <c r="F87" s="1583"/>
      <c r="G87" s="1604"/>
      <c r="H87" s="1604">
        <v>74771.460000000006</v>
      </c>
      <c r="I87" s="1604">
        <v>61382.879999999997</v>
      </c>
      <c r="J87" s="1604">
        <v>117801.01746</v>
      </c>
      <c r="K87" s="1604">
        <v>41577.980000000003</v>
      </c>
      <c r="L87" s="1604">
        <v>80223.486933333334</v>
      </c>
      <c r="M87" s="1604">
        <v>135276.59109999999</v>
      </c>
      <c r="N87" s="1604">
        <v>33188.99</v>
      </c>
      <c r="O87" s="1583"/>
      <c r="P87" s="1583"/>
      <c r="Q87" s="1583"/>
      <c r="R87" s="1600"/>
      <c r="S87" s="1600"/>
      <c r="T87" s="1585"/>
      <c r="U87" s="1585"/>
      <c r="V87" s="1585"/>
      <c r="W87" s="1585"/>
      <c r="X87" s="1585"/>
      <c r="Y87" s="1585"/>
      <c r="Z87" s="1585"/>
      <c r="AA87" s="1585"/>
      <c r="AB87" s="1585"/>
      <c r="AC87" s="1585"/>
      <c r="AD87" s="1601">
        <f t="shared" si="17"/>
        <v>544222.40549333335</v>
      </c>
      <c r="AE87" s="1790">
        <v>544222.40549333335</v>
      </c>
      <c r="AF87" s="1792"/>
    </row>
    <row r="88" spans="1:32" s="1602" customFormat="1" ht="26.1" customHeight="1">
      <c r="A88" s="1594" t="s">
        <v>1230</v>
      </c>
      <c r="B88" s="1609" t="s">
        <v>1718</v>
      </c>
      <c r="C88" s="1596"/>
      <c r="D88" s="1597"/>
      <c r="E88" s="1600"/>
      <c r="F88" s="1583"/>
      <c r="G88" s="1583"/>
      <c r="H88" s="1605"/>
      <c r="I88" s="1605"/>
      <c r="J88" s="1583"/>
      <c r="K88" s="1583"/>
      <c r="L88" s="1583"/>
      <c r="M88" s="1583"/>
      <c r="N88" s="1583"/>
      <c r="O88" s="1583"/>
      <c r="P88" s="1583"/>
      <c r="Q88" s="1583"/>
      <c r="R88" s="1600"/>
      <c r="S88" s="1600"/>
      <c r="T88" s="1585"/>
      <c r="U88" s="1585"/>
      <c r="V88" s="1585"/>
      <c r="W88" s="1585"/>
      <c r="X88" s="1585"/>
      <c r="Y88" s="1585"/>
      <c r="Z88" s="1585"/>
      <c r="AA88" s="1585"/>
      <c r="AB88" s="1585"/>
      <c r="AC88" s="1585"/>
      <c r="AD88" s="1601">
        <f t="shared" si="17"/>
        <v>0</v>
      </c>
      <c r="AE88" s="1790">
        <v>0</v>
      </c>
      <c r="AF88" s="1792"/>
    </row>
    <row r="89" spans="1:32" s="1602" customFormat="1" ht="26.1" customHeight="1">
      <c r="A89" s="2918" t="s">
        <v>1231</v>
      </c>
      <c r="B89" s="2919" t="s">
        <v>1719</v>
      </c>
      <c r="C89" s="2920" t="s">
        <v>2148</v>
      </c>
      <c r="D89" s="2917">
        <v>414207.87</v>
      </c>
      <c r="E89" s="1598" t="s">
        <v>2496</v>
      </c>
      <c r="F89" s="1583"/>
      <c r="G89" s="1585"/>
      <c r="H89" s="1583"/>
      <c r="I89" s="1585">
        <f t="shared" si="21"/>
        <v>35095.930500000002</v>
      </c>
      <c r="J89" s="1585">
        <f t="shared" si="21"/>
        <v>69498.959600000002</v>
      </c>
      <c r="K89" s="1585">
        <f t="shared" si="21"/>
        <v>101927.69</v>
      </c>
      <c r="L89" s="1585">
        <f t="shared" si="21"/>
        <v>29074.404356991603</v>
      </c>
      <c r="M89" s="1585">
        <f t="shared" si="21"/>
        <v>102141.2598</v>
      </c>
      <c r="N89" s="1585">
        <f t="shared" si="21"/>
        <v>68895.17</v>
      </c>
      <c r="O89" s="1583"/>
      <c r="P89" s="1585">
        <f t="shared" ref="P89" si="22">P90</f>
        <v>7574.4564</v>
      </c>
      <c r="Q89" s="1583"/>
      <c r="R89" s="1600"/>
      <c r="S89" s="1600"/>
      <c r="T89" s="1585"/>
      <c r="U89" s="1585"/>
      <c r="V89" s="1585"/>
      <c r="W89" s="1585"/>
      <c r="X89" s="1585"/>
      <c r="Y89" s="1585"/>
      <c r="Z89" s="1585"/>
      <c r="AA89" s="1585"/>
      <c r="AB89" s="1585"/>
      <c r="AC89" s="1585"/>
      <c r="AD89" s="1601">
        <f t="shared" si="17"/>
        <v>414207.87065699167</v>
      </c>
      <c r="AE89" s="1790">
        <v>414207.87065699167</v>
      </c>
      <c r="AF89" s="1792"/>
    </row>
    <row r="90" spans="1:32" s="1602" customFormat="1" ht="26.1" customHeight="1">
      <c r="A90" s="2918"/>
      <c r="B90" s="2919"/>
      <c r="C90" s="2920"/>
      <c r="D90" s="2917"/>
      <c r="E90" s="1603" t="s">
        <v>2497</v>
      </c>
      <c r="F90" s="1583"/>
      <c r="G90" s="1604"/>
      <c r="H90" s="1583"/>
      <c r="I90" s="1583">
        <v>35095.930500000002</v>
      </c>
      <c r="J90" s="1583">
        <v>69498.959600000002</v>
      </c>
      <c r="K90" s="1604">
        <v>101927.69</v>
      </c>
      <c r="L90" s="1604">
        <v>29074.404356991603</v>
      </c>
      <c r="M90" s="1604">
        <v>102141.2598</v>
      </c>
      <c r="N90" s="1604">
        <v>68895.17</v>
      </c>
      <c r="O90" s="1583"/>
      <c r="P90" s="1604">
        <v>7574.4564</v>
      </c>
      <c r="Q90" s="1583"/>
      <c r="R90" s="1600"/>
      <c r="S90" s="1600"/>
      <c r="T90" s="1585"/>
      <c r="U90" s="1585"/>
      <c r="V90" s="1585"/>
      <c r="W90" s="1585"/>
      <c r="X90" s="1585"/>
      <c r="Y90" s="1585"/>
      <c r="Z90" s="1585"/>
      <c r="AA90" s="1585"/>
      <c r="AB90" s="1585"/>
      <c r="AC90" s="1585"/>
      <c r="AD90" s="1601">
        <f t="shared" si="17"/>
        <v>414207.87065699167</v>
      </c>
      <c r="AE90" s="1790">
        <v>414207.87065699167</v>
      </c>
      <c r="AF90" s="1792"/>
    </row>
    <row r="91" spans="1:32" s="1602" customFormat="1" ht="26.1" customHeight="1">
      <c r="A91" s="2918" t="s">
        <v>1232</v>
      </c>
      <c r="B91" s="2919" t="s">
        <v>1720</v>
      </c>
      <c r="C91" s="2920" t="s">
        <v>2147</v>
      </c>
      <c r="D91" s="2917">
        <f>368621.7815-104335.33</f>
        <v>264286.45149999997</v>
      </c>
      <c r="E91" s="1598" t="s">
        <v>2496</v>
      </c>
      <c r="F91" s="1583"/>
      <c r="G91" s="1585"/>
      <c r="H91" s="1583"/>
      <c r="I91" s="1585">
        <f t="shared" si="21"/>
        <v>27248.171999999999</v>
      </c>
      <c r="J91" s="1585">
        <f t="shared" si="21"/>
        <v>76707.942150000003</v>
      </c>
      <c r="K91" s="1585">
        <f t="shared" si="21"/>
        <v>44422.080000000002</v>
      </c>
      <c r="L91" s="1585">
        <f t="shared" si="21"/>
        <v>22210.883099999995</v>
      </c>
      <c r="M91" s="1585">
        <f t="shared" si="21"/>
        <v>62243.513500000001</v>
      </c>
      <c r="N91" s="1585">
        <f t="shared" si="21"/>
        <v>25766.83</v>
      </c>
      <c r="O91" s="1583"/>
      <c r="P91" s="1585">
        <f t="shared" ref="P91" si="23">P92</f>
        <v>5687.0309999999999</v>
      </c>
      <c r="Q91" s="1583"/>
      <c r="R91" s="1600"/>
      <c r="S91" s="1600"/>
      <c r="T91" s="1585"/>
      <c r="U91" s="1585"/>
      <c r="V91" s="1585"/>
      <c r="W91" s="1585"/>
      <c r="X91" s="1585"/>
      <c r="Y91" s="1585"/>
      <c r="Z91" s="1585"/>
      <c r="AA91" s="1585"/>
      <c r="AB91" s="1585"/>
      <c r="AC91" s="1585"/>
      <c r="AD91" s="1601">
        <f t="shared" si="17"/>
        <v>264286.45175000001</v>
      </c>
      <c r="AE91" s="1790">
        <v>264286.45175000001</v>
      </c>
      <c r="AF91" s="1792"/>
    </row>
    <row r="92" spans="1:32" s="1602" customFormat="1" ht="26.1" customHeight="1">
      <c r="A92" s="2918"/>
      <c r="B92" s="2919"/>
      <c r="C92" s="2920"/>
      <c r="D92" s="2917"/>
      <c r="E92" s="1603" t="s">
        <v>2497</v>
      </c>
      <c r="F92" s="1583"/>
      <c r="G92" s="1604"/>
      <c r="H92" s="1583"/>
      <c r="I92" s="1583">
        <v>27248.171999999999</v>
      </c>
      <c r="J92" s="1583">
        <v>76707.942150000003</v>
      </c>
      <c r="K92" s="1604">
        <v>44422.080000000002</v>
      </c>
      <c r="L92" s="1604">
        <v>22210.883099999995</v>
      </c>
      <c r="M92" s="1604">
        <v>62243.513500000001</v>
      </c>
      <c r="N92" s="1604">
        <v>25766.83</v>
      </c>
      <c r="O92" s="1583"/>
      <c r="P92" s="1604">
        <v>5687.0309999999999</v>
      </c>
      <c r="Q92" s="1583"/>
      <c r="R92" s="1600"/>
      <c r="S92" s="1600"/>
      <c r="T92" s="1585"/>
      <c r="U92" s="1585"/>
      <c r="V92" s="1585"/>
      <c r="W92" s="1585"/>
      <c r="X92" s="1585"/>
      <c r="Y92" s="1585"/>
      <c r="Z92" s="1585"/>
      <c r="AA92" s="1585"/>
      <c r="AB92" s="1585"/>
      <c r="AC92" s="1585"/>
      <c r="AD92" s="1601">
        <f t="shared" si="17"/>
        <v>264286.45175000001</v>
      </c>
      <c r="AE92" s="1790">
        <v>264286.45175000001</v>
      </c>
      <c r="AF92" s="1792"/>
    </row>
    <row r="93" spans="1:32" s="2032" customFormat="1" ht="26.1" customHeight="1">
      <c r="A93" s="2925" t="s">
        <v>1233</v>
      </c>
      <c r="B93" s="2926" t="s">
        <v>1721</v>
      </c>
      <c r="C93" s="2927" t="s">
        <v>420</v>
      </c>
      <c r="D93" s="2928">
        <f>515686.4545-33857.13</f>
        <v>481829.32449999999</v>
      </c>
      <c r="E93" s="2033" t="s">
        <v>2496</v>
      </c>
      <c r="F93" s="2030"/>
      <c r="G93" s="2036"/>
      <c r="H93" s="2030"/>
      <c r="I93" s="2036">
        <f t="shared" si="21"/>
        <v>32483.273899999997</v>
      </c>
      <c r="J93" s="2036">
        <f t="shared" si="21"/>
        <v>79099.488299999997</v>
      </c>
      <c r="K93" s="2036">
        <f t="shared" si="21"/>
        <v>128863.95</v>
      </c>
      <c r="L93" s="2036">
        <f t="shared" si="21"/>
        <v>42487.039000000004</v>
      </c>
      <c r="M93" s="2036">
        <f t="shared" si="21"/>
        <v>116995.0425</v>
      </c>
      <c r="N93" s="2036">
        <v>76092.53</v>
      </c>
      <c r="O93" s="2030"/>
      <c r="P93" s="2036">
        <f t="shared" ref="P93" si="24">P94</f>
        <v>5807.9916999999996</v>
      </c>
      <c r="Q93" s="2030"/>
      <c r="R93" s="2035"/>
      <c r="S93" s="2035"/>
      <c r="T93" s="2036"/>
      <c r="U93" s="2036"/>
      <c r="V93" s="2036"/>
      <c r="W93" s="2036"/>
      <c r="X93" s="2036"/>
      <c r="Y93" s="2036"/>
      <c r="Z93" s="2036"/>
      <c r="AA93" s="2036"/>
      <c r="AB93" s="2036"/>
      <c r="AC93" s="2036"/>
      <c r="AD93" s="1601">
        <f t="shared" si="17"/>
        <v>481829.31539999996</v>
      </c>
      <c r="AE93" s="2037">
        <v>481829.32539999997</v>
      </c>
      <c r="AF93" s="2031"/>
    </row>
    <row r="94" spans="1:32" s="2032" customFormat="1" ht="26.1" customHeight="1">
      <c r="A94" s="2925"/>
      <c r="B94" s="2926"/>
      <c r="C94" s="2927"/>
      <c r="D94" s="2928"/>
      <c r="E94" s="2033" t="s">
        <v>2497</v>
      </c>
      <c r="F94" s="2030"/>
      <c r="G94" s="2039"/>
      <c r="H94" s="2030"/>
      <c r="I94" s="2030">
        <v>32483.273899999997</v>
      </c>
      <c r="J94" s="2030">
        <v>79099.488299999997</v>
      </c>
      <c r="K94" s="2039">
        <v>128863.95</v>
      </c>
      <c r="L94" s="2039">
        <v>42487.039000000004</v>
      </c>
      <c r="M94" s="2039">
        <v>116995.0425</v>
      </c>
      <c r="N94" s="2039">
        <v>76092.539999999994</v>
      </c>
      <c r="O94" s="2030"/>
      <c r="P94" s="2039">
        <v>5807.9916999999996</v>
      </c>
      <c r="Q94" s="2030"/>
      <c r="R94" s="2035"/>
      <c r="S94" s="2035"/>
      <c r="T94" s="2036"/>
      <c r="U94" s="2036"/>
      <c r="V94" s="2036"/>
      <c r="W94" s="2036"/>
      <c r="X94" s="2036"/>
      <c r="Y94" s="2036"/>
      <c r="Z94" s="2036"/>
      <c r="AA94" s="2036"/>
      <c r="AB94" s="2036"/>
      <c r="AC94" s="2036"/>
      <c r="AD94" s="1601">
        <f t="shared" si="17"/>
        <v>481829.32539999997</v>
      </c>
      <c r="AE94" s="2037">
        <v>481829.32539999997</v>
      </c>
      <c r="AF94" s="2031"/>
    </row>
    <row r="95" spans="1:32" s="1602" customFormat="1" ht="26.1" customHeight="1">
      <c r="A95" s="1594" t="s">
        <v>1234</v>
      </c>
      <c r="B95" s="1614" t="s">
        <v>1722</v>
      </c>
      <c r="C95" s="1596"/>
      <c r="D95" s="1597"/>
      <c r="E95" s="1600"/>
      <c r="F95" s="1583"/>
      <c r="G95" s="1583"/>
      <c r="H95" s="1583"/>
      <c r="I95" s="1583"/>
      <c r="J95" s="1583"/>
      <c r="K95" s="1583"/>
      <c r="L95" s="1583"/>
      <c r="M95" s="1583"/>
      <c r="N95" s="1583"/>
      <c r="O95" s="1583"/>
      <c r="P95" s="1583"/>
      <c r="Q95" s="1583"/>
      <c r="R95" s="1600"/>
      <c r="S95" s="1600"/>
      <c r="T95" s="1585"/>
      <c r="U95" s="1585"/>
      <c r="V95" s="1585"/>
      <c r="W95" s="1585"/>
      <c r="X95" s="1585"/>
      <c r="Y95" s="1585"/>
      <c r="Z95" s="1585"/>
      <c r="AA95" s="1585"/>
      <c r="AB95" s="1585"/>
      <c r="AC95" s="1585"/>
      <c r="AD95" s="1601">
        <f t="shared" si="17"/>
        <v>0</v>
      </c>
      <c r="AE95" s="1790">
        <v>0</v>
      </c>
      <c r="AF95" s="1792"/>
    </row>
    <row r="96" spans="1:32" s="1602" customFormat="1" ht="26.1" customHeight="1">
      <c r="A96" s="2918" t="s">
        <v>1235</v>
      </c>
      <c r="B96" s="2919" t="s">
        <v>1723</v>
      </c>
      <c r="C96" s="2920" t="s">
        <v>2148</v>
      </c>
      <c r="D96" s="2917">
        <v>1463.2736</v>
      </c>
      <c r="E96" s="1598" t="s">
        <v>2496</v>
      </c>
      <c r="F96" s="1583"/>
      <c r="G96" s="1585"/>
      <c r="H96" s="1583"/>
      <c r="I96" s="1585">
        <f t="shared" ref="I96:N107" si="25">I97</f>
        <v>1160.0293999999999</v>
      </c>
      <c r="J96" s="1585">
        <f t="shared" si="25"/>
        <v>303.24419999999998</v>
      </c>
      <c r="K96" s="1583"/>
      <c r="L96" s="1583"/>
      <c r="M96" s="1585"/>
      <c r="N96" s="1583"/>
      <c r="O96" s="1583"/>
      <c r="P96" s="1583"/>
      <c r="Q96" s="1583"/>
      <c r="R96" s="1600"/>
      <c r="S96" s="1600"/>
      <c r="T96" s="1585"/>
      <c r="U96" s="1585"/>
      <c r="V96" s="1585"/>
      <c r="W96" s="1585"/>
      <c r="X96" s="1585"/>
      <c r="Y96" s="1585"/>
      <c r="Z96" s="1585"/>
      <c r="AA96" s="1585"/>
      <c r="AB96" s="1585"/>
      <c r="AC96" s="1585"/>
      <c r="AD96" s="1601">
        <f t="shared" si="17"/>
        <v>1463.2736</v>
      </c>
      <c r="AE96" s="1790">
        <v>1463.2736</v>
      </c>
      <c r="AF96" s="1792"/>
    </row>
    <row r="97" spans="1:32" s="1602" customFormat="1" ht="26.1" customHeight="1">
      <c r="A97" s="2918"/>
      <c r="B97" s="2919"/>
      <c r="C97" s="2920"/>
      <c r="D97" s="2917"/>
      <c r="E97" s="1603" t="s">
        <v>2497</v>
      </c>
      <c r="F97" s="1583"/>
      <c r="G97" s="1604"/>
      <c r="H97" s="1583"/>
      <c r="I97" s="1583">
        <v>1160.0293999999999</v>
      </c>
      <c r="J97" s="1583">
        <v>303.24419999999998</v>
      </c>
      <c r="K97" s="1583"/>
      <c r="L97" s="1583"/>
      <c r="M97" s="1604"/>
      <c r="N97" s="1583"/>
      <c r="O97" s="1583"/>
      <c r="P97" s="1583"/>
      <c r="Q97" s="1583"/>
      <c r="R97" s="1600"/>
      <c r="S97" s="1600"/>
      <c r="T97" s="1585"/>
      <c r="U97" s="1585"/>
      <c r="V97" s="1585"/>
      <c r="W97" s="1585"/>
      <c r="X97" s="1585"/>
      <c r="Y97" s="1585"/>
      <c r="Z97" s="1585"/>
      <c r="AA97" s="1585"/>
      <c r="AB97" s="1585"/>
      <c r="AC97" s="1585"/>
      <c r="AD97" s="1601">
        <f t="shared" si="17"/>
        <v>1463.2736</v>
      </c>
      <c r="AE97" s="1790">
        <v>1463.2736</v>
      </c>
      <c r="AF97" s="1792"/>
    </row>
    <row r="98" spans="1:32" s="1602" customFormat="1" ht="26.1" customHeight="1">
      <c r="A98" s="2918" t="s">
        <v>1236</v>
      </c>
      <c r="B98" s="2919" t="s">
        <v>1724</v>
      </c>
      <c r="C98" s="2920" t="s">
        <v>2147</v>
      </c>
      <c r="D98" s="2917">
        <v>1309.7700000000002</v>
      </c>
      <c r="E98" s="1598" t="s">
        <v>2496</v>
      </c>
      <c r="F98" s="1583"/>
      <c r="G98" s="1585"/>
      <c r="H98" s="1583"/>
      <c r="I98" s="1585">
        <f t="shared" ref="I98" si="26">I99</f>
        <v>624.16200000000003</v>
      </c>
      <c r="J98" s="1585">
        <f t="shared" si="25"/>
        <v>564.65640000000008</v>
      </c>
      <c r="K98" s="1585">
        <f t="shared" si="25"/>
        <v>120.95</v>
      </c>
      <c r="L98" s="1583"/>
      <c r="M98" s="1585"/>
      <c r="N98" s="1583"/>
      <c r="O98" s="1583"/>
      <c r="P98" s="1583"/>
      <c r="Q98" s="1583"/>
      <c r="R98" s="1600"/>
      <c r="S98" s="1600"/>
      <c r="T98" s="1585"/>
      <c r="U98" s="1585"/>
      <c r="V98" s="1585"/>
      <c r="W98" s="1585"/>
      <c r="X98" s="1585"/>
      <c r="Y98" s="1585"/>
      <c r="Z98" s="1585"/>
      <c r="AA98" s="1585"/>
      <c r="AB98" s="1585"/>
      <c r="AC98" s="1585"/>
      <c r="AD98" s="1601">
        <f t="shared" si="17"/>
        <v>1309.7684000000002</v>
      </c>
      <c r="AE98" s="1790">
        <v>1309.7684000000002</v>
      </c>
      <c r="AF98" s="1792"/>
    </row>
    <row r="99" spans="1:32" s="1602" customFormat="1" ht="26.1" customHeight="1">
      <c r="A99" s="2918"/>
      <c r="B99" s="2919"/>
      <c r="C99" s="2920"/>
      <c r="D99" s="2917"/>
      <c r="E99" s="1603" t="s">
        <v>2497</v>
      </c>
      <c r="F99" s="1583"/>
      <c r="G99" s="1604"/>
      <c r="H99" s="1583"/>
      <c r="I99" s="1583">
        <v>624.16200000000003</v>
      </c>
      <c r="J99" s="1583">
        <v>564.65640000000008</v>
      </c>
      <c r="K99" s="1604">
        <v>120.95</v>
      </c>
      <c r="L99" s="1583"/>
      <c r="M99" s="1604"/>
      <c r="N99" s="1583"/>
      <c r="O99" s="1583"/>
      <c r="P99" s="1583"/>
      <c r="Q99" s="1583"/>
      <c r="R99" s="1600"/>
      <c r="S99" s="1600"/>
      <c r="T99" s="1585"/>
      <c r="U99" s="1585"/>
      <c r="V99" s="1585"/>
      <c r="W99" s="1585"/>
      <c r="X99" s="1585"/>
      <c r="Y99" s="1585"/>
      <c r="Z99" s="1585"/>
      <c r="AA99" s="1585"/>
      <c r="AB99" s="1585"/>
      <c r="AC99" s="1585"/>
      <c r="AD99" s="1601">
        <f t="shared" si="17"/>
        <v>1309.7684000000002</v>
      </c>
      <c r="AE99" s="1790">
        <v>1309.7684000000002</v>
      </c>
      <c r="AF99" s="1792"/>
    </row>
    <row r="100" spans="1:32" s="1602" customFormat="1" ht="26.1" customHeight="1">
      <c r="A100" s="2918" t="s">
        <v>1237</v>
      </c>
      <c r="B100" s="2919" t="s">
        <v>1725</v>
      </c>
      <c r="C100" s="2920" t="s">
        <v>420</v>
      </c>
      <c r="D100" s="2917">
        <v>2503.9357</v>
      </c>
      <c r="E100" s="1598" t="s">
        <v>2496</v>
      </c>
      <c r="F100" s="1583"/>
      <c r="G100" s="1585"/>
      <c r="H100" s="1605"/>
      <c r="I100" s="1585">
        <f t="shared" ref="I100" si="27">I101</f>
        <v>716.12729999999999</v>
      </c>
      <c r="J100" s="1585">
        <f t="shared" si="25"/>
        <v>1310.6884</v>
      </c>
      <c r="K100" s="1585">
        <f t="shared" si="25"/>
        <v>477.12</v>
      </c>
      <c r="L100" s="1583"/>
      <c r="M100" s="1585"/>
      <c r="N100" s="1583"/>
      <c r="O100" s="1583"/>
      <c r="P100" s="1583"/>
      <c r="Q100" s="1583"/>
      <c r="R100" s="1600"/>
      <c r="S100" s="1600"/>
      <c r="T100" s="1585"/>
      <c r="U100" s="1585"/>
      <c r="V100" s="1585"/>
      <c r="W100" s="1585"/>
      <c r="X100" s="1585"/>
      <c r="Y100" s="1585"/>
      <c r="Z100" s="1585"/>
      <c r="AA100" s="1585"/>
      <c r="AB100" s="1585"/>
      <c r="AC100" s="1585"/>
      <c r="AD100" s="1601">
        <f t="shared" si="17"/>
        <v>2503.9357</v>
      </c>
      <c r="AE100" s="1790">
        <v>2503.9357</v>
      </c>
      <c r="AF100" s="1792"/>
    </row>
    <row r="101" spans="1:32" s="1602" customFormat="1" ht="26.1" customHeight="1">
      <c r="A101" s="2918"/>
      <c r="B101" s="2919"/>
      <c r="C101" s="2920"/>
      <c r="D101" s="2917"/>
      <c r="E101" s="1603" t="s">
        <v>2497</v>
      </c>
      <c r="F101" s="1583"/>
      <c r="G101" s="1604"/>
      <c r="H101" s="1605"/>
      <c r="I101" s="1583">
        <v>716.12729999999999</v>
      </c>
      <c r="J101" s="1583">
        <v>1310.6884</v>
      </c>
      <c r="K101" s="1604">
        <v>477.12</v>
      </c>
      <c r="L101" s="1583"/>
      <c r="M101" s="1604"/>
      <c r="N101" s="1583"/>
      <c r="O101" s="1583"/>
      <c r="P101" s="1583"/>
      <c r="Q101" s="1583"/>
      <c r="R101" s="1600"/>
      <c r="S101" s="1600"/>
      <c r="T101" s="1585"/>
      <c r="U101" s="1585"/>
      <c r="V101" s="1585"/>
      <c r="W101" s="1585"/>
      <c r="X101" s="1585"/>
      <c r="Y101" s="1585"/>
      <c r="Z101" s="1585"/>
      <c r="AA101" s="1585"/>
      <c r="AB101" s="1585"/>
      <c r="AC101" s="1585"/>
      <c r="AD101" s="1601">
        <f t="shared" si="17"/>
        <v>2503.9357</v>
      </c>
      <c r="AE101" s="1790">
        <v>2503.9357</v>
      </c>
      <c r="AF101" s="1792"/>
    </row>
    <row r="102" spans="1:32" s="1602" customFormat="1" ht="26.1" customHeight="1">
      <c r="A102" s="1594" t="s">
        <v>1238</v>
      </c>
      <c r="B102" s="1614" t="s">
        <v>1726</v>
      </c>
      <c r="C102" s="1596"/>
      <c r="D102" s="1597"/>
      <c r="E102" s="1600"/>
      <c r="F102" s="1583"/>
      <c r="G102" s="1583"/>
      <c r="H102" s="1605"/>
      <c r="I102" s="1605"/>
      <c r="J102" s="1583"/>
      <c r="K102" s="1583"/>
      <c r="L102" s="1583"/>
      <c r="M102" s="1583"/>
      <c r="N102" s="1583"/>
      <c r="O102" s="1583"/>
      <c r="P102" s="1583"/>
      <c r="Q102" s="1583"/>
      <c r="R102" s="1600"/>
      <c r="S102" s="1600"/>
      <c r="T102" s="1585"/>
      <c r="U102" s="1585"/>
      <c r="V102" s="1585"/>
      <c r="W102" s="1585"/>
      <c r="X102" s="1585"/>
      <c r="Y102" s="1585"/>
      <c r="Z102" s="1585"/>
      <c r="AA102" s="1585"/>
      <c r="AB102" s="1585"/>
      <c r="AC102" s="1585"/>
      <c r="AD102" s="1601">
        <f t="shared" si="17"/>
        <v>0</v>
      </c>
      <c r="AE102" s="1790">
        <v>0</v>
      </c>
      <c r="AF102" s="1792"/>
    </row>
    <row r="103" spans="1:32" s="1602" customFormat="1" ht="26.1" customHeight="1">
      <c r="A103" s="2918" t="s">
        <v>1239</v>
      </c>
      <c r="B103" s="2919" t="s">
        <v>1727</v>
      </c>
      <c r="C103" s="2920" t="s">
        <v>2148</v>
      </c>
      <c r="D103" s="2917">
        <v>193937.59109999999</v>
      </c>
      <c r="E103" s="1598" t="s">
        <v>2496</v>
      </c>
      <c r="F103" s="1583"/>
      <c r="G103" s="1585"/>
      <c r="H103" s="1583"/>
      <c r="I103" s="1585">
        <f t="shared" ref="I103:J109" si="28">I104</f>
        <v>23209.6077</v>
      </c>
      <c r="J103" s="1585">
        <f t="shared" si="28"/>
        <v>44785.790699999998</v>
      </c>
      <c r="K103" s="1585">
        <f t="shared" si="25"/>
        <v>69624.14</v>
      </c>
      <c r="L103" s="1585">
        <f t="shared" si="25"/>
        <v>19067.8036977216</v>
      </c>
      <c r="M103" s="1585">
        <f t="shared" si="25"/>
        <v>37250.246202278409</v>
      </c>
      <c r="N103" s="1585"/>
      <c r="O103" s="1583"/>
      <c r="P103" s="1583"/>
      <c r="Q103" s="1583"/>
      <c r="R103" s="1600"/>
      <c r="S103" s="1600"/>
      <c r="T103" s="1585"/>
      <c r="U103" s="1585"/>
      <c r="V103" s="1585"/>
      <c r="W103" s="1585"/>
      <c r="X103" s="1585"/>
      <c r="Y103" s="1585"/>
      <c r="Z103" s="1585"/>
      <c r="AA103" s="1585"/>
      <c r="AB103" s="1585"/>
      <c r="AC103" s="1585"/>
      <c r="AD103" s="1601">
        <f t="shared" si="17"/>
        <v>193937.58830000003</v>
      </c>
      <c r="AE103" s="1790">
        <v>193937.58830000003</v>
      </c>
      <c r="AF103" s="1792"/>
    </row>
    <row r="104" spans="1:32" s="1602" customFormat="1" ht="26.1" customHeight="1">
      <c r="A104" s="2918"/>
      <c r="B104" s="2919"/>
      <c r="C104" s="2920"/>
      <c r="D104" s="2917"/>
      <c r="E104" s="1603" t="s">
        <v>2497</v>
      </c>
      <c r="F104" s="1583"/>
      <c r="G104" s="1604"/>
      <c r="H104" s="1583"/>
      <c r="I104" s="1583">
        <v>23209.6077</v>
      </c>
      <c r="J104" s="1583">
        <v>44785.790699999998</v>
      </c>
      <c r="K104" s="1604">
        <v>69624.14</v>
      </c>
      <c r="L104" s="1604">
        <v>19067.8036977216</v>
      </c>
      <c r="M104" s="1604">
        <v>37250.246202278409</v>
      </c>
      <c r="N104" s="1604"/>
      <c r="O104" s="1583"/>
      <c r="P104" s="1583"/>
      <c r="Q104" s="1583"/>
      <c r="R104" s="1600"/>
      <c r="S104" s="1600"/>
      <c r="T104" s="1585"/>
      <c r="U104" s="1585"/>
      <c r="V104" s="1585"/>
      <c r="W104" s="1585"/>
      <c r="X104" s="1585"/>
      <c r="Y104" s="1585"/>
      <c r="Z104" s="1585"/>
      <c r="AA104" s="1585"/>
      <c r="AB104" s="1585"/>
      <c r="AC104" s="1585"/>
      <c r="AD104" s="1601">
        <f t="shared" si="17"/>
        <v>193937.58830000003</v>
      </c>
      <c r="AE104" s="1790">
        <v>193937.58830000003</v>
      </c>
      <c r="AF104" s="1792"/>
    </row>
    <row r="105" spans="1:32" s="2032" customFormat="1" ht="26.1" customHeight="1">
      <c r="A105" s="2925" t="s">
        <v>1240</v>
      </c>
      <c r="B105" s="2926" t="s">
        <v>1728</v>
      </c>
      <c r="C105" s="2927" t="s">
        <v>2147</v>
      </c>
      <c r="D105" s="2928">
        <v>177699.93</v>
      </c>
      <c r="E105" s="2033" t="s">
        <v>2496</v>
      </c>
      <c r="F105" s="2030"/>
      <c r="G105" s="2036"/>
      <c r="H105" s="2034"/>
      <c r="I105" s="2036">
        <f t="shared" ref="I105" si="29">I106</f>
        <v>16783.4064</v>
      </c>
      <c r="J105" s="2036">
        <f t="shared" si="28"/>
        <v>37019.446800000005</v>
      </c>
      <c r="K105" s="2036">
        <f t="shared" si="25"/>
        <v>45072.82</v>
      </c>
      <c r="L105" s="2036">
        <f t="shared" si="25"/>
        <v>17355.817990000003</v>
      </c>
      <c r="M105" s="2036">
        <f t="shared" si="25"/>
        <v>33283.484199999999</v>
      </c>
      <c r="N105" s="2036">
        <f t="shared" si="25"/>
        <v>25561.97</v>
      </c>
      <c r="O105" s="2030"/>
      <c r="P105" s="2036">
        <v>2622.98</v>
      </c>
      <c r="Q105" s="2030"/>
      <c r="R105" s="2035"/>
      <c r="S105" s="2035"/>
      <c r="T105" s="2036"/>
      <c r="U105" s="2036"/>
      <c r="V105" s="2036"/>
      <c r="W105" s="2036"/>
      <c r="X105" s="2036"/>
      <c r="Y105" s="2036"/>
      <c r="Z105" s="2036"/>
      <c r="AA105" s="2036"/>
      <c r="AB105" s="2036"/>
      <c r="AC105" s="2036"/>
      <c r="AD105" s="1601">
        <f t="shared" si="17"/>
        <v>177699.92539000002</v>
      </c>
      <c r="AE105" s="2037">
        <v>177699.93539</v>
      </c>
      <c r="AF105" s="2031"/>
    </row>
    <row r="106" spans="1:32" s="2032" customFormat="1" ht="26.1" customHeight="1">
      <c r="A106" s="2925"/>
      <c r="B106" s="2926"/>
      <c r="C106" s="2927"/>
      <c r="D106" s="2928"/>
      <c r="E106" s="2033" t="s">
        <v>2497</v>
      </c>
      <c r="F106" s="2030"/>
      <c r="G106" s="2039"/>
      <c r="H106" s="2034"/>
      <c r="I106" s="2030">
        <v>16783.4064</v>
      </c>
      <c r="J106" s="2030">
        <v>37019.446800000005</v>
      </c>
      <c r="K106" s="2039">
        <v>45072.82</v>
      </c>
      <c r="L106" s="2039">
        <v>17355.817990000003</v>
      </c>
      <c r="M106" s="2039">
        <v>33283.484199999999</v>
      </c>
      <c r="N106" s="2039">
        <v>25561.97</v>
      </c>
      <c r="O106" s="2030"/>
      <c r="P106" s="2039">
        <v>2622.99</v>
      </c>
      <c r="Q106" s="2030"/>
      <c r="R106" s="2035"/>
      <c r="S106" s="2035"/>
      <c r="T106" s="2036"/>
      <c r="U106" s="2036"/>
      <c r="V106" s="2036"/>
      <c r="W106" s="2036"/>
      <c r="X106" s="2036"/>
      <c r="Y106" s="2036"/>
      <c r="Z106" s="2036"/>
      <c r="AA106" s="2036"/>
      <c r="AB106" s="2036"/>
      <c r="AC106" s="2036"/>
      <c r="AD106" s="1601">
        <f t="shared" si="17"/>
        <v>177699.93539</v>
      </c>
      <c r="AE106" s="2037">
        <v>177699.93539</v>
      </c>
      <c r="AF106" s="2031"/>
    </row>
    <row r="107" spans="1:32" s="2032" customFormat="1" ht="26.1" customHeight="1">
      <c r="A107" s="2925" t="s">
        <v>1241</v>
      </c>
      <c r="B107" s="2926" t="s">
        <v>1729</v>
      </c>
      <c r="C107" s="2927" t="s">
        <v>420</v>
      </c>
      <c r="D107" s="2928">
        <f>200862.2021-44243.14</f>
        <v>156619.06209999998</v>
      </c>
      <c r="E107" s="2033" t="s">
        <v>2496</v>
      </c>
      <c r="F107" s="2030"/>
      <c r="G107" s="2036"/>
      <c r="H107" s="2030"/>
      <c r="I107" s="2036">
        <f t="shared" ref="I107" si="30">I108</f>
        <v>13727.438199999999</v>
      </c>
      <c r="J107" s="2036">
        <f t="shared" si="28"/>
        <v>26060.244699999999</v>
      </c>
      <c r="K107" s="2036">
        <f t="shared" si="25"/>
        <v>37117.4</v>
      </c>
      <c r="L107" s="2036">
        <f t="shared" si="25"/>
        <v>10206.093799999999</v>
      </c>
      <c r="M107" s="2036">
        <f t="shared" si="25"/>
        <v>38290.520099999994</v>
      </c>
      <c r="N107" s="2036">
        <f t="shared" si="25"/>
        <v>26160.49</v>
      </c>
      <c r="O107" s="2034"/>
      <c r="P107" s="2036">
        <v>5056.87</v>
      </c>
      <c r="Q107" s="2034"/>
      <c r="R107" s="2035"/>
      <c r="S107" s="2035"/>
      <c r="T107" s="2036"/>
      <c r="U107" s="2036"/>
      <c r="V107" s="2036"/>
      <c r="W107" s="2036"/>
      <c r="X107" s="2036"/>
      <c r="Y107" s="2036"/>
      <c r="Z107" s="2036"/>
      <c r="AA107" s="2036"/>
      <c r="AB107" s="2036"/>
      <c r="AC107" s="2036"/>
      <c r="AD107" s="1601">
        <f t="shared" si="17"/>
        <v>156619.05679999999</v>
      </c>
      <c r="AE107" s="2037">
        <v>155299.02679999999</v>
      </c>
      <c r="AF107" s="2038">
        <f>D107-AD107</f>
        <v>5.2999999898020178E-3</v>
      </c>
    </row>
    <row r="108" spans="1:32" s="2032" customFormat="1" ht="26.1" customHeight="1">
      <c r="A108" s="2925"/>
      <c r="B108" s="2926"/>
      <c r="C108" s="2927"/>
      <c r="D108" s="2928"/>
      <c r="E108" s="2033" t="s">
        <v>2497</v>
      </c>
      <c r="F108" s="2030"/>
      <c r="G108" s="2039"/>
      <c r="H108" s="2030"/>
      <c r="I108" s="2030">
        <v>13727.438199999999</v>
      </c>
      <c r="J108" s="2030">
        <v>26060.244699999999</v>
      </c>
      <c r="K108" s="2039">
        <v>37117.4</v>
      </c>
      <c r="L108" s="2039">
        <v>10206.093799999999</v>
      </c>
      <c r="M108" s="2039">
        <v>38290.520099999994</v>
      </c>
      <c r="N108" s="2039">
        <v>26160.49</v>
      </c>
      <c r="O108" s="2034"/>
      <c r="P108" s="2039">
        <v>3736.84</v>
      </c>
      <c r="Q108" s="2034"/>
      <c r="R108" s="2035"/>
      <c r="S108" s="2035"/>
      <c r="T108" s="2036"/>
      <c r="U108" s="2036"/>
      <c r="V108" s="2036"/>
      <c r="W108" s="2036"/>
      <c r="X108" s="2036"/>
      <c r="Y108" s="2036"/>
      <c r="Z108" s="2036"/>
      <c r="AA108" s="2036"/>
      <c r="AB108" s="2036"/>
      <c r="AC108" s="2036"/>
      <c r="AD108" s="1601">
        <f t="shared" si="17"/>
        <v>155299.02679999999</v>
      </c>
      <c r="AE108" s="2037">
        <v>155299.02679999999</v>
      </c>
      <c r="AF108" s="2031"/>
    </row>
    <row r="109" spans="1:32" s="1602" customFormat="1" ht="26.1" customHeight="1">
      <c r="A109" s="2918" t="s">
        <v>1242</v>
      </c>
      <c r="B109" s="2919" t="s">
        <v>2229</v>
      </c>
      <c r="C109" s="2920" t="s">
        <v>52</v>
      </c>
      <c r="D109" s="2917">
        <v>11517.552000000001</v>
      </c>
      <c r="E109" s="1598" t="s">
        <v>2496</v>
      </c>
      <c r="F109" s="1583"/>
      <c r="G109" s="1585"/>
      <c r="H109" s="1583"/>
      <c r="I109" s="1585">
        <f t="shared" ref="I109" si="31">I110</f>
        <v>8607.6</v>
      </c>
      <c r="J109" s="1585">
        <f t="shared" si="28"/>
        <v>2909.9520000000002</v>
      </c>
      <c r="K109" s="1583"/>
      <c r="L109" s="1583"/>
      <c r="M109" s="1583"/>
      <c r="N109" s="1583"/>
      <c r="O109" s="1583"/>
      <c r="P109" s="1583"/>
      <c r="Q109" s="1583"/>
      <c r="R109" s="1600"/>
      <c r="S109" s="1600"/>
      <c r="T109" s="1585"/>
      <c r="U109" s="1585"/>
      <c r="V109" s="1585"/>
      <c r="W109" s="1585"/>
      <c r="X109" s="1585"/>
      <c r="Y109" s="1585"/>
      <c r="Z109" s="1585"/>
      <c r="AA109" s="1585"/>
      <c r="AB109" s="1585"/>
      <c r="AC109" s="1585"/>
      <c r="AD109" s="1601">
        <f t="shared" si="17"/>
        <v>11517.552</v>
      </c>
      <c r="AE109" s="1790">
        <v>11517.552</v>
      </c>
      <c r="AF109" s="1792"/>
    </row>
    <row r="110" spans="1:32" s="1602" customFormat="1" ht="26.1" customHeight="1">
      <c r="A110" s="2918"/>
      <c r="B110" s="2919"/>
      <c r="C110" s="2920"/>
      <c r="D110" s="2917"/>
      <c r="E110" s="1603" t="s">
        <v>2497</v>
      </c>
      <c r="F110" s="1583"/>
      <c r="G110" s="1604"/>
      <c r="H110" s="1583"/>
      <c r="I110" s="1583">
        <v>8607.6</v>
      </c>
      <c r="J110" s="1583">
        <v>2909.9520000000002</v>
      </c>
      <c r="K110" s="1583"/>
      <c r="L110" s="1583"/>
      <c r="M110" s="1583"/>
      <c r="N110" s="1583"/>
      <c r="O110" s="1583"/>
      <c r="P110" s="1583"/>
      <c r="Q110" s="1583"/>
      <c r="R110" s="1600"/>
      <c r="S110" s="1600"/>
      <c r="T110" s="1585"/>
      <c r="U110" s="1585"/>
      <c r="V110" s="1585"/>
      <c r="W110" s="1585"/>
      <c r="X110" s="1585"/>
      <c r="Y110" s="1585"/>
      <c r="Z110" s="1585"/>
      <c r="AA110" s="1585"/>
      <c r="AB110" s="1585"/>
      <c r="AC110" s="1585"/>
      <c r="AD110" s="1601">
        <f t="shared" si="17"/>
        <v>11517.552</v>
      </c>
      <c r="AE110" s="1790">
        <v>11517.552</v>
      </c>
      <c r="AF110" s="1792"/>
    </row>
    <row r="111" spans="1:32" s="1602" customFormat="1" ht="26.1" customHeight="1">
      <c r="A111" s="1594" t="s">
        <v>1243</v>
      </c>
      <c r="B111" s="1614" t="s">
        <v>1730</v>
      </c>
      <c r="C111" s="1596"/>
      <c r="D111" s="1597"/>
      <c r="E111" s="1600"/>
      <c r="F111" s="1583"/>
      <c r="G111" s="1605"/>
      <c r="H111" s="1605"/>
      <c r="I111" s="1605"/>
      <c r="J111" s="1605"/>
      <c r="K111" s="1605"/>
      <c r="L111" s="1605"/>
      <c r="M111" s="1605"/>
      <c r="N111" s="1605"/>
      <c r="O111" s="1605"/>
      <c r="P111" s="1605"/>
      <c r="Q111" s="1605"/>
      <c r="R111" s="1606"/>
      <c r="S111" s="1606"/>
      <c r="T111" s="1585"/>
      <c r="U111" s="1585"/>
      <c r="V111" s="1585"/>
      <c r="W111" s="1585"/>
      <c r="X111" s="1585"/>
      <c r="Y111" s="1585"/>
      <c r="Z111" s="1585"/>
      <c r="AA111" s="1585"/>
      <c r="AB111" s="1585"/>
      <c r="AC111" s="1585"/>
      <c r="AD111" s="1601">
        <f t="shared" si="17"/>
        <v>0</v>
      </c>
      <c r="AE111" s="1790">
        <v>0</v>
      </c>
      <c r="AF111" s="1792"/>
    </row>
    <row r="112" spans="1:32" s="1602" customFormat="1" ht="26.1" customHeight="1">
      <c r="A112" s="2918" t="s">
        <v>1244</v>
      </c>
      <c r="B112" s="2919" t="s">
        <v>2255</v>
      </c>
      <c r="C112" s="2920" t="s">
        <v>2148</v>
      </c>
      <c r="D112" s="2917">
        <f>58322.234-8812.87</f>
        <v>49509.363999999994</v>
      </c>
      <c r="E112" s="1598" t="s">
        <v>2496</v>
      </c>
      <c r="F112" s="1583"/>
      <c r="G112" s="1585"/>
      <c r="H112" s="1605"/>
      <c r="I112" s="1585">
        <f t="shared" ref="I112:K116" si="32">I113</f>
        <v>4400.9431999999997</v>
      </c>
      <c r="J112" s="1585">
        <f t="shared" si="32"/>
        <v>9921.5953999999983</v>
      </c>
      <c r="K112" s="1585">
        <f t="shared" si="32"/>
        <v>8344.27</v>
      </c>
      <c r="L112" s="1583"/>
      <c r="M112" s="1585">
        <f t="shared" ref="M112:N112" si="33">M113</f>
        <v>14892.13</v>
      </c>
      <c r="N112" s="1585">
        <f t="shared" si="33"/>
        <v>11288.33</v>
      </c>
      <c r="O112" s="1583"/>
      <c r="P112" s="1583"/>
      <c r="Q112" s="1583"/>
      <c r="R112" s="1600"/>
      <c r="S112" s="1600"/>
      <c r="T112" s="1585"/>
      <c r="U112" s="1585"/>
      <c r="V112" s="1585">
        <v>662.09</v>
      </c>
      <c r="W112" s="1585"/>
      <c r="X112" s="1585"/>
      <c r="Y112" s="1585"/>
      <c r="Z112" s="1585"/>
      <c r="AA112" s="1585"/>
      <c r="AB112" s="1585"/>
      <c r="AC112" s="1585"/>
      <c r="AD112" s="1601">
        <f t="shared" si="17"/>
        <v>49509.358599999992</v>
      </c>
      <c r="AE112" s="1790">
        <v>49509.358599999992</v>
      </c>
      <c r="AF112" s="1792"/>
    </row>
    <row r="113" spans="1:32" s="1602" customFormat="1" ht="26.1" customHeight="1">
      <c r="A113" s="2918"/>
      <c r="B113" s="2919"/>
      <c r="C113" s="2920"/>
      <c r="D113" s="2917"/>
      <c r="E113" s="1603" t="s">
        <v>2497</v>
      </c>
      <c r="F113" s="1583"/>
      <c r="G113" s="1604"/>
      <c r="H113" s="1605"/>
      <c r="I113" s="1583">
        <v>4400.9431999999997</v>
      </c>
      <c r="J113" s="1583">
        <v>9921.5953999999983</v>
      </c>
      <c r="K113" s="1604">
        <v>8344.27</v>
      </c>
      <c r="L113" s="1583"/>
      <c r="M113" s="1604">
        <v>14892.13</v>
      </c>
      <c r="N113" s="1604">
        <v>11288.33</v>
      </c>
      <c r="O113" s="1583"/>
      <c r="P113" s="1583"/>
      <c r="Q113" s="1583"/>
      <c r="R113" s="1600"/>
      <c r="S113" s="1600"/>
      <c r="T113" s="1585"/>
      <c r="U113" s="1585"/>
      <c r="V113" s="1604">
        <v>662.09</v>
      </c>
      <c r="W113" s="1585"/>
      <c r="X113" s="1585"/>
      <c r="Y113" s="1585"/>
      <c r="Z113" s="1585"/>
      <c r="AA113" s="1585"/>
      <c r="AB113" s="1585"/>
      <c r="AC113" s="1585"/>
      <c r="AD113" s="1601">
        <f t="shared" si="17"/>
        <v>49509.358599999992</v>
      </c>
      <c r="AE113" s="1790">
        <v>49509.358599999992</v>
      </c>
      <c r="AF113" s="1792"/>
    </row>
    <row r="114" spans="1:32" s="1602" customFormat="1" ht="26.1" customHeight="1">
      <c r="A114" s="2918" t="s">
        <v>1245</v>
      </c>
      <c r="B114" s="2919" t="s">
        <v>1731</v>
      </c>
      <c r="C114" s="2920" t="s">
        <v>2147</v>
      </c>
      <c r="D114" s="2917">
        <v>31281.311999999998</v>
      </c>
      <c r="E114" s="1598" t="s">
        <v>2496</v>
      </c>
      <c r="F114" s="1583"/>
      <c r="G114" s="1585"/>
      <c r="H114" s="1583"/>
      <c r="I114" s="1585">
        <f t="shared" ref="I114" si="34">I115</f>
        <v>7290.6144000000004</v>
      </c>
      <c r="J114" s="1585">
        <f t="shared" si="32"/>
        <v>12454.538399999999</v>
      </c>
      <c r="K114" s="1585">
        <f t="shared" si="32"/>
        <v>11536.16</v>
      </c>
      <c r="L114" s="1583"/>
      <c r="M114" s="1585"/>
      <c r="N114" s="1583"/>
      <c r="O114" s="1583"/>
      <c r="P114" s="1583"/>
      <c r="Q114" s="1583"/>
      <c r="R114" s="1600"/>
      <c r="S114" s="1600"/>
      <c r="T114" s="1585"/>
      <c r="U114" s="1585"/>
      <c r="V114" s="1585"/>
      <c r="W114" s="1585"/>
      <c r="X114" s="1585"/>
      <c r="Y114" s="1585"/>
      <c r="Z114" s="1585"/>
      <c r="AA114" s="1585"/>
      <c r="AB114" s="1585"/>
      <c r="AC114" s="1585"/>
      <c r="AD114" s="1601">
        <f t="shared" si="17"/>
        <v>31281.3128</v>
      </c>
      <c r="AE114" s="1790">
        <v>31281.3128</v>
      </c>
      <c r="AF114" s="1792"/>
    </row>
    <row r="115" spans="1:32" s="1602" customFormat="1" ht="26.1" customHeight="1">
      <c r="A115" s="2918"/>
      <c r="B115" s="2919"/>
      <c r="C115" s="2920"/>
      <c r="D115" s="2917"/>
      <c r="E115" s="1603" t="s">
        <v>2497</v>
      </c>
      <c r="F115" s="1583"/>
      <c r="G115" s="1604"/>
      <c r="H115" s="1583"/>
      <c r="I115" s="1583">
        <v>7290.6144000000004</v>
      </c>
      <c r="J115" s="1583">
        <v>12454.538399999999</v>
      </c>
      <c r="K115" s="1604">
        <v>11536.16</v>
      </c>
      <c r="L115" s="1583"/>
      <c r="M115" s="1604"/>
      <c r="N115" s="1583"/>
      <c r="O115" s="1583"/>
      <c r="P115" s="1583"/>
      <c r="Q115" s="1583"/>
      <c r="R115" s="1600"/>
      <c r="S115" s="1600"/>
      <c r="T115" s="1585"/>
      <c r="U115" s="1585"/>
      <c r="V115" s="1585"/>
      <c r="W115" s="1585"/>
      <c r="X115" s="1585"/>
      <c r="Y115" s="1585"/>
      <c r="Z115" s="1585"/>
      <c r="AA115" s="1585"/>
      <c r="AB115" s="1585"/>
      <c r="AC115" s="1585"/>
      <c r="AD115" s="1601">
        <f t="shared" si="17"/>
        <v>31281.3128</v>
      </c>
      <c r="AE115" s="1790">
        <v>31281.3128</v>
      </c>
      <c r="AF115" s="1792"/>
    </row>
    <row r="116" spans="1:32" s="1602" customFormat="1" ht="26.1" customHeight="1">
      <c r="A116" s="2918" t="s">
        <v>1246</v>
      </c>
      <c r="B116" s="2919" t="s">
        <v>1732</v>
      </c>
      <c r="C116" s="2920" t="s">
        <v>420</v>
      </c>
      <c r="D116" s="2917">
        <v>23605.462299999999</v>
      </c>
      <c r="E116" s="1598" t="s">
        <v>2496</v>
      </c>
      <c r="F116" s="1583"/>
      <c r="G116" s="1585"/>
      <c r="H116" s="1583"/>
      <c r="I116" s="1585">
        <f t="shared" ref="I116" si="35">I117</f>
        <v>4252.9283999999998</v>
      </c>
      <c r="J116" s="1585">
        <f t="shared" si="32"/>
        <v>6957.4036000000006</v>
      </c>
      <c r="K116" s="1585">
        <f t="shared" si="32"/>
        <v>7109.39</v>
      </c>
      <c r="L116" s="1583"/>
      <c r="M116" s="1585">
        <f t="shared" ref="M116" si="36">M117</f>
        <v>5285.74</v>
      </c>
      <c r="N116" s="1583"/>
      <c r="O116" s="1583"/>
      <c r="P116" s="1583"/>
      <c r="Q116" s="1583"/>
      <c r="R116" s="1600"/>
      <c r="S116" s="1600"/>
      <c r="T116" s="1585"/>
      <c r="U116" s="1585"/>
      <c r="V116" s="1585"/>
      <c r="W116" s="1585"/>
      <c r="X116" s="1585"/>
      <c r="Y116" s="1585"/>
      <c r="Z116" s="1585"/>
      <c r="AA116" s="1585"/>
      <c r="AB116" s="1585"/>
      <c r="AC116" s="1585"/>
      <c r="AD116" s="1601">
        <f t="shared" si="17"/>
        <v>23605.462</v>
      </c>
      <c r="AE116" s="1790">
        <v>23605.462</v>
      </c>
      <c r="AF116" s="1792"/>
    </row>
    <row r="117" spans="1:32" s="1602" customFormat="1" ht="26.1" customHeight="1">
      <c r="A117" s="2918"/>
      <c r="B117" s="2919"/>
      <c r="C117" s="2920"/>
      <c r="D117" s="2917"/>
      <c r="E117" s="1603" t="s">
        <v>2497</v>
      </c>
      <c r="F117" s="1583"/>
      <c r="G117" s="1604"/>
      <c r="H117" s="1583"/>
      <c r="I117" s="1583">
        <v>4252.9283999999998</v>
      </c>
      <c r="J117" s="1583">
        <v>6957.4036000000006</v>
      </c>
      <c r="K117" s="1604">
        <v>7109.39</v>
      </c>
      <c r="L117" s="1583"/>
      <c r="M117" s="1604">
        <v>5285.74</v>
      </c>
      <c r="N117" s="1583"/>
      <c r="O117" s="1583"/>
      <c r="P117" s="1583"/>
      <c r="Q117" s="1583"/>
      <c r="R117" s="1600"/>
      <c r="S117" s="1600"/>
      <c r="T117" s="1585"/>
      <c r="U117" s="1585"/>
      <c r="V117" s="1585"/>
      <c r="W117" s="1585"/>
      <c r="X117" s="1585"/>
      <c r="Y117" s="1585"/>
      <c r="Z117" s="1585"/>
      <c r="AA117" s="1585"/>
      <c r="AB117" s="1585"/>
      <c r="AC117" s="1585"/>
      <c r="AD117" s="1601">
        <f t="shared" si="17"/>
        <v>23605.462</v>
      </c>
      <c r="AE117" s="1790">
        <v>23605.462</v>
      </c>
      <c r="AF117" s="1792"/>
    </row>
    <row r="118" spans="1:32" s="1602" customFormat="1" ht="26.1" customHeight="1">
      <c r="A118" s="1594">
        <v>3</v>
      </c>
      <c r="B118" s="1614" t="s">
        <v>1736</v>
      </c>
      <c r="C118" s="1596"/>
      <c r="D118" s="1597"/>
      <c r="E118" s="1600"/>
      <c r="F118" s="1583"/>
      <c r="G118" s="1605"/>
      <c r="H118" s="1605"/>
      <c r="I118" s="1605"/>
      <c r="J118" s="1583"/>
      <c r="K118" s="1605"/>
      <c r="L118" s="1583"/>
      <c r="M118" s="1583"/>
      <c r="N118" s="1583"/>
      <c r="O118" s="1583"/>
      <c r="P118" s="1583"/>
      <c r="Q118" s="1583"/>
      <c r="R118" s="1600"/>
      <c r="S118" s="1600"/>
      <c r="T118" s="1585"/>
      <c r="U118" s="1585"/>
      <c r="V118" s="1585"/>
      <c r="W118" s="1585"/>
      <c r="X118" s="1585"/>
      <c r="Y118" s="1585"/>
      <c r="Z118" s="1585"/>
      <c r="AA118" s="1585"/>
      <c r="AB118" s="1585"/>
      <c r="AC118" s="1585"/>
      <c r="AD118" s="1601">
        <f t="shared" si="17"/>
        <v>0</v>
      </c>
      <c r="AE118" s="1790">
        <v>0</v>
      </c>
      <c r="AF118" s="1792"/>
    </row>
    <row r="119" spans="1:32" s="1602" customFormat="1" ht="26.1" customHeight="1">
      <c r="A119" s="1594">
        <v>3.1</v>
      </c>
      <c r="B119" s="1614" t="s">
        <v>1737</v>
      </c>
      <c r="C119" s="1596"/>
      <c r="D119" s="1597"/>
      <c r="E119" s="1600"/>
      <c r="F119" s="1583"/>
      <c r="G119" s="1583"/>
      <c r="H119" s="1583"/>
      <c r="I119" s="1583"/>
      <c r="J119" s="1583"/>
      <c r="K119" s="1583"/>
      <c r="L119" s="1583"/>
      <c r="M119" s="1583"/>
      <c r="N119" s="1583"/>
      <c r="O119" s="1583"/>
      <c r="P119" s="1583"/>
      <c r="Q119" s="1583"/>
      <c r="R119" s="1600"/>
      <c r="S119" s="1600"/>
      <c r="T119" s="1585"/>
      <c r="U119" s="1585"/>
      <c r="V119" s="1585"/>
      <c r="W119" s="1585"/>
      <c r="X119" s="1585"/>
      <c r="Y119" s="1585"/>
      <c r="Z119" s="1585"/>
      <c r="AA119" s="1585"/>
      <c r="AB119" s="1585"/>
      <c r="AC119" s="1585"/>
      <c r="AD119" s="1601">
        <f t="shared" si="17"/>
        <v>0</v>
      </c>
      <c r="AE119" s="1790">
        <v>0</v>
      </c>
      <c r="AF119" s="1792"/>
    </row>
    <row r="120" spans="1:32" s="1602" customFormat="1" ht="26.1" customHeight="1">
      <c r="A120" s="2918" t="s">
        <v>1249</v>
      </c>
      <c r="B120" s="2919" t="s">
        <v>1738</v>
      </c>
      <c r="C120" s="2920" t="s">
        <v>2147</v>
      </c>
      <c r="D120" s="2917">
        <f>242622.4476-33355.52</f>
        <v>209266.92760000002</v>
      </c>
      <c r="E120" s="1598" t="s">
        <v>2496</v>
      </c>
      <c r="F120" s="1583"/>
      <c r="G120" s="1585"/>
      <c r="H120" s="1605"/>
      <c r="I120" s="1605"/>
      <c r="J120" s="1583"/>
      <c r="K120" s="1585">
        <f t="shared" ref="K120:Q135" si="37">K121</f>
        <v>20495.23</v>
      </c>
      <c r="L120" s="1585">
        <f t="shared" si="37"/>
        <v>39547.72948799999</v>
      </c>
      <c r="M120" s="1585">
        <f t="shared" si="37"/>
        <v>24441.87</v>
      </c>
      <c r="N120" s="1585">
        <f t="shared" si="37"/>
        <v>41538.82</v>
      </c>
      <c r="O120" s="1585">
        <f t="shared" si="37"/>
        <v>38759.603999999999</v>
      </c>
      <c r="P120" s="1585">
        <f t="shared" si="37"/>
        <v>25701.09</v>
      </c>
      <c r="Q120" s="1585">
        <f t="shared" si="37"/>
        <v>3862.9619999999995</v>
      </c>
      <c r="R120" s="1600"/>
      <c r="S120" s="1585">
        <f t="shared" ref="S120" si="38">S121</f>
        <v>1568.74</v>
      </c>
      <c r="T120" s="1585">
        <v>1879.08</v>
      </c>
      <c r="U120" s="1585">
        <v>581.67840000000001</v>
      </c>
      <c r="V120" s="1585">
        <v>2233.29</v>
      </c>
      <c r="W120" s="1585">
        <v>532.92999999999995</v>
      </c>
      <c r="X120" s="1585"/>
      <c r="Y120" s="1585"/>
      <c r="Z120" s="1585">
        <v>8123.9037120000576</v>
      </c>
      <c r="AA120" s="1585"/>
      <c r="AB120" s="1585"/>
      <c r="AC120" s="1585"/>
      <c r="AD120" s="1601">
        <f t="shared" si="17"/>
        <v>209266.92760000002</v>
      </c>
      <c r="AE120" s="1790">
        <v>209266.92760000002</v>
      </c>
      <c r="AF120" s="1792"/>
    </row>
    <row r="121" spans="1:32" s="1602" customFormat="1" ht="26.1" customHeight="1">
      <c r="A121" s="2918"/>
      <c r="B121" s="2919"/>
      <c r="C121" s="2920"/>
      <c r="D121" s="2917"/>
      <c r="E121" s="1603" t="s">
        <v>2497</v>
      </c>
      <c r="F121" s="1583"/>
      <c r="G121" s="1604"/>
      <c r="H121" s="1605"/>
      <c r="I121" s="1605"/>
      <c r="J121" s="1583"/>
      <c r="K121" s="1604">
        <v>20495.23</v>
      </c>
      <c r="L121" s="1604">
        <v>39547.72948799999</v>
      </c>
      <c r="M121" s="1604">
        <v>24441.87</v>
      </c>
      <c r="N121" s="1604">
        <v>41538.82</v>
      </c>
      <c r="O121" s="1604">
        <v>38759.603999999999</v>
      </c>
      <c r="P121" s="1604">
        <v>25701.09</v>
      </c>
      <c r="Q121" s="1604">
        <v>3862.9619999999995</v>
      </c>
      <c r="R121" s="1600"/>
      <c r="S121" s="1604">
        <v>1568.74</v>
      </c>
      <c r="T121" s="1604">
        <f>T120</f>
        <v>1879.08</v>
      </c>
      <c r="U121" s="1604">
        <v>581.67840000000001</v>
      </c>
      <c r="V121" s="1604">
        <v>2233.29</v>
      </c>
      <c r="W121" s="1604">
        <v>532.92999999999995</v>
      </c>
      <c r="X121" s="1585"/>
      <c r="Y121" s="1585"/>
      <c r="Z121" s="1585"/>
      <c r="AA121" s="1585"/>
      <c r="AB121" s="1585"/>
      <c r="AC121" s="1585"/>
      <c r="AD121" s="1601">
        <f t="shared" si="17"/>
        <v>201143.02388799997</v>
      </c>
      <c r="AE121" s="1790">
        <v>201143.02388799997</v>
      </c>
      <c r="AF121" s="1792"/>
    </row>
    <row r="122" spans="1:32" s="1602" customFormat="1" ht="26.1" customHeight="1">
      <c r="A122" s="2918" t="s">
        <v>1250</v>
      </c>
      <c r="B122" s="2919" t="s">
        <v>1739</v>
      </c>
      <c r="C122" s="2920" t="s">
        <v>2147</v>
      </c>
      <c r="D122" s="2917">
        <f>199453.0056-90649.28</f>
        <v>108803.72560000001</v>
      </c>
      <c r="E122" s="1598" t="s">
        <v>2496</v>
      </c>
      <c r="F122" s="1583"/>
      <c r="G122" s="1585"/>
      <c r="H122" s="1583"/>
      <c r="I122" s="1583"/>
      <c r="J122" s="1583"/>
      <c r="K122" s="1585">
        <f t="shared" si="37"/>
        <v>3210.29</v>
      </c>
      <c r="L122" s="1585">
        <f t="shared" si="37"/>
        <v>13390.38841</v>
      </c>
      <c r="M122" s="1585">
        <f t="shared" si="37"/>
        <v>19563.400000000001</v>
      </c>
      <c r="N122" s="1585">
        <f t="shared" si="37"/>
        <v>26019.01</v>
      </c>
      <c r="O122" s="1585">
        <f t="shared" si="37"/>
        <v>26825.618600000002</v>
      </c>
      <c r="P122" s="1585">
        <f t="shared" si="37"/>
        <v>7293.19</v>
      </c>
      <c r="Q122" s="1585">
        <f t="shared" si="37"/>
        <v>993.79079999999999</v>
      </c>
      <c r="R122" s="1600"/>
      <c r="S122" s="1585">
        <f t="shared" ref="S122" si="39">S123</f>
        <v>659.83</v>
      </c>
      <c r="T122" s="1585">
        <v>4994.54</v>
      </c>
      <c r="U122" s="1585"/>
      <c r="V122" s="1585">
        <v>4656.54</v>
      </c>
      <c r="W122" s="1585"/>
      <c r="X122" s="1585">
        <v>1197.1300000000001</v>
      </c>
      <c r="Y122" s="1585"/>
      <c r="Z122" s="1585"/>
      <c r="AA122" s="1585"/>
      <c r="AB122" s="1585"/>
      <c r="AC122" s="1585"/>
      <c r="AD122" s="1601">
        <f t="shared" si="17"/>
        <v>108803.72781</v>
      </c>
      <c r="AE122" s="1790">
        <v>108803.72781</v>
      </c>
      <c r="AF122" s="1792"/>
    </row>
    <row r="123" spans="1:32" s="1602" customFormat="1" ht="26.1" customHeight="1">
      <c r="A123" s="2918"/>
      <c r="B123" s="2919"/>
      <c r="C123" s="2920"/>
      <c r="D123" s="2917"/>
      <c r="E123" s="1603" t="s">
        <v>2497</v>
      </c>
      <c r="F123" s="1583"/>
      <c r="G123" s="1604"/>
      <c r="H123" s="1583"/>
      <c r="I123" s="1583"/>
      <c r="J123" s="1583"/>
      <c r="K123" s="1604">
        <v>3210.29</v>
      </c>
      <c r="L123" s="1604">
        <v>13390.38841</v>
      </c>
      <c r="M123" s="1604">
        <v>19563.400000000001</v>
      </c>
      <c r="N123" s="1604">
        <v>26019.01</v>
      </c>
      <c r="O123" s="1604">
        <v>26825.618600000002</v>
      </c>
      <c r="P123" s="1604">
        <v>7293.19</v>
      </c>
      <c r="Q123" s="1604">
        <v>993.79079999999999</v>
      </c>
      <c r="R123" s="1600"/>
      <c r="S123" s="1604">
        <v>659.83</v>
      </c>
      <c r="T123" s="1604">
        <f>T122</f>
        <v>4994.54</v>
      </c>
      <c r="U123" s="1585"/>
      <c r="V123" s="1604">
        <v>4656.54</v>
      </c>
      <c r="W123" s="1585"/>
      <c r="X123" s="1604">
        <v>1197.1300000000001</v>
      </c>
      <c r="Y123" s="1585"/>
      <c r="Z123" s="1585"/>
      <c r="AA123" s="1585"/>
      <c r="AB123" s="1585"/>
      <c r="AC123" s="1585"/>
      <c r="AD123" s="1601">
        <f t="shared" si="17"/>
        <v>108803.72781</v>
      </c>
      <c r="AE123" s="1790">
        <v>108803.72781</v>
      </c>
      <c r="AF123" s="1792"/>
    </row>
    <row r="124" spans="1:32" s="1602" customFormat="1" ht="26.1" customHeight="1">
      <c r="A124" s="1594">
        <v>3.3</v>
      </c>
      <c r="B124" s="1614" t="s">
        <v>1744</v>
      </c>
      <c r="C124" s="1591"/>
      <c r="D124" s="1592"/>
      <c r="E124" s="1600"/>
      <c r="F124" s="1583"/>
      <c r="G124" s="1583"/>
      <c r="H124" s="1583"/>
      <c r="I124" s="1583"/>
      <c r="J124" s="1583"/>
      <c r="K124" s="1583"/>
      <c r="L124" s="1583"/>
      <c r="M124" s="1583"/>
      <c r="N124" s="1583"/>
      <c r="O124" s="1583"/>
      <c r="P124" s="1583"/>
      <c r="Q124" s="1583"/>
      <c r="R124" s="1600"/>
      <c r="S124" s="1600"/>
      <c r="T124" s="1585"/>
      <c r="U124" s="1585"/>
      <c r="V124" s="1585"/>
      <c r="W124" s="1585"/>
      <c r="X124" s="1585"/>
      <c r="Y124" s="1585"/>
      <c r="Z124" s="1585"/>
      <c r="AA124" s="1585"/>
      <c r="AB124" s="1585"/>
      <c r="AC124" s="1585"/>
      <c r="AD124" s="1601">
        <f t="shared" si="17"/>
        <v>0</v>
      </c>
      <c r="AE124" s="1790">
        <v>0</v>
      </c>
      <c r="AF124" s="1792"/>
    </row>
    <row r="125" spans="1:32" s="1985" customFormat="1" ht="26.1" customHeight="1">
      <c r="A125" s="2921" t="s">
        <v>1254</v>
      </c>
      <c r="B125" s="2922" t="s">
        <v>1745</v>
      </c>
      <c r="C125" s="2923" t="s">
        <v>2147</v>
      </c>
      <c r="D125" s="2924">
        <f>42221.3064-13018.81</f>
        <v>29202.496400000004</v>
      </c>
      <c r="E125" s="1978" t="s">
        <v>2496</v>
      </c>
      <c r="F125" s="1987"/>
      <c r="G125" s="1979"/>
      <c r="H125" s="1979"/>
      <c r="I125" s="1979"/>
      <c r="J125" s="1987"/>
      <c r="K125" s="1980">
        <f t="shared" si="37"/>
        <v>149.81</v>
      </c>
      <c r="L125" s="1980">
        <f t="shared" si="37"/>
        <v>6973.5922880000016</v>
      </c>
      <c r="M125" s="1980">
        <f t="shared" si="37"/>
        <v>2990.3353999999995</v>
      </c>
      <c r="N125" s="1980">
        <f t="shared" si="37"/>
        <v>14359.01</v>
      </c>
      <c r="O125" s="1980">
        <f t="shared" si="37"/>
        <v>2697.279</v>
      </c>
      <c r="P125" s="1980">
        <f t="shared" si="37"/>
        <v>1589.3643999999999</v>
      </c>
      <c r="Q125" s="1987"/>
      <c r="R125" s="1981"/>
      <c r="S125" s="1981"/>
      <c r="T125" s="1980"/>
      <c r="U125" s="1980"/>
      <c r="V125" s="1980"/>
      <c r="W125" s="1980">
        <v>443.11</v>
      </c>
      <c r="X125" s="1980"/>
      <c r="Y125" s="1980"/>
      <c r="Z125" s="1980"/>
      <c r="AA125" s="1980"/>
      <c r="AB125" s="1980"/>
      <c r="AC125" s="1980"/>
      <c r="AD125" s="1982">
        <f t="shared" si="17"/>
        <v>29202.501088000001</v>
      </c>
      <c r="AE125" s="1983">
        <v>31873.907088</v>
      </c>
      <c r="AF125" s="1984"/>
    </row>
    <row r="126" spans="1:32" s="1985" customFormat="1" ht="26.1" customHeight="1">
      <c r="A126" s="2921"/>
      <c r="B126" s="2922"/>
      <c r="C126" s="2923"/>
      <c r="D126" s="2924"/>
      <c r="E126" s="1978" t="s">
        <v>2497</v>
      </c>
      <c r="F126" s="1987"/>
      <c r="G126" s="1979"/>
      <c r="H126" s="1979"/>
      <c r="I126" s="1979"/>
      <c r="J126" s="1987"/>
      <c r="K126" s="1986">
        <v>149.81</v>
      </c>
      <c r="L126" s="1986">
        <v>6973.5922880000016</v>
      </c>
      <c r="M126" s="1986">
        <v>2990.3353999999995</v>
      </c>
      <c r="N126" s="1986">
        <v>14359.01</v>
      </c>
      <c r="O126" s="1986">
        <v>2697.279</v>
      </c>
      <c r="P126" s="1986">
        <v>1589.3643999999999</v>
      </c>
      <c r="Q126" s="1987"/>
      <c r="R126" s="1981"/>
      <c r="S126" s="1981"/>
      <c r="T126" s="1980"/>
      <c r="U126" s="1986">
        <v>2671.3959999999997</v>
      </c>
      <c r="V126" s="1980"/>
      <c r="W126" s="1986">
        <v>443.12</v>
      </c>
      <c r="X126" s="1980"/>
      <c r="Y126" s="1980"/>
      <c r="Z126" s="1980"/>
      <c r="AA126" s="1980"/>
      <c r="AB126" s="1980"/>
      <c r="AC126" s="1980"/>
      <c r="AD126" s="1982">
        <f t="shared" si="17"/>
        <v>31873.907088</v>
      </c>
      <c r="AE126" s="1983">
        <v>31873.907088</v>
      </c>
      <c r="AF126" s="1984"/>
    </row>
    <row r="127" spans="1:32" s="1602" customFormat="1" ht="26.1" customHeight="1">
      <c r="A127" s="2918" t="s">
        <v>1255</v>
      </c>
      <c r="B127" s="2919" t="s">
        <v>1746</v>
      </c>
      <c r="C127" s="2920" t="s">
        <v>2147</v>
      </c>
      <c r="D127" s="2917">
        <f>203517.522-41008.22</f>
        <v>162509.302</v>
      </c>
      <c r="E127" s="1598" t="s">
        <v>2496</v>
      </c>
      <c r="F127" s="1583"/>
      <c r="G127" s="1583"/>
      <c r="H127" s="1583"/>
      <c r="I127" s="1583"/>
      <c r="J127" s="1583"/>
      <c r="K127" s="1585">
        <f t="shared" si="37"/>
        <v>8339.0499999999993</v>
      </c>
      <c r="L127" s="1585">
        <f t="shared" si="37"/>
        <v>23661.898065000001</v>
      </c>
      <c r="M127" s="1585">
        <f t="shared" si="37"/>
        <v>15931.103499999997</v>
      </c>
      <c r="N127" s="1585">
        <f t="shared" si="37"/>
        <v>11668.17</v>
      </c>
      <c r="O127" s="1585">
        <f t="shared" si="37"/>
        <v>21049.236000000001</v>
      </c>
      <c r="P127" s="1585">
        <f t="shared" si="37"/>
        <v>31166.375499999998</v>
      </c>
      <c r="Q127" s="1585">
        <f t="shared" si="37"/>
        <v>7387.1134999999995</v>
      </c>
      <c r="R127" s="1600"/>
      <c r="S127" s="1585">
        <f t="shared" ref="S127:S139" si="40">S128</f>
        <v>19609.34</v>
      </c>
      <c r="T127" s="1585">
        <v>9884.49</v>
      </c>
      <c r="U127" s="1585"/>
      <c r="V127" s="1585">
        <v>4625.91</v>
      </c>
      <c r="W127" s="1585">
        <v>676.64</v>
      </c>
      <c r="X127" s="1585">
        <v>508.48</v>
      </c>
      <c r="Y127" s="1585"/>
      <c r="Z127" s="1585">
        <v>8001.4954349999898</v>
      </c>
      <c r="AA127" s="1585"/>
      <c r="AB127" s="1585"/>
      <c r="AC127" s="1585"/>
      <c r="AD127" s="1601">
        <f t="shared" si="17"/>
        <v>162509.302</v>
      </c>
      <c r="AE127" s="1790">
        <v>154507.80656500001</v>
      </c>
      <c r="AF127" s="1792"/>
    </row>
    <row r="128" spans="1:32" s="1602" customFormat="1" ht="26.1" customHeight="1">
      <c r="A128" s="2918"/>
      <c r="B128" s="2919"/>
      <c r="C128" s="2920"/>
      <c r="D128" s="2917"/>
      <c r="E128" s="1603" t="s">
        <v>2497</v>
      </c>
      <c r="F128" s="1583"/>
      <c r="G128" s="1583"/>
      <c r="H128" s="1583"/>
      <c r="I128" s="1583"/>
      <c r="J128" s="1583"/>
      <c r="K128" s="1604">
        <v>8339.0499999999993</v>
      </c>
      <c r="L128" s="1604">
        <v>23661.898065000001</v>
      </c>
      <c r="M128" s="1604">
        <v>15931.103499999997</v>
      </c>
      <c r="N128" s="1604">
        <v>11668.17</v>
      </c>
      <c r="O128" s="1604">
        <v>21049.236000000001</v>
      </c>
      <c r="P128" s="1604">
        <v>31166.375499999998</v>
      </c>
      <c r="Q128" s="1604">
        <v>7387.1134999999995</v>
      </c>
      <c r="R128" s="1600"/>
      <c r="S128" s="1604">
        <v>19609.34</v>
      </c>
      <c r="T128" s="1604">
        <f>T127</f>
        <v>9884.49</v>
      </c>
      <c r="U128" s="1604"/>
      <c r="V128" s="1604">
        <v>4625.91</v>
      </c>
      <c r="W128" s="1604">
        <v>676.64</v>
      </c>
      <c r="X128" s="1604">
        <v>508.48</v>
      </c>
      <c r="Y128" s="1585"/>
      <c r="Z128" s="1585"/>
      <c r="AA128" s="1585"/>
      <c r="AB128" s="1585"/>
      <c r="AC128" s="1585"/>
      <c r="AD128" s="1601">
        <f t="shared" si="17"/>
        <v>154507.80656500001</v>
      </c>
      <c r="AE128" s="1790">
        <v>154507.80656500001</v>
      </c>
      <c r="AF128" s="1792"/>
    </row>
    <row r="129" spans="1:32" s="1602" customFormat="1" ht="26.1" customHeight="1">
      <c r="A129" s="2918" t="s">
        <v>1256</v>
      </c>
      <c r="B129" s="2919" t="s">
        <v>1747</v>
      </c>
      <c r="C129" s="2920" t="s">
        <v>2147</v>
      </c>
      <c r="D129" s="2917">
        <f>71084.0104-16956.42</f>
        <v>54127.590400000001</v>
      </c>
      <c r="E129" s="1598" t="s">
        <v>2496</v>
      </c>
      <c r="F129" s="1583"/>
      <c r="G129" s="1583"/>
      <c r="H129" s="1583"/>
      <c r="I129" s="1583"/>
      <c r="J129" s="1585">
        <f t="shared" ref="J129" si="41">J130</f>
        <v>3953.846</v>
      </c>
      <c r="K129" s="1585">
        <f t="shared" si="37"/>
        <v>8389.5499999999993</v>
      </c>
      <c r="L129" s="1585">
        <f t="shared" si="37"/>
        <v>1597.4383749999997</v>
      </c>
      <c r="M129" s="1585">
        <f t="shared" si="37"/>
        <v>2686.5474999999997</v>
      </c>
      <c r="N129" s="1585">
        <f t="shared" si="37"/>
        <v>3233.88</v>
      </c>
      <c r="O129" s="1585">
        <f t="shared" si="37"/>
        <v>7430.2227999999996</v>
      </c>
      <c r="P129" s="1585">
        <f t="shared" si="37"/>
        <v>3810.9811999999997</v>
      </c>
      <c r="Q129" s="1585">
        <f t="shared" si="37"/>
        <v>3210.3851</v>
      </c>
      <c r="R129" s="1600"/>
      <c r="S129" s="1585">
        <f t="shared" si="40"/>
        <v>1145.74</v>
      </c>
      <c r="T129" s="1585">
        <v>8566.8799999999992</v>
      </c>
      <c r="U129" s="1585">
        <v>267.87150000000003</v>
      </c>
      <c r="V129" s="1585">
        <v>645.71</v>
      </c>
      <c r="W129" s="1585">
        <v>1707.8</v>
      </c>
      <c r="X129" s="1585">
        <v>1214.6600000000001</v>
      </c>
      <c r="Y129" s="1585">
        <v>249.0735</v>
      </c>
      <c r="Z129" s="1585">
        <v>6017.0044249999992</v>
      </c>
      <c r="AA129" s="1585"/>
      <c r="AB129" s="1585"/>
      <c r="AC129" s="1585"/>
      <c r="AD129" s="1601">
        <f t="shared" si="17"/>
        <v>54127.590400000001</v>
      </c>
      <c r="AE129" s="1790">
        <v>48110.585975000002</v>
      </c>
      <c r="AF129" s="1792"/>
    </row>
    <row r="130" spans="1:32" s="1602" customFormat="1" ht="26.1" customHeight="1">
      <c r="A130" s="2918"/>
      <c r="B130" s="2919"/>
      <c r="C130" s="2920"/>
      <c r="D130" s="2917"/>
      <c r="E130" s="1603" t="s">
        <v>2497</v>
      </c>
      <c r="F130" s="1583"/>
      <c r="G130" s="1583"/>
      <c r="H130" s="1583"/>
      <c r="I130" s="1583"/>
      <c r="J130" s="1583">
        <v>3953.846</v>
      </c>
      <c r="K130" s="1604">
        <v>8389.5499999999993</v>
      </c>
      <c r="L130" s="1604">
        <v>1597.4383749999997</v>
      </c>
      <c r="M130" s="1604">
        <v>2686.5474999999997</v>
      </c>
      <c r="N130" s="1604">
        <v>3233.88</v>
      </c>
      <c r="O130" s="1604">
        <v>7430.2227999999996</v>
      </c>
      <c r="P130" s="1604">
        <v>3810.9811999999997</v>
      </c>
      <c r="Q130" s="1604">
        <v>3210.3851</v>
      </c>
      <c r="R130" s="1600"/>
      <c r="S130" s="1604">
        <v>1145.74</v>
      </c>
      <c r="T130" s="1604">
        <f>T129</f>
        <v>8566.8799999999992</v>
      </c>
      <c r="U130" s="1604">
        <v>267.87150000000003</v>
      </c>
      <c r="V130" s="1604">
        <v>645.71</v>
      </c>
      <c r="W130" s="1604">
        <v>1707.8</v>
      </c>
      <c r="X130" s="1604">
        <v>1214.6600000000001</v>
      </c>
      <c r="Y130" s="1604">
        <v>249.0735</v>
      </c>
      <c r="Z130" s="1585"/>
      <c r="AA130" s="1585"/>
      <c r="AB130" s="1585"/>
      <c r="AC130" s="1585"/>
      <c r="AD130" s="1601">
        <f t="shared" si="17"/>
        <v>48110.585975000002</v>
      </c>
      <c r="AE130" s="1790">
        <v>48110.585975000002</v>
      </c>
      <c r="AF130" s="1792"/>
    </row>
    <row r="131" spans="1:32" s="1602" customFormat="1" ht="26.1" customHeight="1">
      <c r="A131" s="2918" t="s">
        <v>1257</v>
      </c>
      <c r="B131" s="2919" t="s">
        <v>1748</v>
      </c>
      <c r="C131" s="2920" t="s">
        <v>2147</v>
      </c>
      <c r="D131" s="2917">
        <v>637.22360000000003</v>
      </c>
      <c r="E131" s="1598" t="s">
        <v>2496</v>
      </c>
      <c r="F131" s="1583"/>
      <c r="G131" s="1605"/>
      <c r="H131" s="1605"/>
      <c r="I131" s="1605"/>
      <c r="J131" s="1585">
        <f t="shared" ref="J131" si="42">J132</f>
        <v>637.22360000000003</v>
      </c>
      <c r="K131" s="1605"/>
      <c r="L131" s="1583"/>
      <c r="M131" s="1583"/>
      <c r="N131" s="1585"/>
      <c r="O131" s="1583"/>
      <c r="P131" s="1583"/>
      <c r="Q131" s="1618"/>
      <c r="R131" s="1600"/>
      <c r="S131" s="1585"/>
      <c r="T131" s="1585"/>
      <c r="U131" s="1585"/>
      <c r="V131" s="1585"/>
      <c r="W131" s="1585"/>
      <c r="X131" s="1585"/>
      <c r="Y131" s="1585"/>
      <c r="Z131" s="1585"/>
      <c r="AA131" s="1585"/>
      <c r="AB131" s="1585"/>
      <c r="AC131" s="1585"/>
      <c r="AD131" s="1601">
        <f t="shared" si="17"/>
        <v>637.22360000000003</v>
      </c>
      <c r="AE131" s="1790">
        <v>637.22360000000003</v>
      </c>
      <c r="AF131" s="1792"/>
    </row>
    <row r="132" spans="1:32" s="1602" customFormat="1" ht="26.1" customHeight="1">
      <c r="A132" s="2918"/>
      <c r="B132" s="2919"/>
      <c r="C132" s="2920"/>
      <c r="D132" s="2917"/>
      <c r="E132" s="1603" t="s">
        <v>2497</v>
      </c>
      <c r="F132" s="1583"/>
      <c r="G132" s="1605"/>
      <c r="H132" s="1605"/>
      <c r="I132" s="1605"/>
      <c r="J132" s="1583">
        <v>637.22360000000003</v>
      </c>
      <c r="K132" s="1605"/>
      <c r="L132" s="1583"/>
      <c r="M132" s="1583"/>
      <c r="N132" s="1604"/>
      <c r="O132" s="1583"/>
      <c r="P132" s="1583"/>
      <c r="Q132" s="1583"/>
      <c r="R132" s="1600"/>
      <c r="S132" s="1604"/>
      <c r="T132" s="1585"/>
      <c r="U132" s="1585"/>
      <c r="V132" s="1585"/>
      <c r="W132" s="1585"/>
      <c r="X132" s="1585"/>
      <c r="Y132" s="1585"/>
      <c r="Z132" s="1585"/>
      <c r="AA132" s="1585"/>
      <c r="AB132" s="1585"/>
      <c r="AC132" s="1585"/>
      <c r="AD132" s="1601">
        <f t="shared" si="17"/>
        <v>637.22360000000003</v>
      </c>
      <c r="AE132" s="1790">
        <v>637.22360000000003</v>
      </c>
      <c r="AF132" s="1792"/>
    </row>
    <row r="133" spans="1:32" s="1602" customFormat="1" ht="26.1" customHeight="1">
      <c r="A133" s="2918" t="s">
        <v>1258</v>
      </c>
      <c r="B133" s="2919" t="s">
        <v>1749</v>
      </c>
      <c r="C133" s="2920" t="s">
        <v>2147</v>
      </c>
      <c r="D133" s="2917">
        <f>101884.3917-17076.96</f>
        <v>84807.431699999986</v>
      </c>
      <c r="E133" s="1598" t="s">
        <v>2496</v>
      </c>
      <c r="F133" s="1583"/>
      <c r="G133" s="1583"/>
      <c r="H133" s="1583"/>
      <c r="I133" s="1583"/>
      <c r="J133" s="1585">
        <f t="shared" ref="J133:K135" si="43">J134</f>
        <v>7113.5688</v>
      </c>
      <c r="K133" s="1585">
        <f t="shared" si="43"/>
        <v>8091.85</v>
      </c>
      <c r="L133" s="1583"/>
      <c r="M133" s="1585">
        <f t="shared" ref="L133:Q135" si="44">M134</f>
        <v>6483.7916000000005</v>
      </c>
      <c r="N133" s="1585">
        <f t="shared" si="37"/>
        <v>10502.82</v>
      </c>
      <c r="O133" s="1585">
        <f t="shared" si="44"/>
        <v>19959.006600000001</v>
      </c>
      <c r="P133" s="1585">
        <f t="shared" si="44"/>
        <v>8378.73</v>
      </c>
      <c r="Q133" s="1585">
        <f t="shared" si="44"/>
        <v>1292.0518</v>
      </c>
      <c r="R133" s="1600"/>
      <c r="S133" s="1585">
        <f t="shared" si="40"/>
        <v>4958.66</v>
      </c>
      <c r="T133" s="1585">
        <v>14097.71</v>
      </c>
      <c r="U133" s="1585">
        <v>938.5</v>
      </c>
      <c r="V133" s="1585">
        <v>750.24</v>
      </c>
      <c r="W133" s="1585">
        <v>140.08000000000001</v>
      </c>
      <c r="X133" s="1585"/>
      <c r="Y133" s="1585"/>
      <c r="Z133" s="1585">
        <v>2100.4228999999759</v>
      </c>
      <c r="AA133" s="1585"/>
      <c r="AB133" s="1585"/>
      <c r="AC133" s="1585"/>
      <c r="AD133" s="1601">
        <f t="shared" si="17"/>
        <v>84807.431699999986</v>
      </c>
      <c r="AE133" s="1790">
        <v>82707.008800000011</v>
      </c>
      <c r="AF133" s="1792"/>
    </row>
    <row r="134" spans="1:32" s="1602" customFormat="1" ht="26.1" customHeight="1">
      <c r="A134" s="2918"/>
      <c r="B134" s="2919"/>
      <c r="C134" s="2920"/>
      <c r="D134" s="2917"/>
      <c r="E134" s="1603" t="s">
        <v>2497</v>
      </c>
      <c r="F134" s="1583"/>
      <c r="G134" s="1583"/>
      <c r="H134" s="1583"/>
      <c r="I134" s="1583"/>
      <c r="J134" s="1583">
        <v>7113.5688</v>
      </c>
      <c r="K134" s="1604">
        <v>8091.85</v>
      </c>
      <c r="L134" s="1583"/>
      <c r="M134" s="1604">
        <v>6483.7916000000005</v>
      </c>
      <c r="N134" s="1604">
        <v>10502.82</v>
      </c>
      <c r="O134" s="1604">
        <v>19959.006600000001</v>
      </c>
      <c r="P134" s="1604">
        <v>8378.73</v>
      </c>
      <c r="Q134" s="1604">
        <v>1292.0518</v>
      </c>
      <c r="R134" s="1600"/>
      <c r="S134" s="1604">
        <v>4958.66</v>
      </c>
      <c r="T134" s="1604">
        <f>T133</f>
        <v>14097.71</v>
      </c>
      <c r="U134" s="1604">
        <v>938.5</v>
      </c>
      <c r="V134" s="1604">
        <v>750.24</v>
      </c>
      <c r="W134" s="1604">
        <v>140.08000000000001</v>
      </c>
      <c r="X134" s="1585"/>
      <c r="Y134" s="1585"/>
      <c r="Z134" s="1585"/>
      <c r="AA134" s="1585"/>
      <c r="AB134" s="1585"/>
      <c r="AC134" s="1585"/>
      <c r="AD134" s="1601">
        <f t="shared" si="17"/>
        <v>82707.008800000011</v>
      </c>
      <c r="AE134" s="1790">
        <v>82707.008800000011</v>
      </c>
      <c r="AF134" s="1792"/>
    </row>
    <row r="135" spans="1:32" s="1602" customFormat="1" ht="26.1" customHeight="1">
      <c r="A135" s="2918" t="s">
        <v>1259</v>
      </c>
      <c r="B135" s="2919" t="s">
        <v>1750</v>
      </c>
      <c r="C135" s="2920" t="s">
        <v>51</v>
      </c>
      <c r="D135" s="2917">
        <v>13660.167000000001</v>
      </c>
      <c r="E135" s="1598" t="s">
        <v>2496</v>
      </c>
      <c r="F135" s="1583"/>
      <c r="G135" s="1605"/>
      <c r="H135" s="1605"/>
      <c r="I135" s="1605"/>
      <c r="J135" s="1583"/>
      <c r="K135" s="1585">
        <f t="shared" si="43"/>
        <v>1256.28</v>
      </c>
      <c r="L135" s="1585">
        <f t="shared" si="44"/>
        <v>2100.4246250000001</v>
      </c>
      <c r="M135" s="1585">
        <f t="shared" si="44"/>
        <v>1187.8688000000002</v>
      </c>
      <c r="N135" s="1585">
        <f t="shared" si="37"/>
        <v>1397.14</v>
      </c>
      <c r="O135" s="1585">
        <f t="shared" si="44"/>
        <v>6187.6812000000009</v>
      </c>
      <c r="P135" s="1583"/>
      <c r="Q135" s="1583"/>
      <c r="R135" s="1600"/>
      <c r="S135" s="1585"/>
      <c r="T135" s="1585"/>
      <c r="U135" s="1585"/>
      <c r="V135" s="1585"/>
      <c r="W135" s="1585"/>
      <c r="X135" s="1585"/>
      <c r="Y135" s="1585"/>
      <c r="Z135" s="1585">
        <v>1530.7723750000005</v>
      </c>
      <c r="AA135" s="1585"/>
      <c r="AB135" s="1585"/>
      <c r="AC135" s="1585"/>
      <c r="AD135" s="1601">
        <f t="shared" si="17"/>
        <v>13660.167000000001</v>
      </c>
      <c r="AE135" s="1790">
        <v>12129.394625000001</v>
      </c>
      <c r="AF135" s="1792"/>
    </row>
    <row r="136" spans="1:32" s="1602" customFormat="1" ht="26.1" customHeight="1">
      <c r="A136" s="2918"/>
      <c r="B136" s="2919"/>
      <c r="C136" s="2920"/>
      <c r="D136" s="2917"/>
      <c r="E136" s="1603" t="s">
        <v>2497</v>
      </c>
      <c r="F136" s="1583"/>
      <c r="G136" s="1605"/>
      <c r="H136" s="1605"/>
      <c r="I136" s="1605"/>
      <c r="J136" s="1618"/>
      <c r="K136" s="1604">
        <v>1256.28</v>
      </c>
      <c r="L136" s="1604">
        <v>2100.4246250000001</v>
      </c>
      <c r="M136" s="1604">
        <v>1187.8688000000002</v>
      </c>
      <c r="N136" s="1604">
        <v>1397.14</v>
      </c>
      <c r="O136" s="1604">
        <v>6187.6812000000009</v>
      </c>
      <c r="P136" s="1583"/>
      <c r="Q136" s="1583"/>
      <c r="R136" s="1600"/>
      <c r="S136" s="1604"/>
      <c r="T136" s="1585"/>
      <c r="U136" s="1585"/>
      <c r="V136" s="1585"/>
      <c r="W136" s="1585"/>
      <c r="X136" s="1585"/>
      <c r="Y136" s="1585"/>
      <c r="Z136" s="1585"/>
      <c r="AA136" s="1585"/>
      <c r="AB136" s="1585"/>
      <c r="AC136" s="1585"/>
      <c r="AD136" s="1601">
        <f t="shared" si="17"/>
        <v>12129.394625000001</v>
      </c>
      <c r="AE136" s="1790">
        <v>12129.394625000001</v>
      </c>
      <c r="AF136" s="1792"/>
    </row>
    <row r="137" spans="1:32" s="1985" customFormat="1" ht="26.1" customHeight="1">
      <c r="A137" s="2921" t="s">
        <v>1261</v>
      </c>
      <c r="B137" s="2922" t="s">
        <v>1752</v>
      </c>
      <c r="C137" s="2923" t="s">
        <v>2147</v>
      </c>
      <c r="D137" s="2924">
        <f>13536.4703-595.66</f>
        <v>12940.810300000001</v>
      </c>
      <c r="E137" s="1978" t="s">
        <v>2496</v>
      </c>
      <c r="F137" s="1987"/>
      <c r="G137" s="1979"/>
      <c r="H137" s="1979"/>
      <c r="I137" s="1979"/>
      <c r="J137" s="1980">
        <f t="shared" ref="J137:K137" si="45">J138</f>
        <v>196.83</v>
      </c>
      <c r="K137" s="1980">
        <f t="shared" si="45"/>
        <v>1864.5</v>
      </c>
      <c r="L137" s="1987"/>
      <c r="M137" s="1980">
        <f t="shared" ref="M137:P143" si="46">M138</f>
        <v>1330.86</v>
      </c>
      <c r="N137" s="1980">
        <f t="shared" si="46"/>
        <v>665.43</v>
      </c>
      <c r="O137" s="1980">
        <f t="shared" si="46"/>
        <v>987.6</v>
      </c>
      <c r="P137" s="1980">
        <f t="shared" si="46"/>
        <v>7825.9266749999997</v>
      </c>
      <c r="Q137" s="1987"/>
      <c r="R137" s="1981"/>
      <c r="S137" s="1980">
        <v>509.87</v>
      </c>
      <c r="T137" s="1980">
        <v>159.79</v>
      </c>
      <c r="U137" s="1980"/>
      <c r="V137" s="1980"/>
      <c r="W137" s="1980"/>
      <c r="X137" s="1980"/>
      <c r="Y137" s="1980"/>
      <c r="Z137" s="1980"/>
      <c r="AA137" s="1980"/>
      <c r="AB137" s="1980"/>
      <c r="AC137" s="1980"/>
      <c r="AD137" s="1982">
        <v>12940.81</v>
      </c>
      <c r="AE137" s="1983">
        <v>13916.456675000001</v>
      </c>
      <c r="AF137" s="1984"/>
    </row>
    <row r="138" spans="1:32" s="1985" customFormat="1" ht="26.1" customHeight="1">
      <c r="A138" s="2921"/>
      <c r="B138" s="2922"/>
      <c r="C138" s="2923"/>
      <c r="D138" s="2924"/>
      <c r="E138" s="1978" t="s">
        <v>2497</v>
      </c>
      <c r="F138" s="1987"/>
      <c r="G138" s="1979"/>
      <c r="H138" s="1979"/>
      <c r="I138" s="1979"/>
      <c r="J138" s="1987">
        <v>196.83</v>
      </c>
      <c r="K138" s="1986">
        <v>1864.5</v>
      </c>
      <c r="L138" s="1987"/>
      <c r="M138" s="1986">
        <v>1330.86</v>
      </c>
      <c r="N138" s="1986">
        <v>665.43</v>
      </c>
      <c r="O138" s="1986">
        <v>987.6</v>
      </c>
      <c r="P138" s="1986">
        <v>7825.9266749999997</v>
      </c>
      <c r="Q138" s="1987"/>
      <c r="R138" s="1981"/>
      <c r="S138" s="1986">
        <v>885.52</v>
      </c>
      <c r="T138" s="1986">
        <f>T137</f>
        <v>159.79</v>
      </c>
      <c r="U138" s="1980"/>
      <c r="V138" s="1980"/>
      <c r="W138" s="1980"/>
      <c r="X138" s="1980"/>
      <c r="Y138" s="1980"/>
      <c r="Z138" s="1980"/>
      <c r="AA138" s="1980"/>
      <c r="AB138" s="1980"/>
      <c r="AC138" s="1980"/>
      <c r="AD138" s="1982">
        <f t="shared" si="17"/>
        <v>13916.456675000001</v>
      </c>
      <c r="AE138" s="1983">
        <v>13916.456675000001</v>
      </c>
      <c r="AF138" s="1984"/>
    </row>
    <row r="139" spans="1:32" s="1985" customFormat="1" ht="26.1" customHeight="1">
      <c r="A139" s="2921" t="s">
        <v>1262</v>
      </c>
      <c r="B139" s="2922" t="s">
        <v>1753</v>
      </c>
      <c r="C139" s="2923" t="s">
        <v>51</v>
      </c>
      <c r="D139" s="2924">
        <v>24646.208999999999</v>
      </c>
      <c r="E139" s="1978" t="s">
        <v>2496</v>
      </c>
      <c r="F139" s="1987"/>
      <c r="G139" s="1987"/>
      <c r="H139" s="1987"/>
      <c r="I139" s="1987"/>
      <c r="J139" s="1987"/>
      <c r="K139" s="1987"/>
      <c r="L139" s="1980"/>
      <c r="M139" s="1987"/>
      <c r="N139" s="1987"/>
      <c r="O139" s="1987"/>
      <c r="P139" s="1980">
        <f t="shared" si="46"/>
        <v>24636.056499999999</v>
      </c>
      <c r="Q139" s="1987"/>
      <c r="R139" s="1981"/>
      <c r="S139" s="1980">
        <f t="shared" si="40"/>
        <v>10.15</v>
      </c>
      <c r="T139" s="1980"/>
      <c r="U139" s="1980"/>
      <c r="V139" s="1980"/>
      <c r="W139" s="1980"/>
      <c r="X139" s="1980"/>
      <c r="Y139" s="1980"/>
      <c r="Z139" s="1980"/>
      <c r="AA139" s="1980"/>
      <c r="AB139" s="1980"/>
      <c r="AC139" s="1980"/>
      <c r="AD139" s="1982">
        <f t="shared" si="17"/>
        <v>24646.2065</v>
      </c>
      <c r="AE139" s="1983">
        <v>25311.536500000002</v>
      </c>
      <c r="AF139" s="1984"/>
    </row>
    <row r="140" spans="1:32" s="1985" customFormat="1" ht="26.1" customHeight="1">
      <c r="A140" s="2921"/>
      <c r="B140" s="2922"/>
      <c r="C140" s="2923"/>
      <c r="D140" s="2924"/>
      <c r="E140" s="1978" t="s">
        <v>2497</v>
      </c>
      <c r="F140" s="1987"/>
      <c r="G140" s="1987"/>
      <c r="H140" s="1987"/>
      <c r="I140" s="1987"/>
      <c r="J140" s="1987"/>
      <c r="K140" s="1987"/>
      <c r="L140" s="1986">
        <v>665.33</v>
      </c>
      <c r="M140" s="1987"/>
      <c r="N140" s="1987"/>
      <c r="O140" s="1987"/>
      <c r="P140" s="1986">
        <v>24636.056499999999</v>
      </c>
      <c r="Q140" s="1987"/>
      <c r="R140" s="1981"/>
      <c r="S140" s="1986">
        <v>10.15</v>
      </c>
      <c r="T140" s="1980"/>
      <c r="U140" s="1980"/>
      <c r="V140" s="1980"/>
      <c r="W140" s="1980"/>
      <c r="X140" s="1980"/>
      <c r="Y140" s="1980"/>
      <c r="Z140" s="1980"/>
      <c r="AA140" s="1980"/>
      <c r="AB140" s="1980"/>
      <c r="AC140" s="1980"/>
      <c r="AD140" s="1982">
        <f t="shared" si="17"/>
        <v>25311.536500000002</v>
      </c>
      <c r="AE140" s="1983">
        <v>25311.536500000002</v>
      </c>
      <c r="AF140" s="1984"/>
    </row>
    <row r="141" spans="1:32" s="1602" customFormat="1" ht="26.1" customHeight="1">
      <c r="A141" s="2918" t="s">
        <v>1263</v>
      </c>
      <c r="B141" s="2919" t="s">
        <v>1754</v>
      </c>
      <c r="C141" s="2920" t="s">
        <v>2147</v>
      </c>
      <c r="D141" s="2917">
        <f>142869.2672-126926.7</f>
        <v>15942.567200000005</v>
      </c>
      <c r="E141" s="1598" t="s">
        <v>2496</v>
      </c>
      <c r="F141" s="1583"/>
      <c r="G141" s="1583"/>
      <c r="H141" s="1583"/>
      <c r="I141" s="1583"/>
      <c r="J141" s="1583"/>
      <c r="K141" s="1583"/>
      <c r="L141" s="1583"/>
      <c r="M141" s="1583"/>
      <c r="N141" s="1583"/>
      <c r="O141" s="1583"/>
      <c r="P141" s="1585">
        <f t="shared" si="46"/>
        <v>9528.8247999999985</v>
      </c>
      <c r="Q141" s="1583"/>
      <c r="R141" s="1600"/>
      <c r="S141" s="1585">
        <f>S142</f>
        <v>5406.93</v>
      </c>
      <c r="T141" s="1585">
        <v>897.81</v>
      </c>
      <c r="U141" s="1585">
        <v>109</v>
      </c>
      <c r="V141" s="1585"/>
      <c r="W141" s="1585"/>
      <c r="X141" s="1585"/>
      <c r="Y141" s="1585"/>
      <c r="Z141" s="1585"/>
      <c r="AA141" s="1585"/>
      <c r="AB141" s="1585"/>
      <c r="AC141" s="1585"/>
      <c r="AD141" s="1601">
        <f t="shared" si="17"/>
        <v>15942.564799999998</v>
      </c>
      <c r="AE141" s="1790">
        <v>15942.564799999998</v>
      </c>
      <c r="AF141" s="1792"/>
    </row>
    <row r="142" spans="1:32" s="1602" customFormat="1" ht="26.1" customHeight="1">
      <c r="A142" s="2918"/>
      <c r="B142" s="2919"/>
      <c r="C142" s="2920"/>
      <c r="D142" s="2917"/>
      <c r="E142" s="1603" t="s">
        <v>2497</v>
      </c>
      <c r="F142" s="1583"/>
      <c r="G142" s="1583"/>
      <c r="H142" s="1583"/>
      <c r="I142" s="1583"/>
      <c r="J142" s="1583"/>
      <c r="K142" s="1583"/>
      <c r="L142" s="1583"/>
      <c r="M142" s="1583"/>
      <c r="N142" s="1583"/>
      <c r="O142" s="1583"/>
      <c r="P142" s="1604">
        <v>9528.8247999999985</v>
      </c>
      <c r="Q142" s="1583"/>
      <c r="R142" s="1600"/>
      <c r="S142" s="1604">
        <v>5406.93</v>
      </c>
      <c r="T142" s="1604">
        <f>T141</f>
        <v>897.81</v>
      </c>
      <c r="U142" s="1604">
        <v>109</v>
      </c>
      <c r="V142" s="1585"/>
      <c r="W142" s="1585"/>
      <c r="X142" s="1585"/>
      <c r="Y142" s="1585"/>
      <c r="Z142" s="1585"/>
      <c r="AA142" s="1585"/>
      <c r="AB142" s="1585"/>
      <c r="AC142" s="1585"/>
      <c r="AD142" s="1601">
        <f t="shared" si="17"/>
        <v>15942.564799999998</v>
      </c>
      <c r="AE142" s="1790">
        <v>15942.564799999998</v>
      </c>
      <c r="AF142" s="1792"/>
    </row>
    <row r="143" spans="1:32" s="1602" customFormat="1" ht="26.1" customHeight="1">
      <c r="A143" s="2918" t="s">
        <v>1264</v>
      </c>
      <c r="B143" s="2919" t="s">
        <v>1755</v>
      </c>
      <c r="C143" s="2920" t="s">
        <v>2147</v>
      </c>
      <c r="D143" s="2917">
        <f>4869.004-1374.18</f>
        <v>3494.8239999999996</v>
      </c>
      <c r="E143" s="1598" t="s">
        <v>2496</v>
      </c>
      <c r="F143" s="1583"/>
      <c r="G143" s="1605"/>
      <c r="H143" s="1605"/>
      <c r="I143" s="1605"/>
      <c r="J143" s="1583"/>
      <c r="K143" s="1605"/>
      <c r="L143" s="1583"/>
      <c r="M143" s="1583"/>
      <c r="N143" s="1583"/>
      <c r="O143" s="1583"/>
      <c r="P143" s="1585">
        <f t="shared" si="46"/>
        <v>1752.9008000000001</v>
      </c>
      <c r="Q143" s="1583"/>
      <c r="R143" s="1600"/>
      <c r="S143" s="1585"/>
      <c r="T143" s="1585">
        <v>1219.25</v>
      </c>
      <c r="U143" s="1585">
        <v>463.01</v>
      </c>
      <c r="V143" s="1585"/>
      <c r="W143" s="1585">
        <v>59.66</v>
      </c>
      <c r="X143" s="1585"/>
      <c r="Y143" s="1585"/>
      <c r="Z143" s="1585"/>
      <c r="AA143" s="1585"/>
      <c r="AB143" s="1585"/>
      <c r="AC143" s="1585"/>
      <c r="AD143" s="1601">
        <f t="shared" si="17"/>
        <v>3494.8208000000004</v>
      </c>
      <c r="AE143" s="1790">
        <v>3494.8208000000004</v>
      </c>
      <c r="AF143" s="1792"/>
    </row>
    <row r="144" spans="1:32" s="1602" customFormat="1" ht="26.1" customHeight="1">
      <c r="A144" s="2918"/>
      <c r="B144" s="2919"/>
      <c r="C144" s="2920"/>
      <c r="D144" s="2917"/>
      <c r="E144" s="1603" t="s">
        <v>2497</v>
      </c>
      <c r="F144" s="1583"/>
      <c r="G144" s="1605"/>
      <c r="H144" s="1605"/>
      <c r="I144" s="1605"/>
      <c r="J144" s="1583"/>
      <c r="K144" s="1605"/>
      <c r="L144" s="1583"/>
      <c r="M144" s="1583"/>
      <c r="N144" s="1583"/>
      <c r="O144" s="1583"/>
      <c r="P144" s="1604">
        <v>1752.9008000000001</v>
      </c>
      <c r="Q144" s="1583"/>
      <c r="R144" s="1600"/>
      <c r="S144" s="1604"/>
      <c r="T144" s="1604">
        <f>T143</f>
        <v>1219.25</v>
      </c>
      <c r="U144" s="1604">
        <v>463.01</v>
      </c>
      <c r="V144" s="1585"/>
      <c r="W144" s="1604">
        <v>59.66</v>
      </c>
      <c r="X144" s="1585"/>
      <c r="Y144" s="1585"/>
      <c r="Z144" s="1585"/>
      <c r="AA144" s="1585"/>
      <c r="AB144" s="1585"/>
      <c r="AC144" s="1585"/>
      <c r="AD144" s="1601">
        <f t="shared" si="17"/>
        <v>3494.8208000000004</v>
      </c>
      <c r="AE144" s="1790">
        <v>3494.8208000000004</v>
      </c>
      <c r="AF144" s="1792"/>
    </row>
    <row r="145" spans="1:32" s="1602" customFormat="1" ht="26.1" customHeight="1">
      <c r="A145" s="1594">
        <v>3.5</v>
      </c>
      <c r="B145" s="1614" t="s">
        <v>1758</v>
      </c>
      <c r="C145" s="1596"/>
      <c r="D145" s="1597"/>
      <c r="E145" s="1619"/>
      <c r="F145" s="1583"/>
      <c r="G145" s="1583"/>
      <c r="H145" s="1583"/>
      <c r="I145" s="1583"/>
      <c r="J145" s="1583"/>
      <c r="K145" s="1583"/>
      <c r="L145" s="1583"/>
      <c r="M145" s="1583"/>
      <c r="N145" s="1583"/>
      <c r="O145" s="1583"/>
      <c r="P145" s="1583"/>
      <c r="Q145" s="1583"/>
      <c r="R145" s="1600"/>
      <c r="S145" s="1600"/>
      <c r="T145" s="1585"/>
      <c r="U145" s="1585"/>
      <c r="V145" s="1585"/>
      <c r="W145" s="1585"/>
      <c r="X145" s="1585"/>
      <c r="Y145" s="1585"/>
      <c r="Z145" s="1585"/>
      <c r="AA145" s="1585"/>
      <c r="AB145" s="1585"/>
      <c r="AC145" s="1585"/>
      <c r="AD145" s="1601">
        <f t="shared" ref="AD145:AD208" si="47">SUM(F145:AC145)</f>
        <v>0</v>
      </c>
      <c r="AE145" s="1790">
        <v>0</v>
      </c>
      <c r="AF145" s="1792"/>
    </row>
    <row r="146" spans="1:32" s="1602" customFormat="1" ht="26.1" customHeight="1">
      <c r="A146" s="2918" t="s">
        <v>1268</v>
      </c>
      <c r="B146" s="2919" t="s">
        <v>1761</v>
      </c>
      <c r="C146" s="2920" t="s">
        <v>51</v>
      </c>
      <c r="D146" s="2917">
        <v>15965.355</v>
      </c>
      <c r="E146" s="1598" t="s">
        <v>2496</v>
      </c>
      <c r="F146" s="1583"/>
      <c r="G146" s="1583"/>
      <c r="H146" s="1605"/>
      <c r="I146" s="1605"/>
      <c r="J146" s="1583"/>
      <c r="K146" s="1583"/>
      <c r="L146" s="1605"/>
      <c r="M146" s="1583"/>
      <c r="N146" s="1583"/>
      <c r="O146" s="1583"/>
      <c r="P146" s="1583"/>
      <c r="Q146" s="1583"/>
      <c r="R146" s="1600"/>
      <c r="S146" s="1600"/>
      <c r="T146" s="1585">
        <v>4226.8599999999997</v>
      </c>
      <c r="U146" s="1585">
        <v>5527.43</v>
      </c>
      <c r="V146" s="1585">
        <v>5307.1</v>
      </c>
      <c r="W146" s="1585"/>
      <c r="X146" s="1585"/>
      <c r="Y146" s="1585"/>
      <c r="Z146" s="1585">
        <v>903.96499999999833</v>
      </c>
      <c r="AA146" s="1585"/>
      <c r="AB146" s="1585"/>
      <c r="AC146" s="1585"/>
      <c r="AD146" s="1601">
        <f t="shared" si="47"/>
        <v>15965.355</v>
      </c>
      <c r="AE146" s="1790">
        <v>15061.390000000001</v>
      </c>
      <c r="AF146" s="1792"/>
    </row>
    <row r="147" spans="1:32" s="1602" customFormat="1" ht="26.1" customHeight="1">
      <c r="A147" s="2918"/>
      <c r="B147" s="2919"/>
      <c r="C147" s="2920"/>
      <c r="D147" s="2917"/>
      <c r="E147" s="1603" t="s">
        <v>2497</v>
      </c>
      <c r="F147" s="1583"/>
      <c r="G147" s="1583"/>
      <c r="H147" s="1605"/>
      <c r="I147" s="1605"/>
      <c r="J147" s="1583"/>
      <c r="K147" s="1583"/>
      <c r="L147" s="1605"/>
      <c r="M147" s="1583"/>
      <c r="N147" s="1583"/>
      <c r="O147" s="1583"/>
      <c r="P147" s="1583"/>
      <c r="Q147" s="1583"/>
      <c r="R147" s="1600"/>
      <c r="S147" s="1600"/>
      <c r="T147" s="1604">
        <f>T146</f>
        <v>4226.8599999999997</v>
      </c>
      <c r="U147" s="1604">
        <v>5527.43</v>
      </c>
      <c r="V147" s="1604">
        <v>5307.1</v>
      </c>
      <c r="W147" s="1585"/>
      <c r="X147" s="1585"/>
      <c r="Y147" s="1585"/>
      <c r="Z147" s="1585"/>
      <c r="AA147" s="1585"/>
      <c r="AB147" s="1585"/>
      <c r="AC147" s="1585"/>
      <c r="AD147" s="1601">
        <f t="shared" si="47"/>
        <v>15061.390000000001</v>
      </c>
      <c r="AE147" s="1790">
        <v>15061.390000000001</v>
      </c>
      <c r="AF147" s="1792"/>
    </row>
    <row r="148" spans="1:32" s="1602" customFormat="1" ht="26.1" customHeight="1">
      <c r="A148" s="1594">
        <v>3.6</v>
      </c>
      <c r="B148" s="1614" t="s">
        <v>1762</v>
      </c>
      <c r="C148" s="1591"/>
      <c r="D148" s="1592"/>
      <c r="E148" s="1615"/>
      <c r="F148" s="1583"/>
      <c r="G148" s="1583"/>
      <c r="H148" s="1583"/>
      <c r="I148" s="1583"/>
      <c r="J148" s="1583"/>
      <c r="K148" s="1583"/>
      <c r="L148" s="1583"/>
      <c r="M148" s="1583"/>
      <c r="N148" s="1583"/>
      <c r="O148" s="1583"/>
      <c r="P148" s="1583"/>
      <c r="Q148" s="1583"/>
      <c r="R148" s="1600"/>
      <c r="S148" s="1600"/>
      <c r="T148" s="1585"/>
      <c r="U148" s="1585"/>
      <c r="V148" s="1585"/>
      <c r="W148" s="1585"/>
      <c r="X148" s="1585"/>
      <c r="Y148" s="1585"/>
      <c r="Z148" s="1585"/>
      <c r="AA148" s="1585"/>
      <c r="AB148" s="1585"/>
      <c r="AC148" s="1585"/>
      <c r="AD148" s="1601">
        <f t="shared" si="47"/>
        <v>0</v>
      </c>
      <c r="AE148" s="1790">
        <v>0</v>
      </c>
      <c r="AF148" s="1792"/>
    </row>
    <row r="149" spans="1:32" s="1602" customFormat="1" ht="26.1" customHeight="1">
      <c r="A149" s="2918" t="s">
        <v>1269</v>
      </c>
      <c r="B149" s="2919" t="s">
        <v>1763</v>
      </c>
      <c r="C149" s="2920" t="s">
        <v>2147</v>
      </c>
      <c r="D149" s="2917">
        <v>40455.894500000002</v>
      </c>
      <c r="E149" s="1598" t="s">
        <v>2496</v>
      </c>
      <c r="F149" s="1583"/>
      <c r="G149" s="1583"/>
      <c r="H149" s="1605"/>
      <c r="I149" s="1585">
        <f t="shared" ref="I149" si="48">I150</f>
        <v>24362.87</v>
      </c>
      <c r="J149" s="1583"/>
      <c r="K149" s="1583"/>
      <c r="L149" s="1605"/>
      <c r="M149" s="1583"/>
      <c r="N149" s="1583"/>
      <c r="O149" s="1583"/>
      <c r="P149" s="1583"/>
      <c r="Q149" s="1583"/>
      <c r="R149" s="1600"/>
      <c r="S149" s="1600"/>
      <c r="T149" s="1585"/>
      <c r="U149" s="1585"/>
      <c r="V149" s="1585"/>
      <c r="W149" s="1585"/>
      <c r="X149" s="1585">
        <v>5489.08</v>
      </c>
      <c r="Y149" s="1585"/>
      <c r="Z149" s="1585"/>
      <c r="AA149" s="1585"/>
      <c r="AB149" s="1585"/>
      <c r="AC149" s="1585">
        <v>10603.944500000005</v>
      </c>
      <c r="AD149" s="1601">
        <f t="shared" si="47"/>
        <v>40455.894500000002</v>
      </c>
      <c r="AE149" s="1790">
        <v>29851.949999999997</v>
      </c>
      <c r="AF149" s="1792"/>
    </row>
    <row r="150" spans="1:32" s="1602" customFormat="1" ht="26.1" customHeight="1">
      <c r="A150" s="2918"/>
      <c r="B150" s="2919"/>
      <c r="C150" s="2920"/>
      <c r="D150" s="2917"/>
      <c r="E150" s="1603" t="s">
        <v>2497</v>
      </c>
      <c r="F150" s="1583"/>
      <c r="G150" s="1583"/>
      <c r="H150" s="1605"/>
      <c r="I150" s="1583">
        <v>24362.87</v>
      </c>
      <c r="J150" s="1583"/>
      <c r="K150" s="1583"/>
      <c r="L150" s="1605"/>
      <c r="M150" s="1583"/>
      <c r="N150" s="1583"/>
      <c r="O150" s="1583"/>
      <c r="P150" s="1583"/>
      <c r="Q150" s="1583"/>
      <c r="R150" s="1600"/>
      <c r="S150" s="1600"/>
      <c r="T150" s="1585"/>
      <c r="U150" s="1585"/>
      <c r="V150" s="1585"/>
      <c r="W150" s="1585"/>
      <c r="X150" s="1604">
        <v>5489.08</v>
      </c>
      <c r="Y150" s="1585"/>
      <c r="Z150" s="1585"/>
      <c r="AA150" s="1585"/>
      <c r="AB150" s="1585"/>
      <c r="AC150" s="1585"/>
      <c r="AD150" s="1601">
        <f t="shared" si="47"/>
        <v>29851.949999999997</v>
      </c>
      <c r="AE150" s="1790">
        <v>29851.949999999997</v>
      </c>
      <c r="AF150" s="1792"/>
    </row>
    <row r="151" spans="1:32" s="1985" customFormat="1" ht="26.1" customHeight="1">
      <c r="A151" s="2921" t="s">
        <v>1270</v>
      </c>
      <c r="B151" s="2922" t="s">
        <v>1764</v>
      </c>
      <c r="C151" s="2923" t="s">
        <v>2147</v>
      </c>
      <c r="D151" s="2924">
        <v>179943.72899999999</v>
      </c>
      <c r="E151" s="1978" t="s">
        <v>2496</v>
      </c>
      <c r="F151" s="1987"/>
      <c r="G151" s="1987"/>
      <c r="H151" s="1987"/>
      <c r="I151" s="1987"/>
      <c r="J151" s="1987"/>
      <c r="K151" s="1987"/>
      <c r="L151" s="1987"/>
      <c r="M151" s="1987"/>
      <c r="N151" s="1987"/>
      <c r="O151" s="1987"/>
      <c r="P151" s="1980">
        <f t="shared" ref="P151" si="49">P152</f>
        <v>96401.75</v>
      </c>
      <c r="Q151" s="1987"/>
      <c r="R151" s="1981"/>
      <c r="S151" s="1981"/>
      <c r="T151" s="1980">
        <v>62964.47</v>
      </c>
      <c r="U151" s="1980">
        <v>4100.93</v>
      </c>
      <c r="V151" s="1980">
        <v>16476.580000000002</v>
      </c>
      <c r="W151" s="1980"/>
      <c r="X151" s="1980"/>
      <c r="Y151" s="1980"/>
      <c r="Z151" s="1980"/>
      <c r="AA151" s="1980"/>
      <c r="AB151" s="1980"/>
      <c r="AC151" s="1980"/>
      <c r="AD151" s="1982">
        <f t="shared" si="47"/>
        <v>179943.72999999998</v>
      </c>
      <c r="AE151" s="1983">
        <v>179942.8</v>
      </c>
      <c r="AF151" s="1984"/>
    </row>
    <row r="152" spans="1:32" s="1985" customFormat="1" ht="26.1" customHeight="1">
      <c r="A152" s="2921"/>
      <c r="B152" s="2922"/>
      <c r="C152" s="2923"/>
      <c r="D152" s="2924"/>
      <c r="E152" s="1978" t="s">
        <v>2497</v>
      </c>
      <c r="F152" s="1987"/>
      <c r="G152" s="1987"/>
      <c r="H152" s="1987"/>
      <c r="I152" s="1987"/>
      <c r="J152" s="1987"/>
      <c r="K152" s="1987"/>
      <c r="L152" s="1987"/>
      <c r="M152" s="1987"/>
      <c r="N152" s="1987"/>
      <c r="O152" s="1987"/>
      <c r="P152" s="1986">
        <v>96401.75</v>
      </c>
      <c r="Q152" s="1987"/>
      <c r="R152" s="1981"/>
      <c r="S152" s="1981"/>
      <c r="T152" s="1986">
        <f>T151</f>
        <v>62964.47</v>
      </c>
      <c r="U152" s="1986">
        <v>4100</v>
      </c>
      <c r="V152" s="1986">
        <v>16476.580000000002</v>
      </c>
      <c r="W152" s="1980"/>
      <c r="X152" s="1980"/>
      <c r="Y152" s="1988"/>
      <c r="Z152" s="1980"/>
      <c r="AA152" s="1980"/>
      <c r="AB152" s="1980"/>
      <c r="AC152" s="1980"/>
      <c r="AD152" s="1982">
        <f t="shared" si="47"/>
        <v>179942.8</v>
      </c>
      <c r="AE152" s="1983">
        <v>179942.8</v>
      </c>
      <c r="AF152" s="1984"/>
    </row>
    <row r="153" spans="1:32" s="1602" customFormat="1" ht="26.1" customHeight="1">
      <c r="A153" s="2918" t="s">
        <v>1271</v>
      </c>
      <c r="B153" s="2919" t="s">
        <v>1765</v>
      </c>
      <c r="C153" s="2920" t="s">
        <v>2147</v>
      </c>
      <c r="D153" s="2917">
        <v>414220.57380000001</v>
      </c>
      <c r="E153" s="1598" t="s">
        <v>2496</v>
      </c>
      <c r="F153" s="1583"/>
      <c r="G153" s="1583"/>
      <c r="H153" s="1583"/>
      <c r="I153" s="1583"/>
      <c r="J153" s="1583"/>
      <c r="K153" s="1583"/>
      <c r="L153" s="1583"/>
      <c r="M153" s="1583"/>
      <c r="N153" s="1583"/>
      <c r="O153" s="1583"/>
      <c r="P153" s="1583"/>
      <c r="Q153" s="1583"/>
      <c r="R153" s="1600"/>
      <c r="S153" s="1585">
        <f>S154</f>
        <v>69344.570000000007</v>
      </c>
      <c r="T153" s="1585">
        <v>120129.24</v>
      </c>
      <c r="U153" s="1585">
        <v>78561.416400000002</v>
      </c>
      <c r="V153" s="1585">
        <v>54196.07</v>
      </c>
      <c r="W153" s="1585">
        <v>24434.71</v>
      </c>
      <c r="X153" s="1585">
        <v>11203.38</v>
      </c>
      <c r="Y153" s="1585">
        <v>16974.1446</v>
      </c>
      <c r="Z153" s="1585"/>
      <c r="AA153" s="1585"/>
      <c r="AB153" s="1585"/>
      <c r="AC153" s="1585">
        <v>39377.042799999996</v>
      </c>
      <c r="AD153" s="1601">
        <f t="shared" si="47"/>
        <v>414220.57380000001</v>
      </c>
      <c r="AE153" s="1790">
        <v>374843.53100000002</v>
      </c>
      <c r="AF153" s="1792"/>
    </row>
    <row r="154" spans="1:32" s="1602" customFormat="1" ht="26.1" customHeight="1">
      <c r="A154" s="2918"/>
      <c r="B154" s="2919"/>
      <c r="C154" s="2920"/>
      <c r="D154" s="2917"/>
      <c r="E154" s="1603" t="s">
        <v>2497</v>
      </c>
      <c r="F154" s="1583"/>
      <c r="G154" s="1583"/>
      <c r="H154" s="1583"/>
      <c r="I154" s="1583"/>
      <c r="J154" s="1583"/>
      <c r="K154" s="1583"/>
      <c r="L154" s="1583"/>
      <c r="M154" s="1583"/>
      <c r="N154" s="1583"/>
      <c r="O154" s="1583"/>
      <c r="P154" s="1583"/>
      <c r="Q154" s="1583"/>
      <c r="R154" s="1600"/>
      <c r="S154" s="1604">
        <v>69344.570000000007</v>
      </c>
      <c r="T154" s="1604">
        <f>T153</f>
        <v>120129.24</v>
      </c>
      <c r="U154" s="1604">
        <v>78561.416400000002</v>
      </c>
      <c r="V154" s="1604">
        <v>54196.07</v>
      </c>
      <c r="W154" s="1604">
        <v>24434.71</v>
      </c>
      <c r="X154" s="1604">
        <v>11203.38</v>
      </c>
      <c r="Y154" s="1604">
        <v>16974.1446</v>
      </c>
      <c r="Z154" s="1585"/>
      <c r="AA154" s="1585"/>
      <c r="AB154" s="1585"/>
      <c r="AC154" s="1585"/>
      <c r="AD154" s="1601">
        <f t="shared" si="47"/>
        <v>374843.53100000002</v>
      </c>
      <c r="AE154" s="1790">
        <v>374843.53100000002</v>
      </c>
      <c r="AF154" s="1792"/>
    </row>
    <row r="155" spans="1:32" s="1602" customFormat="1" ht="26.1" customHeight="1">
      <c r="A155" s="2918" t="s">
        <v>1274</v>
      </c>
      <c r="B155" s="2919" t="s">
        <v>2254</v>
      </c>
      <c r="C155" s="2920" t="s">
        <v>2147</v>
      </c>
      <c r="D155" s="2917">
        <v>34.5</v>
      </c>
      <c r="E155" s="1598" t="s">
        <v>2496</v>
      </c>
      <c r="F155" s="1583"/>
      <c r="G155" s="1583"/>
      <c r="H155" s="1583"/>
      <c r="I155" s="1583"/>
      <c r="J155" s="1583"/>
      <c r="K155" s="1583"/>
      <c r="L155" s="1583"/>
      <c r="M155" s="1583"/>
      <c r="N155" s="1583"/>
      <c r="O155" s="1583"/>
      <c r="P155" s="1583"/>
      <c r="Q155" s="1583"/>
      <c r="R155" s="1600"/>
      <c r="S155" s="1600"/>
      <c r="T155" s="1585"/>
      <c r="U155" s="1585"/>
      <c r="V155" s="1585"/>
      <c r="W155" s="1585"/>
      <c r="X155" s="1585"/>
      <c r="Y155" s="1585"/>
      <c r="Z155" s="1585">
        <v>34.5</v>
      </c>
      <c r="AA155" s="1585"/>
      <c r="AB155" s="1585"/>
      <c r="AC155" s="1585"/>
      <c r="AD155" s="1601">
        <f t="shared" si="47"/>
        <v>34.5</v>
      </c>
      <c r="AE155" s="1790">
        <v>0</v>
      </c>
      <c r="AF155" s="1792"/>
    </row>
    <row r="156" spans="1:32" s="1602" customFormat="1" ht="26.1" customHeight="1">
      <c r="A156" s="2918"/>
      <c r="B156" s="2919"/>
      <c r="C156" s="2920"/>
      <c r="D156" s="2917"/>
      <c r="E156" s="1603" t="s">
        <v>2497</v>
      </c>
      <c r="F156" s="1583"/>
      <c r="G156" s="1583"/>
      <c r="H156" s="1583"/>
      <c r="I156" s="1583"/>
      <c r="J156" s="1583"/>
      <c r="K156" s="1583"/>
      <c r="L156" s="1583"/>
      <c r="M156" s="1583"/>
      <c r="N156" s="1583"/>
      <c r="O156" s="1583"/>
      <c r="P156" s="1583"/>
      <c r="Q156" s="1583"/>
      <c r="R156" s="1600"/>
      <c r="S156" s="1600"/>
      <c r="T156" s="1585"/>
      <c r="U156" s="1585"/>
      <c r="V156" s="1585"/>
      <c r="W156" s="1585"/>
      <c r="X156" s="1585"/>
      <c r="Y156" s="1585"/>
      <c r="Z156" s="1585"/>
      <c r="AA156" s="1585"/>
      <c r="AB156" s="1585"/>
      <c r="AC156" s="1585"/>
      <c r="AD156" s="1601">
        <f t="shared" si="47"/>
        <v>0</v>
      </c>
      <c r="AE156" s="1790">
        <v>0</v>
      </c>
      <c r="AF156" s="1792"/>
    </row>
    <row r="157" spans="1:32" s="1602" customFormat="1" ht="26.1" customHeight="1">
      <c r="A157" s="1594">
        <v>3.7</v>
      </c>
      <c r="B157" s="1614" t="s">
        <v>1771</v>
      </c>
      <c r="C157" s="1596"/>
      <c r="D157" s="1597"/>
      <c r="E157" s="1615"/>
      <c r="F157" s="1583"/>
      <c r="G157" s="1583"/>
      <c r="H157" s="1583"/>
      <c r="I157" s="1583"/>
      <c r="J157" s="1583"/>
      <c r="K157" s="1583"/>
      <c r="L157" s="1583"/>
      <c r="M157" s="1583"/>
      <c r="N157" s="1583"/>
      <c r="O157" s="1583"/>
      <c r="P157" s="1583"/>
      <c r="Q157" s="1583"/>
      <c r="R157" s="1600"/>
      <c r="S157" s="1600"/>
      <c r="T157" s="1585"/>
      <c r="U157" s="1585"/>
      <c r="V157" s="1585"/>
      <c r="W157" s="1585"/>
      <c r="X157" s="1585"/>
      <c r="Y157" s="1585"/>
      <c r="Z157" s="1585"/>
      <c r="AA157" s="1585"/>
      <c r="AB157" s="1585"/>
      <c r="AC157" s="1585"/>
      <c r="AD157" s="1601">
        <f t="shared" si="47"/>
        <v>0</v>
      </c>
      <c r="AE157" s="1790">
        <v>0</v>
      </c>
      <c r="AF157" s="1792"/>
    </row>
    <row r="158" spans="1:32" s="1602" customFormat="1" ht="26.1" customHeight="1">
      <c r="A158" s="2918" t="s">
        <v>1278</v>
      </c>
      <c r="B158" s="2919" t="s">
        <v>1772</v>
      </c>
      <c r="C158" s="2920" t="s">
        <v>52</v>
      </c>
      <c r="D158" s="2917">
        <f>115581.99-9242.99</f>
        <v>106339</v>
      </c>
      <c r="E158" s="1598" t="s">
        <v>2496</v>
      </c>
      <c r="F158" s="1583"/>
      <c r="G158" s="1583"/>
      <c r="H158" s="1583"/>
      <c r="I158" s="1583"/>
      <c r="J158" s="1583"/>
      <c r="K158" s="1583"/>
      <c r="L158" s="1583"/>
      <c r="M158" s="1583"/>
      <c r="N158" s="1583"/>
      <c r="O158" s="1583"/>
      <c r="P158" s="1583"/>
      <c r="Q158" s="1583"/>
      <c r="R158" s="1600"/>
      <c r="S158" s="1600"/>
      <c r="T158" s="1585"/>
      <c r="U158" s="1585">
        <v>21295.646499999999</v>
      </c>
      <c r="V158" s="1585">
        <v>16065.45</v>
      </c>
      <c r="W158" s="1585"/>
      <c r="X158" s="1585"/>
      <c r="Y158" s="1585"/>
      <c r="Z158" s="1585">
        <v>34488.95175</v>
      </c>
      <c r="AA158" s="1585">
        <v>34488.95175</v>
      </c>
      <c r="AB158" s="1585"/>
      <c r="AC158" s="1585"/>
      <c r="AD158" s="1601">
        <f t="shared" si="47"/>
        <v>106339</v>
      </c>
      <c r="AE158" s="1790">
        <v>37361.0965</v>
      </c>
      <c r="AF158" s="1792"/>
    </row>
    <row r="159" spans="1:32" s="1602" customFormat="1" ht="26.1" customHeight="1">
      <c r="A159" s="2918"/>
      <c r="B159" s="2919"/>
      <c r="C159" s="2920"/>
      <c r="D159" s="2917"/>
      <c r="E159" s="1603" t="s">
        <v>2497</v>
      </c>
      <c r="F159" s="1583"/>
      <c r="G159" s="1583"/>
      <c r="H159" s="1583"/>
      <c r="I159" s="1583"/>
      <c r="J159" s="1583"/>
      <c r="K159" s="1583"/>
      <c r="L159" s="1583"/>
      <c r="M159" s="1583"/>
      <c r="N159" s="1583"/>
      <c r="O159" s="1583"/>
      <c r="P159" s="1583"/>
      <c r="Q159" s="1583"/>
      <c r="R159" s="1600"/>
      <c r="S159" s="1600"/>
      <c r="T159" s="1585"/>
      <c r="U159" s="1604">
        <v>21295.646499999999</v>
      </c>
      <c r="V159" s="1604">
        <v>16065.45</v>
      </c>
      <c r="W159" s="1585"/>
      <c r="X159" s="1585"/>
      <c r="Y159" s="1585"/>
      <c r="Z159" s="1585"/>
      <c r="AA159" s="1585"/>
      <c r="AB159" s="1585"/>
      <c r="AC159" s="1585"/>
      <c r="AD159" s="1601">
        <f t="shared" si="47"/>
        <v>37361.0965</v>
      </c>
      <c r="AE159" s="1790">
        <v>37361.0965</v>
      </c>
      <c r="AF159" s="1792"/>
    </row>
    <row r="160" spans="1:32" s="1602" customFormat="1" ht="26.1" customHeight="1">
      <c r="A160" s="1594">
        <v>4</v>
      </c>
      <c r="B160" s="1614" t="s">
        <v>1784</v>
      </c>
      <c r="C160" s="1596"/>
      <c r="D160" s="1597"/>
      <c r="E160" s="1600"/>
      <c r="F160" s="1583"/>
      <c r="G160" s="1583"/>
      <c r="H160" s="1605"/>
      <c r="I160" s="1605"/>
      <c r="J160" s="1583"/>
      <c r="K160" s="1583"/>
      <c r="L160" s="1605"/>
      <c r="M160" s="1583"/>
      <c r="N160" s="1583"/>
      <c r="O160" s="1583"/>
      <c r="P160" s="1583"/>
      <c r="Q160" s="1583"/>
      <c r="R160" s="1600"/>
      <c r="S160" s="1600"/>
      <c r="T160" s="1585"/>
      <c r="U160" s="1585"/>
      <c r="V160" s="1585"/>
      <c r="W160" s="1585"/>
      <c r="X160" s="1585"/>
      <c r="Y160" s="1585"/>
      <c r="Z160" s="1585"/>
      <c r="AA160" s="1585"/>
      <c r="AB160" s="1585"/>
      <c r="AC160" s="1585"/>
      <c r="AD160" s="1601">
        <f t="shared" si="47"/>
        <v>0</v>
      </c>
      <c r="AE160" s="1790">
        <v>0</v>
      </c>
      <c r="AF160" s="1792"/>
    </row>
    <row r="161" spans="1:32" s="1602" customFormat="1" ht="26.1" customHeight="1">
      <c r="A161" s="1594">
        <v>4.0999999999999996</v>
      </c>
      <c r="B161" s="1614" t="s">
        <v>1785</v>
      </c>
      <c r="C161" s="1596"/>
      <c r="D161" s="1597"/>
      <c r="E161" s="1600"/>
      <c r="F161" s="1583"/>
      <c r="G161" s="1583"/>
      <c r="H161" s="1583"/>
      <c r="I161" s="1583"/>
      <c r="J161" s="1583"/>
      <c r="K161" s="1583"/>
      <c r="L161" s="1583"/>
      <c r="M161" s="1583"/>
      <c r="N161" s="1583"/>
      <c r="O161" s="1583"/>
      <c r="P161" s="1583"/>
      <c r="Q161" s="1583"/>
      <c r="R161" s="1600"/>
      <c r="S161" s="1600"/>
      <c r="T161" s="1585"/>
      <c r="U161" s="1585"/>
      <c r="V161" s="1585"/>
      <c r="W161" s="1585"/>
      <c r="X161" s="1585"/>
      <c r="Y161" s="1585"/>
      <c r="Z161" s="1585"/>
      <c r="AA161" s="1585"/>
      <c r="AB161" s="1585"/>
      <c r="AC161" s="1585"/>
      <c r="AD161" s="1601">
        <f t="shared" si="47"/>
        <v>0</v>
      </c>
      <c r="AE161" s="1790">
        <v>0</v>
      </c>
      <c r="AF161" s="1792"/>
    </row>
    <row r="162" spans="1:32" s="1602" customFormat="1" ht="26.1" customHeight="1">
      <c r="A162" s="1594" t="s">
        <v>1287</v>
      </c>
      <c r="B162" s="1609" t="s">
        <v>1785</v>
      </c>
      <c r="C162" s="1596"/>
      <c r="D162" s="1597"/>
      <c r="E162" s="1619"/>
      <c r="F162" s="1583"/>
      <c r="G162" s="1583"/>
      <c r="H162" s="1583"/>
      <c r="I162" s="1583"/>
      <c r="J162" s="1583"/>
      <c r="K162" s="1583"/>
      <c r="L162" s="1583"/>
      <c r="M162" s="1583"/>
      <c r="N162" s="1583"/>
      <c r="O162" s="1583"/>
      <c r="P162" s="1583"/>
      <c r="Q162" s="1583"/>
      <c r="R162" s="1600"/>
      <c r="S162" s="1600"/>
      <c r="T162" s="1585"/>
      <c r="U162" s="1585"/>
      <c r="V162" s="1585"/>
      <c r="W162" s="1585"/>
      <c r="X162" s="1585"/>
      <c r="Y162" s="1585"/>
      <c r="Z162" s="1585"/>
      <c r="AA162" s="1585"/>
      <c r="AB162" s="1585"/>
      <c r="AC162" s="1585"/>
      <c r="AD162" s="1601">
        <f t="shared" si="47"/>
        <v>0</v>
      </c>
      <c r="AE162" s="1790">
        <v>0</v>
      </c>
      <c r="AF162" s="1792"/>
    </row>
    <row r="163" spans="1:32" s="1985" customFormat="1" ht="26.1" customHeight="1">
      <c r="A163" s="2921" t="s">
        <v>1288</v>
      </c>
      <c r="B163" s="2922" t="s">
        <v>1786</v>
      </c>
      <c r="C163" s="2923" t="s">
        <v>2148</v>
      </c>
      <c r="D163" s="2924">
        <v>2044.4779000000001</v>
      </c>
      <c r="E163" s="1978" t="s">
        <v>2496</v>
      </c>
      <c r="F163" s="1987"/>
      <c r="G163" s="1987"/>
      <c r="H163" s="1987"/>
      <c r="I163" s="1987"/>
      <c r="J163" s="1987"/>
      <c r="K163" s="1987"/>
      <c r="L163" s="1980">
        <f t="shared" ref="L163:L169" si="50">L164</f>
        <v>113.93</v>
      </c>
      <c r="M163" s="1987"/>
      <c r="N163" s="1987"/>
      <c r="O163" s="1987"/>
      <c r="P163" s="1987"/>
      <c r="Q163" s="1987"/>
      <c r="R163" s="1981"/>
      <c r="S163" s="1981"/>
      <c r="T163" s="1980"/>
      <c r="U163" s="1980"/>
      <c r="V163" s="1980">
        <v>980.89</v>
      </c>
      <c r="W163" s="1980">
        <v>949.66</v>
      </c>
      <c r="X163" s="1980"/>
      <c r="Y163" s="1980"/>
      <c r="Z163" s="1980"/>
      <c r="AA163" s="1980"/>
      <c r="AB163" s="1980"/>
      <c r="AC163" s="1980"/>
      <c r="AD163" s="1982">
        <f t="shared" si="47"/>
        <v>2044.48</v>
      </c>
      <c r="AE163" s="1983">
        <v>2044.42</v>
      </c>
      <c r="AF163" s="1984"/>
    </row>
    <row r="164" spans="1:32" s="1985" customFormat="1" ht="26.1" customHeight="1">
      <c r="A164" s="2921"/>
      <c r="B164" s="2922"/>
      <c r="C164" s="2923"/>
      <c r="D164" s="2924"/>
      <c r="E164" s="1978" t="s">
        <v>2497</v>
      </c>
      <c r="F164" s="1987"/>
      <c r="G164" s="1987"/>
      <c r="H164" s="1987"/>
      <c r="I164" s="1987"/>
      <c r="J164" s="1987"/>
      <c r="K164" s="1987"/>
      <c r="L164" s="1986">
        <v>113.93</v>
      </c>
      <c r="M164" s="1987"/>
      <c r="N164" s="1987"/>
      <c r="O164" s="1987"/>
      <c r="P164" s="1987"/>
      <c r="Q164" s="1987"/>
      <c r="R164" s="1981"/>
      <c r="S164" s="1981"/>
      <c r="T164" s="1980"/>
      <c r="U164" s="1986"/>
      <c r="V164" s="1986">
        <v>980.89</v>
      </c>
      <c r="W164" s="1986">
        <v>949.6</v>
      </c>
      <c r="X164" s="1980"/>
      <c r="Y164" s="1980"/>
      <c r="Z164" s="1980"/>
      <c r="AA164" s="1980"/>
      <c r="AB164" s="1980"/>
      <c r="AC164" s="1980"/>
      <c r="AD164" s="1982">
        <f t="shared" si="47"/>
        <v>2044.42</v>
      </c>
      <c r="AE164" s="1983">
        <v>2044.42</v>
      </c>
      <c r="AF164" s="1984"/>
    </row>
    <row r="165" spans="1:32" s="1602" customFormat="1" ht="26.1" customHeight="1">
      <c r="A165" s="2918" t="s">
        <v>1289</v>
      </c>
      <c r="B165" s="2919" t="s">
        <v>1787</v>
      </c>
      <c r="C165" s="2920" t="s">
        <v>2147</v>
      </c>
      <c r="D165" s="2917">
        <v>201.74719999999996</v>
      </c>
      <c r="E165" s="1598" t="s">
        <v>2496</v>
      </c>
      <c r="F165" s="1583"/>
      <c r="G165" s="1583"/>
      <c r="H165" s="1583"/>
      <c r="I165" s="1583"/>
      <c r="J165" s="1583"/>
      <c r="K165" s="1583"/>
      <c r="L165" s="1585">
        <f t="shared" si="50"/>
        <v>20.694399999999998</v>
      </c>
      <c r="M165" s="1583"/>
      <c r="N165" s="1583"/>
      <c r="O165" s="1583"/>
      <c r="P165" s="1583"/>
      <c r="Q165" s="1583"/>
      <c r="R165" s="1600"/>
      <c r="S165" s="1600"/>
      <c r="T165" s="1585"/>
      <c r="U165" s="1585"/>
      <c r="V165" s="1585">
        <v>41.76</v>
      </c>
      <c r="W165" s="1585">
        <v>139.29</v>
      </c>
      <c r="X165" s="1585"/>
      <c r="Y165" s="1585"/>
      <c r="Z165" s="1585"/>
      <c r="AA165" s="1585"/>
      <c r="AB165" s="1585"/>
      <c r="AC165" s="1585"/>
      <c r="AD165" s="1601">
        <f t="shared" si="47"/>
        <v>201.74439999999998</v>
      </c>
      <c r="AE165" s="1790">
        <v>201.74439999999998</v>
      </c>
      <c r="AF165" s="1792"/>
    </row>
    <row r="166" spans="1:32" s="1602" customFormat="1" ht="26.1" customHeight="1">
      <c r="A166" s="2918"/>
      <c r="B166" s="2919"/>
      <c r="C166" s="2920"/>
      <c r="D166" s="2917"/>
      <c r="E166" s="1603" t="s">
        <v>2497</v>
      </c>
      <c r="F166" s="1583"/>
      <c r="G166" s="1583"/>
      <c r="H166" s="1583"/>
      <c r="I166" s="1583"/>
      <c r="J166" s="1583"/>
      <c r="K166" s="1583"/>
      <c r="L166" s="1604">
        <v>20.694399999999998</v>
      </c>
      <c r="M166" s="1583"/>
      <c r="N166" s="1583"/>
      <c r="O166" s="1583"/>
      <c r="P166" s="1583"/>
      <c r="Q166" s="1583"/>
      <c r="R166" s="1600"/>
      <c r="S166" s="1600"/>
      <c r="T166" s="1585"/>
      <c r="U166" s="1604"/>
      <c r="V166" s="1604">
        <v>41.76</v>
      </c>
      <c r="W166" s="1604">
        <v>139.29</v>
      </c>
      <c r="X166" s="1585"/>
      <c r="Y166" s="1585" t="s">
        <v>0</v>
      </c>
      <c r="Z166" s="1585"/>
      <c r="AA166" s="1585"/>
      <c r="AB166" s="1585"/>
      <c r="AC166" s="1585"/>
      <c r="AD166" s="1601">
        <f t="shared" si="47"/>
        <v>201.74439999999998</v>
      </c>
      <c r="AE166" s="1790">
        <v>201.74439999999998</v>
      </c>
      <c r="AF166" s="1792"/>
    </row>
    <row r="167" spans="1:32" s="1985" customFormat="1" ht="26.1" customHeight="1">
      <c r="A167" s="2921" t="s">
        <v>1291</v>
      </c>
      <c r="B167" s="2922" t="s">
        <v>1789</v>
      </c>
      <c r="C167" s="2923" t="s">
        <v>2148</v>
      </c>
      <c r="D167" s="2924">
        <v>959.0684</v>
      </c>
      <c r="E167" s="1978" t="s">
        <v>2496</v>
      </c>
      <c r="F167" s="1987"/>
      <c r="G167" s="1987"/>
      <c r="H167" s="1987"/>
      <c r="I167" s="1987"/>
      <c r="J167" s="1987"/>
      <c r="K167" s="1987"/>
      <c r="L167" s="1980">
        <f t="shared" si="50"/>
        <v>65.579840000000004</v>
      </c>
      <c r="M167" s="1987"/>
      <c r="N167" s="1987"/>
      <c r="O167" s="1987"/>
      <c r="P167" s="1987"/>
      <c r="Q167" s="1987"/>
      <c r="R167" s="1981"/>
      <c r="S167" s="1981"/>
      <c r="T167" s="1980"/>
      <c r="U167" s="1980"/>
      <c r="V167" s="1980"/>
      <c r="W167" s="1980">
        <v>893.49</v>
      </c>
      <c r="X167" s="1980"/>
      <c r="Y167" s="1980"/>
      <c r="Z167" s="1980"/>
      <c r="AA167" s="1980"/>
      <c r="AB167" s="1980"/>
      <c r="AC167" s="1980"/>
      <c r="AD167" s="1982">
        <f t="shared" si="47"/>
        <v>959.06984</v>
      </c>
      <c r="AE167" s="1983">
        <v>959.02984000000004</v>
      </c>
      <c r="AF167" s="1984"/>
    </row>
    <row r="168" spans="1:32" s="1985" customFormat="1" ht="26.1" customHeight="1">
      <c r="A168" s="2921"/>
      <c r="B168" s="2922"/>
      <c r="C168" s="2923"/>
      <c r="D168" s="2924"/>
      <c r="E168" s="1978" t="s">
        <v>2497</v>
      </c>
      <c r="F168" s="1987"/>
      <c r="G168" s="1987"/>
      <c r="H168" s="1987"/>
      <c r="I168" s="1987"/>
      <c r="J168" s="1987"/>
      <c r="K168" s="1987"/>
      <c r="L168" s="1986">
        <v>65.579840000000004</v>
      </c>
      <c r="M168" s="1987"/>
      <c r="N168" s="1987"/>
      <c r="O168" s="1987"/>
      <c r="P168" s="1987"/>
      <c r="Q168" s="1987"/>
      <c r="R168" s="1981"/>
      <c r="S168" s="1981"/>
      <c r="T168" s="1980"/>
      <c r="U168" s="1980"/>
      <c r="V168" s="1980"/>
      <c r="W168" s="1986">
        <v>893.45</v>
      </c>
      <c r="X168" s="1980"/>
      <c r="Y168" s="1980"/>
      <c r="Z168" s="1980"/>
      <c r="AA168" s="1980"/>
      <c r="AB168" s="1980"/>
      <c r="AC168" s="1980"/>
      <c r="AD168" s="1982">
        <f t="shared" si="47"/>
        <v>959.02984000000004</v>
      </c>
      <c r="AE168" s="1983">
        <v>959.02984000000004</v>
      </c>
      <c r="AF168" s="1984"/>
    </row>
    <row r="169" spans="1:32" s="1602" customFormat="1" ht="26.1" customHeight="1">
      <c r="A169" s="2918" t="s">
        <v>1292</v>
      </c>
      <c r="B169" s="2919" t="s">
        <v>1790</v>
      </c>
      <c r="C169" s="2920" t="s">
        <v>2148</v>
      </c>
      <c r="D169" s="2917">
        <v>448.74300000000005</v>
      </c>
      <c r="E169" s="1598" t="s">
        <v>2496</v>
      </c>
      <c r="F169" s="1583"/>
      <c r="G169" s="1583"/>
      <c r="H169" s="1583"/>
      <c r="I169" s="1583"/>
      <c r="J169" s="1583"/>
      <c r="K169" s="1583"/>
      <c r="L169" s="1585">
        <f t="shared" si="50"/>
        <v>108.1104</v>
      </c>
      <c r="M169" s="1583"/>
      <c r="N169" s="1583"/>
      <c r="O169" s="1583"/>
      <c r="P169" s="1583"/>
      <c r="Q169" s="1583"/>
      <c r="R169" s="1600"/>
      <c r="S169" s="1600"/>
      <c r="T169" s="1585"/>
      <c r="U169" s="1585"/>
      <c r="V169" s="1585">
        <v>340.63</v>
      </c>
      <c r="W169" s="1585"/>
      <c r="X169" s="1585"/>
      <c r="Y169" s="1585"/>
      <c r="Z169" s="1585"/>
      <c r="AA169" s="1585"/>
      <c r="AB169" s="1585"/>
      <c r="AC169" s="1585"/>
      <c r="AD169" s="1601">
        <f t="shared" si="47"/>
        <v>448.74040000000002</v>
      </c>
      <c r="AE169" s="1790">
        <v>448.74040000000002</v>
      </c>
      <c r="AF169" s="1792"/>
    </row>
    <row r="170" spans="1:32" s="1602" customFormat="1" ht="26.1" customHeight="1">
      <c r="A170" s="2918"/>
      <c r="B170" s="2919"/>
      <c r="C170" s="2920"/>
      <c r="D170" s="2917"/>
      <c r="E170" s="1603" t="s">
        <v>2497</v>
      </c>
      <c r="F170" s="1583"/>
      <c r="G170" s="1583"/>
      <c r="H170" s="1583"/>
      <c r="I170" s="1583"/>
      <c r="J170" s="1583"/>
      <c r="K170" s="1583"/>
      <c r="L170" s="1604">
        <v>108.1104</v>
      </c>
      <c r="M170" s="1583"/>
      <c r="N170" s="1583"/>
      <c r="O170" s="1583"/>
      <c r="P170" s="1583"/>
      <c r="Q170" s="1583"/>
      <c r="R170" s="1600"/>
      <c r="S170" s="1600"/>
      <c r="T170" s="1585"/>
      <c r="U170" s="1585"/>
      <c r="V170" s="1604">
        <v>340.63</v>
      </c>
      <c r="W170" s="1585"/>
      <c r="X170" s="1585"/>
      <c r="Y170" s="1585"/>
      <c r="Z170" s="1585"/>
      <c r="AA170" s="1585"/>
      <c r="AB170" s="1585"/>
      <c r="AC170" s="1585"/>
      <c r="AD170" s="1601">
        <f t="shared" si="47"/>
        <v>448.74040000000002</v>
      </c>
      <c r="AE170" s="1790">
        <v>448.74040000000002</v>
      </c>
      <c r="AF170" s="1792"/>
    </row>
    <row r="171" spans="1:32" s="1602" customFormat="1" ht="26.1" customHeight="1">
      <c r="A171" s="1594">
        <v>4.2</v>
      </c>
      <c r="B171" s="1614" t="s">
        <v>1791</v>
      </c>
      <c r="C171" s="1596"/>
      <c r="D171" s="1597"/>
      <c r="E171" s="1600"/>
      <c r="F171" s="1583"/>
      <c r="G171" s="1583"/>
      <c r="H171" s="1605"/>
      <c r="I171" s="1605"/>
      <c r="J171" s="1583"/>
      <c r="K171" s="1583"/>
      <c r="L171" s="1605"/>
      <c r="M171" s="1583"/>
      <c r="N171" s="1583"/>
      <c r="O171" s="1583"/>
      <c r="P171" s="1583"/>
      <c r="Q171" s="1583"/>
      <c r="R171" s="1600"/>
      <c r="S171" s="1600"/>
      <c r="T171" s="1585"/>
      <c r="U171" s="1585"/>
      <c r="V171" s="1585"/>
      <c r="W171" s="1585"/>
      <c r="X171" s="1585"/>
      <c r="Y171" s="1585"/>
      <c r="Z171" s="1585"/>
      <c r="AA171" s="1585"/>
      <c r="AB171" s="1585"/>
      <c r="AC171" s="1585"/>
      <c r="AD171" s="1601">
        <f t="shared" si="47"/>
        <v>0</v>
      </c>
      <c r="AE171" s="1790">
        <v>0</v>
      </c>
      <c r="AF171" s="1792"/>
    </row>
    <row r="172" spans="1:32" s="1602" customFormat="1" ht="26.1" customHeight="1">
      <c r="A172" s="1594" t="s">
        <v>1293</v>
      </c>
      <c r="B172" s="1609" t="s">
        <v>1792</v>
      </c>
      <c r="C172" s="1596"/>
      <c r="D172" s="1597"/>
      <c r="E172" s="1617"/>
      <c r="F172" s="1583"/>
      <c r="G172" s="1583"/>
      <c r="H172" s="1583"/>
      <c r="I172" s="1583"/>
      <c r="J172" s="1583"/>
      <c r="K172" s="1583"/>
      <c r="L172" s="1583"/>
      <c r="M172" s="1583"/>
      <c r="N172" s="1583"/>
      <c r="O172" s="1583"/>
      <c r="P172" s="1583"/>
      <c r="Q172" s="1583"/>
      <c r="R172" s="1600"/>
      <c r="S172" s="1600"/>
      <c r="T172" s="1585"/>
      <c r="U172" s="1585"/>
      <c r="V172" s="1585"/>
      <c r="W172" s="1585"/>
      <c r="X172" s="1585"/>
      <c r="Y172" s="1585"/>
      <c r="Z172" s="1585"/>
      <c r="AA172" s="1585"/>
      <c r="AB172" s="1585"/>
      <c r="AC172" s="1585"/>
      <c r="AD172" s="1601">
        <f t="shared" si="47"/>
        <v>0</v>
      </c>
      <c r="AE172" s="1790">
        <v>0</v>
      </c>
      <c r="AF172" s="1792"/>
    </row>
    <row r="173" spans="1:32" s="1602" customFormat="1" ht="26.1" customHeight="1">
      <c r="A173" s="2918" t="s">
        <v>1294</v>
      </c>
      <c r="B173" s="2919" t="s">
        <v>1793</v>
      </c>
      <c r="C173" s="2920" t="s">
        <v>1145</v>
      </c>
      <c r="D173" s="2917">
        <v>13856.2</v>
      </c>
      <c r="E173" s="1598" t="s">
        <v>2496</v>
      </c>
      <c r="F173" s="1583"/>
      <c r="G173" s="1583"/>
      <c r="H173" s="1583"/>
      <c r="I173" s="1583"/>
      <c r="J173" s="1583"/>
      <c r="K173" s="1585"/>
      <c r="L173" s="1585">
        <f t="shared" ref="L173" si="51">L174</f>
        <v>1720.08</v>
      </c>
      <c r="M173" s="1583"/>
      <c r="N173" s="1583"/>
      <c r="O173" s="1583"/>
      <c r="P173" s="1583"/>
      <c r="Q173" s="1583"/>
      <c r="R173" s="1600"/>
      <c r="S173" s="1600"/>
      <c r="T173" s="1585"/>
      <c r="U173" s="1585"/>
      <c r="V173" s="1585"/>
      <c r="W173" s="1585">
        <v>4969.12</v>
      </c>
      <c r="X173" s="1585"/>
      <c r="Y173" s="1585"/>
      <c r="Z173" s="1585">
        <v>7167.0000000000009</v>
      </c>
      <c r="AA173" s="1585"/>
      <c r="AB173" s="1585"/>
      <c r="AC173" s="1585"/>
      <c r="AD173" s="1601">
        <f t="shared" si="47"/>
        <v>13856.2</v>
      </c>
      <c r="AE173" s="1790">
        <v>6689.2</v>
      </c>
      <c r="AF173" s="1792"/>
    </row>
    <row r="174" spans="1:32" s="1602" customFormat="1" ht="26.1" customHeight="1">
      <c r="A174" s="2918"/>
      <c r="B174" s="2919"/>
      <c r="C174" s="2920"/>
      <c r="D174" s="2917"/>
      <c r="E174" s="1603" t="s">
        <v>2497</v>
      </c>
      <c r="F174" s="1583"/>
      <c r="G174" s="1583"/>
      <c r="H174" s="1583"/>
      <c r="I174" s="1583"/>
      <c r="J174" s="1583"/>
      <c r="K174" s="1604"/>
      <c r="L174" s="1604">
        <v>1720.08</v>
      </c>
      <c r="M174" s="1583"/>
      <c r="N174" s="1583"/>
      <c r="O174" s="1583"/>
      <c r="P174" s="1583"/>
      <c r="Q174" s="1583"/>
      <c r="R174" s="1600"/>
      <c r="S174" s="1600"/>
      <c r="T174" s="1585"/>
      <c r="U174" s="1618"/>
      <c r="V174" s="1585"/>
      <c r="W174" s="1604">
        <v>4969.12</v>
      </c>
      <c r="X174" s="1585"/>
      <c r="Y174" s="1585"/>
      <c r="Z174" s="1585"/>
      <c r="AA174" s="1585"/>
      <c r="AB174" s="1585"/>
      <c r="AC174" s="1585"/>
      <c r="AD174" s="1601">
        <f t="shared" si="47"/>
        <v>6689.2</v>
      </c>
      <c r="AE174" s="1790">
        <v>6689.2</v>
      </c>
      <c r="AF174" s="1792"/>
    </row>
    <row r="175" spans="1:32" s="1602" customFormat="1" ht="26.1" customHeight="1">
      <c r="A175" s="2918" t="s">
        <v>1295</v>
      </c>
      <c r="B175" s="2919" t="s">
        <v>1794</v>
      </c>
      <c r="C175" s="2920" t="s">
        <v>1145</v>
      </c>
      <c r="D175" s="2917">
        <v>11514.3</v>
      </c>
      <c r="E175" s="1598" t="s">
        <v>2496</v>
      </c>
      <c r="F175" s="1583"/>
      <c r="G175" s="1583"/>
      <c r="H175" s="1605"/>
      <c r="I175" s="1605"/>
      <c r="J175" s="1583"/>
      <c r="K175" s="1585"/>
      <c r="L175" s="1585">
        <f t="shared" ref="L175" si="52">L176</f>
        <v>877.28</v>
      </c>
      <c r="M175" s="1583"/>
      <c r="N175" s="1583"/>
      <c r="O175" s="1583"/>
      <c r="P175" s="1583"/>
      <c r="Q175" s="1583"/>
      <c r="R175" s="1600"/>
      <c r="S175" s="1600"/>
      <c r="T175" s="1585"/>
      <c r="U175" s="1585"/>
      <c r="V175" s="1585"/>
      <c r="W175" s="1585">
        <v>3509.12</v>
      </c>
      <c r="X175" s="1585"/>
      <c r="Y175" s="1585"/>
      <c r="Z175" s="1585">
        <v>7127.9</v>
      </c>
      <c r="AA175" s="1585"/>
      <c r="AB175" s="1585"/>
      <c r="AC175" s="1585"/>
      <c r="AD175" s="1601">
        <f t="shared" si="47"/>
        <v>11514.3</v>
      </c>
      <c r="AE175" s="1790">
        <v>4386.3999999999996</v>
      </c>
      <c r="AF175" s="1792"/>
    </row>
    <row r="176" spans="1:32" s="1602" customFormat="1" ht="26.1" customHeight="1">
      <c r="A176" s="2918"/>
      <c r="B176" s="2919"/>
      <c r="C176" s="2920"/>
      <c r="D176" s="2917"/>
      <c r="E176" s="1603" t="s">
        <v>2497</v>
      </c>
      <c r="F176" s="1583"/>
      <c r="G176" s="1583"/>
      <c r="H176" s="1605"/>
      <c r="I176" s="1605"/>
      <c r="J176" s="1583"/>
      <c r="K176" s="1604"/>
      <c r="L176" s="1604">
        <v>877.28</v>
      </c>
      <c r="M176" s="1583"/>
      <c r="N176" s="1583"/>
      <c r="O176" s="1583"/>
      <c r="P176" s="1583"/>
      <c r="Q176" s="1583"/>
      <c r="R176" s="1600"/>
      <c r="S176" s="1600"/>
      <c r="T176" s="1585"/>
      <c r="U176" s="1585"/>
      <c r="V176" s="1585"/>
      <c r="W176" s="1604">
        <v>3509.12</v>
      </c>
      <c r="X176" s="1585"/>
      <c r="Y176" s="1585"/>
      <c r="Z176" s="1585"/>
      <c r="AA176" s="1585"/>
      <c r="AB176" s="1585"/>
      <c r="AC176" s="1585"/>
      <c r="AD176" s="1601">
        <f t="shared" si="47"/>
        <v>4386.3999999999996</v>
      </c>
      <c r="AE176" s="1790">
        <v>4386.3999999999996</v>
      </c>
      <c r="AF176" s="1792"/>
    </row>
    <row r="177" spans="1:32" s="1602" customFormat="1" ht="26.1" customHeight="1">
      <c r="A177" s="1594" t="s">
        <v>1297</v>
      </c>
      <c r="B177" s="1609" t="s">
        <v>1796</v>
      </c>
      <c r="C177" s="1596"/>
      <c r="D177" s="1597"/>
      <c r="E177" s="1600"/>
      <c r="F177" s="1583"/>
      <c r="G177" s="1583"/>
      <c r="H177" s="1605"/>
      <c r="I177" s="1605"/>
      <c r="J177" s="1583"/>
      <c r="K177" s="1583"/>
      <c r="L177" s="1583"/>
      <c r="M177" s="1583"/>
      <c r="N177" s="1583"/>
      <c r="O177" s="1583"/>
      <c r="P177" s="1583"/>
      <c r="Q177" s="1583"/>
      <c r="R177" s="1600"/>
      <c r="S177" s="1600"/>
      <c r="T177" s="1585"/>
      <c r="U177" s="1585"/>
      <c r="V177" s="1585"/>
      <c r="W177" s="1585"/>
      <c r="X177" s="1585"/>
      <c r="Y177" s="1585"/>
      <c r="Z177" s="1585"/>
      <c r="AA177" s="1585"/>
      <c r="AB177" s="1585"/>
      <c r="AC177" s="1585"/>
      <c r="AD177" s="1601">
        <f t="shared" si="47"/>
        <v>0</v>
      </c>
      <c r="AE177" s="1790">
        <v>0</v>
      </c>
      <c r="AF177" s="1792"/>
    </row>
    <row r="178" spans="1:32" s="1602" customFormat="1" ht="26.1" customHeight="1">
      <c r="A178" s="2918" t="s">
        <v>1298</v>
      </c>
      <c r="B178" s="2919" t="s">
        <v>1797</v>
      </c>
      <c r="C178" s="2920" t="s">
        <v>51</v>
      </c>
      <c r="D178" s="2917">
        <v>4238.08</v>
      </c>
      <c r="E178" s="1598" t="s">
        <v>2496</v>
      </c>
      <c r="F178" s="1583"/>
      <c r="G178" s="1583"/>
      <c r="H178" s="1583"/>
      <c r="I178" s="1585">
        <f>I179</f>
        <v>397.32</v>
      </c>
      <c r="J178" s="1585">
        <f>J179</f>
        <v>794.64</v>
      </c>
      <c r="K178" s="1585">
        <f t="shared" ref="K178:L180" si="53">K179</f>
        <v>595.98</v>
      </c>
      <c r="L178" s="1585">
        <f t="shared" si="53"/>
        <v>1110.8404999999998</v>
      </c>
      <c r="M178" s="1583"/>
      <c r="N178" s="1583"/>
      <c r="O178" s="1583"/>
      <c r="P178" s="1583"/>
      <c r="Q178" s="1583"/>
      <c r="R178" s="1600"/>
      <c r="S178" s="1600"/>
      <c r="T178" s="1585"/>
      <c r="U178" s="1585"/>
      <c r="V178" s="1585"/>
      <c r="W178" s="1585"/>
      <c r="X178" s="1585">
        <v>1339.3</v>
      </c>
      <c r="Y178" s="1585"/>
      <c r="Z178" s="1585"/>
      <c r="AA178" s="1585"/>
      <c r="AB178" s="1585"/>
      <c r="AC178" s="1585"/>
      <c r="AD178" s="1601">
        <f t="shared" si="47"/>
        <v>4238.0805</v>
      </c>
      <c r="AE178" s="1790">
        <v>4238.0805</v>
      </c>
      <c r="AF178" s="1792"/>
    </row>
    <row r="179" spans="1:32" s="1602" customFormat="1" ht="26.1" customHeight="1">
      <c r="A179" s="2918"/>
      <c r="B179" s="2919"/>
      <c r="C179" s="2920"/>
      <c r="D179" s="2917"/>
      <c r="E179" s="1603" t="s">
        <v>2497</v>
      </c>
      <c r="F179" s="1583"/>
      <c r="G179" s="1583"/>
      <c r="H179" s="1583"/>
      <c r="I179" s="1583">
        <v>397.32</v>
      </c>
      <c r="J179" s="1583">
        <v>794.64</v>
      </c>
      <c r="K179" s="1604">
        <v>595.98</v>
      </c>
      <c r="L179" s="1604">
        <v>1110.8404999999998</v>
      </c>
      <c r="M179" s="1583"/>
      <c r="N179" s="1583"/>
      <c r="O179" s="1583"/>
      <c r="P179" s="1583"/>
      <c r="Q179" s="1583"/>
      <c r="R179" s="1600"/>
      <c r="S179" s="1600"/>
      <c r="T179" s="1585"/>
      <c r="U179" s="1585"/>
      <c r="V179" s="1618"/>
      <c r="W179" s="1585"/>
      <c r="X179" s="1604">
        <v>1339.3</v>
      </c>
      <c r="Y179" s="1585"/>
      <c r="Z179" s="1585"/>
      <c r="AA179" s="1585"/>
      <c r="AB179" s="1585"/>
      <c r="AC179" s="1585"/>
      <c r="AD179" s="1601">
        <f t="shared" si="47"/>
        <v>4238.0805</v>
      </c>
      <c r="AE179" s="1790">
        <v>4238.0805</v>
      </c>
      <c r="AF179" s="1792"/>
    </row>
    <row r="180" spans="1:32" s="1602" customFormat="1" ht="26.1" customHeight="1">
      <c r="A180" s="2918" t="s">
        <v>1299</v>
      </c>
      <c r="B180" s="2919" t="s">
        <v>1798</v>
      </c>
      <c r="C180" s="2920" t="s">
        <v>51</v>
      </c>
      <c r="D180" s="2917">
        <v>8102.56</v>
      </c>
      <c r="E180" s="1598" t="s">
        <v>2496</v>
      </c>
      <c r="F180" s="1583"/>
      <c r="G180" s="1583"/>
      <c r="H180" s="1605"/>
      <c r="I180" s="1585">
        <f>I181</f>
        <v>427.2</v>
      </c>
      <c r="J180" s="1585">
        <f>J181</f>
        <v>854.4</v>
      </c>
      <c r="K180" s="1585">
        <f t="shared" si="53"/>
        <v>854.4</v>
      </c>
      <c r="L180" s="1585">
        <f t="shared" si="53"/>
        <v>1708.8</v>
      </c>
      <c r="M180" s="1583"/>
      <c r="N180" s="1583"/>
      <c r="O180" s="1583"/>
      <c r="P180" s="1583"/>
      <c r="Q180" s="1583"/>
      <c r="R180" s="1600"/>
      <c r="S180" s="1600"/>
      <c r="T180" s="1585"/>
      <c r="U180" s="1585"/>
      <c r="V180" s="1585"/>
      <c r="W180" s="1585"/>
      <c r="X180" s="1585">
        <v>4257.76</v>
      </c>
      <c r="Y180" s="1585"/>
      <c r="Z180" s="1585"/>
      <c r="AA180" s="1585"/>
      <c r="AB180" s="1585"/>
      <c r="AC180" s="1585"/>
      <c r="AD180" s="1601">
        <f t="shared" si="47"/>
        <v>8102.56</v>
      </c>
      <c r="AE180" s="1790">
        <v>8102.56</v>
      </c>
      <c r="AF180" s="1792"/>
    </row>
    <row r="181" spans="1:32" s="1602" customFormat="1" ht="26.1" customHeight="1">
      <c r="A181" s="2918"/>
      <c r="B181" s="2919"/>
      <c r="C181" s="2920"/>
      <c r="D181" s="2917"/>
      <c r="E181" s="1603" t="s">
        <v>2497</v>
      </c>
      <c r="F181" s="1583"/>
      <c r="G181" s="1583"/>
      <c r="H181" s="1605"/>
      <c r="I181" s="1583">
        <v>427.2</v>
      </c>
      <c r="J181" s="1583">
        <v>854.4</v>
      </c>
      <c r="K181" s="1604">
        <v>854.4</v>
      </c>
      <c r="L181" s="1604">
        <v>1708.8</v>
      </c>
      <c r="M181" s="1583"/>
      <c r="N181" s="1583"/>
      <c r="O181" s="1583"/>
      <c r="P181" s="1583"/>
      <c r="Q181" s="1583"/>
      <c r="R181" s="1600"/>
      <c r="S181" s="1600"/>
      <c r="T181" s="1585"/>
      <c r="U181" s="1585"/>
      <c r="V181" s="1585"/>
      <c r="W181" s="1585"/>
      <c r="X181" s="1604">
        <v>4257.76</v>
      </c>
      <c r="Y181" s="1585"/>
      <c r="Z181" s="1585"/>
      <c r="AA181" s="1585"/>
      <c r="AB181" s="1585"/>
      <c r="AC181" s="1585"/>
      <c r="AD181" s="1601">
        <f t="shared" si="47"/>
        <v>8102.56</v>
      </c>
      <c r="AE181" s="1790">
        <v>8102.56</v>
      </c>
      <c r="AF181" s="1792"/>
    </row>
    <row r="182" spans="1:32" s="1602" customFormat="1" ht="26.1" customHeight="1">
      <c r="A182" s="1594" t="s">
        <v>1303</v>
      </c>
      <c r="B182" s="1609" t="s">
        <v>1802</v>
      </c>
      <c r="C182" s="1596"/>
      <c r="D182" s="1592"/>
      <c r="E182" s="1615"/>
      <c r="F182" s="1583"/>
      <c r="G182" s="1583"/>
      <c r="H182" s="1583"/>
      <c r="I182" s="1583"/>
      <c r="J182" s="1583"/>
      <c r="K182" s="1583"/>
      <c r="L182" s="1583"/>
      <c r="M182" s="1583"/>
      <c r="N182" s="1583"/>
      <c r="O182" s="1583"/>
      <c r="P182" s="1583"/>
      <c r="Q182" s="1583"/>
      <c r="R182" s="1600"/>
      <c r="S182" s="1600"/>
      <c r="T182" s="1585"/>
      <c r="U182" s="1585"/>
      <c r="V182" s="1585"/>
      <c r="W182" s="1585"/>
      <c r="X182" s="1585"/>
      <c r="Y182" s="1585"/>
      <c r="Z182" s="1585"/>
      <c r="AA182" s="1585"/>
      <c r="AB182" s="1585"/>
      <c r="AC182" s="1585"/>
      <c r="AD182" s="1601">
        <f t="shared" si="47"/>
        <v>0</v>
      </c>
      <c r="AE182" s="1790">
        <v>0</v>
      </c>
      <c r="AF182" s="1792"/>
    </row>
    <row r="183" spans="1:32" s="1602" customFormat="1" ht="26.1" customHeight="1">
      <c r="A183" s="2918" t="s">
        <v>1307</v>
      </c>
      <c r="B183" s="2919" t="s">
        <v>1806</v>
      </c>
      <c r="C183" s="2920" t="s">
        <v>52</v>
      </c>
      <c r="D183" s="2917">
        <v>5846.33</v>
      </c>
      <c r="E183" s="1598" t="s">
        <v>2496</v>
      </c>
      <c r="F183" s="1583"/>
      <c r="G183" s="1583"/>
      <c r="H183" s="1583"/>
      <c r="I183" s="1585">
        <f>I184</f>
        <v>106.62</v>
      </c>
      <c r="J183" s="1583"/>
      <c r="K183" s="1583"/>
      <c r="L183" s="1585">
        <f t="shared" ref="L183" si="54">L184</f>
        <v>550.87</v>
      </c>
      <c r="M183" s="1583"/>
      <c r="N183" s="1583"/>
      <c r="O183" s="1583"/>
      <c r="P183" s="1583"/>
      <c r="Q183" s="1583"/>
      <c r="R183" s="1600"/>
      <c r="S183" s="1600"/>
      <c r="T183" s="1585"/>
      <c r="U183" s="1585"/>
      <c r="V183" s="1585"/>
      <c r="W183" s="1585"/>
      <c r="X183" s="1585">
        <v>5188.84</v>
      </c>
      <c r="Y183" s="1585"/>
      <c r="Z183" s="1585"/>
      <c r="AA183" s="1585"/>
      <c r="AB183" s="1585"/>
      <c r="AC183" s="1585"/>
      <c r="AD183" s="1601">
        <f t="shared" si="47"/>
        <v>5846.33</v>
      </c>
      <c r="AE183" s="1790">
        <v>5846.33</v>
      </c>
      <c r="AF183" s="1792"/>
    </row>
    <row r="184" spans="1:32" s="1602" customFormat="1" ht="26.1" customHeight="1">
      <c r="A184" s="2918"/>
      <c r="B184" s="2919"/>
      <c r="C184" s="2920"/>
      <c r="D184" s="2917"/>
      <c r="E184" s="1603" t="s">
        <v>2497</v>
      </c>
      <c r="F184" s="1583"/>
      <c r="G184" s="1583"/>
      <c r="H184" s="1583"/>
      <c r="I184" s="1583">
        <v>106.62</v>
      </c>
      <c r="J184" s="1583"/>
      <c r="K184" s="1583"/>
      <c r="L184" s="1604">
        <v>550.87</v>
      </c>
      <c r="M184" s="1583"/>
      <c r="N184" s="1583"/>
      <c r="O184" s="1583"/>
      <c r="P184" s="1583"/>
      <c r="Q184" s="1583"/>
      <c r="R184" s="1600"/>
      <c r="S184" s="1600"/>
      <c r="T184" s="1585"/>
      <c r="U184" s="1585"/>
      <c r="V184" s="1618"/>
      <c r="W184" s="1585"/>
      <c r="X184" s="1604">
        <v>5188.84</v>
      </c>
      <c r="Y184" s="1585"/>
      <c r="Z184" s="1585"/>
      <c r="AA184" s="1585"/>
      <c r="AB184" s="1585"/>
      <c r="AC184" s="1585"/>
      <c r="AD184" s="1601">
        <f t="shared" si="47"/>
        <v>5846.33</v>
      </c>
      <c r="AE184" s="1790">
        <v>5846.33</v>
      </c>
      <c r="AF184" s="1792"/>
    </row>
    <row r="185" spans="1:32" s="1602" customFormat="1" ht="26.1" customHeight="1">
      <c r="A185" s="2918" t="s">
        <v>1308</v>
      </c>
      <c r="B185" s="2919" t="s">
        <v>1807</v>
      </c>
      <c r="C185" s="2920" t="s">
        <v>52</v>
      </c>
      <c r="D185" s="2917">
        <v>273</v>
      </c>
      <c r="E185" s="1598" t="s">
        <v>2496</v>
      </c>
      <c r="F185" s="1583"/>
      <c r="G185" s="1583"/>
      <c r="H185" s="1583"/>
      <c r="I185" s="1585">
        <f>I186</f>
        <v>68.25</v>
      </c>
      <c r="J185" s="1583"/>
      <c r="K185" s="1583"/>
      <c r="L185" s="1585">
        <f t="shared" ref="L185" si="55">L186</f>
        <v>68.25</v>
      </c>
      <c r="M185" s="1583"/>
      <c r="N185" s="1583"/>
      <c r="O185" s="1583"/>
      <c r="P185" s="1583"/>
      <c r="Q185" s="1583"/>
      <c r="R185" s="1600"/>
      <c r="S185" s="1600"/>
      <c r="T185" s="1585"/>
      <c r="U185" s="1585"/>
      <c r="V185" s="1585"/>
      <c r="W185" s="1585"/>
      <c r="X185" s="1585">
        <v>136.5</v>
      </c>
      <c r="Y185" s="1585"/>
      <c r="Z185" s="1585"/>
      <c r="AA185" s="1585"/>
      <c r="AB185" s="1585"/>
      <c r="AC185" s="1585"/>
      <c r="AD185" s="1601">
        <f t="shared" si="47"/>
        <v>273</v>
      </c>
      <c r="AE185" s="1790">
        <v>273</v>
      </c>
      <c r="AF185" s="1792"/>
    </row>
    <row r="186" spans="1:32" s="1602" customFormat="1" ht="26.1" customHeight="1">
      <c r="A186" s="2918"/>
      <c r="B186" s="2919"/>
      <c r="C186" s="2920"/>
      <c r="D186" s="2917"/>
      <c r="E186" s="1603" t="s">
        <v>2497</v>
      </c>
      <c r="F186" s="1583"/>
      <c r="G186" s="1583"/>
      <c r="H186" s="1583"/>
      <c r="I186" s="1583">
        <v>68.25</v>
      </c>
      <c r="J186" s="1583"/>
      <c r="K186" s="1583"/>
      <c r="L186" s="1604">
        <v>68.25</v>
      </c>
      <c r="M186" s="1583"/>
      <c r="N186" s="1583"/>
      <c r="O186" s="1583"/>
      <c r="P186" s="1583"/>
      <c r="Q186" s="1583"/>
      <c r="R186" s="1600"/>
      <c r="S186" s="1600"/>
      <c r="T186" s="1585"/>
      <c r="U186" s="1585"/>
      <c r="V186" s="1585"/>
      <c r="W186" s="1585"/>
      <c r="X186" s="1604">
        <v>136.5</v>
      </c>
      <c r="Y186" s="1585"/>
      <c r="Z186" s="1585"/>
      <c r="AA186" s="1585"/>
      <c r="AB186" s="1585"/>
      <c r="AC186" s="1585"/>
      <c r="AD186" s="1601">
        <f t="shared" si="47"/>
        <v>273</v>
      </c>
      <c r="AE186" s="1790">
        <v>273</v>
      </c>
      <c r="AF186" s="1792"/>
    </row>
    <row r="187" spans="1:32" s="1602" customFormat="1" ht="26.1" customHeight="1">
      <c r="A187" s="2918" t="s">
        <v>1309</v>
      </c>
      <c r="B187" s="2919" t="s">
        <v>1808</v>
      </c>
      <c r="C187" s="2920" t="s">
        <v>52</v>
      </c>
      <c r="D187" s="2917">
        <v>161.52000000000001</v>
      </c>
      <c r="E187" s="1598" t="s">
        <v>2496</v>
      </c>
      <c r="F187" s="1583"/>
      <c r="G187" s="1583"/>
      <c r="H187" s="1605"/>
      <c r="I187" s="1585">
        <f>I188</f>
        <v>60.570000000000007</v>
      </c>
      <c r="J187" s="1605"/>
      <c r="K187" s="1605"/>
      <c r="L187" s="1585">
        <f t="shared" ref="L187" si="56">L188</f>
        <v>100.95</v>
      </c>
      <c r="M187" s="1605"/>
      <c r="N187" s="1583"/>
      <c r="O187" s="1583"/>
      <c r="P187" s="1583"/>
      <c r="Q187" s="1583"/>
      <c r="R187" s="1600"/>
      <c r="S187" s="1600"/>
      <c r="T187" s="1585"/>
      <c r="U187" s="1585"/>
      <c r="V187" s="1585"/>
      <c r="W187" s="1585"/>
      <c r="X187" s="1585"/>
      <c r="Y187" s="1585"/>
      <c r="Z187" s="1585"/>
      <c r="AA187" s="1585"/>
      <c r="AB187" s="1585"/>
      <c r="AC187" s="1585"/>
      <c r="AD187" s="1601">
        <f t="shared" si="47"/>
        <v>161.52000000000001</v>
      </c>
      <c r="AE187" s="1790">
        <v>161.52000000000001</v>
      </c>
      <c r="AF187" s="1792"/>
    </row>
    <row r="188" spans="1:32" s="1602" customFormat="1" ht="26.1" customHeight="1">
      <c r="A188" s="2918"/>
      <c r="B188" s="2919"/>
      <c r="C188" s="2920"/>
      <c r="D188" s="2917"/>
      <c r="E188" s="1603" t="s">
        <v>2497</v>
      </c>
      <c r="F188" s="1583"/>
      <c r="G188" s="1583"/>
      <c r="H188" s="1605"/>
      <c r="I188" s="1583">
        <v>60.570000000000007</v>
      </c>
      <c r="J188" s="1605"/>
      <c r="K188" s="1605"/>
      <c r="L188" s="1604">
        <v>100.95</v>
      </c>
      <c r="M188" s="1605"/>
      <c r="N188" s="1583"/>
      <c r="O188" s="1583"/>
      <c r="P188" s="1583"/>
      <c r="Q188" s="1583"/>
      <c r="R188" s="1600"/>
      <c r="S188" s="1600"/>
      <c r="T188" s="1585"/>
      <c r="U188" s="1585"/>
      <c r="V188" s="1585"/>
      <c r="W188" s="1585"/>
      <c r="X188" s="1585"/>
      <c r="Y188" s="1585"/>
      <c r="Z188" s="1585"/>
      <c r="AA188" s="1585"/>
      <c r="AB188" s="1585"/>
      <c r="AC188" s="1585"/>
      <c r="AD188" s="1601">
        <f t="shared" si="47"/>
        <v>161.52000000000001</v>
      </c>
      <c r="AE188" s="1790">
        <v>161.52000000000001</v>
      </c>
      <c r="AF188" s="1792"/>
    </row>
    <row r="189" spans="1:32" s="1602" customFormat="1" ht="26.1" customHeight="1">
      <c r="A189" s="2918" t="s">
        <v>1310</v>
      </c>
      <c r="B189" s="2919" t="s">
        <v>1809</v>
      </c>
      <c r="C189" s="2920" t="s">
        <v>52</v>
      </c>
      <c r="D189" s="2917">
        <v>853.31999999999994</v>
      </c>
      <c r="E189" s="1598" t="s">
        <v>2496</v>
      </c>
      <c r="F189" s="1583"/>
      <c r="G189" s="1583"/>
      <c r="H189" s="1583"/>
      <c r="I189" s="1585">
        <f>I190</f>
        <v>65.64</v>
      </c>
      <c r="J189" s="1583"/>
      <c r="K189" s="1583"/>
      <c r="L189" s="1585">
        <f t="shared" ref="L189" si="57">L190</f>
        <v>54.699999999999996</v>
      </c>
      <c r="M189" s="1583"/>
      <c r="N189" s="1583"/>
      <c r="O189" s="1583"/>
      <c r="P189" s="1583"/>
      <c r="Q189" s="1583"/>
      <c r="R189" s="1600"/>
      <c r="S189" s="1600"/>
      <c r="T189" s="1585"/>
      <c r="U189" s="1585"/>
      <c r="V189" s="1585"/>
      <c r="W189" s="1585"/>
      <c r="X189" s="1585">
        <v>732.98</v>
      </c>
      <c r="Y189" s="1585"/>
      <c r="Z189" s="1585"/>
      <c r="AA189" s="1585"/>
      <c r="AB189" s="1585"/>
      <c r="AC189" s="1585"/>
      <c r="AD189" s="1601">
        <f t="shared" si="47"/>
        <v>853.32</v>
      </c>
      <c r="AE189" s="1790">
        <v>853.32</v>
      </c>
      <c r="AF189" s="1792"/>
    </row>
    <row r="190" spans="1:32" s="1602" customFormat="1" ht="26.1" customHeight="1">
      <c r="A190" s="2918"/>
      <c r="B190" s="2919"/>
      <c r="C190" s="2920"/>
      <c r="D190" s="2917"/>
      <c r="E190" s="1603" t="s">
        <v>2497</v>
      </c>
      <c r="F190" s="1583"/>
      <c r="G190" s="1583"/>
      <c r="H190" s="1583"/>
      <c r="I190" s="1583">
        <v>65.64</v>
      </c>
      <c r="J190" s="1583"/>
      <c r="K190" s="1583"/>
      <c r="L190" s="1604">
        <v>54.699999999999996</v>
      </c>
      <c r="M190" s="1583"/>
      <c r="N190" s="1583"/>
      <c r="O190" s="1583"/>
      <c r="P190" s="1583"/>
      <c r="Q190" s="1583"/>
      <c r="R190" s="1600"/>
      <c r="S190" s="1600"/>
      <c r="T190" s="1585"/>
      <c r="U190" s="1585"/>
      <c r="V190" s="1585"/>
      <c r="W190" s="1585"/>
      <c r="X190" s="1604">
        <v>732.98</v>
      </c>
      <c r="Y190" s="1585"/>
      <c r="Z190" s="1585"/>
      <c r="AA190" s="1585"/>
      <c r="AB190" s="1585"/>
      <c r="AC190" s="1585"/>
      <c r="AD190" s="1601">
        <f t="shared" si="47"/>
        <v>853.32</v>
      </c>
      <c r="AE190" s="1790">
        <v>853.32</v>
      </c>
      <c r="AF190" s="1792"/>
    </row>
    <row r="191" spans="1:32" s="1602" customFormat="1" ht="26.1" customHeight="1">
      <c r="A191" s="2918" t="s">
        <v>1311</v>
      </c>
      <c r="B191" s="2919" t="s">
        <v>1810</v>
      </c>
      <c r="C191" s="2920" t="s">
        <v>52</v>
      </c>
      <c r="D191" s="2917">
        <v>715.6</v>
      </c>
      <c r="E191" s="1598" t="s">
        <v>2496</v>
      </c>
      <c r="F191" s="1583"/>
      <c r="G191" s="1583"/>
      <c r="H191" s="1605"/>
      <c r="I191" s="1585">
        <f>I192</f>
        <v>53.67</v>
      </c>
      <c r="J191" s="1605"/>
      <c r="K191" s="1605"/>
      <c r="L191" s="1585">
        <f t="shared" ref="L191" si="58">L192</f>
        <v>107.34</v>
      </c>
      <c r="M191" s="1605"/>
      <c r="N191" s="1583"/>
      <c r="O191" s="1583"/>
      <c r="P191" s="1583"/>
      <c r="Q191" s="1583"/>
      <c r="R191" s="1600"/>
      <c r="S191" s="1600"/>
      <c r="T191" s="1585"/>
      <c r="U191" s="1585"/>
      <c r="V191" s="1585"/>
      <c r="W191" s="1585"/>
      <c r="X191" s="1585">
        <v>554.59</v>
      </c>
      <c r="Y191" s="1585"/>
      <c r="Z191" s="1585"/>
      <c r="AA191" s="1585"/>
      <c r="AB191" s="1585"/>
      <c r="AC191" s="1585"/>
      <c r="AD191" s="1601">
        <f t="shared" si="47"/>
        <v>715.6</v>
      </c>
      <c r="AE191" s="1790">
        <v>715.6</v>
      </c>
      <c r="AF191" s="1792"/>
    </row>
    <row r="192" spans="1:32" s="1602" customFormat="1" ht="26.1" customHeight="1">
      <c r="A192" s="2918"/>
      <c r="B192" s="2919"/>
      <c r="C192" s="2920"/>
      <c r="D192" s="2917"/>
      <c r="E192" s="1603" t="s">
        <v>2497</v>
      </c>
      <c r="F192" s="1583"/>
      <c r="G192" s="1583"/>
      <c r="H192" s="1605"/>
      <c r="I192" s="1583">
        <v>53.67</v>
      </c>
      <c r="J192" s="1605"/>
      <c r="K192" s="1605"/>
      <c r="L192" s="1604">
        <v>107.34</v>
      </c>
      <c r="M192" s="1605"/>
      <c r="N192" s="1583"/>
      <c r="O192" s="1583"/>
      <c r="P192" s="1583"/>
      <c r="Q192" s="1583"/>
      <c r="R192" s="1600"/>
      <c r="S192" s="1600"/>
      <c r="T192" s="1585"/>
      <c r="U192" s="1585"/>
      <c r="V192" s="1585"/>
      <c r="W192" s="1585"/>
      <c r="X192" s="1604">
        <v>554.59</v>
      </c>
      <c r="Y192" s="1585"/>
      <c r="Z192" s="1585"/>
      <c r="AA192" s="1585"/>
      <c r="AB192" s="1585"/>
      <c r="AC192" s="1585"/>
      <c r="AD192" s="1601">
        <f t="shared" si="47"/>
        <v>715.6</v>
      </c>
      <c r="AE192" s="1790">
        <v>715.6</v>
      </c>
      <c r="AF192" s="1792"/>
    </row>
    <row r="193" spans="1:32" s="1602" customFormat="1" ht="26.1" customHeight="1">
      <c r="A193" s="2918" t="s">
        <v>1312</v>
      </c>
      <c r="B193" s="2919" t="s">
        <v>1811</v>
      </c>
      <c r="C193" s="2920" t="s">
        <v>52</v>
      </c>
      <c r="D193" s="2917">
        <v>994.98</v>
      </c>
      <c r="E193" s="1598" t="s">
        <v>2496</v>
      </c>
      <c r="F193" s="1583"/>
      <c r="G193" s="1583"/>
      <c r="H193" s="1583"/>
      <c r="I193" s="1585">
        <f>I194</f>
        <v>71.070000000000007</v>
      </c>
      <c r="J193" s="1583"/>
      <c r="K193" s="1583"/>
      <c r="L193" s="1585">
        <f t="shared" ref="L193" si="59">L194</f>
        <v>284.28000000000003</v>
      </c>
      <c r="M193" s="1583"/>
      <c r="N193" s="1583"/>
      <c r="O193" s="1583"/>
      <c r="P193" s="1583"/>
      <c r="Q193" s="1583"/>
      <c r="R193" s="1600"/>
      <c r="S193" s="1600"/>
      <c r="T193" s="1585"/>
      <c r="U193" s="1585"/>
      <c r="V193" s="1585"/>
      <c r="W193" s="1585"/>
      <c r="X193" s="1585">
        <v>639.63</v>
      </c>
      <c r="Y193" s="1585"/>
      <c r="Z193" s="1585"/>
      <c r="AA193" s="1585"/>
      <c r="AB193" s="1585"/>
      <c r="AC193" s="1585"/>
      <c r="AD193" s="1601">
        <f t="shared" si="47"/>
        <v>994.98</v>
      </c>
      <c r="AE193" s="1790">
        <v>994.98</v>
      </c>
      <c r="AF193" s="1792"/>
    </row>
    <row r="194" spans="1:32" s="1602" customFormat="1" ht="26.1" customHeight="1">
      <c r="A194" s="2918"/>
      <c r="B194" s="2919"/>
      <c r="C194" s="2920"/>
      <c r="D194" s="2917"/>
      <c r="E194" s="1603" t="s">
        <v>2497</v>
      </c>
      <c r="F194" s="1583"/>
      <c r="G194" s="1583"/>
      <c r="H194" s="1583"/>
      <c r="I194" s="1583">
        <v>71.070000000000007</v>
      </c>
      <c r="J194" s="1583"/>
      <c r="K194" s="1583"/>
      <c r="L194" s="1604">
        <v>284.28000000000003</v>
      </c>
      <c r="M194" s="1583"/>
      <c r="N194" s="1583"/>
      <c r="O194" s="1583"/>
      <c r="P194" s="1583"/>
      <c r="Q194" s="1583"/>
      <c r="R194" s="1600"/>
      <c r="S194" s="1600"/>
      <c r="T194" s="1585"/>
      <c r="U194" s="1585"/>
      <c r="V194" s="1585"/>
      <c r="W194" s="1585"/>
      <c r="X194" s="1604">
        <v>639.63</v>
      </c>
      <c r="Y194" s="1585"/>
      <c r="Z194" s="1585"/>
      <c r="AA194" s="1585"/>
      <c r="AB194" s="1585"/>
      <c r="AC194" s="1585"/>
      <c r="AD194" s="1601">
        <f t="shared" si="47"/>
        <v>994.98</v>
      </c>
      <c r="AE194" s="1790">
        <v>994.98</v>
      </c>
      <c r="AF194" s="1792"/>
    </row>
    <row r="195" spans="1:32" s="1602" customFormat="1" ht="26.1" customHeight="1">
      <c r="A195" s="1594" t="s">
        <v>1315</v>
      </c>
      <c r="B195" s="1609" t="s">
        <v>1814</v>
      </c>
      <c r="C195" s="1596"/>
      <c r="D195" s="1597"/>
      <c r="E195" s="1615"/>
      <c r="F195" s="1583"/>
      <c r="G195" s="1583"/>
      <c r="H195" s="1583"/>
      <c r="I195" s="1583"/>
      <c r="J195" s="1583"/>
      <c r="K195" s="1583"/>
      <c r="L195" s="1583"/>
      <c r="M195" s="1583"/>
      <c r="N195" s="1583"/>
      <c r="O195" s="1583"/>
      <c r="P195" s="1583"/>
      <c r="Q195" s="1583"/>
      <c r="R195" s="1600"/>
      <c r="S195" s="1600"/>
      <c r="T195" s="1585"/>
      <c r="U195" s="1585"/>
      <c r="V195" s="1585"/>
      <c r="W195" s="1585"/>
      <c r="X195" s="1585"/>
      <c r="Y195" s="1585"/>
      <c r="Z195" s="1585"/>
      <c r="AA195" s="1585"/>
      <c r="AB195" s="1585"/>
      <c r="AC195" s="1585"/>
      <c r="AD195" s="1601">
        <f t="shared" si="47"/>
        <v>0</v>
      </c>
      <c r="AE195" s="1790">
        <v>0</v>
      </c>
      <c r="AF195" s="1792"/>
    </row>
    <row r="196" spans="1:32" s="1602" customFormat="1" ht="26.1" customHeight="1">
      <c r="A196" s="2918" t="s">
        <v>1316</v>
      </c>
      <c r="B196" s="2919" t="s">
        <v>1815</v>
      </c>
      <c r="C196" s="2920" t="s">
        <v>2146</v>
      </c>
      <c r="D196" s="2917">
        <v>144.82</v>
      </c>
      <c r="E196" s="1598" t="s">
        <v>2496</v>
      </c>
      <c r="F196" s="1583"/>
      <c r="G196" s="1583"/>
      <c r="H196" s="1605"/>
      <c r="I196" s="1605"/>
      <c r="J196" s="1605"/>
      <c r="K196" s="1605"/>
      <c r="L196" s="1605"/>
      <c r="M196" s="1605"/>
      <c r="N196" s="1583"/>
      <c r="O196" s="1583"/>
      <c r="P196" s="1583"/>
      <c r="Q196" s="1583"/>
      <c r="R196" s="1600"/>
      <c r="S196" s="1600"/>
      <c r="T196" s="1585"/>
      <c r="U196" s="1585"/>
      <c r="V196" s="1585"/>
      <c r="W196" s="1585"/>
      <c r="X196" s="1585"/>
      <c r="Y196" s="1585"/>
      <c r="Z196" s="1585">
        <v>144.82</v>
      </c>
      <c r="AA196" s="1585"/>
      <c r="AB196" s="1585"/>
      <c r="AC196" s="1585"/>
      <c r="AD196" s="1601">
        <f t="shared" si="47"/>
        <v>144.82</v>
      </c>
      <c r="AE196" s="1790">
        <v>0</v>
      </c>
      <c r="AF196" s="1792"/>
    </row>
    <row r="197" spans="1:32" s="1602" customFormat="1" ht="26.1" customHeight="1">
      <c r="A197" s="2918"/>
      <c r="B197" s="2919"/>
      <c r="C197" s="2920"/>
      <c r="D197" s="2917"/>
      <c r="E197" s="1603" t="s">
        <v>2497</v>
      </c>
      <c r="F197" s="1583"/>
      <c r="G197" s="1583"/>
      <c r="H197" s="1605"/>
      <c r="I197" s="1605"/>
      <c r="J197" s="1605"/>
      <c r="K197" s="1605"/>
      <c r="L197" s="1605"/>
      <c r="M197" s="1605"/>
      <c r="N197" s="1583"/>
      <c r="O197" s="1583"/>
      <c r="P197" s="1583"/>
      <c r="Q197" s="1583"/>
      <c r="R197" s="1600"/>
      <c r="S197" s="1600"/>
      <c r="T197" s="1585"/>
      <c r="U197" s="1618"/>
      <c r="V197" s="1585"/>
      <c r="W197" s="1585"/>
      <c r="X197" s="1585"/>
      <c r="Y197" s="1585"/>
      <c r="Z197" s="1585"/>
      <c r="AA197" s="1585"/>
      <c r="AB197" s="1585"/>
      <c r="AC197" s="1585"/>
      <c r="AD197" s="1601">
        <f t="shared" si="47"/>
        <v>0</v>
      </c>
      <c r="AE197" s="1790">
        <v>0</v>
      </c>
      <c r="AF197" s="1792"/>
    </row>
    <row r="198" spans="1:32" s="1602" customFormat="1" ht="26.1" customHeight="1">
      <c r="A198" s="2918" t="s">
        <v>1317</v>
      </c>
      <c r="B198" s="2919" t="s">
        <v>1816</v>
      </c>
      <c r="C198" s="2920" t="s">
        <v>2146</v>
      </c>
      <c r="D198" s="2917">
        <v>130.85</v>
      </c>
      <c r="E198" s="1598" t="s">
        <v>2496</v>
      </c>
      <c r="F198" s="1583"/>
      <c r="G198" s="1583"/>
      <c r="H198" s="1583"/>
      <c r="I198" s="1583"/>
      <c r="J198" s="1583"/>
      <c r="K198" s="1583"/>
      <c r="L198" s="1583"/>
      <c r="M198" s="1583"/>
      <c r="N198" s="1583"/>
      <c r="O198" s="1583"/>
      <c r="P198" s="1583"/>
      <c r="Q198" s="1583"/>
      <c r="R198" s="1600"/>
      <c r="S198" s="1600"/>
      <c r="T198" s="1585"/>
      <c r="U198" s="1585"/>
      <c r="V198" s="1585"/>
      <c r="W198" s="1585"/>
      <c r="X198" s="1585"/>
      <c r="Y198" s="1585"/>
      <c r="Z198" s="1585">
        <v>130.85</v>
      </c>
      <c r="AA198" s="1585"/>
      <c r="AB198" s="1585"/>
      <c r="AC198" s="1585"/>
      <c r="AD198" s="1601">
        <f t="shared" si="47"/>
        <v>130.85</v>
      </c>
      <c r="AE198" s="1790">
        <v>0</v>
      </c>
      <c r="AF198" s="1792"/>
    </row>
    <row r="199" spans="1:32" s="1602" customFormat="1" ht="26.1" customHeight="1">
      <c r="A199" s="2918"/>
      <c r="B199" s="2919"/>
      <c r="C199" s="2920"/>
      <c r="D199" s="2917"/>
      <c r="E199" s="1603" t="s">
        <v>2497</v>
      </c>
      <c r="F199" s="1583"/>
      <c r="G199" s="1583"/>
      <c r="H199" s="1583"/>
      <c r="I199" s="1583"/>
      <c r="J199" s="1583"/>
      <c r="K199" s="1583"/>
      <c r="L199" s="1583"/>
      <c r="M199" s="1583"/>
      <c r="N199" s="1583"/>
      <c r="O199" s="1583"/>
      <c r="P199" s="1583"/>
      <c r="Q199" s="1583"/>
      <c r="R199" s="1600"/>
      <c r="S199" s="1600"/>
      <c r="T199" s="1585"/>
      <c r="U199" s="1585"/>
      <c r="V199" s="1585"/>
      <c r="W199" s="1585"/>
      <c r="X199" s="1585"/>
      <c r="Y199" s="1585"/>
      <c r="Z199" s="1585"/>
      <c r="AA199" s="1585"/>
      <c r="AB199" s="1585"/>
      <c r="AC199" s="1585"/>
      <c r="AD199" s="1601">
        <f t="shared" si="47"/>
        <v>0</v>
      </c>
      <c r="AE199" s="1790">
        <v>0</v>
      </c>
      <c r="AF199" s="1792"/>
    </row>
    <row r="200" spans="1:32" s="1602" customFormat="1" ht="26.1" customHeight="1">
      <c r="A200" s="1594" t="s">
        <v>1318</v>
      </c>
      <c r="B200" s="1609" t="s">
        <v>1817</v>
      </c>
      <c r="C200" s="1596"/>
      <c r="D200" s="1592"/>
      <c r="E200" s="1600"/>
      <c r="F200" s="1583"/>
      <c r="G200" s="1583"/>
      <c r="H200" s="1605"/>
      <c r="I200" s="1605"/>
      <c r="J200" s="1605"/>
      <c r="K200" s="1605"/>
      <c r="L200" s="1605"/>
      <c r="M200" s="1605"/>
      <c r="N200" s="1583"/>
      <c r="O200" s="1583"/>
      <c r="P200" s="1583"/>
      <c r="Q200" s="1583"/>
      <c r="R200" s="1600"/>
      <c r="S200" s="1600"/>
      <c r="T200" s="1585"/>
      <c r="U200" s="1585"/>
      <c r="V200" s="1585"/>
      <c r="W200" s="1585"/>
      <c r="X200" s="1585"/>
      <c r="Y200" s="1585"/>
      <c r="Z200" s="1585"/>
      <c r="AA200" s="1585"/>
      <c r="AB200" s="1585"/>
      <c r="AC200" s="1585"/>
      <c r="AD200" s="1601">
        <f t="shared" si="47"/>
        <v>0</v>
      </c>
      <c r="AE200" s="1790">
        <v>0</v>
      </c>
      <c r="AF200" s="1792"/>
    </row>
    <row r="201" spans="1:32" s="1602" customFormat="1" ht="26.1" customHeight="1">
      <c r="A201" s="1594" t="s">
        <v>1319</v>
      </c>
      <c r="B201" s="1609" t="s">
        <v>1818</v>
      </c>
      <c r="C201" s="1596"/>
      <c r="D201" s="1592"/>
      <c r="E201" s="1600"/>
      <c r="F201" s="1583"/>
      <c r="G201" s="1583"/>
      <c r="H201" s="1583"/>
      <c r="I201" s="1583"/>
      <c r="J201" s="1583"/>
      <c r="K201" s="1583"/>
      <c r="L201" s="1583"/>
      <c r="M201" s="1583"/>
      <c r="N201" s="1583"/>
      <c r="O201" s="1583"/>
      <c r="P201" s="1583"/>
      <c r="Q201" s="1583"/>
      <c r="R201" s="1600"/>
      <c r="S201" s="1600"/>
      <c r="T201" s="1585"/>
      <c r="U201" s="1585"/>
      <c r="V201" s="1585"/>
      <c r="W201" s="1585"/>
      <c r="X201" s="1585"/>
      <c r="Y201" s="1585"/>
      <c r="Z201" s="1585"/>
      <c r="AA201" s="1585"/>
      <c r="AB201" s="1585"/>
      <c r="AC201" s="1585"/>
      <c r="AD201" s="1601">
        <f t="shared" si="47"/>
        <v>0</v>
      </c>
      <c r="AE201" s="1790">
        <v>0</v>
      </c>
      <c r="AF201" s="1792"/>
    </row>
    <row r="202" spans="1:32" s="1602" customFormat="1" ht="26.1" customHeight="1">
      <c r="A202" s="2918" t="s">
        <v>1320</v>
      </c>
      <c r="B202" s="2919" t="s">
        <v>1819</v>
      </c>
      <c r="C202" s="2920" t="s">
        <v>2145</v>
      </c>
      <c r="D202" s="2917">
        <v>56636.35</v>
      </c>
      <c r="E202" s="1598" t="s">
        <v>2496</v>
      </c>
      <c r="F202" s="1583"/>
      <c r="G202" s="1583"/>
      <c r="H202" s="1605"/>
      <c r="I202" s="1605"/>
      <c r="J202" s="1605"/>
      <c r="K202" s="1605"/>
      <c r="L202" s="1605"/>
      <c r="M202" s="1605"/>
      <c r="N202" s="1583"/>
      <c r="O202" s="1583"/>
      <c r="P202" s="1583"/>
      <c r="Q202" s="1583"/>
      <c r="R202" s="1600"/>
      <c r="S202" s="1600"/>
      <c r="T202" s="1585"/>
      <c r="U202" s="1585"/>
      <c r="V202" s="1585"/>
      <c r="W202" s="1585"/>
      <c r="X202" s="1585"/>
      <c r="Y202" s="1585"/>
      <c r="Z202" s="1585">
        <v>28318.174999999999</v>
      </c>
      <c r="AA202" s="1585">
        <v>28318.174999999999</v>
      </c>
      <c r="AB202" s="1585"/>
      <c r="AC202" s="1585"/>
      <c r="AD202" s="1601">
        <f t="shared" si="47"/>
        <v>56636.35</v>
      </c>
      <c r="AE202" s="1790">
        <v>0</v>
      </c>
      <c r="AF202" s="1792"/>
    </row>
    <row r="203" spans="1:32" s="1602" customFormat="1" ht="26.1" customHeight="1">
      <c r="A203" s="2918"/>
      <c r="B203" s="2919"/>
      <c r="C203" s="2920"/>
      <c r="D203" s="2917"/>
      <c r="E203" s="1603" t="s">
        <v>2497</v>
      </c>
      <c r="F203" s="1583"/>
      <c r="G203" s="1583"/>
      <c r="H203" s="1605"/>
      <c r="I203" s="1605"/>
      <c r="J203" s="1605"/>
      <c r="K203" s="1605"/>
      <c r="L203" s="1605"/>
      <c r="M203" s="1605"/>
      <c r="N203" s="1583"/>
      <c r="O203" s="1583"/>
      <c r="P203" s="1583"/>
      <c r="Q203" s="1583"/>
      <c r="R203" s="1600"/>
      <c r="S203" s="1600"/>
      <c r="T203" s="1585"/>
      <c r="U203" s="1585"/>
      <c r="V203" s="1618"/>
      <c r="W203" s="1585"/>
      <c r="X203" s="1585"/>
      <c r="Y203" s="1585"/>
      <c r="Z203" s="1585"/>
      <c r="AA203" s="1585"/>
      <c r="AB203" s="1585"/>
      <c r="AC203" s="1585"/>
      <c r="AD203" s="1601">
        <f t="shared" si="47"/>
        <v>0</v>
      </c>
      <c r="AE203" s="1790">
        <v>0</v>
      </c>
      <c r="AF203" s="1792"/>
    </row>
    <row r="204" spans="1:32" s="1985" customFormat="1" ht="26.1" customHeight="1">
      <c r="A204" s="2921" t="s">
        <v>1321</v>
      </c>
      <c r="B204" s="2922" t="s">
        <v>1820</v>
      </c>
      <c r="C204" s="2923" t="s">
        <v>2145</v>
      </c>
      <c r="D204" s="2924">
        <v>17029.12</v>
      </c>
      <c r="E204" s="1978" t="s">
        <v>2496</v>
      </c>
      <c r="F204" s="1987"/>
      <c r="G204" s="1987"/>
      <c r="H204" s="1987"/>
      <c r="I204" s="1987"/>
      <c r="J204" s="1987"/>
      <c r="K204" s="1987"/>
      <c r="L204" s="1987"/>
      <c r="M204" s="1987"/>
      <c r="N204" s="1987"/>
      <c r="O204" s="1987"/>
      <c r="P204" s="1987"/>
      <c r="Q204" s="1987"/>
      <c r="R204" s="1981"/>
      <c r="S204" s="1981"/>
      <c r="T204" s="1980"/>
      <c r="U204" s="1980"/>
      <c r="V204" s="1980"/>
      <c r="W204" s="1980"/>
      <c r="X204" s="1980"/>
      <c r="Y204" s="1980"/>
      <c r="Z204" s="1980">
        <v>17029.12</v>
      </c>
      <c r="AA204" s="1980"/>
      <c r="AB204" s="1980"/>
      <c r="AC204" s="1980"/>
      <c r="AD204" s="1982">
        <f t="shared" si="47"/>
        <v>17029.12</v>
      </c>
      <c r="AE204" s="1983">
        <v>0</v>
      </c>
      <c r="AF204" s="1984"/>
    </row>
    <row r="205" spans="1:32" s="1985" customFormat="1" ht="26.1" customHeight="1">
      <c r="A205" s="2921"/>
      <c r="B205" s="2922"/>
      <c r="C205" s="2923"/>
      <c r="D205" s="2924"/>
      <c r="E205" s="1978" t="s">
        <v>2497</v>
      </c>
      <c r="F205" s="1987"/>
      <c r="G205" s="1987"/>
      <c r="H205" s="1987"/>
      <c r="I205" s="1987"/>
      <c r="J205" s="1987"/>
      <c r="K205" s="1987"/>
      <c r="L205" s="1987"/>
      <c r="M205" s="1987"/>
      <c r="N205" s="1987"/>
      <c r="O205" s="1987"/>
      <c r="P205" s="1987"/>
      <c r="Q205" s="1987"/>
      <c r="R205" s="1981"/>
      <c r="S205" s="1981"/>
      <c r="T205" s="1980"/>
      <c r="U205" s="1980"/>
      <c r="V205" s="1989"/>
      <c r="W205" s="1980"/>
      <c r="X205" s="1980"/>
      <c r="Y205" s="1980"/>
      <c r="Z205" s="1980"/>
      <c r="AA205" s="1980"/>
      <c r="AB205" s="1980"/>
      <c r="AC205" s="1980"/>
      <c r="AD205" s="1982">
        <f t="shared" si="47"/>
        <v>0</v>
      </c>
      <c r="AE205" s="1983">
        <v>0</v>
      </c>
      <c r="AF205" s="1984"/>
    </row>
    <row r="206" spans="1:32" s="1602" customFormat="1" ht="26.1" customHeight="1">
      <c r="A206" s="2918" t="s">
        <v>1322</v>
      </c>
      <c r="B206" s="2919" t="s">
        <v>1821</v>
      </c>
      <c r="C206" s="2920" t="s">
        <v>2145</v>
      </c>
      <c r="D206" s="2917">
        <v>28886.539999999997</v>
      </c>
      <c r="E206" s="1598" t="s">
        <v>2496</v>
      </c>
      <c r="F206" s="1583"/>
      <c r="G206" s="1583"/>
      <c r="H206" s="1605"/>
      <c r="I206" s="1605"/>
      <c r="J206" s="1605"/>
      <c r="K206" s="1605"/>
      <c r="L206" s="1605"/>
      <c r="M206" s="1605"/>
      <c r="N206" s="1583"/>
      <c r="O206" s="1583"/>
      <c r="P206" s="1583"/>
      <c r="Q206" s="1583"/>
      <c r="R206" s="1600"/>
      <c r="S206" s="1600"/>
      <c r="T206" s="1585"/>
      <c r="U206" s="1585"/>
      <c r="V206" s="1585"/>
      <c r="W206" s="1585"/>
      <c r="X206" s="1585"/>
      <c r="Y206" s="1585"/>
      <c r="Z206" s="1585"/>
      <c r="AA206" s="1585">
        <v>28886.539999999997</v>
      </c>
      <c r="AB206" s="1585"/>
      <c r="AC206" s="1585"/>
      <c r="AD206" s="1601">
        <f t="shared" si="47"/>
        <v>28886.539999999997</v>
      </c>
      <c r="AE206" s="1790">
        <v>0</v>
      </c>
      <c r="AF206" s="1792"/>
    </row>
    <row r="207" spans="1:32" s="1602" customFormat="1" ht="26.1" customHeight="1">
      <c r="A207" s="2918"/>
      <c r="B207" s="2919"/>
      <c r="C207" s="2920"/>
      <c r="D207" s="2917"/>
      <c r="E207" s="1603" t="s">
        <v>2497</v>
      </c>
      <c r="F207" s="1583"/>
      <c r="G207" s="1583"/>
      <c r="H207" s="1605"/>
      <c r="I207" s="1605"/>
      <c r="J207" s="1605"/>
      <c r="K207" s="1605"/>
      <c r="L207" s="1605"/>
      <c r="M207" s="1605"/>
      <c r="N207" s="1583"/>
      <c r="O207" s="1583"/>
      <c r="P207" s="1583"/>
      <c r="Q207" s="1583"/>
      <c r="R207" s="1600"/>
      <c r="S207" s="1600"/>
      <c r="T207" s="1585"/>
      <c r="U207" s="1585"/>
      <c r="V207" s="1585"/>
      <c r="W207" s="1585"/>
      <c r="X207" s="1585"/>
      <c r="Y207" s="1585"/>
      <c r="Z207" s="1585"/>
      <c r="AA207" s="1585"/>
      <c r="AB207" s="1585"/>
      <c r="AC207" s="1585"/>
      <c r="AD207" s="1601">
        <f t="shared" si="47"/>
        <v>0</v>
      </c>
      <c r="AE207" s="1790">
        <v>0</v>
      </c>
      <c r="AF207" s="1792"/>
    </row>
    <row r="208" spans="1:32" s="1602" customFormat="1" ht="26.1" customHeight="1">
      <c r="A208" s="2918" t="s">
        <v>1323</v>
      </c>
      <c r="B208" s="2919" t="s">
        <v>1822</v>
      </c>
      <c r="C208" s="2920" t="s">
        <v>52</v>
      </c>
      <c r="D208" s="2917">
        <v>51216.62</v>
      </c>
      <c r="E208" s="1598" t="s">
        <v>2496</v>
      </c>
      <c r="F208" s="1583"/>
      <c r="G208" s="1583"/>
      <c r="H208" s="1583"/>
      <c r="I208" s="1583"/>
      <c r="J208" s="1583"/>
      <c r="K208" s="1583"/>
      <c r="L208" s="1583"/>
      <c r="M208" s="1583"/>
      <c r="N208" s="1583"/>
      <c r="O208" s="1583"/>
      <c r="P208" s="1583"/>
      <c r="Q208" s="1583"/>
      <c r="R208" s="1600"/>
      <c r="S208" s="1600"/>
      <c r="T208" s="1585"/>
      <c r="U208" s="1585"/>
      <c r="V208" s="1585"/>
      <c r="W208" s="1585"/>
      <c r="X208" s="1585"/>
      <c r="Y208" s="1585"/>
      <c r="Z208" s="1585"/>
      <c r="AA208" s="1585">
        <v>51216.62</v>
      </c>
      <c r="AB208" s="1585"/>
      <c r="AC208" s="1585"/>
      <c r="AD208" s="1601">
        <f t="shared" si="47"/>
        <v>51216.62</v>
      </c>
      <c r="AE208" s="1790">
        <v>0</v>
      </c>
      <c r="AF208" s="1792"/>
    </row>
    <row r="209" spans="1:32" s="1602" customFormat="1" ht="26.1" customHeight="1">
      <c r="A209" s="2918"/>
      <c r="B209" s="2919"/>
      <c r="C209" s="2920"/>
      <c r="D209" s="2917"/>
      <c r="E209" s="1603" t="s">
        <v>2497</v>
      </c>
      <c r="F209" s="1583"/>
      <c r="G209" s="1583"/>
      <c r="H209" s="1583"/>
      <c r="I209" s="1583"/>
      <c r="J209" s="1583"/>
      <c r="K209" s="1583"/>
      <c r="L209" s="1583"/>
      <c r="M209" s="1583"/>
      <c r="N209" s="1583"/>
      <c r="O209" s="1583"/>
      <c r="P209" s="1583"/>
      <c r="Q209" s="1583"/>
      <c r="R209" s="1600"/>
      <c r="S209" s="1600"/>
      <c r="T209" s="1585"/>
      <c r="U209" s="1585"/>
      <c r="V209" s="1585"/>
      <c r="W209" s="1585"/>
      <c r="X209" s="1585"/>
      <c r="Y209" s="1585"/>
      <c r="Z209" s="1585"/>
      <c r="AA209" s="1585"/>
      <c r="AB209" s="1585"/>
      <c r="AC209" s="1585"/>
      <c r="AD209" s="1601">
        <f t="shared" ref="AD209:AD272" si="60">SUM(F209:AC209)</f>
        <v>0</v>
      </c>
      <c r="AE209" s="1790">
        <v>0</v>
      </c>
      <c r="AF209" s="1792"/>
    </row>
    <row r="210" spans="1:32" s="1602" customFormat="1" ht="26.1" customHeight="1">
      <c r="A210" s="1594" t="s">
        <v>1324</v>
      </c>
      <c r="B210" s="1609" t="s">
        <v>1823</v>
      </c>
      <c r="C210" s="1596"/>
      <c r="D210" s="1592"/>
      <c r="E210" s="1615"/>
      <c r="F210" s="1583"/>
      <c r="G210" s="1583"/>
      <c r="H210" s="1583"/>
      <c r="I210" s="1583"/>
      <c r="J210" s="1583"/>
      <c r="K210" s="1583"/>
      <c r="L210" s="1583"/>
      <c r="M210" s="1583"/>
      <c r="N210" s="1583"/>
      <c r="O210" s="1583"/>
      <c r="P210" s="1583"/>
      <c r="Q210" s="1583"/>
      <c r="R210" s="1600"/>
      <c r="S210" s="1600"/>
      <c r="T210" s="1585"/>
      <c r="U210" s="1585"/>
      <c r="V210" s="1585"/>
      <c r="W210" s="1585"/>
      <c r="X210" s="1585"/>
      <c r="Y210" s="1585"/>
      <c r="Z210" s="1585"/>
      <c r="AA210" s="1585"/>
      <c r="AB210" s="1585"/>
      <c r="AC210" s="1585"/>
      <c r="AD210" s="1601">
        <f t="shared" si="60"/>
        <v>0</v>
      </c>
      <c r="AE210" s="1790">
        <v>0</v>
      </c>
      <c r="AF210" s="1792"/>
    </row>
    <row r="211" spans="1:32" s="1602" customFormat="1" ht="26.1" customHeight="1">
      <c r="A211" s="2918" t="s">
        <v>1325</v>
      </c>
      <c r="B211" s="2919" t="s">
        <v>1824</v>
      </c>
      <c r="C211" s="2920" t="s">
        <v>52</v>
      </c>
      <c r="D211" s="2917">
        <v>3857.7000000000003</v>
      </c>
      <c r="E211" s="1598" t="s">
        <v>2496</v>
      </c>
      <c r="F211" s="1583"/>
      <c r="G211" s="1583"/>
      <c r="H211" s="1605"/>
      <c r="I211" s="1605"/>
      <c r="J211" s="1583"/>
      <c r="K211" s="1583"/>
      <c r="L211" s="1605"/>
      <c r="M211" s="1605"/>
      <c r="N211" s="1583"/>
      <c r="O211" s="1583"/>
      <c r="P211" s="1583"/>
      <c r="Q211" s="1583"/>
      <c r="R211" s="1600"/>
      <c r="S211" s="1600"/>
      <c r="T211" s="1585"/>
      <c r="U211" s="1585"/>
      <c r="V211" s="1585"/>
      <c r="W211" s="1585"/>
      <c r="X211" s="1585"/>
      <c r="Y211" s="1585"/>
      <c r="Z211" s="1585"/>
      <c r="AA211" s="1585">
        <v>3857.7</v>
      </c>
      <c r="AB211" s="1585"/>
      <c r="AC211" s="1585"/>
      <c r="AD211" s="1601">
        <f t="shared" si="60"/>
        <v>3857.7</v>
      </c>
      <c r="AE211" s="1790">
        <v>0</v>
      </c>
      <c r="AF211" s="1792"/>
    </row>
    <row r="212" spans="1:32" s="1602" customFormat="1" ht="26.1" customHeight="1">
      <c r="A212" s="2918"/>
      <c r="B212" s="2919"/>
      <c r="C212" s="2920"/>
      <c r="D212" s="2917"/>
      <c r="E212" s="1603" t="s">
        <v>2497</v>
      </c>
      <c r="F212" s="1583"/>
      <c r="G212" s="1583"/>
      <c r="H212" s="1605"/>
      <c r="I212" s="1605"/>
      <c r="J212" s="1583"/>
      <c r="K212" s="1583"/>
      <c r="L212" s="1605"/>
      <c r="M212" s="1605"/>
      <c r="N212" s="1583"/>
      <c r="O212" s="1583"/>
      <c r="P212" s="1583"/>
      <c r="Q212" s="1583"/>
      <c r="R212" s="1600"/>
      <c r="S212" s="1600"/>
      <c r="T212" s="1585"/>
      <c r="U212" s="1585"/>
      <c r="V212" s="1618"/>
      <c r="W212" s="1585"/>
      <c r="X212" s="1585"/>
      <c r="Y212" s="1585"/>
      <c r="Z212" s="1585"/>
      <c r="AA212" s="1585"/>
      <c r="AB212" s="1585"/>
      <c r="AC212" s="1585"/>
      <c r="AD212" s="1601">
        <f t="shared" si="60"/>
        <v>0</v>
      </c>
      <c r="AE212" s="1790">
        <v>0</v>
      </c>
      <c r="AF212" s="1792"/>
    </row>
    <row r="213" spans="1:32" s="1602" customFormat="1" ht="26.1" customHeight="1">
      <c r="A213" s="2918" t="s">
        <v>1326</v>
      </c>
      <c r="B213" s="2919" t="s">
        <v>1825</v>
      </c>
      <c r="C213" s="2920" t="s">
        <v>52</v>
      </c>
      <c r="D213" s="2917">
        <v>9240</v>
      </c>
      <c r="E213" s="1598" t="s">
        <v>2496</v>
      </c>
      <c r="F213" s="1583"/>
      <c r="G213" s="1583"/>
      <c r="H213" s="1583"/>
      <c r="I213" s="1583"/>
      <c r="J213" s="1583"/>
      <c r="K213" s="1583"/>
      <c r="L213" s="1583"/>
      <c r="M213" s="1583"/>
      <c r="N213" s="1583"/>
      <c r="O213" s="1583"/>
      <c r="P213" s="1583"/>
      <c r="Q213" s="1583"/>
      <c r="R213" s="1600"/>
      <c r="S213" s="1600"/>
      <c r="T213" s="1585"/>
      <c r="U213" s="1585"/>
      <c r="V213" s="1585"/>
      <c r="W213" s="1585"/>
      <c r="X213" s="1585"/>
      <c r="Y213" s="1585"/>
      <c r="Z213" s="1585"/>
      <c r="AA213" s="1585">
        <v>9240</v>
      </c>
      <c r="AB213" s="1585"/>
      <c r="AC213" s="1585"/>
      <c r="AD213" s="1601">
        <f t="shared" si="60"/>
        <v>9240</v>
      </c>
      <c r="AE213" s="1790">
        <v>0</v>
      </c>
      <c r="AF213" s="1792"/>
    </row>
    <row r="214" spans="1:32" s="1602" customFormat="1" ht="26.1" customHeight="1">
      <c r="A214" s="2918"/>
      <c r="B214" s="2919"/>
      <c r="C214" s="2920"/>
      <c r="D214" s="2917"/>
      <c r="E214" s="1603" t="s">
        <v>2497</v>
      </c>
      <c r="F214" s="1583"/>
      <c r="G214" s="1583"/>
      <c r="H214" s="1583"/>
      <c r="I214" s="1583"/>
      <c r="J214" s="1583"/>
      <c r="K214" s="1583"/>
      <c r="L214" s="1583"/>
      <c r="M214" s="1583"/>
      <c r="N214" s="1583"/>
      <c r="O214" s="1583"/>
      <c r="P214" s="1583"/>
      <c r="Q214" s="1583"/>
      <c r="R214" s="1600"/>
      <c r="S214" s="1600"/>
      <c r="T214" s="1585"/>
      <c r="U214" s="1585"/>
      <c r="V214" s="1618"/>
      <c r="W214" s="1585"/>
      <c r="X214" s="1585"/>
      <c r="Y214" s="1585"/>
      <c r="Z214" s="1585"/>
      <c r="AA214" s="1585"/>
      <c r="AB214" s="1585"/>
      <c r="AC214" s="1585"/>
      <c r="AD214" s="1601">
        <f t="shared" si="60"/>
        <v>0</v>
      </c>
      <c r="AE214" s="1790">
        <v>0</v>
      </c>
      <c r="AF214" s="1792"/>
    </row>
    <row r="215" spans="1:32" s="1602" customFormat="1" ht="26.1" customHeight="1">
      <c r="A215" s="2918" t="s">
        <v>1327</v>
      </c>
      <c r="B215" s="2919" t="s">
        <v>1826</v>
      </c>
      <c r="C215" s="2920" t="s">
        <v>52</v>
      </c>
      <c r="D215" s="2917">
        <v>1140</v>
      </c>
      <c r="E215" s="1598" t="s">
        <v>2496</v>
      </c>
      <c r="F215" s="1583"/>
      <c r="G215" s="1583"/>
      <c r="H215" s="1605"/>
      <c r="I215" s="1605"/>
      <c r="J215" s="1605"/>
      <c r="K215" s="1605"/>
      <c r="L215" s="1605"/>
      <c r="M215" s="1605"/>
      <c r="N215" s="1583"/>
      <c r="O215" s="1583"/>
      <c r="P215" s="1583"/>
      <c r="Q215" s="1583"/>
      <c r="R215" s="1600"/>
      <c r="S215" s="1600"/>
      <c r="T215" s="1585"/>
      <c r="U215" s="1585"/>
      <c r="V215" s="1585"/>
      <c r="W215" s="1585"/>
      <c r="X215" s="1585"/>
      <c r="Y215" s="1585"/>
      <c r="Z215" s="1585"/>
      <c r="AA215" s="1585">
        <v>1140</v>
      </c>
      <c r="AB215" s="1585"/>
      <c r="AC215" s="1585"/>
      <c r="AD215" s="1601">
        <f t="shared" si="60"/>
        <v>1140</v>
      </c>
      <c r="AE215" s="1790">
        <v>0</v>
      </c>
      <c r="AF215" s="1792"/>
    </row>
    <row r="216" spans="1:32" s="1602" customFormat="1" ht="26.1" customHeight="1">
      <c r="A216" s="2918"/>
      <c r="B216" s="2919"/>
      <c r="C216" s="2920"/>
      <c r="D216" s="2917"/>
      <c r="E216" s="1603" t="s">
        <v>2497</v>
      </c>
      <c r="F216" s="1583"/>
      <c r="G216" s="1583"/>
      <c r="H216" s="1605"/>
      <c r="I216" s="1605"/>
      <c r="J216" s="1605"/>
      <c r="K216" s="1605"/>
      <c r="L216" s="1605"/>
      <c r="M216" s="1605"/>
      <c r="N216" s="1583"/>
      <c r="O216" s="1583"/>
      <c r="P216" s="1583"/>
      <c r="Q216" s="1583"/>
      <c r="R216" s="1600"/>
      <c r="S216" s="1600"/>
      <c r="T216" s="1585"/>
      <c r="U216" s="1585"/>
      <c r="V216" s="1618"/>
      <c r="W216" s="1585"/>
      <c r="X216" s="1585"/>
      <c r="Y216" s="1585"/>
      <c r="Z216" s="1585"/>
      <c r="AA216" s="1585"/>
      <c r="AB216" s="1585"/>
      <c r="AC216" s="1585"/>
      <c r="AD216" s="1601">
        <f t="shared" si="60"/>
        <v>0</v>
      </c>
      <c r="AE216" s="1790">
        <v>0</v>
      </c>
      <c r="AF216" s="1792"/>
    </row>
    <row r="217" spans="1:32" s="1602" customFormat="1" ht="26.1" customHeight="1">
      <c r="A217" s="2918" t="s">
        <v>1328</v>
      </c>
      <c r="B217" s="2919" t="s">
        <v>1827</v>
      </c>
      <c r="C217" s="2920" t="s">
        <v>52</v>
      </c>
      <c r="D217" s="2917">
        <v>2184</v>
      </c>
      <c r="E217" s="1598" t="s">
        <v>2496</v>
      </c>
      <c r="F217" s="1583"/>
      <c r="G217" s="1583"/>
      <c r="H217" s="1583"/>
      <c r="I217" s="1583"/>
      <c r="J217" s="1583"/>
      <c r="K217" s="1583"/>
      <c r="L217" s="1583"/>
      <c r="M217" s="1583"/>
      <c r="N217" s="1583"/>
      <c r="O217" s="1583"/>
      <c r="P217" s="1583"/>
      <c r="Q217" s="1583"/>
      <c r="R217" s="1600"/>
      <c r="S217" s="1600"/>
      <c r="T217" s="1585"/>
      <c r="U217" s="1585"/>
      <c r="V217" s="1585"/>
      <c r="W217" s="1585"/>
      <c r="X217" s="1585"/>
      <c r="Y217" s="1585"/>
      <c r="Z217" s="1585"/>
      <c r="AA217" s="1585">
        <v>2184</v>
      </c>
      <c r="AB217" s="1585"/>
      <c r="AC217" s="1585"/>
      <c r="AD217" s="1601">
        <f t="shared" si="60"/>
        <v>2184</v>
      </c>
      <c r="AE217" s="1790">
        <v>0</v>
      </c>
      <c r="AF217" s="1792"/>
    </row>
    <row r="218" spans="1:32" s="1602" customFormat="1" ht="26.1" customHeight="1">
      <c r="A218" s="2918"/>
      <c r="B218" s="2919"/>
      <c r="C218" s="2920"/>
      <c r="D218" s="2917"/>
      <c r="E218" s="1603" t="s">
        <v>2497</v>
      </c>
      <c r="F218" s="1583"/>
      <c r="G218" s="1583"/>
      <c r="H218" s="1583"/>
      <c r="I218" s="1583"/>
      <c r="J218" s="1583"/>
      <c r="K218" s="1583"/>
      <c r="L218" s="1583"/>
      <c r="M218" s="1583"/>
      <c r="N218" s="1583"/>
      <c r="O218" s="1583"/>
      <c r="P218" s="1583"/>
      <c r="Q218" s="1583"/>
      <c r="R218" s="1600"/>
      <c r="S218" s="1600"/>
      <c r="T218" s="1585"/>
      <c r="U218" s="1585"/>
      <c r="V218" s="1585"/>
      <c r="W218" s="1585"/>
      <c r="X218" s="1585"/>
      <c r="Y218" s="1585"/>
      <c r="Z218" s="1585"/>
      <c r="AA218" s="1585"/>
      <c r="AB218" s="1585"/>
      <c r="AC218" s="1585"/>
      <c r="AD218" s="1601">
        <f t="shared" si="60"/>
        <v>0</v>
      </c>
      <c r="AE218" s="1790">
        <v>0</v>
      </c>
      <c r="AF218" s="1792"/>
    </row>
    <row r="219" spans="1:32" s="1602" customFormat="1" ht="26.1" customHeight="1">
      <c r="A219" s="2918" t="s">
        <v>1329</v>
      </c>
      <c r="B219" s="2919" t="s">
        <v>1828</v>
      </c>
      <c r="C219" s="2920" t="s">
        <v>52</v>
      </c>
      <c r="D219" s="2917">
        <v>17940</v>
      </c>
      <c r="E219" s="1598" t="s">
        <v>2496</v>
      </c>
      <c r="F219" s="1583"/>
      <c r="G219" s="1583"/>
      <c r="H219" s="1583"/>
      <c r="I219" s="1583"/>
      <c r="J219" s="1583"/>
      <c r="K219" s="1583"/>
      <c r="L219" s="1583"/>
      <c r="M219" s="1583"/>
      <c r="N219" s="1583"/>
      <c r="O219" s="1583"/>
      <c r="P219" s="1583"/>
      <c r="Q219" s="1583"/>
      <c r="R219" s="1600"/>
      <c r="S219" s="1600"/>
      <c r="T219" s="1585"/>
      <c r="U219" s="1585"/>
      <c r="V219" s="1585"/>
      <c r="W219" s="1585"/>
      <c r="X219" s="1585"/>
      <c r="Y219" s="1585"/>
      <c r="Z219" s="1585"/>
      <c r="AA219" s="1585">
        <v>17940</v>
      </c>
      <c r="AB219" s="1585"/>
      <c r="AC219" s="1585"/>
      <c r="AD219" s="1601">
        <f t="shared" si="60"/>
        <v>17940</v>
      </c>
      <c r="AE219" s="1790">
        <v>0</v>
      </c>
      <c r="AF219" s="1792"/>
    </row>
    <row r="220" spans="1:32" s="1602" customFormat="1" ht="26.1" customHeight="1">
      <c r="A220" s="2918"/>
      <c r="B220" s="2919"/>
      <c r="C220" s="2920"/>
      <c r="D220" s="2917"/>
      <c r="E220" s="1603" t="s">
        <v>2497</v>
      </c>
      <c r="F220" s="1583"/>
      <c r="G220" s="1583"/>
      <c r="H220" s="1583"/>
      <c r="I220" s="1583"/>
      <c r="J220" s="1583"/>
      <c r="K220" s="1583"/>
      <c r="L220" s="1583"/>
      <c r="M220" s="1583"/>
      <c r="N220" s="1583"/>
      <c r="O220" s="1583"/>
      <c r="P220" s="1583"/>
      <c r="Q220" s="1583"/>
      <c r="R220" s="1600"/>
      <c r="S220" s="1600"/>
      <c r="T220" s="1585"/>
      <c r="U220" s="1585"/>
      <c r="V220" s="1585"/>
      <c r="W220" s="1585"/>
      <c r="X220" s="1585"/>
      <c r="Y220" s="1585"/>
      <c r="Z220" s="1585"/>
      <c r="AA220" s="1585"/>
      <c r="AB220" s="1585"/>
      <c r="AC220" s="1585"/>
      <c r="AD220" s="1601">
        <f t="shared" si="60"/>
        <v>0</v>
      </c>
      <c r="AE220" s="1790">
        <v>0</v>
      </c>
      <c r="AF220" s="1792"/>
    </row>
    <row r="221" spans="1:32" s="1602" customFormat="1" ht="26.1" customHeight="1">
      <c r="A221" s="2918" t="s">
        <v>1330</v>
      </c>
      <c r="B221" s="2919" t="s">
        <v>1822</v>
      </c>
      <c r="C221" s="2920" t="s">
        <v>52</v>
      </c>
      <c r="D221" s="2917">
        <v>65287.12</v>
      </c>
      <c r="E221" s="1598" t="s">
        <v>2496</v>
      </c>
      <c r="F221" s="1583"/>
      <c r="G221" s="1583"/>
      <c r="H221" s="1605"/>
      <c r="I221" s="1605"/>
      <c r="J221" s="1605"/>
      <c r="K221" s="1605"/>
      <c r="L221" s="1605"/>
      <c r="M221" s="1605"/>
      <c r="N221" s="1605"/>
      <c r="O221" s="1583"/>
      <c r="P221" s="1583"/>
      <c r="Q221" s="1583"/>
      <c r="R221" s="1600"/>
      <c r="S221" s="1600"/>
      <c r="T221" s="1585"/>
      <c r="U221" s="1585"/>
      <c r="V221" s="1585"/>
      <c r="W221" s="1585"/>
      <c r="X221" s="1585"/>
      <c r="Y221" s="1585"/>
      <c r="Z221" s="1585"/>
      <c r="AA221" s="1585">
        <v>65287.12</v>
      </c>
      <c r="AB221" s="1585"/>
      <c r="AC221" s="1585"/>
      <c r="AD221" s="1601">
        <f t="shared" si="60"/>
        <v>65287.12</v>
      </c>
      <c r="AE221" s="1790">
        <v>0</v>
      </c>
      <c r="AF221" s="1792"/>
    </row>
    <row r="222" spans="1:32" s="1602" customFormat="1" ht="26.1" customHeight="1">
      <c r="A222" s="2918"/>
      <c r="B222" s="2919"/>
      <c r="C222" s="2920"/>
      <c r="D222" s="2917"/>
      <c r="E222" s="1603" t="s">
        <v>2497</v>
      </c>
      <c r="F222" s="1583"/>
      <c r="G222" s="1583"/>
      <c r="H222" s="1605"/>
      <c r="I222" s="1605"/>
      <c r="J222" s="1605"/>
      <c r="K222" s="1605"/>
      <c r="L222" s="1605"/>
      <c r="M222" s="1605"/>
      <c r="N222" s="1605"/>
      <c r="O222" s="1583"/>
      <c r="P222" s="1583"/>
      <c r="Q222" s="1583"/>
      <c r="R222" s="1600"/>
      <c r="S222" s="1600"/>
      <c r="T222" s="1585"/>
      <c r="U222" s="1585"/>
      <c r="V222" s="1585"/>
      <c r="W222" s="1585"/>
      <c r="X222" s="1585"/>
      <c r="Y222" s="1585"/>
      <c r="Z222" s="1585"/>
      <c r="AA222" s="1585"/>
      <c r="AB222" s="1585"/>
      <c r="AC222" s="1585"/>
      <c r="AD222" s="1601">
        <f t="shared" si="60"/>
        <v>0</v>
      </c>
      <c r="AE222" s="1790">
        <v>0</v>
      </c>
      <c r="AF222" s="1792"/>
    </row>
    <row r="223" spans="1:32" s="1602" customFormat="1" ht="25.5" customHeight="1">
      <c r="A223" s="1594">
        <v>4.3</v>
      </c>
      <c r="B223" s="1614" t="s">
        <v>1829</v>
      </c>
      <c r="C223" s="1596"/>
      <c r="D223" s="1597"/>
      <c r="E223" s="1600"/>
      <c r="F223" s="1583"/>
      <c r="G223" s="1583"/>
      <c r="H223" s="1583"/>
      <c r="I223" s="1583"/>
      <c r="J223" s="1583"/>
      <c r="K223" s="1583"/>
      <c r="L223" s="1583"/>
      <c r="M223" s="1583"/>
      <c r="N223" s="1583"/>
      <c r="O223" s="1583"/>
      <c r="P223" s="1583"/>
      <c r="Q223" s="1583"/>
      <c r="R223" s="1600"/>
      <c r="S223" s="1600"/>
      <c r="T223" s="1585"/>
      <c r="U223" s="1585"/>
      <c r="V223" s="1585"/>
      <c r="W223" s="1585"/>
      <c r="X223" s="1585"/>
      <c r="Y223" s="1585"/>
      <c r="Z223" s="1585"/>
      <c r="AA223" s="1585"/>
      <c r="AB223" s="1585"/>
      <c r="AC223" s="1585"/>
      <c r="AD223" s="1601">
        <f t="shared" si="60"/>
        <v>0</v>
      </c>
      <c r="AE223" s="1790">
        <v>0</v>
      </c>
      <c r="AF223" s="1792"/>
    </row>
    <row r="224" spans="1:32" s="1602" customFormat="1" ht="26.1" customHeight="1">
      <c r="A224" s="1594" t="s">
        <v>1333</v>
      </c>
      <c r="B224" s="1609" t="s">
        <v>1832</v>
      </c>
      <c r="C224" s="1596"/>
      <c r="D224" s="1597"/>
      <c r="E224" s="1600"/>
      <c r="F224" s="1583"/>
      <c r="G224" s="1583"/>
      <c r="H224" s="1605"/>
      <c r="I224" s="1605"/>
      <c r="J224" s="1605"/>
      <c r="K224" s="1605"/>
      <c r="L224" s="1605"/>
      <c r="M224" s="1605"/>
      <c r="N224" s="1605"/>
      <c r="O224" s="1605"/>
      <c r="P224" s="1605"/>
      <c r="Q224" s="1583"/>
      <c r="R224" s="1600"/>
      <c r="S224" s="1600"/>
      <c r="T224" s="1585"/>
      <c r="U224" s="1585"/>
      <c r="V224" s="1585"/>
      <c r="W224" s="1585"/>
      <c r="X224" s="1585"/>
      <c r="Y224" s="1585"/>
      <c r="Z224" s="1585"/>
      <c r="AA224" s="1585"/>
      <c r="AB224" s="1585"/>
      <c r="AC224" s="1585"/>
      <c r="AD224" s="1601">
        <f t="shared" si="60"/>
        <v>0</v>
      </c>
      <c r="AE224" s="1790">
        <v>0</v>
      </c>
      <c r="AF224" s="1792"/>
    </row>
    <row r="225" spans="1:32" s="1602" customFormat="1" ht="26.1" customHeight="1">
      <c r="A225" s="2918" t="s">
        <v>1334</v>
      </c>
      <c r="B225" s="2919" t="s">
        <v>1833</v>
      </c>
      <c r="C225" s="2920" t="s">
        <v>51</v>
      </c>
      <c r="D225" s="2917">
        <v>3504.24</v>
      </c>
      <c r="E225" s="1598" t="s">
        <v>2496</v>
      </c>
      <c r="F225" s="1583"/>
      <c r="G225" s="1583"/>
      <c r="H225" s="1583"/>
      <c r="I225" s="1583"/>
      <c r="J225" s="1583"/>
      <c r="K225" s="1583"/>
      <c r="L225" s="1583"/>
      <c r="M225" s="1583"/>
      <c r="N225" s="1583"/>
      <c r="O225" s="1583"/>
      <c r="P225" s="1583"/>
      <c r="Q225" s="1583"/>
      <c r="R225" s="1600"/>
      <c r="S225" s="1600"/>
      <c r="T225" s="1585"/>
      <c r="U225" s="1585"/>
      <c r="V225" s="1585">
        <v>481.28</v>
      </c>
      <c r="W225" s="1585">
        <v>3022.97</v>
      </c>
      <c r="X225" s="1585"/>
      <c r="Y225" s="1585"/>
      <c r="Z225" s="1585"/>
      <c r="AA225" s="1585"/>
      <c r="AB225" s="1585"/>
      <c r="AC225" s="1585"/>
      <c r="AD225" s="1601">
        <f t="shared" si="60"/>
        <v>3504.25</v>
      </c>
      <c r="AE225" s="1790">
        <v>3504.25</v>
      </c>
      <c r="AF225" s="1792"/>
    </row>
    <row r="226" spans="1:32" s="1602" customFormat="1" ht="26.1" customHeight="1">
      <c r="A226" s="2918"/>
      <c r="B226" s="2919"/>
      <c r="C226" s="2920"/>
      <c r="D226" s="2917"/>
      <c r="E226" s="1603" t="s">
        <v>2497</v>
      </c>
      <c r="F226" s="1583"/>
      <c r="G226" s="1583"/>
      <c r="H226" s="1583"/>
      <c r="I226" s="1583"/>
      <c r="J226" s="1583"/>
      <c r="K226" s="1583"/>
      <c r="L226" s="1583"/>
      <c r="M226" s="1583"/>
      <c r="N226" s="1583"/>
      <c r="O226" s="1583"/>
      <c r="P226" s="1583"/>
      <c r="Q226" s="1583"/>
      <c r="R226" s="1600"/>
      <c r="S226" s="1600"/>
      <c r="T226" s="1585"/>
      <c r="U226" s="1618"/>
      <c r="V226" s="1592">
        <v>481.28</v>
      </c>
      <c r="W226" s="1592">
        <v>3022.97</v>
      </c>
      <c r="X226" s="1585"/>
      <c r="Y226" s="1585"/>
      <c r="Z226" s="1585"/>
      <c r="AA226" s="1585"/>
      <c r="AB226" s="1585"/>
      <c r="AC226" s="1585"/>
      <c r="AD226" s="1601">
        <f t="shared" si="60"/>
        <v>3504.25</v>
      </c>
      <c r="AE226" s="1790">
        <v>3504.25</v>
      </c>
      <c r="AF226" s="1792"/>
    </row>
    <row r="227" spans="1:32" s="1602" customFormat="1" ht="26.1" customHeight="1">
      <c r="A227" s="2918" t="s">
        <v>1335</v>
      </c>
      <c r="B227" s="2919" t="s">
        <v>1834</v>
      </c>
      <c r="C227" s="2920" t="s">
        <v>51</v>
      </c>
      <c r="D227" s="2917">
        <v>453.65349999999995</v>
      </c>
      <c r="E227" s="1598" t="s">
        <v>2496</v>
      </c>
      <c r="F227" s="1583"/>
      <c r="G227" s="1583"/>
      <c r="H227" s="1583"/>
      <c r="I227" s="1583"/>
      <c r="J227" s="1583"/>
      <c r="K227" s="1583"/>
      <c r="L227" s="1583"/>
      <c r="M227" s="1583"/>
      <c r="N227" s="1583"/>
      <c r="O227" s="1583"/>
      <c r="P227" s="1583"/>
      <c r="Q227" s="1583"/>
      <c r="R227" s="1600"/>
      <c r="S227" s="1600"/>
      <c r="T227" s="1585"/>
      <c r="U227" s="1585"/>
      <c r="V227" s="1585">
        <v>453.65</v>
      </c>
      <c r="W227" s="1585"/>
      <c r="X227" s="1585"/>
      <c r="Y227" s="1585"/>
      <c r="Z227" s="1585"/>
      <c r="AA227" s="1585"/>
      <c r="AB227" s="1585"/>
      <c r="AC227" s="1585"/>
      <c r="AD227" s="1601">
        <f t="shared" si="60"/>
        <v>453.65</v>
      </c>
      <c r="AE227" s="1790">
        <v>453.65</v>
      </c>
      <c r="AF227" s="1792"/>
    </row>
    <row r="228" spans="1:32" s="1602" customFormat="1" ht="26.1" customHeight="1">
      <c r="A228" s="2918"/>
      <c r="B228" s="2919"/>
      <c r="C228" s="2920"/>
      <c r="D228" s="2917"/>
      <c r="E228" s="1603" t="s">
        <v>2497</v>
      </c>
      <c r="F228" s="1583"/>
      <c r="G228" s="1583"/>
      <c r="H228" s="1583"/>
      <c r="I228" s="1583"/>
      <c r="J228" s="1583"/>
      <c r="K228" s="1583"/>
      <c r="L228" s="1583"/>
      <c r="M228" s="1583"/>
      <c r="N228" s="1583"/>
      <c r="O228" s="1583"/>
      <c r="P228" s="1583"/>
      <c r="Q228" s="1583"/>
      <c r="R228" s="1600"/>
      <c r="S228" s="1600"/>
      <c r="T228" s="1585"/>
      <c r="U228" s="1618"/>
      <c r="V228" s="1592">
        <v>453.65</v>
      </c>
      <c r="W228" s="1585"/>
      <c r="X228" s="1585"/>
      <c r="Y228" s="1585"/>
      <c r="Z228" s="1585"/>
      <c r="AA228" s="1585"/>
      <c r="AB228" s="1585"/>
      <c r="AC228" s="1585"/>
      <c r="AD228" s="1601">
        <f t="shared" si="60"/>
        <v>453.65</v>
      </c>
      <c r="AE228" s="1790">
        <v>453.65</v>
      </c>
      <c r="AF228" s="1792"/>
    </row>
    <row r="229" spans="1:32" s="1602" customFormat="1" ht="26.1" customHeight="1">
      <c r="A229" s="2918" t="s">
        <v>1336</v>
      </c>
      <c r="B229" s="2919" t="s">
        <v>1835</v>
      </c>
      <c r="C229" s="2920" t="s">
        <v>51</v>
      </c>
      <c r="D229" s="2917">
        <v>941.46249999999998</v>
      </c>
      <c r="E229" s="1598" t="s">
        <v>2496</v>
      </c>
      <c r="F229" s="1583"/>
      <c r="G229" s="1583"/>
      <c r="H229" s="1605"/>
      <c r="I229" s="1605"/>
      <c r="J229" s="1605"/>
      <c r="K229" s="1605"/>
      <c r="L229" s="1605"/>
      <c r="M229" s="1605"/>
      <c r="N229" s="1605"/>
      <c r="O229" s="1583"/>
      <c r="P229" s="1605"/>
      <c r="Q229" s="1583"/>
      <c r="R229" s="1600"/>
      <c r="S229" s="1600"/>
      <c r="T229" s="1585"/>
      <c r="U229" s="1585"/>
      <c r="V229" s="1585"/>
      <c r="W229" s="1585"/>
      <c r="X229" s="1585">
        <v>941.46</v>
      </c>
      <c r="Y229" s="1585"/>
      <c r="Z229" s="1585"/>
      <c r="AA229" s="1585"/>
      <c r="AB229" s="1585"/>
      <c r="AC229" s="1585"/>
      <c r="AD229" s="1601">
        <f t="shared" si="60"/>
        <v>941.46</v>
      </c>
      <c r="AE229" s="1790">
        <v>941.46</v>
      </c>
      <c r="AF229" s="1792"/>
    </row>
    <row r="230" spans="1:32" s="1602" customFormat="1" ht="26.1" customHeight="1">
      <c r="A230" s="2918"/>
      <c r="B230" s="2919"/>
      <c r="C230" s="2920"/>
      <c r="D230" s="2917"/>
      <c r="E230" s="1603" t="s">
        <v>2497</v>
      </c>
      <c r="F230" s="1583"/>
      <c r="G230" s="1583"/>
      <c r="H230" s="1605"/>
      <c r="I230" s="1605"/>
      <c r="J230" s="1605"/>
      <c r="K230" s="1605"/>
      <c r="L230" s="1605"/>
      <c r="M230" s="1605"/>
      <c r="N230" s="1605"/>
      <c r="O230" s="1583"/>
      <c r="P230" s="1605"/>
      <c r="Q230" s="1583"/>
      <c r="R230" s="1600"/>
      <c r="S230" s="1600"/>
      <c r="T230" s="1585"/>
      <c r="U230" s="1618"/>
      <c r="V230" s="1585"/>
      <c r="W230" s="1585"/>
      <c r="X230" s="1604">
        <v>941.46</v>
      </c>
      <c r="Y230" s="1585"/>
      <c r="Z230" s="1585"/>
      <c r="AA230" s="1585"/>
      <c r="AB230" s="1585"/>
      <c r="AC230" s="1585"/>
      <c r="AD230" s="1601">
        <f t="shared" si="60"/>
        <v>941.46</v>
      </c>
      <c r="AE230" s="1790">
        <v>941.46</v>
      </c>
      <c r="AF230" s="1792"/>
    </row>
    <row r="231" spans="1:32" s="1602" customFormat="1" ht="26.1" customHeight="1">
      <c r="A231" s="2918" t="s">
        <v>1337</v>
      </c>
      <c r="B231" s="2919" t="s">
        <v>1836</v>
      </c>
      <c r="C231" s="2920" t="s">
        <v>52</v>
      </c>
      <c r="D231" s="2917">
        <v>36.340000000000003</v>
      </c>
      <c r="E231" s="1598" t="s">
        <v>2496</v>
      </c>
      <c r="F231" s="1583"/>
      <c r="G231" s="1583"/>
      <c r="H231" s="1583"/>
      <c r="I231" s="1583"/>
      <c r="J231" s="1583"/>
      <c r="K231" s="1583"/>
      <c r="L231" s="1583"/>
      <c r="M231" s="1583"/>
      <c r="N231" s="1583"/>
      <c r="O231" s="1583"/>
      <c r="P231" s="1583"/>
      <c r="Q231" s="1583"/>
      <c r="R231" s="1600"/>
      <c r="S231" s="1600"/>
      <c r="T231" s="1585"/>
      <c r="U231" s="1585"/>
      <c r="V231" s="1585"/>
      <c r="W231" s="1585"/>
      <c r="X231" s="1585"/>
      <c r="Y231" s="1585"/>
      <c r="Z231" s="1585">
        <v>36.340000000000003</v>
      </c>
      <c r="AA231" s="1585"/>
      <c r="AB231" s="1585"/>
      <c r="AC231" s="1585"/>
      <c r="AD231" s="1601">
        <f t="shared" si="60"/>
        <v>36.340000000000003</v>
      </c>
      <c r="AE231" s="1790">
        <v>0</v>
      </c>
      <c r="AF231" s="1792"/>
    </row>
    <row r="232" spans="1:32" s="1602" customFormat="1" ht="26.1" customHeight="1">
      <c r="A232" s="2918"/>
      <c r="B232" s="2919"/>
      <c r="C232" s="2920"/>
      <c r="D232" s="2917"/>
      <c r="E232" s="1603" t="s">
        <v>2497</v>
      </c>
      <c r="F232" s="1583"/>
      <c r="G232" s="1583"/>
      <c r="H232" s="1583"/>
      <c r="I232" s="1583"/>
      <c r="J232" s="1583"/>
      <c r="K232" s="1583"/>
      <c r="L232" s="1583"/>
      <c r="M232" s="1583"/>
      <c r="N232" s="1583"/>
      <c r="O232" s="1583"/>
      <c r="P232" s="1583"/>
      <c r="Q232" s="1583"/>
      <c r="R232" s="1600"/>
      <c r="S232" s="1600"/>
      <c r="T232" s="1585"/>
      <c r="U232" s="1618"/>
      <c r="V232" s="1585"/>
      <c r="W232" s="1585"/>
      <c r="X232" s="1604"/>
      <c r="Y232" s="1585"/>
      <c r="Z232" s="1585"/>
      <c r="AA232" s="1585"/>
      <c r="AB232" s="1585"/>
      <c r="AC232" s="1585"/>
      <c r="AD232" s="1601">
        <f t="shared" si="60"/>
        <v>0</v>
      </c>
      <c r="AE232" s="1790">
        <v>0</v>
      </c>
      <c r="AF232" s="1792"/>
    </row>
    <row r="233" spans="1:32" s="1602" customFormat="1" ht="26.1" customHeight="1">
      <c r="A233" s="2918" t="s">
        <v>1338</v>
      </c>
      <c r="B233" s="2919" t="s">
        <v>1837</v>
      </c>
      <c r="C233" s="2920" t="s">
        <v>52</v>
      </c>
      <c r="D233" s="2917">
        <v>87.179999999999993</v>
      </c>
      <c r="E233" s="1598" t="s">
        <v>2496</v>
      </c>
      <c r="F233" s="1583"/>
      <c r="G233" s="1583"/>
      <c r="H233" s="1583"/>
      <c r="I233" s="1583"/>
      <c r="J233" s="1605"/>
      <c r="K233" s="1605"/>
      <c r="L233" s="1605"/>
      <c r="M233" s="1605"/>
      <c r="N233" s="1605"/>
      <c r="O233" s="1583"/>
      <c r="P233" s="1605"/>
      <c r="Q233" s="1583"/>
      <c r="R233" s="1600"/>
      <c r="S233" s="1600"/>
      <c r="T233" s="1585"/>
      <c r="U233" s="1585"/>
      <c r="V233" s="1585"/>
      <c r="W233" s="1585"/>
      <c r="X233" s="1585">
        <v>87.18</v>
      </c>
      <c r="Y233" s="1585"/>
      <c r="Z233" s="1585">
        <v>0</v>
      </c>
      <c r="AA233" s="1585"/>
      <c r="AB233" s="1585"/>
      <c r="AC233" s="1585"/>
      <c r="AD233" s="1601">
        <f t="shared" si="60"/>
        <v>87.18</v>
      </c>
      <c r="AE233" s="1790">
        <v>87.18</v>
      </c>
      <c r="AF233" s="1792"/>
    </row>
    <row r="234" spans="1:32" s="1602" customFormat="1" ht="26.1" customHeight="1">
      <c r="A234" s="2918"/>
      <c r="B234" s="2919"/>
      <c r="C234" s="2920"/>
      <c r="D234" s="2917"/>
      <c r="E234" s="1603" t="s">
        <v>2497</v>
      </c>
      <c r="F234" s="1583"/>
      <c r="G234" s="1583"/>
      <c r="H234" s="1583"/>
      <c r="I234" s="1583"/>
      <c r="J234" s="1605"/>
      <c r="K234" s="1605"/>
      <c r="L234" s="1605"/>
      <c r="M234" s="1605"/>
      <c r="N234" s="1605"/>
      <c r="O234" s="1583"/>
      <c r="P234" s="1605"/>
      <c r="Q234" s="1583"/>
      <c r="R234" s="1600"/>
      <c r="S234" s="1600"/>
      <c r="T234" s="1585"/>
      <c r="U234" s="1618"/>
      <c r="V234" s="1585"/>
      <c r="W234" s="1585"/>
      <c r="X234" s="1604">
        <v>87.18</v>
      </c>
      <c r="Y234" s="1585"/>
      <c r="Z234" s="1585"/>
      <c r="AA234" s="1585"/>
      <c r="AB234" s="1585"/>
      <c r="AC234" s="1585"/>
      <c r="AD234" s="1601">
        <f t="shared" si="60"/>
        <v>87.18</v>
      </c>
      <c r="AE234" s="1790">
        <v>87.18</v>
      </c>
      <c r="AF234" s="1792"/>
    </row>
    <row r="235" spans="1:32" s="1602" customFormat="1" ht="26.1" customHeight="1">
      <c r="A235" s="2918" t="s">
        <v>1339</v>
      </c>
      <c r="B235" s="2919" t="s">
        <v>1838</v>
      </c>
      <c r="C235" s="2920" t="s">
        <v>52</v>
      </c>
      <c r="D235" s="2917">
        <v>3703.26</v>
      </c>
      <c r="E235" s="1598" t="s">
        <v>2496</v>
      </c>
      <c r="F235" s="1583"/>
      <c r="G235" s="1583"/>
      <c r="H235" s="1583"/>
      <c r="I235" s="1583"/>
      <c r="J235" s="1583"/>
      <c r="K235" s="1583"/>
      <c r="L235" s="1583"/>
      <c r="M235" s="1583"/>
      <c r="N235" s="1583"/>
      <c r="O235" s="1583"/>
      <c r="P235" s="1583"/>
      <c r="Q235" s="1583"/>
      <c r="R235" s="1600"/>
      <c r="S235" s="1600"/>
      <c r="T235" s="1585"/>
      <c r="U235" s="1585"/>
      <c r="V235" s="1585">
        <v>429.66</v>
      </c>
      <c r="W235" s="1585"/>
      <c r="X235" s="1585">
        <v>2455.1999999999998</v>
      </c>
      <c r="Y235" s="1585"/>
      <c r="Z235" s="1585">
        <v>818.40000000000055</v>
      </c>
      <c r="AA235" s="1585"/>
      <c r="AB235" s="1585"/>
      <c r="AC235" s="1585"/>
      <c r="AD235" s="1601">
        <f t="shared" si="60"/>
        <v>3703.26</v>
      </c>
      <c r="AE235" s="1790">
        <v>2884.8599999999997</v>
      </c>
      <c r="AF235" s="1792"/>
    </row>
    <row r="236" spans="1:32" s="1602" customFormat="1" ht="26.1" customHeight="1">
      <c r="A236" s="2918"/>
      <c r="B236" s="2919"/>
      <c r="C236" s="2920"/>
      <c r="D236" s="2917"/>
      <c r="E236" s="1603" t="s">
        <v>2497</v>
      </c>
      <c r="F236" s="1583"/>
      <c r="G236" s="1583"/>
      <c r="H236" s="1583"/>
      <c r="I236" s="1583"/>
      <c r="J236" s="1583"/>
      <c r="K236" s="1583"/>
      <c r="L236" s="1583"/>
      <c r="M236" s="1583"/>
      <c r="N236" s="1583"/>
      <c r="O236" s="1583"/>
      <c r="P236" s="1583"/>
      <c r="Q236" s="1583"/>
      <c r="R236" s="1600"/>
      <c r="S236" s="1600"/>
      <c r="T236" s="1585"/>
      <c r="U236" s="1618"/>
      <c r="V236" s="1592">
        <v>429.66</v>
      </c>
      <c r="W236" s="1585"/>
      <c r="X236" s="1604">
        <v>2455.1999999999998</v>
      </c>
      <c r="Y236" s="1585"/>
      <c r="Z236" s="1585"/>
      <c r="AA236" s="1585"/>
      <c r="AB236" s="1585"/>
      <c r="AC236" s="1585"/>
      <c r="AD236" s="1601">
        <f t="shared" si="60"/>
        <v>2884.8599999999997</v>
      </c>
      <c r="AE236" s="1790">
        <v>2884.8599999999997</v>
      </c>
      <c r="AF236" s="1792"/>
    </row>
    <row r="237" spans="1:32" s="1602" customFormat="1" ht="25.5" customHeight="1">
      <c r="A237" s="2918" t="s">
        <v>1340</v>
      </c>
      <c r="B237" s="2919" t="s">
        <v>1839</v>
      </c>
      <c r="C237" s="2920" t="s">
        <v>52</v>
      </c>
      <c r="D237" s="2917">
        <v>167.16</v>
      </c>
      <c r="E237" s="1598" t="s">
        <v>2496</v>
      </c>
      <c r="F237" s="1583"/>
      <c r="G237" s="1583"/>
      <c r="H237" s="1605"/>
      <c r="I237" s="1605"/>
      <c r="J237" s="1605"/>
      <c r="K237" s="1605"/>
      <c r="L237" s="1605"/>
      <c r="M237" s="1605"/>
      <c r="N237" s="1605"/>
      <c r="O237" s="1583"/>
      <c r="P237" s="1583"/>
      <c r="Q237" s="1583"/>
      <c r="R237" s="1600"/>
      <c r="S237" s="1600"/>
      <c r="T237" s="1585"/>
      <c r="U237" s="1585"/>
      <c r="V237" s="1585"/>
      <c r="W237" s="1585"/>
      <c r="X237" s="1585"/>
      <c r="Y237" s="1585"/>
      <c r="Z237" s="1585">
        <v>167.16</v>
      </c>
      <c r="AA237" s="1585"/>
      <c r="AB237" s="1585"/>
      <c r="AC237" s="1585"/>
      <c r="AD237" s="1601">
        <f t="shared" si="60"/>
        <v>167.16</v>
      </c>
      <c r="AE237" s="1790">
        <v>0</v>
      </c>
      <c r="AF237" s="1792"/>
    </row>
    <row r="238" spans="1:32" s="1602" customFormat="1" ht="25.5" customHeight="1">
      <c r="A238" s="2918"/>
      <c r="B238" s="2919"/>
      <c r="C238" s="2920"/>
      <c r="D238" s="2917"/>
      <c r="E238" s="1603" t="s">
        <v>2497</v>
      </c>
      <c r="F238" s="1583"/>
      <c r="G238" s="1583"/>
      <c r="H238" s="1605"/>
      <c r="I238" s="1605"/>
      <c r="J238" s="1605"/>
      <c r="K238" s="1605"/>
      <c r="L238" s="1605"/>
      <c r="M238" s="1605"/>
      <c r="N238" s="1605"/>
      <c r="O238" s="1583"/>
      <c r="P238" s="1583"/>
      <c r="Q238" s="1583"/>
      <c r="R238" s="1600"/>
      <c r="S238" s="1600"/>
      <c r="T238" s="1585"/>
      <c r="U238" s="1585"/>
      <c r="V238" s="1585"/>
      <c r="W238" s="1585"/>
      <c r="X238" s="1604"/>
      <c r="Y238" s="1585"/>
      <c r="Z238" s="1585"/>
      <c r="AA238" s="1585"/>
      <c r="AB238" s="1585"/>
      <c r="AC238" s="1585"/>
      <c r="AD238" s="1601">
        <f t="shared" si="60"/>
        <v>0</v>
      </c>
      <c r="AE238" s="1790">
        <v>0</v>
      </c>
      <c r="AF238" s="1792"/>
    </row>
    <row r="239" spans="1:32" s="1602" customFormat="1" ht="26.1" customHeight="1">
      <c r="A239" s="2918" t="s">
        <v>1341</v>
      </c>
      <c r="B239" s="2919" t="s">
        <v>1840</v>
      </c>
      <c r="C239" s="2920" t="s">
        <v>52</v>
      </c>
      <c r="D239" s="2917">
        <v>161.26</v>
      </c>
      <c r="E239" s="1598" t="s">
        <v>2496</v>
      </c>
      <c r="F239" s="1583"/>
      <c r="G239" s="1583"/>
      <c r="H239" s="1583"/>
      <c r="I239" s="1583"/>
      <c r="J239" s="1583"/>
      <c r="K239" s="1583"/>
      <c r="L239" s="1583"/>
      <c r="M239" s="1583"/>
      <c r="N239" s="1583"/>
      <c r="O239" s="1583"/>
      <c r="P239" s="1583"/>
      <c r="Q239" s="1583"/>
      <c r="R239" s="1600"/>
      <c r="S239" s="1600"/>
      <c r="T239" s="1585"/>
      <c r="U239" s="1585"/>
      <c r="V239" s="1585"/>
      <c r="W239" s="1585"/>
      <c r="X239" s="1585"/>
      <c r="Y239" s="1585"/>
      <c r="Z239" s="1585">
        <v>161.26</v>
      </c>
      <c r="AA239" s="1585"/>
      <c r="AB239" s="1585"/>
      <c r="AC239" s="1585"/>
      <c r="AD239" s="1601">
        <f t="shared" si="60"/>
        <v>161.26</v>
      </c>
      <c r="AE239" s="1790">
        <v>0</v>
      </c>
      <c r="AF239" s="1792"/>
    </row>
    <row r="240" spans="1:32" s="1602" customFormat="1" ht="26.1" customHeight="1">
      <c r="A240" s="2918"/>
      <c r="B240" s="2919"/>
      <c r="C240" s="2920"/>
      <c r="D240" s="2917"/>
      <c r="E240" s="1603" t="s">
        <v>2497</v>
      </c>
      <c r="F240" s="1583"/>
      <c r="G240" s="1583"/>
      <c r="H240" s="1583"/>
      <c r="I240" s="1583"/>
      <c r="J240" s="1583"/>
      <c r="K240" s="1583"/>
      <c r="L240" s="1583"/>
      <c r="M240" s="1583"/>
      <c r="N240" s="1583"/>
      <c r="O240" s="1583"/>
      <c r="P240" s="1583"/>
      <c r="Q240" s="1583"/>
      <c r="R240" s="1600"/>
      <c r="S240" s="1600"/>
      <c r="T240" s="1585"/>
      <c r="U240" s="1585"/>
      <c r="V240" s="1585"/>
      <c r="W240" s="1585"/>
      <c r="X240" s="1585"/>
      <c r="Y240" s="1585"/>
      <c r="Z240" s="1585"/>
      <c r="AA240" s="1585"/>
      <c r="AB240" s="1585"/>
      <c r="AC240" s="1585"/>
      <c r="AD240" s="1601">
        <f t="shared" si="60"/>
        <v>0</v>
      </c>
      <c r="AE240" s="1790">
        <v>0</v>
      </c>
      <c r="AF240" s="1792"/>
    </row>
    <row r="241" spans="1:32" s="1602" customFormat="1" ht="26.1" customHeight="1">
      <c r="A241" s="2918" t="s">
        <v>1342</v>
      </c>
      <c r="B241" s="2919" t="s">
        <v>1841</v>
      </c>
      <c r="C241" s="2920" t="s">
        <v>52</v>
      </c>
      <c r="D241" s="2917">
        <v>1856.5400000000002</v>
      </c>
      <c r="E241" s="1598" t="s">
        <v>2496</v>
      </c>
      <c r="F241" s="1583"/>
      <c r="G241" s="1583"/>
      <c r="H241" s="1583"/>
      <c r="I241" s="1583"/>
      <c r="J241" s="1583"/>
      <c r="K241" s="1583"/>
      <c r="L241" s="1583"/>
      <c r="M241" s="1583"/>
      <c r="N241" s="1583"/>
      <c r="O241" s="1583"/>
      <c r="P241" s="1583"/>
      <c r="Q241" s="1583"/>
      <c r="R241" s="1600"/>
      <c r="S241" s="1600"/>
      <c r="T241" s="1585"/>
      <c r="U241" s="1585"/>
      <c r="V241" s="1585">
        <v>261.66000000000003</v>
      </c>
      <c r="W241" s="1585"/>
      <c r="X241" s="1585">
        <v>623</v>
      </c>
      <c r="Y241" s="1585"/>
      <c r="Z241" s="1585">
        <v>971.88000000000011</v>
      </c>
      <c r="AA241" s="1585"/>
      <c r="AB241" s="1585"/>
      <c r="AC241" s="1585"/>
      <c r="AD241" s="1601">
        <f t="shared" si="60"/>
        <v>1856.5400000000002</v>
      </c>
      <c r="AE241" s="1790">
        <v>884.66000000000008</v>
      </c>
      <c r="AF241" s="1792"/>
    </row>
    <row r="242" spans="1:32" s="1602" customFormat="1" ht="26.1" customHeight="1">
      <c r="A242" s="2918"/>
      <c r="B242" s="2919"/>
      <c r="C242" s="2920"/>
      <c r="D242" s="2917"/>
      <c r="E242" s="1603" t="s">
        <v>2497</v>
      </c>
      <c r="F242" s="1583"/>
      <c r="G242" s="1583"/>
      <c r="H242" s="1583"/>
      <c r="I242" s="1583"/>
      <c r="J242" s="1583"/>
      <c r="K242" s="1583"/>
      <c r="L242" s="1583"/>
      <c r="M242" s="1583"/>
      <c r="N242" s="1583"/>
      <c r="O242" s="1583"/>
      <c r="P242" s="1583"/>
      <c r="Q242" s="1583"/>
      <c r="R242" s="1600"/>
      <c r="S242" s="1600"/>
      <c r="T242" s="1585"/>
      <c r="U242" s="1585"/>
      <c r="V242" s="1592">
        <v>261.66000000000003</v>
      </c>
      <c r="W242" s="1585"/>
      <c r="X242" s="1604">
        <v>623</v>
      </c>
      <c r="Y242" s="1585"/>
      <c r="Z242" s="1585"/>
      <c r="AA242" s="1585"/>
      <c r="AB242" s="1585"/>
      <c r="AC242" s="1585"/>
      <c r="AD242" s="1601">
        <f t="shared" si="60"/>
        <v>884.66000000000008</v>
      </c>
      <c r="AE242" s="1790">
        <v>884.66000000000008</v>
      </c>
      <c r="AF242" s="1792"/>
    </row>
    <row r="243" spans="1:32" s="1602" customFormat="1" ht="26.1" customHeight="1">
      <c r="A243" s="2918" t="s">
        <v>1343</v>
      </c>
      <c r="B243" s="2919" t="s">
        <v>1842</v>
      </c>
      <c r="C243" s="2920" t="s">
        <v>52</v>
      </c>
      <c r="D243" s="2917">
        <v>42.18</v>
      </c>
      <c r="E243" s="1598" t="s">
        <v>2496</v>
      </c>
      <c r="F243" s="1583"/>
      <c r="G243" s="1583"/>
      <c r="H243" s="1583"/>
      <c r="I243" s="1583"/>
      <c r="J243" s="1605"/>
      <c r="K243" s="1605"/>
      <c r="L243" s="1605"/>
      <c r="M243" s="1605"/>
      <c r="N243" s="1605"/>
      <c r="O243" s="1583"/>
      <c r="P243" s="1605"/>
      <c r="Q243" s="1583"/>
      <c r="R243" s="1600"/>
      <c r="S243" s="1600"/>
      <c r="T243" s="1585"/>
      <c r="U243" s="1585"/>
      <c r="V243" s="1592"/>
      <c r="W243" s="1585"/>
      <c r="X243" s="1585"/>
      <c r="Y243" s="1585"/>
      <c r="Z243" s="1585">
        <v>42.18</v>
      </c>
      <c r="AA243" s="1585"/>
      <c r="AB243" s="1585"/>
      <c r="AC243" s="1585"/>
      <c r="AD243" s="1601">
        <f t="shared" si="60"/>
        <v>42.18</v>
      </c>
      <c r="AE243" s="1790">
        <v>0</v>
      </c>
      <c r="AF243" s="1792"/>
    </row>
    <row r="244" spans="1:32" s="1602" customFormat="1" ht="26.1" customHeight="1">
      <c r="A244" s="2918"/>
      <c r="B244" s="2919"/>
      <c r="C244" s="2920"/>
      <c r="D244" s="2917"/>
      <c r="E244" s="1603" t="s">
        <v>2497</v>
      </c>
      <c r="F244" s="1583"/>
      <c r="G244" s="1583"/>
      <c r="H244" s="1583"/>
      <c r="I244" s="1583"/>
      <c r="J244" s="1605"/>
      <c r="K244" s="1605"/>
      <c r="L244" s="1605"/>
      <c r="M244" s="1605"/>
      <c r="N244" s="1605"/>
      <c r="O244" s="1583"/>
      <c r="P244" s="1605"/>
      <c r="Q244" s="1583"/>
      <c r="R244" s="1600"/>
      <c r="S244" s="1600"/>
      <c r="T244" s="1585"/>
      <c r="U244" s="1585"/>
      <c r="V244" s="1585"/>
      <c r="W244" s="1585"/>
      <c r="X244" s="1585"/>
      <c r="Y244" s="1585"/>
      <c r="Z244" s="1585"/>
      <c r="AA244" s="1585"/>
      <c r="AB244" s="1585"/>
      <c r="AC244" s="1585"/>
      <c r="AD244" s="1601">
        <f t="shared" si="60"/>
        <v>0</v>
      </c>
      <c r="AE244" s="1790">
        <v>0</v>
      </c>
      <c r="AF244" s="1792"/>
    </row>
    <row r="245" spans="1:32" s="1602" customFormat="1" ht="26.1" customHeight="1">
      <c r="A245" s="2918" t="s">
        <v>1344</v>
      </c>
      <c r="B245" s="2919" t="s">
        <v>1843</v>
      </c>
      <c r="C245" s="2920" t="s">
        <v>52</v>
      </c>
      <c r="D245" s="2917">
        <v>40.589999999999996</v>
      </c>
      <c r="E245" s="1598" t="s">
        <v>2496</v>
      </c>
      <c r="F245" s="1583"/>
      <c r="G245" s="1583"/>
      <c r="H245" s="1583"/>
      <c r="I245" s="1583"/>
      <c r="J245" s="1583"/>
      <c r="K245" s="1583"/>
      <c r="L245" s="1583"/>
      <c r="M245" s="1583"/>
      <c r="N245" s="1583"/>
      <c r="O245" s="1583"/>
      <c r="P245" s="1583"/>
      <c r="Q245" s="1583"/>
      <c r="R245" s="1600"/>
      <c r="S245" s="1600"/>
      <c r="T245" s="1585"/>
      <c r="U245" s="1585"/>
      <c r="V245" s="1585"/>
      <c r="W245" s="1585"/>
      <c r="X245" s="1585"/>
      <c r="Y245" s="1585"/>
      <c r="Z245" s="1585">
        <v>40.589999999999996</v>
      </c>
      <c r="AA245" s="1585"/>
      <c r="AB245" s="1585"/>
      <c r="AC245" s="1585"/>
      <c r="AD245" s="1601">
        <f t="shared" si="60"/>
        <v>40.589999999999996</v>
      </c>
      <c r="AE245" s="1790">
        <v>0</v>
      </c>
      <c r="AF245" s="1792"/>
    </row>
    <row r="246" spans="1:32" s="1602" customFormat="1" ht="26.1" customHeight="1">
      <c r="A246" s="2918"/>
      <c r="B246" s="2919"/>
      <c r="C246" s="2920"/>
      <c r="D246" s="2917"/>
      <c r="E246" s="1603" t="s">
        <v>2497</v>
      </c>
      <c r="F246" s="1583"/>
      <c r="G246" s="1583"/>
      <c r="H246" s="1583"/>
      <c r="I246" s="1583"/>
      <c r="J246" s="1583"/>
      <c r="K246" s="1583"/>
      <c r="L246" s="1583"/>
      <c r="M246" s="1583"/>
      <c r="N246" s="1583"/>
      <c r="O246" s="1583"/>
      <c r="P246" s="1583"/>
      <c r="Q246" s="1583"/>
      <c r="R246" s="1600"/>
      <c r="S246" s="1600"/>
      <c r="T246" s="1585"/>
      <c r="U246" s="1585"/>
      <c r="V246" s="1585"/>
      <c r="W246" s="1585"/>
      <c r="X246" s="1585"/>
      <c r="Y246" s="1585"/>
      <c r="Z246" s="1585"/>
      <c r="AA246" s="1585"/>
      <c r="AB246" s="1585"/>
      <c r="AC246" s="1585"/>
      <c r="AD246" s="1601">
        <f t="shared" si="60"/>
        <v>0</v>
      </c>
      <c r="AE246" s="1790">
        <v>0</v>
      </c>
      <c r="AF246" s="1792"/>
    </row>
    <row r="247" spans="1:32" s="1602" customFormat="1" ht="26.1" customHeight="1">
      <c r="A247" s="2918" t="s">
        <v>1346</v>
      </c>
      <c r="B247" s="2919" t="s">
        <v>1845</v>
      </c>
      <c r="C247" s="2920" t="s">
        <v>52</v>
      </c>
      <c r="D247" s="2917">
        <v>439.38</v>
      </c>
      <c r="E247" s="1598" t="s">
        <v>2496</v>
      </c>
      <c r="F247" s="1583"/>
      <c r="G247" s="1583"/>
      <c r="H247" s="1583"/>
      <c r="I247" s="1583"/>
      <c r="J247" s="1583"/>
      <c r="K247" s="1583"/>
      <c r="L247" s="1583"/>
      <c r="M247" s="1583"/>
      <c r="N247" s="1583"/>
      <c r="O247" s="1583"/>
      <c r="P247" s="1583"/>
      <c r="Q247" s="1583"/>
      <c r="R247" s="1600"/>
      <c r="S247" s="1600"/>
      <c r="T247" s="1585"/>
      <c r="U247" s="1585"/>
      <c r="V247" s="1585"/>
      <c r="W247" s="1585"/>
      <c r="X247" s="1585"/>
      <c r="Y247" s="1585"/>
      <c r="Z247" s="1585">
        <v>439.38</v>
      </c>
      <c r="AA247" s="1585"/>
      <c r="AB247" s="1585"/>
      <c r="AC247" s="1585"/>
      <c r="AD247" s="1601">
        <f t="shared" si="60"/>
        <v>439.38</v>
      </c>
      <c r="AE247" s="1790">
        <v>0</v>
      </c>
      <c r="AF247" s="1792"/>
    </row>
    <row r="248" spans="1:32" s="1602" customFormat="1" ht="26.1" customHeight="1">
      <c r="A248" s="2918"/>
      <c r="B248" s="2919"/>
      <c r="C248" s="2920"/>
      <c r="D248" s="2917"/>
      <c r="E248" s="1603" t="s">
        <v>2497</v>
      </c>
      <c r="F248" s="1583"/>
      <c r="G248" s="1583"/>
      <c r="H248" s="1583"/>
      <c r="I248" s="1583"/>
      <c r="J248" s="1583"/>
      <c r="K248" s="1583"/>
      <c r="L248" s="1583"/>
      <c r="M248" s="1583"/>
      <c r="N248" s="1583"/>
      <c r="O248" s="1583"/>
      <c r="P248" s="1583"/>
      <c r="Q248" s="1583"/>
      <c r="R248" s="1600"/>
      <c r="S248" s="1600"/>
      <c r="T248" s="1585"/>
      <c r="U248" s="1585"/>
      <c r="V248" s="1585"/>
      <c r="W248" s="1585"/>
      <c r="X248" s="1585"/>
      <c r="Y248" s="1585"/>
      <c r="Z248" s="1585"/>
      <c r="AA248" s="1585"/>
      <c r="AB248" s="1585"/>
      <c r="AC248" s="1585"/>
      <c r="AD248" s="1601">
        <f t="shared" si="60"/>
        <v>0</v>
      </c>
      <c r="AE248" s="1790">
        <v>0</v>
      </c>
      <c r="AF248" s="1792"/>
    </row>
    <row r="249" spans="1:32" s="1602" customFormat="1" ht="26.1" customHeight="1">
      <c r="A249" s="1594" t="s">
        <v>1347</v>
      </c>
      <c r="B249" s="1609" t="s">
        <v>1846</v>
      </c>
      <c r="C249" s="1596"/>
      <c r="D249" s="1597"/>
      <c r="E249" s="1600"/>
      <c r="F249" s="1583"/>
      <c r="G249" s="1583"/>
      <c r="H249" s="1583"/>
      <c r="I249" s="1583"/>
      <c r="J249" s="1605"/>
      <c r="K249" s="1605"/>
      <c r="L249" s="1605"/>
      <c r="M249" s="1605"/>
      <c r="N249" s="1605"/>
      <c r="O249" s="1583"/>
      <c r="P249" s="1605"/>
      <c r="Q249" s="1583"/>
      <c r="R249" s="1600"/>
      <c r="S249" s="1600"/>
      <c r="T249" s="1585"/>
      <c r="U249" s="1585"/>
      <c r="V249" s="1585"/>
      <c r="W249" s="1585"/>
      <c r="X249" s="1585"/>
      <c r="Y249" s="1585"/>
      <c r="Z249" s="1585"/>
      <c r="AA249" s="1585"/>
      <c r="AB249" s="1585"/>
      <c r="AC249" s="1585"/>
      <c r="AD249" s="1601">
        <f t="shared" si="60"/>
        <v>0</v>
      </c>
      <c r="AE249" s="1790">
        <v>0</v>
      </c>
      <c r="AF249" s="1792"/>
    </row>
    <row r="250" spans="1:32" s="1602" customFormat="1" ht="26.1" customHeight="1">
      <c r="A250" s="2918" t="s">
        <v>1350</v>
      </c>
      <c r="B250" s="2919" t="s">
        <v>1849</v>
      </c>
      <c r="C250" s="2920" t="s">
        <v>52</v>
      </c>
      <c r="D250" s="2917">
        <v>379.98</v>
      </c>
      <c r="E250" s="1598" t="s">
        <v>2496</v>
      </c>
      <c r="F250" s="1583"/>
      <c r="G250" s="1583"/>
      <c r="H250" s="1583"/>
      <c r="I250" s="1583"/>
      <c r="J250" s="1605"/>
      <c r="K250" s="1583"/>
      <c r="L250" s="1583"/>
      <c r="M250" s="1583"/>
      <c r="N250" s="1583"/>
      <c r="O250" s="1583"/>
      <c r="P250" s="1583"/>
      <c r="Q250" s="1583"/>
      <c r="R250" s="1600"/>
      <c r="S250" s="1600"/>
      <c r="T250" s="1585"/>
      <c r="U250" s="1585"/>
      <c r="V250" s="1585"/>
      <c r="W250" s="1585"/>
      <c r="X250" s="1585"/>
      <c r="Y250" s="1585"/>
      <c r="Z250" s="1585">
        <v>379.98</v>
      </c>
      <c r="AA250" s="1585"/>
      <c r="AB250" s="1585"/>
      <c r="AC250" s="1585"/>
      <c r="AD250" s="1601">
        <f t="shared" si="60"/>
        <v>379.98</v>
      </c>
      <c r="AE250" s="1790">
        <v>0</v>
      </c>
      <c r="AF250" s="1792"/>
    </row>
    <row r="251" spans="1:32" s="1602" customFormat="1" ht="26.1" customHeight="1">
      <c r="A251" s="2918"/>
      <c r="B251" s="2919"/>
      <c r="C251" s="2920"/>
      <c r="D251" s="2917"/>
      <c r="E251" s="1603" t="s">
        <v>2497</v>
      </c>
      <c r="F251" s="1583"/>
      <c r="G251" s="1583"/>
      <c r="H251" s="1583"/>
      <c r="I251" s="1583"/>
      <c r="J251" s="1605"/>
      <c r="K251" s="1583"/>
      <c r="L251" s="1583"/>
      <c r="M251" s="1583"/>
      <c r="N251" s="1583"/>
      <c r="O251" s="1583"/>
      <c r="P251" s="1583"/>
      <c r="Q251" s="1583"/>
      <c r="R251" s="1600"/>
      <c r="S251" s="1600"/>
      <c r="T251" s="1585"/>
      <c r="U251" s="1585"/>
      <c r="V251" s="1585"/>
      <c r="W251" s="1585"/>
      <c r="X251" s="1585"/>
      <c r="Y251" s="1585"/>
      <c r="Z251" s="1585"/>
      <c r="AA251" s="1585"/>
      <c r="AB251" s="1585"/>
      <c r="AC251" s="1585"/>
      <c r="AD251" s="1601">
        <f t="shared" si="60"/>
        <v>0</v>
      </c>
      <c r="AE251" s="1790">
        <v>0</v>
      </c>
      <c r="AF251" s="1792"/>
    </row>
    <row r="252" spans="1:32" s="1602" customFormat="1" ht="26.1" customHeight="1">
      <c r="A252" s="1594" t="s">
        <v>1351</v>
      </c>
      <c r="B252" s="1609" t="s">
        <v>1850</v>
      </c>
      <c r="C252" s="1596"/>
      <c r="D252" s="1597"/>
      <c r="E252" s="1600"/>
      <c r="F252" s="1583"/>
      <c r="G252" s="1583"/>
      <c r="H252" s="1583"/>
      <c r="I252" s="1583"/>
      <c r="J252" s="1583"/>
      <c r="K252" s="1583"/>
      <c r="L252" s="1583"/>
      <c r="M252" s="1583"/>
      <c r="N252" s="1583"/>
      <c r="O252" s="1583"/>
      <c r="P252" s="1583"/>
      <c r="Q252" s="1583"/>
      <c r="R252" s="1600"/>
      <c r="S252" s="1600"/>
      <c r="T252" s="1585"/>
      <c r="U252" s="1585"/>
      <c r="V252" s="1585"/>
      <c r="W252" s="1585"/>
      <c r="X252" s="1585"/>
      <c r="Y252" s="1585"/>
      <c r="Z252" s="1585"/>
      <c r="AA252" s="1585"/>
      <c r="AB252" s="1585"/>
      <c r="AC252" s="1585"/>
      <c r="AD252" s="1601">
        <f t="shared" si="60"/>
        <v>0</v>
      </c>
      <c r="AE252" s="1790">
        <v>0</v>
      </c>
      <c r="AF252" s="1792"/>
    </row>
    <row r="253" spans="1:32" s="1602" customFormat="1" ht="26.1" customHeight="1">
      <c r="A253" s="2918" t="s">
        <v>1354</v>
      </c>
      <c r="B253" s="2919" t="s">
        <v>1853</v>
      </c>
      <c r="C253" s="2920" t="s">
        <v>52</v>
      </c>
      <c r="D253" s="2917">
        <v>2480.7800000000002</v>
      </c>
      <c r="E253" s="1598" t="s">
        <v>2496</v>
      </c>
      <c r="F253" s="1583"/>
      <c r="G253" s="1583"/>
      <c r="H253" s="1583"/>
      <c r="I253" s="1583"/>
      <c r="J253" s="1605"/>
      <c r="K253" s="1605"/>
      <c r="L253" s="1583"/>
      <c r="M253" s="1583"/>
      <c r="N253" s="1583"/>
      <c r="O253" s="1583"/>
      <c r="P253" s="1605"/>
      <c r="Q253" s="1583"/>
      <c r="R253" s="1600"/>
      <c r="S253" s="1600"/>
      <c r="T253" s="1585"/>
      <c r="U253" s="1585"/>
      <c r="V253" s="1585"/>
      <c r="W253" s="1585"/>
      <c r="X253" s="1585"/>
      <c r="Y253" s="1585"/>
      <c r="Z253" s="1585">
        <v>2480.7800000000002</v>
      </c>
      <c r="AA253" s="1585"/>
      <c r="AB253" s="1585"/>
      <c r="AC253" s="1585"/>
      <c r="AD253" s="1601">
        <f t="shared" si="60"/>
        <v>2480.7800000000002</v>
      </c>
      <c r="AE253" s="1790">
        <v>0</v>
      </c>
      <c r="AF253" s="1792"/>
    </row>
    <row r="254" spans="1:32" s="1602" customFormat="1" ht="26.1" customHeight="1">
      <c r="A254" s="2918"/>
      <c r="B254" s="2919"/>
      <c r="C254" s="2920"/>
      <c r="D254" s="2917"/>
      <c r="E254" s="1603" t="s">
        <v>2497</v>
      </c>
      <c r="F254" s="1583"/>
      <c r="G254" s="1583"/>
      <c r="H254" s="1583"/>
      <c r="I254" s="1583"/>
      <c r="J254" s="1605"/>
      <c r="K254" s="1605"/>
      <c r="L254" s="1583"/>
      <c r="M254" s="1583"/>
      <c r="N254" s="1583"/>
      <c r="O254" s="1583"/>
      <c r="P254" s="1605"/>
      <c r="Q254" s="1583"/>
      <c r="R254" s="1600"/>
      <c r="S254" s="1600"/>
      <c r="T254" s="1585"/>
      <c r="U254" s="1585"/>
      <c r="V254" s="1585"/>
      <c r="W254" s="1585"/>
      <c r="X254" s="1585"/>
      <c r="Y254" s="1585"/>
      <c r="Z254" s="1585"/>
      <c r="AA254" s="1585"/>
      <c r="AB254" s="1585"/>
      <c r="AC254" s="1585"/>
      <c r="AD254" s="1601">
        <f t="shared" si="60"/>
        <v>0</v>
      </c>
      <c r="AE254" s="1790">
        <v>0</v>
      </c>
      <c r="AF254" s="1792"/>
    </row>
    <row r="255" spans="1:32" s="1602" customFormat="1" ht="26.1" customHeight="1">
      <c r="A255" s="1594">
        <v>4.4000000000000004</v>
      </c>
      <c r="B255" s="1614" t="s">
        <v>1854</v>
      </c>
      <c r="C255" s="1596"/>
      <c r="D255" s="1597"/>
      <c r="E255" s="1617"/>
      <c r="F255" s="1583"/>
      <c r="G255" s="1583"/>
      <c r="H255" s="1583"/>
      <c r="I255" s="1583"/>
      <c r="J255" s="1583"/>
      <c r="K255" s="1583"/>
      <c r="L255" s="1583"/>
      <c r="M255" s="1583"/>
      <c r="N255" s="1583"/>
      <c r="O255" s="1583"/>
      <c r="P255" s="1583"/>
      <c r="Q255" s="1583"/>
      <c r="R255" s="1600"/>
      <c r="S255" s="1600"/>
      <c r="T255" s="1585"/>
      <c r="U255" s="1585"/>
      <c r="V255" s="1585"/>
      <c r="W255" s="1585"/>
      <c r="X255" s="1585"/>
      <c r="Y255" s="1585"/>
      <c r="Z255" s="1585"/>
      <c r="AA255" s="1585"/>
      <c r="AB255" s="1585"/>
      <c r="AC255" s="1585"/>
      <c r="AD255" s="1601">
        <f t="shared" si="60"/>
        <v>0</v>
      </c>
      <c r="AE255" s="1790">
        <v>0</v>
      </c>
      <c r="AF255" s="1792"/>
    </row>
    <row r="256" spans="1:32" s="1602" customFormat="1" ht="26.1" customHeight="1">
      <c r="A256" s="1594" t="s">
        <v>1355</v>
      </c>
      <c r="B256" s="1609" t="s">
        <v>1855</v>
      </c>
      <c r="C256" s="1596"/>
      <c r="D256" s="1597"/>
      <c r="E256" s="1600"/>
      <c r="F256" s="1583"/>
      <c r="G256" s="1583"/>
      <c r="H256" s="1583"/>
      <c r="I256" s="1583"/>
      <c r="J256" s="1583"/>
      <c r="K256" s="1583"/>
      <c r="L256" s="1583"/>
      <c r="M256" s="1583"/>
      <c r="N256" s="1583"/>
      <c r="O256" s="1583"/>
      <c r="P256" s="1583"/>
      <c r="Q256" s="1583"/>
      <c r="R256" s="1600"/>
      <c r="S256" s="1600"/>
      <c r="T256" s="1585"/>
      <c r="U256" s="1585"/>
      <c r="V256" s="1585"/>
      <c r="W256" s="1585"/>
      <c r="X256" s="1585"/>
      <c r="Y256" s="1585"/>
      <c r="Z256" s="1585"/>
      <c r="AA256" s="1585"/>
      <c r="AB256" s="1585"/>
      <c r="AC256" s="1585"/>
      <c r="AD256" s="1601">
        <f t="shared" si="60"/>
        <v>0</v>
      </c>
      <c r="AE256" s="1790">
        <v>0</v>
      </c>
      <c r="AF256" s="1792"/>
    </row>
    <row r="257" spans="1:32" s="1602" customFormat="1" ht="26.1" customHeight="1">
      <c r="A257" s="2918" t="s">
        <v>1356</v>
      </c>
      <c r="B257" s="2919" t="s">
        <v>1856</v>
      </c>
      <c r="C257" s="2920" t="s">
        <v>51</v>
      </c>
      <c r="D257" s="2917">
        <v>1492.92</v>
      </c>
      <c r="E257" s="1598" t="s">
        <v>2496</v>
      </c>
      <c r="F257" s="1583"/>
      <c r="G257" s="1583"/>
      <c r="H257" s="1583"/>
      <c r="I257" s="1583"/>
      <c r="J257" s="1605"/>
      <c r="K257" s="1605"/>
      <c r="L257" s="1605"/>
      <c r="M257" s="1605"/>
      <c r="N257" s="1583"/>
      <c r="O257" s="1583"/>
      <c r="P257" s="1583"/>
      <c r="Q257" s="1583"/>
      <c r="R257" s="1600"/>
      <c r="S257" s="1600"/>
      <c r="T257" s="1585"/>
      <c r="U257" s="1585"/>
      <c r="V257" s="1585"/>
      <c r="W257" s="1585"/>
      <c r="X257" s="1585"/>
      <c r="Y257" s="1585"/>
      <c r="Z257" s="1585">
        <v>1492.92</v>
      </c>
      <c r="AA257" s="1585"/>
      <c r="AB257" s="1585"/>
      <c r="AC257" s="1585"/>
      <c r="AD257" s="1601">
        <f t="shared" si="60"/>
        <v>1492.92</v>
      </c>
      <c r="AE257" s="1790">
        <v>0</v>
      </c>
      <c r="AF257" s="1792"/>
    </row>
    <row r="258" spans="1:32" s="1602" customFormat="1" ht="26.1" customHeight="1">
      <c r="A258" s="2918"/>
      <c r="B258" s="2919"/>
      <c r="C258" s="2920"/>
      <c r="D258" s="2917"/>
      <c r="E258" s="1603" t="s">
        <v>2497</v>
      </c>
      <c r="F258" s="1583"/>
      <c r="G258" s="1583"/>
      <c r="H258" s="1583"/>
      <c r="I258" s="1583"/>
      <c r="J258" s="1605"/>
      <c r="K258" s="1605"/>
      <c r="L258" s="1605"/>
      <c r="M258" s="1605"/>
      <c r="N258" s="1583"/>
      <c r="O258" s="1583"/>
      <c r="P258" s="1583"/>
      <c r="Q258" s="1583"/>
      <c r="R258" s="1600"/>
      <c r="S258" s="1600"/>
      <c r="T258" s="1585"/>
      <c r="U258" s="1618"/>
      <c r="V258" s="1585"/>
      <c r="W258" s="1585"/>
      <c r="X258" s="1585"/>
      <c r="Y258" s="1585"/>
      <c r="Z258" s="1585"/>
      <c r="AA258" s="1585"/>
      <c r="AB258" s="1585"/>
      <c r="AC258" s="1585"/>
      <c r="AD258" s="1601">
        <f t="shared" si="60"/>
        <v>0</v>
      </c>
      <c r="AE258" s="1790">
        <v>0</v>
      </c>
      <c r="AF258" s="1792"/>
    </row>
    <row r="259" spans="1:32" s="1602" customFormat="1" ht="26.1" customHeight="1">
      <c r="A259" s="2918" t="s">
        <v>1358</v>
      </c>
      <c r="B259" s="2919" t="s">
        <v>1858</v>
      </c>
      <c r="C259" s="2920" t="s">
        <v>51</v>
      </c>
      <c r="D259" s="2917">
        <v>9498.369999999999</v>
      </c>
      <c r="E259" s="1598" t="s">
        <v>2496</v>
      </c>
      <c r="F259" s="1583"/>
      <c r="G259" s="1583"/>
      <c r="H259" s="1583"/>
      <c r="I259" s="1583"/>
      <c r="J259" s="1605"/>
      <c r="K259" s="1605"/>
      <c r="L259" s="1605"/>
      <c r="M259" s="1605"/>
      <c r="N259" s="1605"/>
      <c r="O259" s="1583"/>
      <c r="P259" s="1583"/>
      <c r="Q259" s="1583"/>
      <c r="R259" s="1600"/>
      <c r="S259" s="1600"/>
      <c r="T259" s="1585"/>
      <c r="U259" s="1585"/>
      <c r="V259" s="1585"/>
      <c r="W259" s="1585"/>
      <c r="X259" s="1585"/>
      <c r="Y259" s="1585"/>
      <c r="Z259" s="1585">
        <v>9498.369999999999</v>
      </c>
      <c r="AA259" s="1585"/>
      <c r="AB259" s="1585"/>
      <c r="AC259" s="1585"/>
      <c r="AD259" s="1601">
        <f t="shared" si="60"/>
        <v>9498.369999999999</v>
      </c>
      <c r="AE259" s="1790">
        <v>0</v>
      </c>
      <c r="AF259" s="1792"/>
    </row>
    <row r="260" spans="1:32" s="1602" customFormat="1" ht="26.1" customHeight="1">
      <c r="A260" s="2918"/>
      <c r="B260" s="2919"/>
      <c r="C260" s="2920"/>
      <c r="D260" s="2917"/>
      <c r="E260" s="1603" t="s">
        <v>2497</v>
      </c>
      <c r="F260" s="1583"/>
      <c r="G260" s="1583"/>
      <c r="H260" s="1583"/>
      <c r="I260" s="1583"/>
      <c r="J260" s="1605"/>
      <c r="K260" s="1605"/>
      <c r="L260" s="1605"/>
      <c r="M260" s="1605"/>
      <c r="N260" s="1605"/>
      <c r="O260" s="1583"/>
      <c r="P260" s="1583"/>
      <c r="Q260" s="1583"/>
      <c r="R260" s="1600"/>
      <c r="S260" s="1600"/>
      <c r="T260" s="1585"/>
      <c r="U260" s="1585"/>
      <c r="V260" s="1585"/>
      <c r="W260" s="1585"/>
      <c r="X260" s="1585"/>
      <c r="Y260" s="1585"/>
      <c r="Z260" s="1585"/>
      <c r="AA260" s="1585"/>
      <c r="AB260" s="1585"/>
      <c r="AC260" s="1585"/>
      <c r="AD260" s="1601">
        <f t="shared" si="60"/>
        <v>0</v>
      </c>
      <c r="AE260" s="1790">
        <v>0</v>
      </c>
      <c r="AF260" s="1792"/>
    </row>
    <row r="261" spans="1:32" s="1602" customFormat="1" ht="26.1" customHeight="1">
      <c r="A261" s="1594" t="s">
        <v>1359</v>
      </c>
      <c r="B261" s="1609" t="s">
        <v>1859</v>
      </c>
      <c r="C261" s="1596"/>
      <c r="D261" s="1592"/>
      <c r="E261" s="1600"/>
      <c r="F261" s="1583"/>
      <c r="G261" s="1583"/>
      <c r="H261" s="1583"/>
      <c r="I261" s="1583"/>
      <c r="J261" s="1583"/>
      <c r="K261" s="1583"/>
      <c r="L261" s="1583"/>
      <c r="M261" s="1583"/>
      <c r="N261" s="1583"/>
      <c r="O261" s="1583"/>
      <c r="P261" s="1583"/>
      <c r="Q261" s="1583"/>
      <c r="R261" s="1600"/>
      <c r="S261" s="1600"/>
      <c r="T261" s="1585"/>
      <c r="U261" s="1585"/>
      <c r="V261" s="1585"/>
      <c r="W261" s="1585"/>
      <c r="X261" s="1585"/>
      <c r="Y261" s="1585"/>
      <c r="Z261" s="1585"/>
      <c r="AA261" s="1585"/>
      <c r="AB261" s="1585"/>
      <c r="AC261" s="1585"/>
      <c r="AD261" s="1601">
        <f t="shared" si="60"/>
        <v>0</v>
      </c>
      <c r="AE261" s="1790">
        <v>0</v>
      </c>
      <c r="AF261" s="1792"/>
    </row>
    <row r="262" spans="1:32" s="1602" customFormat="1" ht="26.1" customHeight="1">
      <c r="A262" s="2918" t="s">
        <v>1360</v>
      </c>
      <c r="B262" s="2919" t="s">
        <v>1860</v>
      </c>
      <c r="C262" s="2920" t="s">
        <v>52</v>
      </c>
      <c r="D262" s="2917">
        <v>281.95</v>
      </c>
      <c r="E262" s="1598" t="s">
        <v>2496</v>
      </c>
      <c r="F262" s="1583"/>
      <c r="G262" s="1583"/>
      <c r="H262" s="1583"/>
      <c r="I262" s="1583"/>
      <c r="J262" s="1605"/>
      <c r="K262" s="1605"/>
      <c r="L262" s="1605"/>
      <c r="M262" s="1605"/>
      <c r="N262" s="1605"/>
      <c r="O262" s="1583"/>
      <c r="P262" s="1583"/>
      <c r="Q262" s="1583"/>
      <c r="R262" s="1600"/>
      <c r="S262" s="1600"/>
      <c r="T262" s="1585"/>
      <c r="U262" s="1585"/>
      <c r="V262" s="1585"/>
      <c r="W262" s="1585"/>
      <c r="X262" s="1585"/>
      <c r="Y262" s="1585"/>
      <c r="Z262" s="1585"/>
      <c r="AA262" s="1585">
        <v>281.95</v>
      </c>
      <c r="AB262" s="1585"/>
      <c r="AC262" s="1585"/>
      <c r="AD262" s="1601">
        <f t="shared" si="60"/>
        <v>281.95</v>
      </c>
      <c r="AE262" s="1790">
        <v>0</v>
      </c>
      <c r="AF262" s="1792"/>
    </row>
    <row r="263" spans="1:32" s="1602" customFormat="1" ht="26.1" customHeight="1">
      <c r="A263" s="2918"/>
      <c r="B263" s="2919"/>
      <c r="C263" s="2920"/>
      <c r="D263" s="2917"/>
      <c r="E263" s="1603" t="s">
        <v>2497</v>
      </c>
      <c r="F263" s="1583"/>
      <c r="G263" s="1583"/>
      <c r="H263" s="1583"/>
      <c r="I263" s="1583"/>
      <c r="J263" s="1605"/>
      <c r="K263" s="1605"/>
      <c r="L263" s="1605"/>
      <c r="M263" s="1605"/>
      <c r="N263" s="1605"/>
      <c r="O263" s="1583"/>
      <c r="P263" s="1583"/>
      <c r="Q263" s="1583"/>
      <c r="R263" s="1600"/>
      <c r="S263" s="1600"/>
      <c r="T263" s="1585"/>
      <c r="U263" s="1618"/>
      <c r="V263" s="1585"/>
      <c r="W263" s="1585"/>
      <c r="X263" s="1585"/>
      <c r="Y263" s="1585"/>
      <c r="Z263" s="1585"/>
      <c r="AA263" s="1585"/>
      <c r="AB263" s="1585"/>
      <c r="AC263" s="1585"/>
      <c r="AD263" s="1601">
        <f t="shared" si="60"/>
        <v>0</v>
      </c>
      <c r="AE263" s="1790">
        <v>0</v>
      </c>
      <c r="AF263" s="1792"/>
    </row>
    <row r="264" spans="1:32" s="1602" customFormat="1" ht="26.1" customHeight="1">
      <c r="A264" s="2918" t="s">
        <v>1361</v>
      </c>
      <c r="B264" s="2919" t="s">
        <v>1861</v>
      </c>
      <c r="C264" s="2920" t="s">
        <v>52</v>
      </c>
      <c r="D264" s="2917">
        <v>5294.18</v>
      </c>
      <c r="E264" s="1598" t="s">
        <v>2496</v>
      </c>
      <c r="F264" s="1583"/>
      <c r="G264" s="1583"/>
      <c r="H264" s="1583"/>
      <c r="I264" s="1583"/>
      <c r="J264" s="1583"/>
      <c r="K264" s="1583"/>
      <c r="L264" s="1583"/>
      <c r="M264" s="1583"/>
      <c r="N264" s="1583"/>
      <c r="O264" s="1583"/>
      <c r="P264" s="1583"/>
      <c r="Q264" s="1583"/>
      <c r="R264" s="1600"/>
      <c r="S264" s="1600"/>
      <c r="T264" s="1585"/>
      <c r="U264" s="1585"/>
      <c r="V264" s="1585"/>
      <c r="W264" s="1585"/>
      <c r="X264" s="1585"/>
      <c r="Y264" s="1585"/>
      <c r="Z264" s="1585"/>
      <c r="AA264" s="1585">
        <v>5294.18</v>
      </c>
      <c r="AB264" s="1585"/>
      <c r="AC264" s="1585"/>
      <c r="AD264" s="1601">
        <f t="shared" si="60"/>
        <v>5294.18</v>
      </c>
      <c r="AE264" s="1790">
        <v>0</v>
      </c>
      <c r="AF264" s="1792"/>
    </row>
    <row r="265" spans="1:32" s="1602" customFormat="1" ht="26.1" customHeight="1">
      <c r="A265" s="2918"/>
      <c r="B265" s="2919"/>
      <c r="C265" s="2920"/>
      <c r="D265" s="2917"/>
      <c r="E265" s="1603" t="s">
        <v>2497</v>
      </c>
      <c r="F265" s="1583"/>
      <c r="G265" s="1583"/>
      <c r="H265" s="1583"/>
      <c r="I265" s="1583"/>
      <c r="J265" s="1583"/>
      <c r="K265" s="1583"/>
      <c r="L265" s="1583"/>
      <c r="M265" s="1583"/>
      <c r="N265" s="1583"/>
      <c r="O265" s="1583"/>
      <c r="P265" s="1583"/>
      <c r="Q265" s="1583"/>
      <c r="R265" s="1600"/>
      <c r="S265" s="1600"/>
      <c r="T265" s="1585"/>
      <c r="U265" s="1618"/>
      <c r="V265" s="1585"/>
      <c r="W265" s="1585"/>
      <c r="X265" s="1585"/>
      <c r="Y265" s="1585"/>
      <c r="Z265" s="1585"/>
      <c r="AA265" s="1585"/>
      <c r="AB265" s="1585"/>
      <c r="AC265" s="1585"/>
      <c r="AD265" s="1601">
        <f t="shared" si="60"/>
        <v>0</v>
      </c>
      <c r="AE265" s="1790">
        <v>0</v>
      </c>
      <c r="AF265" s="1792"/>
    </row>
    <row r="266" spans="1:32" s="1602" customFormat="1" ht="26.1" customHeight="1">
      <c r="A266" s="2918" t="s">
        <v>1363</v>
      </c>
      <c r="B266" s="2919" t="s">
        <v>1863</v>
      </c>
      <c r="C266" s="2920" t="s">
        <v>52</v>
      </c>
      <c r="D266" s="2917">
        <v>251.5</v>
      </c>
      <c r="E266" s="1598" t="s">
        <v>2496</v>
      </c>
      <c r="F266" s="1583"/>
      <c r="G266" s="1583"/>
      <c r="H266" s="1583"/>
      <c r="I266" s="1583"/>
      <c r="J266" s="1583"/>
      <c r="K266" s="1583"/>
      <c r="L266" s="1583"/>
      <c r="M266" s="1583"/>
      <c r="N266" s="1583"/>
      <c r="O266" s="1583"/>
      <c r="P266" s="1583"/>
      <c r="Q266" s="1583"/>
      <c r="R266" s="1600"/>
      <c r="S266" s="1600"/>
      <c r="T266" s="1585"/>
      <c r="U266" s="1585"/>
      <c r="V266" s="1585"/>
      <c r="W266" s="1585"/>
      <c r="X266" s="1585"/>
      <c r="Y266" s="1585"/>
      <c r="Z266" s="1585"/>
      <c r="AA266" s="1585">
        <v>251.5</v>
      </c>
      <c r="AB266" s="1585"/>
      <c r="AC266" s="1585"/>
      <c r="AD266" s="1601">
        <f t="shared" si="60"/>
        <v>251.5</v>
      </c>
      <c r="AE266" s="1790">
        <v>0</v>
      </c>
      <c r="AF266" s="1792"/>
    </row>
    <row r="267" spans="1:32" s="1602" customFormat="1" ht="26.1" customHeight="1">
      <c r="A267" s="2918"/>
      <c r="B267" s="2919"/>
      <c r="C267" s="2920"/>
      <c r="D267" s="2917"/>
      <c r="E267" s="1603" t="s">
        <v>2497</v>
      </c>
      <c r="F267" s="1583"/>
      <c r="G267" s="1583"/>
      <c r="H267" s="1583"/>
      <c r="I267" s="1583"/>
      <c r="J267" s="1583"/>
      <c r="K267" s="1583"/>
      <c r="L267" s="1583"/>
      <c r="M267" s="1583"/>
      <c r="N267" s="1583"/>
      <c r="O267" s="1583"/>
      <c r="P267" s="1583"/>
      <c r="Q267" s="1583"/>
      <c r="R267" s="1600"/>
      <c r="S267" s="1600"/>
      <c r="T267" s="1585"/>
      <c r="U267" s="1618"/>
      <c r="V267" s="1585"/>
      <c r="W267" s="1585"/>
      <c r="X267" s="1585"/>
      <c r="Y267" s="1585"/>
      <c r="Z267" s="1585"/>
      <c r="AA267" s="1585"/>
      <c r="AB267" s="1585"/>
      <c r="AC267" s="1585"/>
      <c r="AD267" s="1601">
        <f t="shared" si="60"/>
        <v>0</v>
      </c>
      <c r="AE267" s="1790">
        <v>0</v>
      </c>
      <c r="AF267" s="1792"/>
    </row>
    <row r="268" spans="1:32" s="1602" customFormat="1" ht="26.1" customHeight="1">
      <c r="A268" s="2918" t="s">
        <v>1364</v>
      </c>
      <c r="B268" s="2919" t="s">
        <v>1864</v>
      </c>
      <c r="C268" s="2920" t="s">
        <v>52</v>
      </c>
      <c r="D268" s="2917">
        <v>1219.5700000000002</v>
      </c>
      <c r="E268" s="1598" t="s">
        <v>2496</v>
      </c>
      <c r="F268" s="1583"/>
      <c r="G268" s="1583"/>
      <c r="H268" s="1583"/>
      <c r="I268" s="1583"/>
      <c r="J268" s="1583"/>
      <c r="K268" s="1583"/>
      <c r="L268" s="1583"/>
      <c r="M268" s="1583"/>
      <c r="N268" s="1583"/>
      <c r="O268" s="1583"/>
      <c r="P268" s="1583"/>
      <c r="Q268" s="1583"/>
      <c r="R268" s="1600"/>
      <c r="S268" s="1600"/>
      <c r="T268" s="1585"/>
      <c r="U268" s="1585"/>
      <c r="V268" s="1585"/>
      <c r="W268" s="1585"/>
      <c r="X268" s="1585"/>
      <c r="Y268" s="1585"/>
      <c r="Z268" s="1585"/>
      <c r="AA268" s="1585">
        <v>1219.5700000000002</v>
      </c>
      <c r="AB268" s="1585"/>
      <c r="AC268" s="1585"/>
      <c r="AD268" s="1601">
        <f t="shared" si="60"/>
        <v>1219.5700000000002</v>
      </c>
      <c r="AE268" s="1790">
        <v>0</v>
      </c>
      <c r="AF268" s="1792"/>
    </row>
    <row r="269" spans="1:32" s="1602" customFormat="1" ht="26.1" customHeight="1">
      <c r="A269" s="2918"/>
      <c r="B269" s="2919"/>
      <c r="C269" s="2920"/>
      <c r="D269" s="2917"/>
      <c r="E269" s="1603" t="s">
        <v>2497</v>
      </c>
      <c r="F269" s="1583"/>
      <c r="G269" s="1583"/>
      <c r="H269" s="1583"/>
      <c r="I269" s="1583"/>
      <c r="J269" s="1583"/>
      <c r="K269" s="1583"/>
      <c r="L269" s="1583"/>
      <c r="M269" s="1583"/>
      <c r="N269" s="1583"/>
      <c r="O269" s="1583"/>
      <c r="P269" s="1583"/>
      <c r="Q269" s="1583"/>
      <c r="R269" s="1600"/>
      <c r="S269" s="1600"/>
      <c r="T269" s="1585"/>
      <c r="U269" s="1618"/>
      <c r="V269" s="1585"/>
      <c r="W269" s="1585"/>
      <c r="X269" s="1585"/>
      <c r="Y269" s="1585"/>
      <c r="Z269" s="1585"/>
      <c r="AA269" s="1585"/>
      <c r="AB269" s="1585"/>
      <c r="AC269" s="1585"/>
      <c r="AD269" s="1601">
        <f t="shared" si="60"/>
        <v>0</v>
      </c>
      <c r="AE269" s="1790">
        <v>0</v>
      </c>
      <c r="AF269" s="1792"/>
    </row>
    <row r="270" spans="1:32" s="1602" customFormat="1" ht="26.1" customHeight="1">
      <c r="A270" s="2918" t="s">
        <v>1365</v>
      </c>
      <c r="B270" s="2919" t="s">
        <v>1865</v>
      </c>
      <c r="C270" s="2920" t="s">
        <v>52</v>
      </c>
      <c r="D270" s="2917">
        <v>249</v>
      </c>
      <c r="E270" s="1598" t="s">
        <v>2496</v>
      </c>
      <c r="F270" s="1583"/>
      <c r="G270" s="1583"/>
      <c r="H270" s="1583"/>
      <c r="I270" s="1583"/>
      <c r="J270" s="1605"/>
      <c r="K270" s="1605"/>
      <c r="L270" s="1583"/>
      <c r="M270" s="1605"/>
      <c r="N270" s="1605"/>
      <c r="O270" s="1583"/>
      <c r="P270" s="1583"/>
      <c r="Q270" s="1583"/>
      <c r="R270" s="1600"/>
      <c r="S270" s="1600"/>
      <c r="T270" s="1585"/>
      <c r="U270" s="1585"/>
      <c r="V270" s="1585"/>
      <c r="W270" s="1585"/>
      <c r="X270" s="1585"/>
      <c r="Y270" s="1585"/>
      <c r="Z270" s="1585"/>
      <c r="AA270" s="1585">
        <v>249</v>
      </c>
      <c r="AB270" s="1585"/>
      <c r="AC270" s="1585"/>
      <c r="AD270" s="1601">
        <f t="shared" si="60"/>
        <v>249</v>
      </c>
      <c r="AE270" s="1790">
        <v>0</v>
      </c>
      <c r="AF270" s="1792"/>
    </row>
    <row r="271" spans="1:32" s="1602" customFormat="1" ht="26.1" customHeight="1">
      <c r="A271" s="2918"/>
      <c r="B271" s="2919"/>
      <c r="C271" s="2920"/>
      <c r="D271" s="2917"/>
      <c r="E271" s="1603" t="s">
        <v>2497</v>
      </c>
      <c r="F271" s="1583"/>
      <c r="G271" s="1583"/>
      <c r="H271" s="1583"/>
      <c r="I271" s="1583"/>
      <c r="J271" s="1605"/>
      <c r="K271" s="1605"/>
      <c r="L271" s="1583"/>
      <c r="M271" s="1605"/>
      <c r="N271" s="1605"/>
      <c r="O271" s="1583"/>
      <c r="P271" s="1583"/>
      <c r="Q271" s="1583"/>
      <c r="R271" s="1600"/>
      <c r="S271" s="1600"/>
      <c r="T271" s="1585"/>
      <c r="U271" s="1585"/>
      <c r="V271" s="1585"/>
      <c r="W271" s="1585"/>
      <c r="X271" s="1585"/>
      <c r="Y271" s="1585"/>
      <c r="Z271" s="1585"/>
      <c r="AA271" s="1585"/>
      <c r="AB271" s="1585"/>
      <c r="AC271" s="1585"/>
      <c r="AD271" s="1601">
        <f t="shared" si="60"/>
        <v>0</v>
      </c>
      <c r="AE271" s="1790">
        <v>0</v>
      </c>
      <c r="AF271" s="1792"/>
    </row>
    <row r="272" spans="1:32" s="1602" customFormat="1" ht="26.1" customHeight="1">
      <c r="A272" s="2918" t="s">
        <v>1366</v>
      </c>
      <c r="B272" s="2919" t="s">
        <v>1866</v>
      </c>
      <c r="C272" s="2920" t="s">
        <v>52</v>
      </c>
      <c r="D272" s="2917">
        <v>727.09</v>
      </c>
      <c r="E272" s="1598" t="s">
        <v>2496</v>
      </c>
      <c r="F272" s="1583"/>
      <c r="G272" s="1583"/>
      <c r="H272" s="1583"/>
      <c r="I272" s="1583"/>
      <c r="J272" s="1583"/>
      <c r="K272" s="1583"/>
      <c r="L272" s="1583"/>
      <c r="M272" s="1583"/>
      <c r="N272" s="1583"/>
      <c r="O272" s="1583"/>
      <c r="P272" s="1583"/>
      <c r="Q272" s="1583"/>
      <c r="R272" s="1600"/>
      <c r="S272" s="1600"/>
      <c r="T272" s="1585"/>
      <c r="U272" s="1585"/>
      <c r="V272" s="1585"/>
      <c r="W272" s="1585"/>
      <c r="X272" s="1585"/>
      <c r="Y272" s="1585"/>
      <c r="Z272" s="1585"/>
      <c r="AA272" s="1585">
        <v>727.09</v>
      </c>
      <c r="AB272" s="1585"/>
      <c r="AC272" s="1585"/>
      <c r="AD272" s="1601">
        <f t="shared" si="60"/>
        <v>727.09</v>
      </c>
      <c r="AE272" s="1790">
        <v>0</v>
      </c>
      <c r="AF272" s="1792"/>
    </row>
    <row r="273" spans="1:32" s="1602" customFormat="1" ht="26.1" customHeight="1">
      <c r="A273" s="2918"/>
      <c r="B273" s="2919"/>
      <c r="C273" s="2920"/>
      <c r="D273" s="2917"/>
      <c r="E273" s="1603" t="s">
        <v>2497</v>
      </c>
      <c r="F273" s="1583"/>
      <c r="G273" s="1583"/>
      <c r="H273" s="1583"/>
      <c r="I273" s="1583"/>
      <c r="J273" s="1583"/>
      <c r="K273" s="1583"/>
      <c r="L273" s="1583"/>
      <c r="M273" s="1583"/>
      <c r="N273" s="1583"/>
      <c r="O273" s="1583"/>
      <c r="P273" s="1583"/>
      <c r="Q273" s="1583"/>
      <c r="R273" s="1600"/>
      <c r="S273" s="1600"/>
      <c r="T273" s="1585"/>
      <c r="U273" s="1585"/>
      <c r="V273" s="1585"/>
      <c r="W273" s="1585"/>
      <c r="X273" s="1585"/>
      <c r="Y273" s="1585"/>
      <c r="Z273" s="1585"/>
      <c r="AA273" s="1585"/>
      <c r="AB273" s="1585"/>
      <c r="AC273" s="1585"/>
      <c r="AD273" s="1601">
        <f t="shared" ref="AD273:AD336" si="61">SUM(F273:AC273)</f>
        <v>0</v>
      </c>
      <c r="AE273" s="1790">
        <v>0</v>
      </c>
      <c r="AF273" s="1792"/>
    </row>
    <row r="274" spans="1:32" s="1602" customFormat="1" ht="26.1" customHeight="1">
      <c r="A274" s="2918" t="s">
        <v>1367</v>
      </c>
      <c r="B274" s="2919" t="s">
        <v>1867</v>
      </c>
      <c r="C274" s="2920" t="s">
        <v>52</v>
      </c>
      <c r="D274" s="2917">
        <v>93.550000000000011</v>
      </c>
      <c r="E274" s="1598" t="s">
        <v>2496</v>
      </c>
      <c r="F274" s="1583"/>
      <c r="G274" s="1583"/>
      <c r="H274" s="1583"/>
      <c r="I274" s="1583"/>
      <c r="J274" s="1605"/>
      <c r="K274" s="1605"/>
      <c r="L274" s="1583"/>
      <c r="M274" s="1583"/>
      <c r="N274" s="1583"/>
      <c r="O274" s="1583"/>
      <c r="P274" s="1583"/>
      <c r="Q274" s="1583"/>
      <c r="R274" s="1600"/>
      <c r="S274" s="1600"/>
      <c r="T274" s="1585"/>
      <c r="U274" s="1585"/>
      <c r="V274" s="1585"/>
      <c r="W274" s="1585"/>
      <c r="X274" s="1585"/>
      <c r="Y274" s="1585"/>
      <c r="Z274" s="1585"/>
      <c r="AA274" s="1585">
        <v>93.550000000000011</v>
      </c>
      <c r="AB274" s="1585"/>
      <c r="AC274" s="1585"/>
      <c r="AD274" s="1601">
        <f t="shared" si="61"/>
        <v>93.550000000000011</v>
      </c>
      <c r="AE274" s="1790">
        <v>0</v>
      </c>
      <c r="AF274" s="1792"/>
    </row>
    <row r="275" spans="1:32" s="1602" customFormat="1" ht="26.1" customHeight="1">
      <c r="A275" s="2918"/>
      <c r="B275" s="2919"/>
      <c r="C275" s="2920"/>
      <c r="D275" s="2917"/>
      <c r="E275" s="1603" t="s">
        <v>2497</v>
      </c>
      <c r="F275" s="1583"/>
      <c r="G275" s="1583"/>
      <c r="H275" s="1583"/>
      <c r="I275" s="1583"/>
      <c r="J275" s="1605"/>
      <c r="K275" s="1605"/>
      <c r="L275" s="1583"/>
      <c r="M275" s="1583"/>
      <c r="N275" s="1583"/>
      <c r="O275" s="1583"/>
      <c r="P275" s="1583"/>
      <c r="Q275" s="1583"/>
      <c r="R275" s="1600"/>
      <c r="S275" s="1600"/>
      <c r="T275" s="1585"/>
      <c r="U275" s="1585"/>
      <c r="V275" s="1585"/>
      <c r="W275" s="1585"/>
      <c r="X275" s="1585"/>
      <c r="Y275" s="1585"/>
      <c r="Z275" s="1585"/>
      <c r="AA275" s="1585"/>
      <c r="AB275" s="1585"/>
      <c r="AC275" s="1585"/>
      <c r="AD275" s="1601">
        <f t="shared" si="61"/>
        <v>0</v>
      </c>
      <c r="AE275" s="1790">
        <v>0</v>
      </c>
      <c r="AF275" s="1792"/>
    </row>
    <row r="276" spans="1:32" s="1602" customFormat="1" ht="26.1" customHeight="1">
      <c r="A276" s="2918" t="s">
        <v>1369</v>
      </c>
      <c r="B276" s="2919" t="s">
        <v>1869</v>
      </c>
      <c r="C276" s="2920" t="s">
        <v>52</v>
      </c>
      <c r="D276" s="2917">
        <v>1066.5900000000001</v>
      </c>
      <c r="E276" s="1598" t="s">
        <v>2496</v>
      </c>
      <c r="F276" s="1583"/>
      <c r="G276" s="1583"/>
      <c r="H276" s="1583"/>
      <c r="I276" s="1583"/>
      <c r="J276" s="1605"/>
      <c r="K276" s="1605"/>
      <c r="L276" s="1583"/>
      <c r="M276" s="1605"/>
      <c r="N276" s="1583"/>
      <c r="O276" s="1583"/>
      <c r="P276" s="1583"/>
      <c r="Q276" s="1583"/>
      <c r="R276" s="1600"/>
      <c r="S276" s="1600"/>
      <c r="T276" s="1585"/>
      <c r="U276" s="1585"/>
      <c r="V276" s="1585"/>
      <c r="W276" s="1585"/>
      <c r="X276" s="1585"/>
      <c r="Y276" s="1585"/>
      <c r="Z276" s="1585"/>
      <c r="AA276" s="1585">
        <v>1066.5900000000001</v>
      </c>
      <c r="AB276" s="1585"/>
      <c r="AC276" s="1585"/>
      <c r="AD276" s="1601">
        <f t="shared" si="61"/>
        <v>1066.5900000000001</v>
      </c>
      <c r="AE276" s="1790">
        <v>0</v>
      </c>
      <c r="AF276" s="1792"/>
    </row>
    <row r="277" spans="1:32" s="1602" customFormat="1" ht="26.1" customHeight="1">
      <c r="A277" s="2918"/>
      <c r="B277" s="2919"/>
      <c r="C277" s="2920"/>
      <c r="D277" s="2917"/>
      <c r="E277" s="1603" t="s">
        <v>2497</v>
      </c>
      <c r="F277" s="1583"/>
      <c r="G277" s="1583"/>
      <c r="H277" s="1583"/>
      <c r="I277" s="1583"/>
      <c r="J277" s="1605"/>
      <c r="K277" s="1605"/>
      <c r="L277" s="1583"/>
      <c r="M277" s="1605"/>
      <c r="N277" s="1583"/>
      <c r="O277" s="1583"/>
      <c r="P277" s="1583"/>
      <c r="Q277" s="1583"/>
      <c r="R277" s="1600"/>
      <c r="S277" s="1600"/>
      <c r="T277" s="1585"/>
      <c r="U277" s="1585"/>
      <c r="V277" s="1585"/>
      <c r="W277" s="1585"/>
      <c r="X277" s="1585"/>
      <c r="Y277" s="1585"/>
      <c r="Z277" s="1585"/>
      <c r="AA277" s="1585"/>
      <c r="AB277" s="1585"/>
      <c r="AC277" s="1585"/>
      <c r="AD277" s="1601">
        <f t="shared" si="61"/>
        <v>0</v>
      </c>
      <c r="AE277" s="1790">
        <v>0</v>
      </c>
      <c r="AF277" s="1792"/>
    </row>
    <row r="278" spans="1:32" s="1602" customFormat="1" ht="26.1" customHeight="1">
      <c r="A278" s="2918" t="s">
        <v>1370</v>
      </c>
      <c r="B278" s="2919" t="s">
        <v>1870</v>
      </c>
      <c r="C278" s="2920" t="s">
        <v>52</v>
      </c>
      <c r="D278" s="2917">
        <v>1822.8</v>
      </c>
      <c r="E278" s="1598" t="s">
        <v>2496</v>
      </c>
      <c r="F278" s="1583"/>
      <c r="G278" s="1583"/>
      <c r="H278" s="1583"/>
      <c r="I278" s="1583"/>
      <c r="J278" s="1583"/>
      <c r="K278" s="1583"/>
      <c r="L278" s="1583"/>
      <c r="M278" s="1583"/>
      <c r="N278" s="1583"/>
      <c r="O278" s="1583"/>
      <c r="P278" s="1583"/>
      <c r="Q278" s="1583"/>
      <c r="R278" s="1600"/>
      <c r="S278" s="1600"/>
      <c r="T278" s="1585"/>
      <c r="U278" s="1585"/>
      <c r="V278" s="1585"/>
      <c r="W278" s="1585"/>
      <c r="X278" s="1585"/>
      <c r="Y278" s="1585"/>
      <c r="Z278" s="1585"/>
      <c r="AA278" s="1585">
        <v>1822.8</v>
      </c>
      <c r="AB278" s="1585"/>
      <c r="AC278" s="1585"/>
      <c r="AD278" s="1601">
        <f t="shared" si="61"/>
        <v>1822.8</v>
      </c>
      <c r="AE278" s="1790">
        <v>0</v>
      </c>
      <c r="AF278" s="1792"/>
    </row>
    <row r="279" spans="1:32" s="1602" customFormat="1" ht="26.1" customHeight="1">
      <c r="A279" s="2918"/>
      <c r="B279" s="2919"/>
      <c r="C279" s="2920"/>
      <c r="D279" s="2917"/>
      <c r="E279" s="1603" t="s">
        <v>2497</v>
      </c>
      <c r="F279" s="1583"/>
      <c r="G279" s="1583"/>
      <c r="H279" s="1583"/>
      <c r="I279" s="1583"/>
      <c r="J279" s="1583"/>
      <c r="K279" s="1583"/>
      <c r="L279" s="1583"/>
      <c r="M279" s="1583"/>
      <c r="N279" s="1583"/>
      <c r="O279" s="1583"/>
      <c r="P279" s="1583"/>
      <c r="Q279" s="1583"/>
      <c r="R279" s="1600"/>
      <c r="S279" s="1600"/>
      <c r="T279" s="1585"/>
      <c r="U279" s="1585"/>
      <c r="V279" s="1585"/>
      <c r="W279" s="1585"/>
      <c r="X279" s="1585"/>
      <c r="Y279" s="1585"/>
      <c r="Z279" s="1585"/>
      <c r="AA279" s="1585"/>
      <c r="AB279" s="1585"/>
      <c r="AC279" s="1585"/>
      <c r="AD279" s="1601">
        <f t="shared" si="61"/>
        <v>0</v>
      </c>
      <c r="AE279" s="1790">
        <v>0</v>
      </c>
      <c r="AF279" s="1792"/>
    </row>
    <row r="280" spans="1:32" s="1602" customFormat="1" ht="26.1" customHeight="1">
      <c r="A280" s="1594" t="s">
        <v>1371</v>
      </c>
      <c r="B280" s="1609" t="s">
        <v>1871</v>
      </c>
      <c r="C280" s="1596"/>
      <c r="D280" s="1597"/>
      <c r="E280" s="1600"/>
      <c r="F280" s="1583"/>
      <c r="G280" s="1583"/>
      <c r="H280" s="1583"/>
      <c r="I280" s="1583"/>
      <c r="J280" s="1583"/>
      <c r="K280" s="1583"/>
      <c r="L280" s="1583"/>
      <c r="M280" s="1583"/>
      <c r="N280" s="1583"/>
      <c r="O280" s="1583"/>
      <c r="P280" s="1583"/>
      <c r="Q280" s="1583"/>
      <c r="R280" s="1600"/>
      <c r="S280" s="1600"/>
      <c r="T280" s="1585"/>
      <c r="U280" s="1585"/>
      <c r="V280" s="1585"/>
      <c r="W280" s="1585"/>
      <c r="X280" s="1585"/>
      <c r="Y280" s="1585"/>
      <c r="Z280" s="1585"/>
      <c r="AA280" s="1585"/>
      <c r="AB280" s="1585"/>
      <c r="AC280" s="1585"/>
      <c r="AD280" s="1601">
        <f t="shared" si="61"/>
        <v>0</v>
      </c>
      <c r="AE280" s="1790">
        <v>0</v>
      </c>
      <c r="AF280" s="1792"/>
    </row>
    <row r="281" spans="1:32" s="1602" customFormat="1" ht="26.1" customHeight="1">
      <c r="A281" s="2918" t="s">
        <v>1372</v>
      </c>
      <c r="B281" s="2919" t="s">
        <v>1872</v>
      </c>
      <c r="C281" s="2920" t="s">
        <v>52</v>
      </c>
      <c r="D281" s="2917">
        <v>556.9</v>
      </c>
      <c r="E281" s="1598" t="s">
        <v>2496</v>
      </c>
      <c r="F281" s="1583"/>
      <c r="G281" s="1583"/>
      <c r="H281" s="1583"/>
      <c r="I281" s="1583"/>
      <c r="J281" s="1583"/>
      <c r="K281" s="1583"/>
      <c r="L281" s="1583"/>
      <c r="M281" s="1583"/>
      <c r="N281" s="1583"/>
      <c r="O281" s="1583"/>
      <c r="P281" s="1583"/>
      <c r="Q281" s="1583"/>
      <c r="R281" s="1600"/>
      <c r="S281" s="1600"/>
      <c r="T281" s="1585"/>
      <c r="U281" s="1585"/>
      <c r="V281" s="1585"/>
      <c r="W281" s="1585"/>
      <c r="X281" s="1585"/>
      <c r="Y281" s="1585"/>
      <c r="Z281" s="1585"/>
      <c r="AA281" s="1585"/>
      <c r="AB281" s="1585"/>
      <c r="AC281" s="1585">
        <v>556.9</v>
      </c>
      <c r="AD281" s="1601">
        <f t="shared" si="61"/>
        <v>556.9</v>
      </c>
      <c r="AE281" s="1790">
        <v>0</v>
      </c>
      <c r="AF281" s="1792"/>
    </row>
    <row r="282" spans="1:32" s="1602" customFormat="1" ht="26.1" customHeight="1">
      <c r="A282" s="2918"/>
      <c r="B282" s="2919"/>
      <c r="C282" s="2920"/>
      <c r="D282" s="2917"/>
      <c r="E282" s="1603" t="s">
        <v>2497</v>
      </c>
      <c r="F282" s="1583"/>
      <c r="G282" s="1583"/>
      <c r="H282" s="1583"/>
      <c r="I282" s="1583"/>
      <c r="J282" s="1583"/>
      <c r="K282" s="1583"/>
      <c r="L282" s="1583"/>
      <c r="M282" s="1583"/>
      <c r="N282" s="1583"/>
      <c r="O282" s="1583"/>
      <c r="P282" s="1583"/>
      <c r="Q282" s="1583"/>
      <c r="R282" s="1600"/>
      <c r="S282" s="1600"/>
      <c r="T282" s="1585"/>
      <c r="U282" s="1585"/>
      <c r="V282" s="1585"/>
      <c r="W282" s="1585"/>
      <c r="X282" s="1585"/>
      <c r="Y282" s="1585"/>
      <c r="Z282" s="1585"/>
      <c r="AA282" s="1585"/>
      <c r="AB282" s="1585"/>
      <c r="AC282" s="1585"/>
      <c r="AD282" s="1601">
        <f t="shared" si="61"/>
        <v>0</v>
      </c>
      <c r="AE282" s="1790">
        <v>0</v>
      </c>
      <c r="AF282" s="1792"/>
    </row>
    <row r="283" spans="1:32" s="1602" customFormat="1" ht="26.1" customHeight="1">
      <c r="A283" s="1594">
        <v>4.5</v>
      </c>
      <c r="B283" s="1614" t="s">
        <v>1881</v>
      </c>
      <c r="C283" s="1596"/>
      <c r="D283" s="1622"/>
      <c r="E283" s="1600"/>
      <c r="F283" s="1583"/>
      <c r="G283" s="1583"/>
      <c r="H283" s="1583"/>
      <c r="I283" s="1583"/>
      <c r="J283" s="1583"/>
      <c r="K283" s="1583"/>
      <c r="L283" s="1583"/>
      <c r="M283" s="1583"/>
      <c r="N283" s="1583"/>
      <c r="O283" s="1583"/>
      <c r="P283" s="1583"/>
      <c r="Q283" s="1583"/>
      <c r="R283" s="1600"/>
      <c r="S283" s="1600"/>
      <c r="T283" s="1585"/>
      <c r="U283" s="1585"/>
      <c r="V283" s="1585"/>
      <c r="W283" s="1585"/>
      <c r="X283" s="1585"/>
      <c r="Y283" s="1585"/>
      <c r="Z283" s="1585"/>
      <c r="AA283" s="1585"/>
      <c r="AB283" s="1585"/>
      <c r="AC283" s="1585"/>
      <c r="AD283" s="1601">
        <f t="shared" si="61"/>
        <v>0</v>
      </c>
      <c r="AE283" s="1790">
        <v>0</v>
      </c>
      <c r="AF283" s="1792"/>
    </row>
    <row r="284" spans="1:32" s="1602" customFormat="1" ht="26.1" customHeight="1">
      <c r="A284" s="1594" t="s">
        <v>1381</v>
      </c>
      <c r="B284" s="1609" t="s">
        <v>1882</v>
      </c>
      <c r="C284" s="1596"/>
      <c r="D284" s="1622"/>
      <c r="E284" s="1600"/>
      <c r="F284" s="1583"/>
      <c r="G284" s="1583"/>
      <c r="H284" s="1583"/>
      <c r="I284" s="1583"/>
      <c r="J284" s="1583"/>
      <c r="K284" s="1583"/>
      <c r="L284" s="1583"/>
      <c r="M284" s="1583"/>
      <c r="N284" s="1583"/>
      <c r="O284" s="1583"/>
      <c r="P284" s="1583"/>
      <c r="Q284" s="1583"/>
      <c r="R284" s="1600"/>
      <c r="S284" s="1600"/>
      <c r="T284" s="1585"/>
      <c r="U284" s="1585"/>
      <c r="V284" s="1585"/>
      <c r="W284" s="1585"/>
      <c r="X284" s="1585"/>
      <c r="Y284" s="1585"/>
      <c r="Z284" s="1585"/>
      <c r="AA284" s="1585"/>
      <c r="AB284" s="1585"/>
      <c r="AC284" s="1585"/>
      <c r="AD284" s="1601">
        <f t="shared" si="61"/>
        <v>0</v>
      </c>
      <c r="AE284" s="1790">
        <v>0</v>
      </c>
      <c r="AF284" s="1792"/>
    </row>
    <row r="285" spans="1:32" s="1602" customFormat="1" ht="26.1" customHeight="1">
      <c r="A285" s="2918" t="s">
        <v>1382</v>
      </c>
      <c r="B285" s="2919" t="s">
        <v>1883</v>
      </c>
      <c r="C285" s="2920" t="s">
        <v>51</v>
      </c>
      <c r="D285" s="2917">
        <v>2322.9018000000001</v>
      </c>
      <c r="E285" s="1598" t="s">
        <v>2496</v>
      </c>
      <c r="F285" s="1583"/>
      <c r="G285" s="1583"/>
      <c r="H285" s="1583"/>
      <c r="I285" s="1583"/>
      <c r="J285" s="1583"/>
      <c r="K285" s="1583"/>
      <c r="L285" s="1583"/>
      <c r="M285" s="1583"/>
      <c r="N285" s="1583"/>
      <c r="O285" s="1583"/>
      <c r="P285" s="1583"/>
      <c r="Q285" s="1583"/>
      <c r="R285" s="1600"/>
      <c r="S285" s="1600"/>
      <c r="T285" s="1585"/>
      <c r="U285" s="1585"/>
      <c r="V285" s="1585"/>
      <c r="W285" s="1585"/>
      <c r="X285" s="1585"/>
      <c r="Y285" s="1585"/>
      <c r="Z285" s="1585"/>
      <c r="AA285" s="1585"/>
      <c r="AB285" s="1585"/>
      <c r="AC285" s="1585">
        <v>2322.9018000000001</v>
      </c>
      <c r="AD285" s="1601">
        <f t="shared" si="61"/>
        <v>2322.9018000000001</v>
      </c>
      <c r="AE285" s="1790">
        <v>0</v>
      </c>
      <c r="AF285" s="1792"/>
    </row>
    <row r="286" spans="1:32" s="1602" customFormat="1" ht="26.1" customHeight="1">
      <c r="A286" s="2918"/>
      <c r="B286" s="2919"/>
      <c r="C286" s="2920"/>
      <c r="D286" s="2917"/>
      <c r="E286" s="1603" t="s">
        <v>2497</v>
      </c>
      <c r="F286" s="1583"/>
      <c r="G286" s="1583"/>
      <c r="H286" s="1583"/>
      <c r="I286" s="1583"/>
      <c r="J286" s="1583"/>
      <c r="K286" s="1583"/>
      <c r="L286" s="1583"/>
      <c r="M286" s="1583"/>
      <c r="N286" s="1583"/>
      <c r="O286" s="1583"/>
      <c r="P286" s="1583"/>
      <c r="Q286" s="1583"/>
      <c r="R286" s="1600"/>
      <c r="S286" s="1600"/>
      <c r="T286" s="1585"/>
      <c r="U286" s="1585"/>
      <c r="V286" s="1618"/>
      <c r="W286" s="1585"/>
      <c r="X286" s="1585"/>
      <c r="Y286" s="1585"/>
      <c r="Z286" s="1585"/>
      <c r="AA286" s="1585"/>
      <c r="AB286" s="1585"/>
      <c r="AC286" s="1585"/>
      <c r="AD286" s="1601">
        <f t="shared" si="61"/>
        <v>0</v>
      </c>
      <c r="AE286" s="1790">
        <v>0</v>
      </c>
      <c r="AF286" s="1792"/>
    </row>
    <row r="287" spans="1:32" s="1602" customFormat="1" ht="25.5" customHeight="1">
      <c r="A287" s="2918" t="s">
        <v>1383</v>
      </c>
      <c r="B287" s="2919" t="s">
        <v>1884</v>
      </c>
      <c r="C287" s="2920" t="s">
        <v>52</v>
      </c>
      <c r="D287" s="2917">
        <v>97.14</v>
      </c>
      <c r="E287" s="1598" t="s">
        <v>2496</v>
      </c>
      <c r="F287" s="1583"/>
      <c r="G287" s="1583"/>
      <c r="H287" s="1583"/>
      <c r="I287" s="1583"/>
      <c r="J287" s="1583"/>
      <c r="K287" s="1583"/>
      <c r="L287" s="1583"/>
      <c r="M287" s="1583"/>
      <c r="N287" s="1583"/>
      <c r="O287" s="1583"/>
      <c r="P287" s="1583"/>
      <c r="Q287" s="1583"/>
      <c r="R287" s="1600"/>
      <c r="S287" s="1600"/>
      <c r="T287" s="1585"/>
      <c r="U287" s="1585"/>
      <c r="V287" s="1585"/>
      <c r="W287" s="1585"/>
      <c r="X287" s="1585"/>
      <c r="Y287" s="1585"/>
      <c r="Z287" s="1585"/>
      <c r="AA287" s="1585"/>
      <c r="AB287" s="1585"/>
      <c r="AC287" s="1585">
        <v>97.14</v>
      </c>
      <c r="AD287" s="1601">
        <f t="shared" si="61"/>
        <v>97.14</v>
      </c>
      <c r="AE287" s="1790">
        <v>0</v>
      </c>
      <c r="AF287" s="1792"/>
    </row>
    <row r="288" spans="1:32" s="1602" customFormat="1" ht="25.5" customHeight="1">
      <c r="A288" s="2918"/>
      <c r="B288" s="2919"/>
      <c r="C288" s="2920"/>
      <c r="D288" s="2917"/>
      <c r="E288" s="1603" t="s">
        <v>2497</v>
      </c>
      <c r="F288" s="1583"/>
      <c r="G288" s="1583"/>
      <c r="H288" s="1583"/>
      <c r="I288" s="1583"/>
      <c r="J288" s="1583"/>
      <c r="K288" s="1583"/>
      <c r="L288" s="1583"/>
      <c r="M288" s="1583"/>
      <c r="N288" s="1583"/>
      <c r="O288" s="1583"/>
      <c r="P288" s="1583"/>
      <c r="Q288" s="1583"/>
      <c r="R288" s="1600"/>
      <c r="S288" s="1600"/>
      <c r="T288" s="1585"/>
      <c r="U288" s="1585"/>
      <c r="V288" s="1585"/>
      <c r="W288" s="1585"/>
      <c r="X288" s="1585"/>
      <c r="Y288" s="1585"/>
      <c r="Z288" s="1585"/>
      <c r="AA288" s="1585"/>
      <c r="AB288" s="1585"/>
      <c r="AC288" s="1585"/>
      <c r="AD288" s="1601">
        <f t="shared" si="61"/>
        <v>0</v>
      </c>
      <c r="AE288" s="1790">
        <v>0</v>
      </c>
      <c r="AF288" s="1792"/>
    </row>
    <row r="289" spans="1:32" s="1602" customFormat="1" ht="26.1" customHeight="1">
      <c r="A289" s="1594">
        <v>5</v>
      </c>
      <c r="B289" s="1614" t="s">
        <v>1885</v>
      </c>
      <c r="C289" s="1596"/>
      <c r="D289" s="1622"/>
      <c r="E289" s="1600"/>
      <c r="F289" s="1583"/>
      <c r="G289" s="1583"/>
      <c r="H289" s="1583"/>
      <c r="I289" s="1583"/>
      <c r="J289" s="1583"/>
      <c r="K289" s="1583"/>
      <c r="L289" s="1583"/>
      <c r="M289" s="1583"/>
      <c r="N289" s="1583"/>
      <c r="O289" s="1583"/>
      <c r="P289" s="1583"/>
      <c r="Q289" s="1583"/>
      <c r="R289" s="1600"/>
      <c r="S289" s="1600"/>
      <c r="T289" s="1585"/>
      <c r="U289" s="1585"/>
      <c r="V289" s="1585"/>
      <c r="W289" s="1585"/>
      <c r="X289" s="1585"/>
      <c r="Y289" s="1585"/>
      <c r="Z289" s="1585"/>
      <c r="AA289" s="1585"/>
      <c r="AB289" s="1585"/>
      <c r="AC289" s="1585"/>
      <c r="AD289" s="1601">
        <f t="shared" si="61"/>
        <v>0</v>
      </c>
      <c r="AE289" s="1790">
        <v>0</v>
      </c>
      <c r="AF289" s="1792"/>
    </row>
    <row r="290" spans="1:32" s="1602" customFormat="1" ht="26.1" customHeight="1">
      <c r="A290" s="1594">
        <v>5.0999999999999996</v>
      </c>
      <c r="B290" s="1614" t="s">
        <v>1886</v>
      </c>
      <c r="C290" s="1596"/>
      <c r="D290" s="1622"/>
      <c r="E290" s="1600"/>
      <c r="F290" s="1583"/>
      <c r="G290" s="1583"/>
      <c r="H290" s="1583"/>
      <c r="I290" s="1583"/>
      <c r="J290" s="1583"/>
      <c r="K290" s="1583"/>
      <c r="L290" s="1583"/>
      <c r="M290" s="1583"/>
      <c r="N290" s="1583"/>
      <c r="O290" s="1583"/>
      <c r="P290" s="1583"/>
      <c r="Q290" s="1583"/>
      <c r="R290" s="1600"/>
      <c r="S290" s="1600"/>
      <c r="T290" s="1585"/>
      <c r="U290" s="1585"/>
      <c r="V290" s="1585"/>
      <c r="W290" s="1585"/>
      <c r="X290" s="1585"/>
      <c r="Y290" s="1585"/>
      <c r="Z290" s="1585"/>
      <c r="AA290" s="1585"/>
      <c r="AB290" s="1585"/>
      <c r="AC290" s="1585"/>
      <c r="AD290" s="1601">
        <f t="shared" si="61"/>
        <v>0</v>
      </c>
      <c r="AE290" s="1790">
        <v>0</v>
      </c>
      <c r="AF290" s="1792"/>
    </row>
    <row r="291" spans="1:32" s="1602" customFormat="1" ht="26.1" customHeight="1">
      <c r="A291" s="2918" t="s">
        <v>1384</v>
      </c>
      <c r="B291" s="2919" t="s">
        <v>1887</v>
      </c>
      <c r="C291" s="2920" t="s">
        <v>2148</v>
      </c>
      <c r="D291" s="2917">
        <v>478.95</v>
      </c>
      <c r="E291" s="1598" t="s">
        <v>2496</v>
      </c>
      <c r="F291" s="1583"/>
      <c r="G291" s="1583"/>
      <c r="H291" s="1583"/>
      <c r="I291" s="1583"/>
      <c r="J291" s="1583"/>
      <c r="K291" s="1583"/>
      <c r="L291" s="1583"/>
      <c r="M291" s="1583"/>
      <c r="N291" s="1583"/>
      <c r="O291" s="1583"/>
      <c r="P291" s="1583"/>
      <c r="Q291" s="1583"/>
      <c r="R291" s="1600"/>
      <c r="S291" s="1600"/>
      <c r="T291" s="1585"/>
      <c r="U291" s="1585"/>
      <c r="V291" s="1585"/>
      <c r="W291" s="1585"/>
      <c r="X291" s="1585">
        <v>478.95</v>
      </c>
      <c r="Y291" s="1585"/>
      <c r="Z291" s="1585"/>
      <c r="AA291" s="1585"/>
      <c r="AB291" s="1585"/>
      <c r="AC291" s="1585"/>
      <c r="AD291" s="1601">
        <f t="shared" si="61"/>
        <v>478.95</v>
      </c>
      <c r="AE291" s="1790">
        <v>478.95</v>
      </c>
      <c r="AF291" s="1792"/>
    </row>
    <row r="292" spans="1:32" s="1602" customFormat="1" ht="26.1" customHeight="1">
      <c r="A292" s="2918"/>
      <c r="B292" s="2919"/>
      <c r="C292" s="2920"/>
      <c r="D292" s="2917"/>
      <c r="E292" s="1603" t="s">
        <v>2497</v>
      </c>
      <c r="F292" s="1583"/>
      <c r="G292" s="1583"/>
      <c r="H292" s="1583"/>
      <c r="I292" s="1583"/>
      <c r="J292" s="1583"/>
      <c r="K292" s="1583"/>
      <c r="L292" s="1583"/>
      <c r="M292" s="1583"/>
      <c r="N292" s="1583"/>
      <c r="O292" s="1583"/>
      <c r="P292" s="1583"/>
      <c r="Q292" s="1583"/>
      <c r="R292" s="1600"/>
      <c r="S292" s="1600"/>
      <c r="T292" s="1585"/>
      <c r="U292" s="1618"/>
      <c r="V292" s="1585"/>
      <c r="W292" s="1585"/>
      <c r="X292" s="1604">
        <v>478.95</v>
      </c>
      <c r="Y292" s="1585"/>
      <c r="Z292" s="1585"/>
      <c r="AA292" s="1585"/>
      <c r="AB292" s="1585"/>
      <c r="AC292" s="1585"/>
      <c r="AD292" s="1601">
        <f t="shared" si="61"/>
        <v>478.95</v>
      </c>
      <c r="AE292" s="1790">
        <v>478.95</v>
      </c>
      <c r="AF292" s="1792"/>
    </row>
    <row r="293" spans="1:32" s="1602" customFormat="1" ht="26.1" customHeight="1">
      <c r="A293" s="2918" t="s">
        <v>1385</v>
      </c>
      <c r="B293" s="2919" t="s">
        <v>1888</v>
      </c>
      <c r="C293" s="2920" t="s">
        <v>2148</v>
      </c>
      <c r="D293" s="2917">
        <v>9.19</v>
      </c>
      <c r="E293" s="1598" t="s">
        <v>2496</v>
      </c>
      <c r="F293" s="1583"/>
      <c r="G293" s="1583"/>
      <c r="H293" s="1583"/>
      <c r="I293" s="1583"/>
      <c r="J293" s="1583"/>
      <c r="K293" s="1583"/>
      <c r="L293" s="1583"/>
      <c r="M293" s="1583"/>
      <c r="N293" s="1583"/>
      <c r="O293" s="1583"/>
      <c r="P293" s="1583"/>
      <c r="Q293" s="1583"/>
      <c r="R293" s="1600"/>
      <c r="S293" s="1600"/>
      <c r="T293" s="1585"/>
      <c r="U293" s="1585"/>
      <c r="V293" s="1585"/>
      <c r="W293" s="1585"/>
      <c r="X293" s="1585">
        <v>9.19</v>
      </c>
      <c r="Y293" s="1585"/>
      <c r="Z293" s="1585"/>
      <c r="AA293" s="1585"/>
      <c r="AB293" s="1585"/>
      <c r="AC293" s="1585"/>
      <c r="AD293" s="1601">
        <f t="shared" si="61"/>
        <v>9.19</v>
      </c>
      <c r="AE293" s="1790">
        <v>9.19</v>
      </c>
      <c r="AF293" s="1792"/>
    </row>
    <row r="294" spans="1:32" s="1602" customFormat="1" ht="26.1" customHeight="1">
      <c r="A294" s="2918"/>
      <c r="B294" s="2919"/>
      <c r="C294" s="2920"/>
      <c r="D294" s="2917"/>
      <c r="E294" s="1603" t="s">
        <v>2497</v>
      </c>
      <c r="F294" s="1583"/>
      <c r="G294" s="1583"/>
      <c r="H294" s="1583"/>
      <c r="I294" s="1583"/>
      <c r="J294" s="1583"/>
      <c r="K294" s="1583"/>
      <c r="L294" s="1583"/>
      <c r="M294" s="1583"/>
      <c r="N294" s="1583"/>
      <c r="O294" s="1583"/>
      <c r="P294" s="1583"/>
      <c r="Q294" s="1583"/>
      <c r="R294" s="1600"/>
      <c r="S294" s="1600"/>
      <c r="T294" s="1585"/>
      <c r="U294" s="1618"/>
      <c r="V294" s="1585"/>
      <c r="W294" s="1585"/>
      <c r="X294" s="1604">
        <v>9.19</v>
      </c>
      <c r="Y294" s="1585"/>
      <c r="Z294" s="1585"/>
      <c r="AA294" s="1585"/>
      <c r="AB294" s="1585"/>
      <c r="AC294" s="1585"/>
      <c r="AD294" s="1601">
        <f t="shared" si="61"/>
        <v>9.19</v>
      </c>
      <c r="AE294" s="1790">
        <v>9.19</v>
      </c>
      <c r="AF294" s="1792"/>
    </row>
    <row r="295" spans="1:32" s="1602" customFormat="1" ht="26.1" customHeight="1">
      <c r="A295" s="2918" t="s">
        <v>1388</v>
      </c>
      <c r="B295" s="2919" t="s">
        <v>1790</v>
      </c>
      <c r="C295" s="2920" t="s">
        <v>2148</v>
      </c>
      <c r="D295" s="2917">
        <v>90.9</v>
      </c>
      <c r="E295" s="1598" t="s">
        <v>2496</v>
      </c>
      <c r="F295" s="1583"/>
      <c r="G295" s="1583"/>
      <c r="H295" s="1583"/>
      <c r="I295" s="1583"/>
      <c r="J295" s="1583"/>
      <c r="K295" s="1583"/>
      <c r="L295" s="1583"/>
      <c r="M295" s="1583"/>
      <c r="N295" s="1583"/>
      <c r="O295" s="1583"/>
      <c r="P295" s="1583"/>
      <c r="Q295" s="1583"/>
      <c r="R295" s="1600"/>
      <c r="S295" s="1585"/>
      <c r="T295" s="1585"/>
      <c r="U295" s="1585"/>
      <c r="V295" s="1585"/>
      <c r="W295" s="1585"/>
      <c r="X295" s="1585">
        <v>90.9</v>
      </c>
      <c r="Y295" s="1585"/>
      <c r="Z295" s="1585"/>
      <c r="AA295" s="1585"/>
      <c r="AB295" s="1585"/>
      <c r="AC295" s="1585"/>
      <c r="AD295" s="1601">
        <f t="shared" si="61"/>
        <v>90.9</v>
      </c>
      <c r="AE295" s="1790">
        <v>90.9</v>
      </c>
      <c r="AF295" s="1792"/>
    </row>
    <row r="296" spans="1:32" s="1602" customFormat="1" ht="26.1" customHeight="1">
      <c r="A296" s="2918"/>
      <c r="B296" s="2919"/>
      <c r="C296" s="2920"/>
      <c r="D296" s="2917"/>
      <c r="E296" s="1603" t="s">
        <v>2497</v>
      </c>
      <c r="F296" s="1583"/>
      <c r="G296" s="1583"/>
      <c r="H296" s="1583"/>
      <c r="I296" s="1583"/>
      <c r="J296" s="1583"/>
      <c r="K296" s="1583"/>
      <c r="L296" s="1583"/>
      <c r="M296" s="1583"/>
      <c r="N296" s="1583"/>
      <c r="O296" s="1583"/>
      <c r="P296" s="1583"/>
      <c r="Q296" s="1583"/>
      <c r="R296" s="1600"/>
      <c r="S296" s="1585"/>
      <c r="T296" s="1585"/>
      <c r="U296" s="1585"/>
      <c r="V296" s="1585"/>
      <c r="W296" s="1585"/>
      <c r="X296" s="1604">
        <v>90.9</v>
      </c>
      <c r="Y296" s="1585"/>
      <c r="Z296" s="1585"/>
      <c r="AA296" s="1585"/>
      <c r="AB296" s="1585"/>
      <c r="AC296" s="1585"/>
      <c r="AD296" s="1601">
        <f t="shared" si="61"/>
        <v>90.9</v>
      </c>
      <c r="AE296" s="1790">
        <v>90.9</v>
      </c>
      <c r="AF296" s="1792"/>
    </row>
    <row r="297" spans="1:32" s="1602" customFormat="1" ht="26.1" customHeight="1">
      <c r="A297" s="1594">
        <v>5.4</v>
      </c>
      <c r="B297" s="1614" t="s">
        <v>1897</v>
      </c>
      <c r="C297" s="1596"/>
      <c r="D297" s="1621"/>
      <c r="E297" s="1600"/>
      <c r="F297" s="1583"/>
      <c r="G297" s="1583"/>
      <c r="H297" s="1583"/>
      <c r="I297" s="1583"/>
      <c r="J297" s="1583"/>
      <c r="K297" s="1583"/>
      <c r="L297" s="1583"/>
      <c r="M297" s="1583"/>
      <c r="N297" s="1583"/>
      <c r="O297" s="1583"/>
      <c r="P297" s="1583"/>
      <c r="Q297" s="1583"/>
      <c r="R297" s="1600"/>
      <c r="S297" s="1585"/>
      <c r="T297" s="1585"/>
      <c r="U297" s="1585"/>
      <c r="V297" s="1585"/>
      <c r="W297" s="1585"/>
      <c r="X297" s="1585"/>
      <c r="Y297" s="1585"/>
      <c r="Z297" s="1585"/>
      <c r="AA297" s="1585"/>
      <c r="AB297" s="1585"/>
      <c r="AC297" s="1585"/>
      <c r="AD297" s="1601">
        <f t="shared" si="61"/>
        <v>0</v>
      </c>
      <c r="AE297" s="1790">
        <v>0</v>
      </c>
      <c r="AF297" s="1792"/>
    </row>
    <row r="298" spans="1:32" s="1602" customFormat="1" ht="26.1" customHeight="1">
      <c r="A298" s="1594" t="s">
        <v>1393</v>
      </c>
      <c r="B298" s="1609" t="s">
        <v>1898</v>
      </c>
      <c r="C298" s="1596"/>
      <c r="D298" s="1622"/>
      <c r="E298" s="1600"/>
      <c r="F298" s="1583"/>
      <c r="G298" s="1583"/>
      <c r="H298" s="1583"/>
      <c r="I298" s="1583"/>
      <c r="J298" s="1583"/>
      <c r="K298" s="1583"/>
      <c r="L298" s="1583"/>
      <c r="M298" s="1583"/>
      <c r="N298" s="1583"/>
      <c r="O298" s="1583"/>
      <c r="P298" s="1583"/>
      <c r="Q298" s="1583"/>
      <c r="R298" s="1600"/>
      <c r="S298" s="1585"/>
      <c r="T298" s="1585"/>
      <c r="U298" s="1585"/>
      <c r="V298" s="1585"/>
      <c r="W298" s="1585"/>
      <c r="X298" s="1585"/>
      <c r="Y298" s="1585"/>
      <c r="Z298" s="1585"/>
      <c r="AA298" s="1585"/>
      <c r="AB298" s="1585"/>
      <c r="AC298" s="1585"/>
      <c r="AD298" s="1601">
        <f t="shared" si="61"/>
        <v>0</v>
      </c>
      <c r="AE298" s="1790">
        <v>0</v>
      </c>
      <c r="AF298" s="1792"/>
    </row>
    <row r="299" spans="1:32" s="1602" customFormat="1" ht="26.1" customHeight="1">
      <c r="A299" s="2918" t="s">
        <v>1398</v>
      </c>
      <c r="B299" s="2919" t="s">
        <v>1903</v>
      </c>
      <c r="C299" s="2920" t="s">
        <v>52</v>
      </c>
      <c r="D299" s="2917">
        <v>640.88</v>
      </c>
      <c r="E299" s="1598" t="s">
        <v>2496</v>
      </c>
      <c r="F299" s="1583"/>
      <c r="G299" s="1583"/>
      <c r="H299" s="1583"/>
      <c r="I299" s="1583"/>
      <c r="J299" s="1583"/>
      <c r="K299" s="1583"/>
      <c r="L299" s="1583"/>
      <c r="M299" s="1583"/>
      <c r="N299" s="1583"/>
      <c r="O299" s="1583"/>
      <c r="P299" s="1583"/>
      <c r="Q299" s="1583"/>
      <c r="R299" s="1600"/>
      <c r="S299" s="1585"/>
      <c r="T299" s="1585"/>
      <c r="U299" s="1585">
        <v>640.88</v>
      </c>
      <c r="V299" s="1585"/>
      <c r="W299" s="1585"/>
      <c r="X299" s="1585"/>
      <c r="Y299" s="1585"/>
      <c r="Z299" s="1585"/>
      <c r="AA299" s="1585"/>
      <c r="AB299" s="1585"/>
      <c r="AC299" s="1585"/>
      <c r="AD299" s="1601">
        <f t="shared" si="61"/>
        <v>640.88</v>
      </c>
      <c r="AE299" s="1790">
        <v>640.88</v>
      </c>
      <c r="AF299" s="1792"/>
    </row>
    <row r="300" spans="1:32" s="1602" customFormat="1" ht="26.1" customHeight="1">
      <c r="A300" s="2918"/>
      <c r="B300" s="2919"/>
      <c r="C300" s="2920"/>
      <c r="D300" s="2917"/>
      <c r="E300" s="1603" t="s">
        <v>2497</v>
      </c>
      <c r="F300" s="1583"/>
      <c r="G300" s="1583"/>
      <c r="H300" s="1583"/>
      <c r="I300" s="1583"/>
      <c r="J300" s="1583"/>
      <c r="K300" s="1583"/>
      <c r="L300" s="1583"/>
      <c r="M300" s="1583"/>
      <c r="N300" s="1583"/>
      <c r="O300" s="1583"/>
      <c r="P300" s="1583"/>
      <c r="Q300" s="1583"/>
      <c r="R300" s="1600"/>
      <c r="S300" s="1585"/>
      <c r="T300" s="1585"/>
      <c r="U300" s="1604">
        <v>640.88</v>
      </c>
      <c r="V300" s="1793"/>
      <c r="W300" s="1585"/>
      <c r="X300" s="1585"/>
      <c r="Y300" s="1585"/>
      <c r="Z300" s="1585"/>
      <c r="AA300" s="1585"/>
      <c r="AB300" s="1585"/>
      <c r="AC300" s="1585"/>
      <c r="AD300" s="1601">
        <f t="shared" si="61"/>
        <v>640.88</v>
      </c>
      <c r="AE300" s="1790">
        <v>640.88</v>
      </c>
      <c r="AF300" s="1792"/>
    </row>
    <row r="301" spans="1:32" s="1602" customFormat="1" ht="26.1" customHeight="1">
      <c r="A301" s="2918" t="s">
        <v>1399</v>
      </c>
      <c r="B301" s="2919" t="s">
        <v>1904</v>
      </c>
      <c r="C301" s="2920" t="s">
        <v>52</v>
      </c>
      <c r="D301" s="2917">
        <v>640.88</v>
      </c>
      <c r="E301" s="1598" t="s">
        <v>2496</v>
      </c>
      <c r="F301" s="1583"/>
      <c r="G301" s="1583"/>
      <c r="H301" s="1583"/>
      <c r="I301" s="1583"/>
      <c r="J301" s="1583"/>
      <c r="K301" s="1583"/>
      <c r="L301" s="1583"/>
      <c r="M301" s="1583"/>
      <c r="N301" s="1583"/>
      <c r="O301" s="1583"/>
      <c r="P301" s="1583"/>
      <c r="Q301" s="1583"/>
      <c r="R301" s="1600"/>
      <c r="S301" s="1600"/>
      <c r="T301" s="1585"/>
      <c r="U301" s="1585">
        <v>640.88</v>
      </c>
      <c r="V301" s="1585"/>
      <c r="W301" s="1585"/>
      <c r="X301" s="1585"/>
      <c r="Y301" s="1585"/>
      <c r="Z301" s="1585"/>
      <c r="AA301" s="1585"/>
      <c r="AB301" s="1585"/>
      <c r="AC301" s="1585"/>
      <c r="AD301" s="1601">
        <f t="shared" si="61"/>
        <v>640.88</v>
      </c>
      <c r="AE301" s="1790">
        <v>640.88</v>
      </c>
      <c r="AF301" s="1792"/>
    </row>
    <row r="302" spans="1:32" s="1602" customFormat="1" ht="26.1" customHeight="1">
      <c r="A302" s="2918"/>
      <c r="B302" s="2919"/>
      <c r="C302" s="2920"/>
      <c r="D302" s="2917"/>
      <c r="E302" s="1603" t="s">
        <v>2497</v>
      </c>
      <c r="F302" s="1583"/>
      <c r="G302" s="1583"/>
      <c r="H302" s="1583"/>
      <c r="I302" s="1583"/>
      <c r="J302" s="1583"/>
      <c r="K302" s="1583"/>
      <c r="L302" s="1583"/>
      <c r="M302" s="1583"/>
      <c r="N302" s="1583"/>
      <c r="O302" s="1583"/>
      <c r="P302" s="1583"/>
      <c r="Q302" s="1583"/>
      <c r="R302" s="1600"/>
      <c r="S302" s="1600"/>
      <c r="T302" s="1585"/>
      <c r="U302" s="1604">
        <v>640.88</v>
      </c>
      <c r="V302" s="1793"/>
      <c r="W302" s="1585"/>
      <c r="X302" s="1585"/>
      <c r="Y302" s="1585"/>
      <c r="Z302" s="1585"/>
      <c r="AA302" s="1585"/>
      <c r="AB302" s="1585"/>
      <c r="AC302" s="1585"/>
      <c r="AD302" s="1601">
        <f t="shared" si="61"/>
        <v>640.88</v>
      </c>
      <c r="AE302" s="1790">
        <v>640.88</v>
      </c>
      <c r="AF302" s="1792"/>
    </row>
    <row r="303" spans="1:32" s="1602" customFormat="1" ht="26.1" customHeight="1">
      <c r="A303" s="2918" t="s">
        <v>1400</v>
      </c>
      <c r="B303" s="2919" t="s">
        <v>1905</v>
      </c>
      <c r="C303" s="2920" t="s">
        <v>52</v>
      </c>
      <c r="D303" s="2917">
        <v>640.88</v>
      </c>
      <c r="E303" s="1598" t="s">
        <v>2496</v>
      </c>
      <c r="F303" s="1583"/>
      <c r="G303" s="1583"/>
      <c r="H303" s="1583"/>
      <c r="I303" s="1583"/>
      <c r="J303" s="1583"/>
      <c r="K303" s="1583"/>
      <c r="L303" s="1583"/>
      <c r="M303" s="1583"/>
      <c r="N303" s="1583"/>
      <c r="O303" s="1583"/>
      <c r="P303" s="1583"/>
      <c r="Q303" s="1583"/>
      <c r="R303" s="1600"/>
      <c r="S303" s="1600"/>
      <c r="T303" s="1585"/>
      <c r="U303" s="1585">
        <v>640.88</v>
      </c>
      <c r="V303" s="1585"/>
      <c r="W303" s="1585"/>
      <c r="X303" s="1585"/>
      <c r="Y303" s="1585"/>
      <c r="Z303" s="1585"/>
      <c r="AA303" s="1585"/>
      <c r="AB303" s="1585"/>
      <c r="AC303" s="1585"/>
      <c r="AD303" s="1601">
        <f t="shared" si="61"/>
        <v>640.88</v>
      </c>
      <c r="AE303" s="1790">
        <v>640.88</v>
      </c>
      <c r="AF303" s="1792"/>
    </row>
    <row r="304" spans="1:32" s="1602" customFormat="1" ht="26.1" customHeight="1">
      <c r="A304" s="2918"/>
      <c r="B304" s="2919"/>
      <c r="C304" s="2920"/>
      <c r="D304" s="2917"/>
      <c r="E304" s="1603" t="s">
        <v>2497</v>
      </c>
      <c r="F304" s="1583"/>
      <c r="G304" s="1583"/>
      <c r="H304" s="1583"/>
      <c r="I304" s="1583"/>
      <c r="J304" s="1583"/>
      <c r="K304" s="1583"/>
      <c r="L304" s="1583"/>
      <c r="M304" s="1583"/>
      <c r="N304" s="1583"/>
      <c r="O304" s="1583"/>
      <c r="P304" s="1583"/>
      <c r="Q304" s="1583"/>
      <c r="R304" s="1600"/>
      <c r="S304" s="1600"/>
      <c r="T304" s="1585"/>
      <c r="U304" s="1604">
        <v>640.88</v>
      </c>
      <c r="V304" s="1793"/>
      <c r="W304" s="1585"/>
      <c r="X304" s="1585"/>
      <c r="Y304" s="1585"/>
      <c r="Z304" s="1585"/>
      <c r="AA304" s="1585"/>
      <c r="AB304" s="1585"/>
      <c r="AC304" s="1585"/>
      <c r="AD304" s="1601">
        <f t="shared" si="61"/>
        <v>640.88</v>
      </c>
      <c r="AE304" s="1790">
        <v>640.88</v>
      </c>
      <c r="AF304" s="1792"/>
    </row>
    <row r="305" spans="1:32" s="1602" customFormat="1" ht="26.1" customHeight="1">
      <c r="A305" s="2918" t="s">
        <v>1401</v>
      </c>
      <c r="B305" s="2919" t="s">
        <v>1906</v>
      </c>
      <c r="C305" s="2920" t="s">
        <v>52</v>
      </c>
      <c r="D305" s="2917">
        <v>640.88</v>
      </c>
      <c r="E305" s="1598" t="s">
        <v>2496</v>
      </c>
      <c r="F305" s="1583"/>
      <c r="G305" s="1583"/>
      <c r="H305" s="1583"/>
      <c r="I305" s="1583"/>
      <c r="J305" s="1583"/>
      <c r="K305" s="1583"/>
      <c r="L305" s="1583"/>
      <c r="M305" s="1583"/>
      <c r="N305" s="1583"/>
      <c r="O305" s="1583"/>
      <c r="P305" s="1583"/>
      <c r="Q305" s="1583"/>
      <c r="R305" s="1600"/>
      <c r="S305" s="1600"/>
      <c r="T305" s="1585"/>
      <c r="U305" s="1585">
        <v>640.88</v>
      </c>
      <c r="V305" s="1585"/>
      <c r="W305" s="1585"/>
      <c r="X305" s="1585"/>
      <c r="Y305" s="1585"/>
      <c r="Z305" s="1585"/>
      <c r="AA305" s="1585"/>
      <c r="AB305" s="1585"/>
      <c r="AC305" s="1585"/>
      <c r="AD305" s="1601">
        <f t="shared" si="61"/>
        <v>640.88</v>
      </c>
      <c r="AE305" s="1790">
        <v>640.88</v>
      </c>
      <c r="AF305" s="1792"/>
    </row>
    <row r="306" spans="1:32" s="1602" customFormat="1" ht="26.1" customHeight="1">
      <c r="A306" s="2918"/>
      <c r="B306" s="2919"/>
      <c r="C306" s="2920"/>
      <c r="D306" s="2917"/>
      <c r="E306" s="1603" t="s">
        <v>2497</v>
      </c>
      <c r="F306" s="1583"/>
      <c r="G306" s="1583"/>
      <c r="H306" s="1583"/>
      <c r="I306" s="1583"/>
      <c r="J306" s="1583"/>
      <c r="K306" s="1583"/>
      <c r="L306" s="1583"/>
      <c r="M306" s="1583"/>
      <c r="N306" s="1583"/>
      <c r="O306" s="1583"/>
      <c r="P306" s="1583"/>
      <c r="Q306" s="1583"/>
      <c r="R306" s="1600"/>
      <c r="S306" s="1600"/>
      <c r="T306" s="1585"/>
      <c r="U306" s="1604">
        <v>640.88</v>
      </c>
      <c r="V306" s="1793"/>
      <c r="W306" s="1585"/>
      <c r="X306" s="1585"/>
      <c r="Y306" s="1585"/>
      <c r="Z306" s="1585"/>
      <c r="AA306" s="1585"/>
      <c r="AB306" s="1585"/>
      <c r="AC306" s="1585"/>
      <c r="AD306" s="1601">
        <f t="shared" si="61"/>
        <v>640.88</v>
      </c>
      <c r="AE306" s="1790">
        <v>640.88</v>
      </c>
      <c r="AF306" s="1792"/>
    </row>
    <row r="307" spans="1:32" s="1602" customFormat="1" ht="26.1" customHeight="1">
      <c r="A307" s="2918" t="s">
        <v>1402</v>
      </c>
      <c r="B307" s="2919" t="s">
        <v>1907</v>
      </c>
      <c r="C307" s="2920" t="s">
        <v>52</v>
      </c>
      <c r="D307" s="2917">
        <v>640.88</v>
      </c>
      <c r="E307" s="1598" t="s">
        <v>2496</v>
      </c>
      <c r="F307" s="1583"/>
      <c r="G307" s="1583"/>
      <c r="H307" s="1583"/>
      <c r="I307" s="1583"/>
      <c r="J307" s="1583"/>
      <c r="K307" s="1583"/>
      <c r="L307" s="1583"/>
      <c r="M307" s="1583"/>
      <c r="N307" s="1583"/>
      <c r="O307" s="1583"/>
      <c r="P307" s="1583"/>
      <c r="Q307" s="1583"/>
      <c r="R307" s="1600"/>
      <c r="S307" s="1600"/>
      <c r="T307" s="1585"/>
      <c r="U307" s="1585">
        <v>640.88</v>
      </c>
      <c r="V307" s="1585"/>
      <c r="W307" s="1585"/>
      <c r="X307" s="1585"/>
      <c r="Y307" s="1585"/>
      <c r="Z307" s="1585"/>
      <c r="AA307" s="1585"/>
      <c r="AB307" s="1585"/>
      <c r="AC307" s="1585"/>
      <c r="AD307" s="1601">
        <f t="shared" si="61"/>
        <v>640.88</v>
      </c>
      <c r="AE307" s="1790">
        <v>640.88</v>
      </c>
      <c r="AF307" s="1792"/>
    </row>
    <row r="308" spans="1:32" s="1602" customFormat="1" ht="26.1" customHeight="1">
      <c r="A308" s="2918"/>
      <c r="B308" s="2919"/>
      <c r="C308" s="2920"/>
      <c r="D308" s="2917"/>
      <c r="E308" s="1603" t="s">
        <v>2497</v>
      </c>
      <c r="F308" s="1583"/>
      <c r="G308" s="1583"/>
      <c r="H308" s="1583"/>
      <c r="I308" s="1583"/>
      <c r="J308" s="1583"/>
      <c r="K308" s="1583"/>
      <c r="L308" s="1583"/>
      <c r="M308" s="1583"/>
      <c r="N308" s="1583"/>
      <c r="O308" s="1583"/>
      <c r="P308" s="1583"/>
      <c r="Q308" s="1583"/>
      <c r="R308" s="1600"/>
      <c r="S308" s="1600"/>
      <c r="T308" s="1585"/>
      <c r="U308" s="1604">
        <v>640.88</v>
      </c>
      <c r="V308" s="1793"/>
      <c r="W308" s="1585"/>
      <c r="X308" s="1585"/>
      <c r="Y308" s="1585"/>
      <c r="Z308" s="1585"/>
      <c r="AA308" s="1585"/>
      <c r="AB308" s="1585"/>
      <c r="AC308" s="1585"/>
      <c r="AD308" s="1601">
        <f t="shared" si="61"/>
        <v>640.88</v>
      </c>
      <c r="AE308" s="1790">
        <v>640.88</v>
      </c>
      <c r="AF308" s="1792"/>
    </row>
    <row r="309" spans="1:32" s="1602" customFormat="1" ht="25.5" customHeight="1">
      <c r="A309" s="2918" t="s">
        <v>1403</v>
      </c>
      <c r="B309" s="2919" t="s">
        <v>1908</v>
      </c>
      <c r="C309" s="2920" t="s">
        <v>52</v>
      </c>
      <c r="D309" s="2917">
        <v>640.88</v>
      </c>
      <c r="E309" s="1598" t="s">
        <v>2496</v>
      </c>
      <c r="F309" s="1583"/>
      <c r="G309" s="1583"/>
      <c r="H309" s="1583"/>
      <c r="I309" s="1583"/>
      <c r="J309" s="1583"/>
      <c r="K309" s="1583"/>
      <c r="L309" s="1583"/>
      <c r="M309" s="1583"/>
      <c r="N309" s="1583"/>
      <c r="O309" s="1583"/>
      <c r="P309" s="1583"/>
      <c r="Q309" s="1583"/>
      <c r="R309" s="1600"/>
      <c r="S309" s="1600"/>
      <c r="T309" s="1585"/>
      <c r="U309" s="1585">
        <v>640.88</v>
      </c>
      <c r="V309" s="1585"/>
      <c r="W309" s="1585"/>
      <c r="X309" s="1585"/>
      <c r="Y309" s="1585"/>
      <c r="Z309" s="1585"/>
      <c r="AA309" s="1585"/>
      <c r="AB309" s="1585"/>
      <c r="AC309" s="1585"/>
      <c r="AD309" s="1601">
        <f t="shared" si="61"/>
        <v>640.88</v>
      </c>
      <c r="AE309" s="1790">
        <v>640.88</v>
      </c>
      <c r="AF309" s="1792"/>
    </row>
    <row r="310" spans="1:32" s="1602" customFormat="1" ht="25.5" customHeight="1">
      <c r="A310" s="2918"/>
      <c r="B310" s="2919"/>
      <c r="C310" s="2920"/>
      <c r="D310" s="2917"/>
      <c r="E310" s="1603" t="s">
        <v>2497</v>
      </c>
      <c r="F310" s="1583"/>
      <c r="G310" s="1583"/>
      <c r="H310" s="1583"/>
      <c r="I310" s="1583"/>
      <c r="J310" s="1583"/>
      <c r="K310" s="1583"/>
      <c r="L310" s="1583"/>
      <c r="M310" s="1583"/>
      <c r="N310" s="1583"/>
      <c r="O310" s="1583"/>
      <c r="P310" s="1583"/>
      <c r="Q310" s="1583"/>
      <c r="R310" s="1600"/>
      <c r="S310" s="1600"/>
      <c r="T310" s="1585"/>
      <c r="U310" s="1604">
        <v>640.88</v>
      </c>
      <c r="V310" s="1793"/>
      <c r="W310" s="1585"/>
      <c r="X310" s="1585"/>
      <c r="Y310" s="1585"/>
      <c r="Z310" s="1585"/>
      <c r="AA310" s="1585"/>
      <c r="AB310" s="1585"/>
      <c r="AC310" s="1585"/>
      <c r="AD310" s="1601">
        <f t="shared" si="61"/>
        <v>640.88</v>
      </c>
      <c r="AE310" s="1790">
        <v>640.88</v>
      </c>
      <c r="AF310" s="1792"/>
    </row>
    <row r="311" spans="1:32" s="1602" customFormat="1" ht="26.1" customHeight="1">
      <c r="A311" s="2918" t="s">
        <v>1404</v>
      </c>
      <c r="B311" s="2919" t="s">
        <v>1909</v>
      </c>
      <c r="C311" s="2920" t="s">
        <v>52</v>
      </c>
      <c r="D311" s="2917">
        <v>640.88</v>
      </c>
      <c r="E311" s="1598" t="s">
        <v>2496</v>
      </c>
      <c r="F311" s="1583"/>
      <c r="G311" s="1583"/>
      <c r="H311" s="1583"/>
      <c r="I311" s="1583"/>
      <c r="J311" s="1583"/>
      <c r="K311" s="1583"/>
      <c r="L311" s="1583"/>
      <c r="M311" s="1583"/>
      <c r="N311" s="1583"/>
      <c r="O311" s="1583"/>
      <c r="P311" s="1583"/>
      <c r="Q311" s="1583"/>
      <c r="R311" s="1600"/>
      <c r="S311" s="1600"/>
      <c r="T311" s="1585"/>
      <c r="U311" s="1585">
        <v>640.88</v>
      </c>
      <c r="V311" s="1585"/>
      <c r="W311" s="1585"/>
      <c r="X311" s="1585"/>
      <c r="Y311" s="1585"/>
      <c r="Z311" s="1585"/>
      <c r="AA311" s="1585"/>
      <c r="AB311" s="1585"/>
      <c r="AC311" s="1585"/>
      <c r="AD311" s="1601">
        <f t="shared" si="61"/>
        <v>640.88</v>
      </c>
      <c r="AE311" s="1790">
        <v>640.88</v>
      </c>
      <c r="AF311" s="1792"/>
    </row>
    <row r="312" spans="1:32" s="1602" customFormat="1" ht="26.1" customHeight="1">
      <c r="A312" s="2918"/>
      <c r="B312" s="2919"/>
      <c r="C312" s="2920"/>
      <c r="D312" s="2917"/>
      <c r="E312" s="1603" t="s">
        <v>2497</v>
      </c>
      <c r="F312" s="1583"/>
      <c r="G312" s="1583"/>
      <c r="H312" s="1583"/>
      <c r="I312" s="1583"/>
      <c r="J312" s="1583"/>
      <c r="K312" s="1583"/>
      <c r="L312" s="1583"/>
      <c r="M312" s="1583"/>
      <c r="N312" s="1583"/>
      <c r="O312" s="1583"/>
      <c r="P312" s="1583"/>
      <c r="Q312" s="1583"/>
      <c r="R312" s="1600"/>
      <c r="S312" s="1600"/>
      <c r="T312" s="1585"/>
      <c r="U312" s="1604">
        <v>640.88</v>
      </c>
      <c r="V312" s="1585"/>
      <c r="W312" s="1585"/>
      <c r="X312" s="1585"/>
      <c r="Y312" s="1585"/>
      <c r="Z312" s="1585"/>
      <c r="AA312" s="1585"/>
      <c r="AB312" s="1585"/>
      <c r="AC312" s="1585"/>
      <c r="AD312" s="1601">
        <f t="shared" si="61"/>
        <v>640.88</v>
      </c>
      <c r="AE312" s="1790">
        <v>640.88</v>
      </c>
      <c r="AF312" s="1792"/>
    </row>
    <row r="313" spans="1:32" s="1602" customFormat="1" ht="26.1" customHeight="1">
      <c r="A313" s="2918" t="s">
        <v>1405</v>
      </c>
      <c r="B313" s="2919" t="s">
        <v>1910</v>
      </c>
      <c r="C313" s="2920" t="s">
        <v>52</v>
      </c>
      <c r="D313" s="2917">
        <v>640.88</v>
      </c>
      <c r="E313" s="1598" t="s">
        <v>2496</v>
      </c>
      <c r="F313" s="1583"/>
      <c r="G313" s="1583"/>
      <c r="H313" s="1583"/>
      <c r="I313" s="1583"/>
      <c r="J313" s="1583"/>
      <c r="K313" s="1583"/>
      <c r="L313" s="1583"/>
      <c r="M313" s="1583"/>
      <c r="N313" s="1583"/>
      <c r="O313" s="1583"/>
      <c r="P313" s="1583"/>
      <c r="Q313" s="1583"/>
      <c r="R313" s="1600"/>
      <c r="S313" s="1600"/>
      <c r="T313" s="1585"/>
      <c r="U313" s="1585">
        <v>640.88</v>
      </c>
      <c r="V313" s="1585"/>
      <c r="W313" s="1585"/>
      <c r="X313" s="1585"/>
      <c r="Y313" s="1585"/>
      <c r="Z313" s="1585"/>
      <c r="AA313" s="1585"/>
      <c r="AB313" s="1585"/>
      <c r="AC313" s="1585"/>
      <c r="AD313" s="1601">
        <f t="shared" si="61"/>
        <v>640.88</v>
      </c>
      <c r="AE313" s="1790">
        <v>640.88</v>
      </c>
      <c r="AF313" s="1792"/>
    </row>
    <row r="314" spans="1:32" s="1602" customFormat="1" ht="26.1" customHeight="1">
      <c r="A314" s="2918"/>
      <c r="B314" s="2919"/>
      <c r="C314" s="2920"/>
      <c r="D314" s="2917"/>
      <c r="E314" s="1603" t="s">
        <v>2497</v>
      </c>
      <c r="F314" s="1583"/>
      <c r="G314" s="1583"/>
      <c r="H314" s="1583"/>
      <c r="I314" s="1583"/>
      <c r="J314" s="1583"/>
      <c r="K314" s="1583"/>
      <c r="L314" s="1583"/>
      <c r="M314" s="1583"/>
      <c r="N314" s="1583"/>
      <c r="O314" s="1583"/>
      <c r="P314" s="1583"/>
      <c r="Q314" s="1583"/>
      <c r="R314" s="1600"/>
      <c r="S314" s="1600"/>
      <c r="T314" s="1585"/>
      <c r="U314" s="1604">
        <v>640.88</v>
      </c>
      <c r="V314" s="1793"/>
      <c r="W314" s="1585"/>
      <c r="X314" s="1585"/>
      <c r="Y314" s="1585"/>
      <c r="Z314" s="1585"/>
      <c r="AA314" s="1585"/>
      <c r="AB314" s="1585"/>
      <c r="AC314" s="1585"/>
      <c r="AD314" s="1601">
        <f t="shared" si="61"/>
        <v>640.88</v>
      </c>
      <c r="AE314" s="1790">
        <v>640.88</v>
      </c>
      <c r="AF314" s="1792"/>
    </row>
    <row r="315" spans="1:32" s="1602" customFormat="1" ht="26.1" customHeight="1">
      <c r="A315" s="2918" t="s">
        <v>1406</v>
      </c>
      <c r="B315" s="2919" t="s">
        <v>1911</v>
      </c>
      <c r="C315" s="2920" t="s">
        <v>52</v>
      </c>
      <c r="D315" s="2917">
        <v>640.88</v>
      </c>
      <c r="E315" s="1598" t="s">
        <v>2496</v>
      </c>
      <c r="F315" s="1583"/>
      <c r="G315" s="1583"/>
      <c r="H315" s="1583"/>
      <c r="I315" s="1583"/>
      <c r="J315" s="1583"/>
      <c r="K315" s="1583"/>
      <c r="L315" s="1583"/>
      <c r="M315" s="1583"/>
      <c r="N315" s="1583"/>
      <c r="O315" s="1583"/>
      <c r="P315" s="1583"/>
      <c r="Q315" s="1583"/>
      <c r="R315" s="1600"/>
      <c r="S315" s="1600"/>
      <c r="T315" s="1585"/>
      <c r="U315" s="1585">
        <v>640.88</v>
      </c>
      <c r="V315" s="1585"/>
      <c r="W315" s="1585"/>
      <c r="X315" s="1585"/>
      <c r="Y315" s="1585"/>
      <c r="Z315" s="1585"/>
      <c r="AA315" s="1585"/>
      <c r="AB315" s="1585"/>
      <c r="AC315" s="1585"/>
      <c r="AD315" s="1601">
        <f t="shared" si="61"/>
        <v>640.88</v>
      </c>
      <c r="AE315" s="1790">
        <v>640.88</v>
      </c>
      <c r="AF315" s="1792"/>
    </row>
    <row r="316" spans="1:32" s="1602" customFormat="1" ht="26.1" customHeight="1">
      <c r="A316" s="2918"/>
      <c r="B316" s="2919"/>
      <c r="C316" s="2920"/>
      <c r="D316" s="2917"/>
      <c r="E316" s="1603" t="s">
        <v>2497</v>
      </c>
      <c r="F316" s="1583"/>
      <c r="G316" s="1583"/>
      <c r="H316" s="1583"/>
      <c r="I316" s="1583"/>
      <c r="J316" s="1583"/>
      <c r="K316" s="1583"/>
      <c r="L316" s="1583"/>
      <c r="M316" s="1583"/>
      <c r="N316" s="1583"/>
      <c r="O316" s="1583"/>
      <c r="P316" s="1583"/>
      <c r="Q316" s="1583"/>
      <c r="R316" s="1600"/>
      <c r="S316" s="1600"/>
      <c r="T316" s="1585"/>
      <c r="U316" s="1604">
        <v>640.88</v>
      </c>
      <c r="V316" s="1618"/>
      <c r="W316" s="1585"/>
      <c r="X316" s="1585"/>
      <c r="Y316" s="1585"/>
      <c r="Z316" s="1585"/>
      <c r="AA316" s="1585"/>
      <c r="AB316" s="1585"/>
      <c r="AC316" s="1585"/>
      <c r="AD316" s="1601">
        <f t="shared" si="61"/>
        <v>640.88</v>
      </c>
      <c r="AE316" s="1790">
        <v>640.88</v>
      </c>
      <c r="AF316" s="1792"/>
    </row>
    <row r="317" spans="1:32" s="1602" customFormat="1" ht="26.1" customHeight="1">
      <c r="A317" s="2918" t="s">
        <v>1407</v>
      </c>
      <c r="B317" s="2919" t="s">
        <v>1912</v>
      </c>
      <c r="C317" s="2920" t="s">
        <v>52</v>
      </c>
      <c r="D317" s="2917">
        <v>640.88</v>
      </c>
      <c r="E317" s="1598" t="s">
        <v>2496</v>
      </c>
      <c r="F317" s="1583"/>
      <c r="G317" s="1583"/>
      <c r="H317" s="1583"/>
      <c r="I317" s="1583"/>
      <c r="J317" s="1583"/>
      <c r="K317" s="1583"/>
      <c r="L317" s="1583"/>
      <c r="M317" s="1583"/>
      <c r="N317" s="1583"/>
      <c r="O317" s="1583"/>
      <c r="P317" s="1583"/>
      <c r="Q317" s="1583"/>
      <c r="R317" s="1600"/>
      <c r="S317" s="1600"/>
      <c r="T317" s="1585"/>
      <c r="U317" s="1585">
        <v>640.88</v>
      </c>
      <c r="V317" s="1585"/>
      <c r="W317" s="1585"/>
      <c r="X317" s="1585"/>
      <c r="Y317" s="1585"/>
      <c r="Z317" s="1585"/>
      <c r="AA317" s="1585"/>
      <c r="AB317" s="1585"/>
      <c r="AC317" s="1585"/>
      <c r="AD317" s="1601">
        <f t="shared" si="61"/>
        <v>640.88</v>
      </c>
      <c r="AE317" s="1790">
        <v>640.88</v>
      </c>
      <c r="AF317" s="1792"/>
    </row>
    <row r="318" spans="1:32" s="1602" customFormat="1" ht="26.1" customHeight="1">
      <c r="A318" s="2918"/>
      <c r="B318" s="2919"/>
      <c r="C318" s="2920"/>
      <c r="D318" s="2917"/>
      <c r="E318" s="1603" t="s">
        <v>2497</v>
      </c>
      <c r="F318" s="1583"/>
      <c r="G318" s="1583"/>
      <c r="H318" s="1583"/>
      <c r="I318" s="1583"/>
      <c r="J318" s="1583"/>
      <c r="K318" s="1583"/>
      <c r="L318" s="1583"/>
      <c r="M318" s="1583"/>
      <c r="N318" s="1583"/>
      <c r="O318" s="1583"/>
      <c r="P318" s="1583"/>
      <c r="Q318" s="1583"/>
      <c r="R318" s="1600"/>
      <c r="S318" s="1600"/>
      <c r="T318" s="1585"/>
      <c r="U318" s="1604">
        <v>640.88</v>
      </c>
      <c r="V318" s="1618"/>
      <c r="W318" s="1585"/>
      <c r="X318" s="1585"/>
      <c r="Y318" s="1585"/>
      <c r="Z318" s="1585"/>
      <c r="AA318" s="1585"/>
      <c r="AB318" s="1585"/>
      <c r="AC318" s="1585"/>
      <c r="AD318" s="1601">
        <f t="shared" si="61"/>
        <v>640.88</v>
      </c>
      <c r="AE318" s="1790">
        <v>640.88</v>
      </c>
      <c r="AF318" s="1792"/>
    </row>
    <row r="319" spans="1:32" s="1602" customFormat="1" ht="26.1" customHeight="1">
      <c r="A319" s="2918" t="s">
        <v>1408</v>
      </c>
      <c r="B319" s="2919" t="s">
        <v>1913</v>
      </c>
      <c r="C319" s="2920" t="s">
        <v>52</v>
      </c>
      <c r="D319" s="2917">
        <v>640.88</v>
      </c>
      <c r="E319" s="1598" t="s">
        <v>2496</v>
      </c>
      <c r="F319" s="1583"/>
      <c r="G319" s="1583"/>
      <c r="H319" s="1583"/>
      <c r="I319" s="1583"/>
      <c r="J319" s="1583"/>
      <c r="K319" s="1583"/>
      <c r="L319" s="1583"/>
      <c r="M319" s="1583"/>
      <c r="N319" s="1583"/>
      <c r="O319" s="1583"/>
      <c r="P319" s="1583"/>
      <c r="Q319" s="1583"/>
      <c r="R319" s="1600"/>
      <c r="S319" s="1600"/>
      <c r="T319" s="1585"/>
      <c r="U319" s="1585"/>
      <c r="V319" s="1585">
        <v>640.88</v>
      </c>
      <c r="W319" s="1585"/>
      <c r="X319" s="1585"/>
      <c r="Y319" s="1585"/>
      <c r="Z319" s="1585"/>
      <c r="AA319" s="1585"/>
      <c r="AB319" s="1585"/>
      <c r="AC319" s="1585"/>
      <c r="AD319" s="1601">
        <f t="shared" si="61"/>
        <v>640.88</v>
      </c>
      <c r="AE319" s="1790">
        <v>640.88</v>
      </c>
      <c r="AF319" s="1792"/>
    </row>
    <row r="320" spans="1:32" s="1602" customFormat="1" ht="26.1" customHeight="1">
      <c r="A320" s="2918"/>
      <c r="B320" s="2919"/>
      <c r="C320" s="2920"/>
      <c r="D320" s="2917"/>
      <c r="E320" s="1603" t="s">
        <v>2497</v>
      </c>
      <c r="F320" s="1583"/>
      <c r="G320" s="1583"/>
      <c r="H320" s="1583"/>
      <c r="I320" s="1583"/>
      <c r="J320" s="1583"/>
      <c r="K320" s="1583"/>
      <c r="L320" s="1583"/>
      <c r="M320" s="1583"/>
      <c r="N320" s="1583"/>
      <c r="O320" s="1583"/>
      <c r="P320" s="1583"/>
      <c r="Q320" s="1583"/>
      <c r="R320" s="1600"/>
      <c r="S320" s="1600"/>
      <c r="T320" s="1585"/>
      <c r="U320" s="1585"/>
      <c r="V320" s="1604">
        <v>640.88</v>
      </c>
      <c r="W320" s="1585"/>
      <c r="X320" s="1585"/>
      <c r="Y320" s="1585"/>
      <c r="Z320" s="1585"/>
      <c r="AA320" s="1585"/>
      <c r="AB320" s="1585"/>
      <c r="AC320" s="1585"/>
      <c r="AD320" s="1601">
        <f t="shared" si="61"/>
        <v>640.88</v>
      </c>
      <c r="AE320" s="1790">
        <v>640.88</v>
      </c>
      <c r="AF320" s="1792"/>
    </row>
    <row r="321" spans="1:32" s="1602" customFormat="1" ht="26.1" customHeight="1">
      <c r="A321" s="2918" t="s">
        <v>1409</v>
      </c>
      <c r="B321" s="2919" t="s">
        <v>1914</v>
      </c>
      <c r="C321" s="2920" t="s">
        <v>52</v>
      </c>
      <c r="D321" s="2917">
        <v>640.88</v>
      </c>
      <c r="E321" s="1598" t="s">
        <v>2496</v>
      </c>
      <c r="F321" s="1583"/>
      <c r="G321" s="1583"/>
      <c r="H321" s="1583"/>
      <c r="I321" s="1583"/>
      <c r="J321" s="1583"/>
      <c r="K321" s="1583"/>
      <c r="L321" s="1583"/>
      <c r="M321" s="1583"/>
      <c r="N321" s="1583"/>
      <c r="O321" s="1583"/>
      <c r="P321" s="1583"/>
      <c r="Q321" s="1583"/>
      <c r="R321" s="1600"/>
      <c r="S321" s="1600"/>
      <c r="T321" s="1585"/>
      <c r="U321" s="1585">
        <v>640.88</v>
      </c>
      <c r="V321" s="1585"/>
      <c r="W321" s="1585"/>
      <c r="X321" s="1585"/>
      <c r="Y321" s="1585"/>
      <c r="Z321" s="1585"/>
      <c r="AA321" s="1585"/>
      <c r="AB321" s="1585"/>
      <c r="AC321" s="1585"/>
      <c r="AD321" s="1601">
        <f t="shared" si="61"/>
        <v>640.88</v>
      </c>
      <c r="AE321" s="1790">
        <v>640.88</v>
      </c>
      <c r="AF321" s="1792"/>
    </row>
    <row r="322" spans="1:32" s="1602" customFormat="1" ht="26.1" customHeight="1">
      <c r="A322" s="2918"/>
      <c r="B322" s="2919"/>
      <c r="C322" s="2920"/>
      <c r="D322" s="2917"/>
      <c r="E322" s="1603" t="s">
        <v>2497</v>
      </c>
      <c r="F322" s="1583"/>
      <c r="G322" s="1583"/>
      <c r="H322" s="1583"/>
      <c r="I322" s="1583"/>
      <c r="J322" s="1583"/>
      <c r="K322" s="1583"/>
      <c r="L322" s="1583"/>
      <c r="M322" s="1583"/>
      <c r="N322" s="1583"/>
      <c r="O322" s="1583"/>
      <c r="P322" s="1583"/>
      <c r="Q322" s="1583"/>
      <c r="R322" s="1600"/>
      <c r="S322" s="1600"/>
      <c r="T322" s="1585"/>
      <c r="U322" s="1604">
        <v>640.88</v>
      </c>
      <c r="V322" s="1618"/>
      <c r="W322" s="1585"/>
      <c r="X322" s="1585"/>
      <c r="Y322" s="1585"/>
      <c r="Z322" s="1585"/>
      <c r="AA322" s="1585"/>
      <c r="AB322" s="1585"/>
      <c r="AC322" s="1585"/>
      <c r="AD322" s="1601">
        <f t="shared" si="61"/>
        <v>640.88</v>
      </c>
      <c r="AE322" s="1790">
        <v>640.88</v>
      </c>
      <c r="AF322" s="1792"/>
    </row>
    <row r="323" spans="1:32" s="1602" customFormat="1" ht="26.1" customHeight="1">
      <c r="A323" s="2918" t="s">
        <v>1410</v>
      </c>
      <c r="B323" s="2919" t="s">
        <v>1915</v>
      </c>
      <c r="C323" s="2920" t="s">
        <v>52</v>
      </c>
      <c r="D323" s="2917">
        <v>640.88</v>
      </c>
      <c r="E323" s="1598" t="s">
        <v>2496</v>
      </c>
      <c r="F323" s="1583"/>
      <c r="G323" s="1583"/>
      <c r="H323" s="1583"/>
      <c r="I323" s="1583"/>
      <c r="J323" s="1583"/>
      <c r="K323" s="1583"/>
      <c r="L323" s="1583"/>
      <c r="M323" s="1583"/>
      <c r="N323" s="1583"/>
      <c r="O323" s="1583"/>
      <c r="P323" s="1583"/>
      <c r="Q323" s="1583"/>
      <c r="R323" s="1600"/>
      <c r="S323" s="1600"/>
      <c r="T323" s="1585"/>
      <c r="U323" s="1585"/>
      <c r="V323" s="1585"/>
      <c r="W323" s="1585"/>
      <c r="X323" s="1585"/>
      <c r="Y323" s="1585"/>
      <c r="Z323" s="1585"/>
      <c r="AA323" s="1585"/>
      <c r="AB323" s="1585"/>
      <c r="AC323" s="1585"/>
      <c r="AD323" s="1601">
        <f t="shared" si="61"/>
        <v>0</v>
      </c>
      <c r="AE323" s="1790">
        <v>0</v>
      </c>
      <c r="AF323" s="1792"/>
    </row>
    <row r="324" spans="1:32" s="1602" customFormat="1" ht="26.1" customHeight="1">
      <c r="A324" s="2918"/>
      <c r="B324" s="2919"/>
      <c r="C324" s="2920"/>
      <c r="D324" s="2917"/>
      <c r="E324" s="1603" t="s">
        <v>2497</v>
      </c>
      <c r="F324" s="1583"/>
      <c r="G324" s="1583"/>
      <c r="H324" s="1583"/>
      <c r="I324" s="1583"/>
      <c r="J324" s="1583"/>
      <c r="K324" s="1583"/>
      <c r="L324" s="1583"/>
      <c r="M324" s="1583"/>
      <c r="N324" s="1583"/>
      <c r="O324" s="1583"/>
      <c r="P324" s="1583"/>
      <c r="Q324" s="1583"/>
      <c r="R324" s="1600"/>
      <c r="S324" s="1600"/>
      <c r="T324" s="1585"/>
      <c r="U324" s="1585"/>
      <c r="V324" s="1618"/>
      <c r="W324" s="1585"/>
      <c r="X324" s="1585"/>
      <c r="Y324" s="1585"/>
      <c r="Z324" s="1585"/>
      <c r="AA324" s="1585"/>
      <c r="AB324" s="1585"/>
      <c r="AC324" s="1585"/>
      <c r="AD324" s="1601">
        <f t="shared" si="61"/>
        <v>0</v>
      </c>
      <c r="AE324" s="1790">
        <v>0</v>
      </c>
      <c r="AF324" s="1792"/>
    </row>
    <row r="325" spans="1:32" s="1602" customFormat="1" ht="26.1" customHeight="1">
      <c r="A325" s="2918" t="s">
        <v>1411</v>
      </c>
      <c r="B325" s="2919" t="s">
        <v>1916</v>
      </c>
      <c r="C325" s="2920" t="s">
        <v>52</v>
      </c>
      <c r="D325" s="2917">
        <v>640.88</v>
      </c>
      <c r="E325" s="1598" t="s">
        <v>2496</v>
      </c>
      <c r="F325" s="1583"/>
      <c r="G325" s="1583"/>
      <c r="H325" s="1583"/>
      <c r="I325" s="1583"/>
      <c r="J325" s="1583"/>
      <c r="K325" s="1583"/>
      <c r="L325" s="1583"/>
      <c r="M325" s="1583"/>
      <c r="N325" s="1583"/>
      <c r="O325" s="1583"/>
      <c r="P325" s="1583"/>
      <c r="Q325" s="1583"/>
      <c r="R325" s="1600"/>
      <c r="S325" s="1600"/>
      <c r="T325" s="1585"/>
      <c r="U325" s="1585"/>
      <c r="V325" s="1585"/>
      <c r="W325" s="1585"/>
      <c r="X325" s="1585"/>
      <c r="Y325" s="1585"/>
      <c r="Z325" s="1585">
        <v>640.88</v>
      </c>
      <c r="AA325" s="1585"/>
      <c r="AB325" s="1585"/>
      <c r="AC325" s="1585"/>
      <c r="AD325" s="1601">
        <f t="shared" si="61"/>
        <v>640.88</v>
      </c>
      <c r="AE325" s="1790">
        <v>0</v>
      </c>
      <c r="AF325" s="1792"/>
    </row>
    <row r="326" spans="1:32" s="1602" customFormat="1" ht="26.1" customHeight="1">
      <c r="A326" s="2918"/>
      <c r="B326" s="2919"/>
      <c r="C326" s="2920"/>
      <c r="D326" s="2917"/>
      <c r="E326" s="1603" t="s">
        <v>2497</v>
      </c>
      <c r="F326" s="1583"/>
      <c r="G326" s="1583"/>
      <c r="H326" s="1583"/>
      <c r="I326" s="1583"/>
      <c r="J326" s="1583"/>
      <c r="K326" s="1583"/>
      <c r="L326" s="1583"/>
      <c r="M326" s="1583"/>
      <c r="N326" s="1583"/>
      <c r="O326" s="1583"/>
      <c r="P326" s="1583"/>
      <c r="Q326" s="1583"/>
      <c r="R326" s="1600"/>
      <c r="S326" s="1600"/>
      <c r="T326" s="1585"/>
      <c r="U326" s="1585"/>
      <c r="V326" s="1585"/>
      <c r="W326" s="1585"/>
      <c r="X326" s="1585"/>
      <c r="Y326" s="1585"/>
      <c r="Z326" s="1585"/>
      <c r="AA326" s="1585"/>
      <c r="AB326" s="1585"/>
      <c r="AC326" s="1585"/>
      <c r="AD326" s="1601">
        <f t="shared" si="61"/>
        <v>0</v>
      </c>
      <c r="AE326" s="1790">
        <v>0</v>
      </c>
      <c r="AF326" s="1792"/>
    </row>
    <row r="327" spans="1:32" s="1602" customFormat="1" ht="26.1" customHeight="1">
      <c r="A327" s="1594" t="s">
        <v>1419</v>
      </c>
      <c r="B327" s="1614" t="s">
        <v>1924</v>
      </c>
      <c r="C327" s="1596"/>
      <c r="D327" s="1597"/>
      <c r="E327" s="1600"/>
      <c r="F327" s="1583"/>
      <c r="G327" s="1583"/>
      <c r="H327" s="1583"/>
      <c r="I327" s="1583"/>
      <c r="J327" s="1583"/>
      <c r="K327" s="1583"/>
      <c r="L327" s="1583"/>
      <c r="M327" s="1583"/>
      <c r="N327" s="1583"/>
      <c r="O327" s="1583"/>
      <c r="P327" s="1583"/>
      <c r="Q327" s="1583"/>
      <c r="R327" s="1600"/>
      <c r="S327" s="1600"/>
      <c r="T327" s="1585"/>
      <c r="U327" s="1585"/>
      <c r="V327" s="1585"/>
      <c r="W327" s="1585"/>
      <c r="X327" s="1585"/>
      <c r="Y327" s="1585"/>
      <c r="Z327" s="1585"/>
      <c r="AA327" s="1585"/>
      <c r="AB327" s="1585"/>
      <c r="AC327" s="1585"/>
      <c r="AD327" s="1601">
        <f t="shared" si="61"/>
        <v>0</v>
      </c>
      <c r="AE327" s="1790">
        <v>0</v>
      </c>
      <c r="AF327" s="1792"/>
    </row>
    <row r="328" spans="1:32" s="1602" customFormat="1" ht="26.1" customHeight="1">
      <c r="A328" s="2918" t="s">
        <v>1424</v>
      </c>
      <c r="B328" s="2919" t="s">
        <v>1929</v>
      </c>
      <c r="C328" s="2920" t="s">
        <v>52</v>
      </c>
      <c r="D328" s="2917">
        <v>1037.6000000000001</v>
      </c>
      <c r="E328" s="1598" t="s">
        <v>2496</v>
      </c>
      <c r="F328" s="1583"/>
      <c r="G328" s="1583"/>
      <c r="H328" s="1583"/>
      <c r="I328" s="1583"/>
      <c r="J328" s="1605"/>
      <c r="K328" s="1605"/>
      <c r="L328" s="1605"/>
      <c r="M328" s="1605"/>
      <c r="N328" s="1605"/>
      <c r="O328" s="1605"/>
      <c r="P328" s="1605"/>
      <c r="Q328" s="1583"/>
      <c r="R328" s="1600"/>
      <c r="S328" s="1600"/>
      <c r="T328" s="1585"/>
      <c r="U328" s="1585"/>
      <c r="V328" s="1585"/>
      <c r="W328" s="1585"/>
      <c r="X328" s="1585"/>
      <c r="Y328" s="1585"/>
      <c r="Z328" s="1585">
        <v>1037.6000000000001</v>
      </c>
      <c r="AA328" s="1585"/>
      <c r="AB328" s="1585"/>
      <c r="AC328" s="1585"/>
      <c r="AD328" s="1601">
        <f t="shared" si="61"/>
        <v>1037.6000000000001</v>
      </c>
      <c r="AE328" s="1790">
        <v>0</v>
      </c>
      <c r="AF328" s="1792"/>
    </row>
    <row r="329" spans="1:32" s="1602" customFormat="1" ht="26.1" customHeight="1">
      <c r="A329" s="2918"/>
      <c r="B329" s="2919"/>
      <c r="C329" s="2920"/>
      <c r="D329" s="2917"/>
      <c r="E329" s="1603" t="s">
        <v>2497</v>
      </c>
      <c r="F329" s="1583"/>
      <c r="G329" s="1583"/>
      <c r="H329" s="1583"/>
      <c r="I329" s="1583"/>
      <c r="J329" s="1605"/>
      <c r="K329" s="1605"/>
      <c r="L329" s="1605"/>
      <c r="M329" s="1605"/>
      <c r="N329" s="1605"/>
      <c r="O329" s="1605"/>
      <c r="P329" s="1605"/>
      <c r="Q329" s="1583"/>
      <c r="R329" s="1600"/>
      <c r="S329" s="1600"/>
      <c r="T329" s="1585"/>
      <c r="U329" s="1585"/>
      <c r="V329" s="1585"/>
      <c r="W329" s="1585"/>
      <c r="X329" s="1585"/>
      <c r="Y329" s="1585"/>
      <c r="Z329" s="1585"/>
      <c r="AA329" s="1585"/>
      <c r="AB329" s="1585"/>
      <c r="AC329" s="1585"/>
      <c r="AD329" s="1601">
        <f t="shared" si="61"/>
        <v>0</v>
      </c>
      <c r="AE329" s="1790">
        <v>0</v>
      </c>
      <c r="AF329" s="1792"/>
    </row>
    <row r="330" spans="1:32" s="1602" customFormat="1" ht="26.1" customHeight="1">
      <c r="A330" s="2918" t="s">
        <v>1426</v>
      </c>
      <c r="B330" s="2919" t="s">
        <v>1931</v>
      </c>
      <c r="C330" s="2920" t="s">
        <v>52</v>
      </c>
      <c r="D330" s="2917">
        <v>4547.1000000000004</v>
      </c>
      <c r="E330" s="1598" t="s">
        <v>2496</v>
      </c>
      <c r="F330" s="1583"/>
      <c r="G330" s="1583"/>
      <c r="H330" s="1583"/>
      <c r="I330" s="1583"/>
      <c r="J330" s="1583"/>
      <c r="K330" s="1605"/>
      <c r="L330" s="1605"/>
      <c r="M330" s="1605"/>
      <c r="N330" s="1605"/>
      <c r="O330" s="1605"/>
      <c r="P330" s="1583"/>
      <c r="Q330" s="1583"/>
      <c r="R330" s="1600"/>
      <c r="S330" s="1600"/>
      <c r="T330" s="1585"/>
      <c r="U330" s="1585"/>
      <c r="V330" s="1585"/>
      <c r="W330" s="1585"/>
      <c r="X330" s="1585"/>
      <c r="Y330" s="1585"/>
      <c r="Z330" s="1585">
        <v>4547.1000000000004</v>
      </c>
      <c r="AA330" s="1585"/>
      <c r="AB330" s="1585"/>
      <c r="AC330" s="1585"/>
      <c r="AD330" s="1601">
        <f t="shared" si="61"/>
        <v>4547.1000000000004</v>
      </c>
      <c r="AE330" s="1790">
        <v>0</v>
      </c>
      <c r="AF330" s="1792"/>
    </row>
    <row r="331" spans="1:32" s="1602" customFormat="1" ht="26.1" customHeight="1">
      <c r="A331" s="2918"/>
      <c r="B331" s="2919"/>
      <c r="C331" s="2920"/>
      <c r="D331" s="2917"/>
      <c r="E331" s="1603" t="s">
        <v>2497</v>
      </c>
      <c r="F331" s="1583"/>
      <c r="G331" s="1583"/>
      <c r="H331" s="1583"/>
      <c r="I331" s="1583"/>
      <c r="J331" s="1583"/>
      <c r="K331" s="1605"/>
      <c r="L331" s="1605"/>
      <c r="M331" s="1605"/>
      <c r="N331" s="1605"/>
      <c r="O331" s="1605"/>
      <c r="P331" s="1583"/>
      <c r="Q331" s="1583"/>
      <c r="R331" s="1600"/>
      <c r="S331" s="1600"/>
      <c r="T331" s="1585"/>
      <c r="U331" s="1585"/>
      <c r="V331" s="1618"/>
      <c r="W331" s="1585"/>
      <c r="X331" s="1585"/>
      <c r="Y331" s="1585"/>
      <c r="Z331" s="1585"/>
      <c r="AA331" s="1585"/>
      <c r="AB331" s="1585"/>
      <c r="AC331" s="1585"/>
      <c r="AD331" s="1601">
        <f t="shared" si="61"/>
        <v>0</v>
      </c>
      <c r="AE331" s="1790">
        <v>0</v>
      </c>
      <c r="AF331" s="1792"/>
    </row>
    <row r="332" spans="1:32" s="1602" customFormat="1" ht="26.1" customHeight="1">
      <c r="A332" s="2918" t="s">
        <v>1427</v>
      </c>
      <c r="B332" s="2919" t="s">
        <v>1932</v>
      </c>
      <c r="C332" s="2920" t="s">
        <v>52</v>
      </c>
      <c r="D332" s="2917">
        <v>3975.32</v>
      </c>
      <c r="E332" s="1598" t="s">
        <v>2496</v>
      </c>
      <c r="F332" s="1583"/>
      <c r="G332" s="1583"/>
      <c r="H332" s="1583"/>
      <c r="I332" s="1583"/>
      <c r="J332" s="1583"/>
      <c r="K332" s="1583"/>
      <c r="L332" s="1583"/>
      <c r="M332" s="1583"/>
      <c r="N332" s="1583"/>
      <c r="O332" s="1583"/>
      <c r="P332" s="1583"/>
      <c r="Q332" s="1583"/>
      <c r="R332" s="1600"/>
      <c r="S332" s="1600"/>
      <c r="T332" s="1585"/>
      <c r="U332" s="1585"/>
      <c r="V332" s="1585"/>
      <c r="W332" s="1585"/>
      <c r="X332" s="1585"/>
      <c r="Y332" s="1585"/>
      <c r="Z332" s="1585">
        <v>3975.32</v>
      </c>
      <c r="AA332" s="1585"/>
      <c r="AB332" s="1585"/>
      <c r="AC332" s="1585"/>
      <c r="AD332" s="1601">
        <f t="shared" si="61"/>
        <v>3975.32</v>
      </c>
      <c r="AE332" s="1790">
        <v>0</v>
      </c>
      <c r="AF332" s="1792"/>
    </row>
    <row r="333" spans="1:32" s="1602" customFormat="1" ht="26.1" customHeight="1">
      <c r="A333" s="2918"/>
      <c r="B333" s="2919"/>
      <c r="C333" s="2920"/>
      <c r="D333" s="2917"/>
      <c r="E333" s="1603" t="s">
        <v>2497</v>
      </c>
      <c r="F333" s="1583"/>
      <c r="G333" s="1583"/>
      <c r="H333" s="1583"/>
      <c r="I333" s="1583"/>
      <c r="J333" s="1583"/>
      <c r="K333" s="1583"/>
      <c r="L333" s="1583"/>
      <c r="M333" s="1583"/>
      <c r="N333" s="1583"/>
      <c r="O333" s="1583"/>
      <c r="P333" s="1583"/>
      <c r="Q333" s="1583"/>
      <c r="R333" s="1600"/>
      <c r="S333" s="1600"/>
      <c r="T333" s="1585"/>
      <c r="U333" s="1585"/>
      <c r="V333" s="1618"/>
      <c r="W333" s="1585"/>
      <c r="X333" s="1585"/>
      <c r="Y333" s="1585"/>
      <c r="Z333" s="1585"/>
      <c r="AA333" s="1585"/>
      <c r="AB333" s="1585"/>
      <c r="AC333" s="1585"/>
      <c r="AD333" s="1601">
        <f t="shared" si="61"/>
        <v>0</v>
      </c>
      <c r="AE333" s="1790">
        <v>0</v>
      </c>
      <c r="AF333" s="1792"/>
    </row>
    <row r="334" spans="1:32" s="1602" customFormat="1" ht="26.1" customHeight="1">
      <c r="A334" s="2918" t="s">
        <v>1428</v>
      </c>
      <c r="B334" s="2919" t="s">
        <v>1933</v>
      </c>
      <c r="C334" s="2920" t="s">
        <v>52</v>
      </c>
      <c r="D334" s="2917">
        <v>53577.16</v>
      </c>
      <c r="E334" s="1598" t="s">
        <v>2496</v>
      </c>
      <c r="F334" s="1583"/>
      <c r="G334" s="1583"/>
      <c r="H334" s="1583"/>
      <c r="I334" s="1583"/>
      <c r="J334" s="1605"/>
      <c r="K334" s="1583"/>
      <c r="L334" s="1583"/>
      <c r="M334" s="1583"/>
      <c r="N334" s="1583"/>
      <c r="O334" s="1583"/>
      <c r="P334" s="1583"/>
      <c r="Q334" s="1583"/>
      <c r="R334" s="1600"/>
      <c r="S334" s="1600"/>
      <c r="T334" s="1585"/>
      <c r="U334" s="1585"/>
      <c r="V334" s="1585"/>
      <c r="W334" s="1585"/>
      <c r="X334" s="1585"/>
      <c r="Y334" s="1585"/>
      <c r="Z334" s="1585"/>
      <c r="AA334" s="1585">
        <v>53577.16</v>
      </c>
      <c r="AB334" s="1585"/>
      <c r="AC334" s="1585"/>
      <c r="AD334" s="1601">
        <f t="shared" si="61"/>
        <v>53577.16</v>
      </c>
      <c r="AE334" s="1790">
        <v>0</v>
      </c>
      <c r="AF334" s="1792"/>
    </row>
    <row r="335" spans="1:32" s="1602" customFormat="1" ht="26.1" customHeight="1">
      <c r="A335" s="2918"/>
      <c r="B335" s="2919"/>
      <c r="C335" s="2920"/>
      <c r="D335" s="2917"/>
      <c r="E335" s="1603" t="s">
        <v>2497</v>
      </c>
      <c r="F335" s="1583"/>
      <c r="G335" s="1583"/>
      <c r="H335" s="1583"/>
      <c r="I335" s="1583"/>
      <c r="J335" s="1605"/>
      <c r="K335" s="1583"/>
      <c r="L335" s="1583"/>
      <c r="M335" s="1583"/>
      <c r="N335" s="1583"/>
      <c r="O335" s="1583"/>
      <c r="P335" s="1583"/>
      <c r="Q335" s="1583"/>
      <c r="R335" s="1600"/>
      <c r="S335" s="1600"/>
      <c r="T335" s="1585"/>
      <c r="U335" s="1585"/>
      <c r="V335" s="1585"/>
      <c r="W335" s="1585"/>
      <c r="X335" s="1585"/>
      <c r="Y335" s="1585"/>
      <c r="Z335" s="1585"/>
      <c r="AA335" s="1585"/>
      <c r="AB335" s="1585"/>
      <c r="AC335" s="1585"/>
      <c r="AD335" s="1601">
        <f t="shared" si="61"/>
        <v>0</v>
      </c>
      <c r="AE335" s="1790">
        <v>0</v>
      </c>
      <c r="AF335" s="1792"/>
    </row>
    <row r="336" spans="1:32" s="1602" customFormat="1" ht="26.1" customHeight="1">
      <c r="A336" s="1594" t="s">
        <v>1434</v>
      </c>
      <c r="B336" s="1609" t="s">
        <v>1939</v>
      </c>
      <c r="C336" s="1583"/>
      <c r="D336" s="1597"/>
      <c r="E336" s="1600"/>
      <c r="F336" s="1583"/>
      <c r="G336" s="1583"/>
      <c r="H336" s="1583"/>
      <c r="I336" s="1583"/>
      <c r="J336" s="1583"/>
      <c r="K336" s="1583"/>
      <c r="L336" s="1583"/>
      <c r="M336" s="1583"/>
      <c r="N336" s="1583"/>
      <c r="O336" s="1583"/>
      <c r="P336" s="1583"/>
      <c r="Q336" s="1583"/>
      <c r="R336" s="1600"/>
      <c r="S336" s="1600"/>
      <c r="T336" s="1585"/>
      <c r="U336" s="1585"/>
      <c r="V336" s="1585"/>
      <c r="W336" s="1585"/>
      <c r="X336" s="1585"/>
      <c r="Y336" s="1585"/>
      <c r="Z336" s="1585"/>
      <c r="AA336" s="1585"/>
      <c r="AB336" s="1585"/>
      <c r="AC336" s="1585"/>
      <c r="AD336" s="1601">
        <f t="shared" si="61"/>
        <v>0</v>
      </c>
      <c r="AE336" s="1790">
        <v>0</v>
      </c>
      <c r="AF336" s="1792"/>
    </row>
    <row r="337" spans="1:32" s="1602" customFormat="1" ht="26.1" customHeight="1">
      <c r="A337" s="2918" t="s">
        <v>1435</v>
      </c>
      <c r="B337" s="2919" t="s">
        <v>1940</v>
      </c>
      <c r="C337" s="2920" t="s">
        <v>51</v>
      </c>
      <c r="D337" s="2917">
        <v>701.82</v>
      </c>
      <c r="E337" s="1598" t="s">
        <v>2496</v>
      </c>
      <c r="F337" s="1583"/>
      <c r="G337" s="1583"/>
      <c r="H337" s="1583"/>
      <c r="I337" s="1583"/>
      <c r="J337" s="1583"/>
      <c r="K337" s="1583"/>
      <c r="L337" s="1583"/>
      <c r="M337" s="1583"/>
      <c r="N337" s="1583"/>
      <c r="O337" s="1583"/>
      <c r="P337" s="1605"/>
      <c r="Q337" s="1583"/>
      <c r="R337" s="1600"/>
      <c r="S337" s="1600"/>
      <c r="T337" s="1585"/>
      <c r="U337" s="1585"/>
      <c r="V337" s="1585"/>
      <c r="W337" s="1585"/>
      <c r="X337" s="1585"/>
      <c r="Y337" s="1585"/>
      <c r="Z337" s="1585">
        <v>701.82</v>
      </c>
      <c r="AA337" s="1585"/>
      <c r="AB337" s="1585"/>
      <c r="AC337" s="1585"/>
      <c r="AD337" s="1601">
        <f t="shared" ref="AD337:AD400" si="62">SUM(F337:AC337)</f>
        <v>701.82</v>
      </c>
      <c r="AE337" s="1790">
        <v>0</v>
      </c>
      <c r="AF337" s="1792"/>
    </row>
    <row r="338" spans="1:32" s="1602" customFormat="1" ht="26.1" customHeight="1">
      <c r="A338" s="2918"/>
      <c r="B338" s="2919"/>
      <c r="C338" s="2920"/>
      <c r="D338" s="2917"/>
      <c r="E338" s="1603" t="s">
        <v>2497</v>
      </c>
      <c r="F338" s="1583"/>
      <c r="G338" s="1583"/>
      <c r="H338" s="1583"/>
      <c r="I338" s="1583"/>
      <c r="J338" s="1583"/>
      <c r="K338" s="1583"/>
      <c r="L338" s="1583"/>
      <c r="M338" s="1583"/>
      <c r="N338" s="1583"/>
      <c r="O338" s="1583"/>
      <c r="P338" s="1605"/>
      <c r="Q338" s="1583"/>
      <c r="R338" s="1600"/>
      <c r="S338" s="1600"/>
      <c r="T338" s="1585"/>
      <c r="U338" s="1618"/>
      <c r="V338" s="1585"/>
      <c r="W338" s="1585"/>
      <c r="X338" s="1585"/>
      <c r="Y338" s="1585"/>
      <c r="Z338" s="1585"/>
      <c r="AA338" s="1585"/>
      <c r="AB338" s="1585"/>
      <c r="AC338" s="1585"/>
      <c r="AD338" s="1601">
        <f t="shared" si="62"/>
        <v>0</v>
      </c>
      <c r="AE338" s="1790">
        <v>0</v>
      </c>
      <c r="AF338" s="1792"/>
    </row>
    <row r="339" spans="1:32" s="1602" customFormat="1" ht="26.1" customHeight="1">
      <c r="A339" s="2918" t="s">
        <v>1436</v>
      </c>
      <c r="B339" s="2919" t="s">
        <v>1941</v>
      </c>
      <c r="C339" s="2920" t="s">
        <v>51</v>
      </c>
      <c r="D339" s="2917">
        <v>109.14</v>
      </c>
      <c r="E339" s="1598" t="s">
        <v>2496</v>
      </c>
      <c r="F339" s="1583"/>
      <c r="G339" s="1583"/>
      <c r="H339" s="1583"/>
      <c r="I339" s="1583"/>
      <c r="J339" s="1583"/>
      <c r="K339" s="1583"/>
      <c r="L339" s="1583"/>
      <c r="M339" s="1583"/>
      <c r="N339" s="1583"/>
      <c r="O339" s="1583"/>
      <c r="P339" s="1583"/>
      <c r="Q339" s="1583"/>
      <c r="R339" s="1600"/>
      <c r="S339" s="1600"/>
      <c r="T339" s="1585"/>
      <c r="U339" s="1585"/>
      <c r="V339" s="1585"/>
      <c r="W339" s="1585"/>
      <c r="X339" s="1585"/>
      <c r="Y339" s="1585"/>
      <c r="Z339" s="1585">
        <v>109.14</v>
      </c>
      <c r="AA339" s="1585"/>
      <c r="AB339" s="1585"/>
      <c r="AC339" s="1585"/>
      <c r="AD339" s="1601">
        <f t="shared" si="62"/>
        <v>109.14</v>
      </c>
      <c r="AE339" s="1790">
        <v>0</v>
      </c>
      <c r="AF339" s="1792"/>
    </row>
    <row r="340" spans="1:32" s="1602" customFormat="1" ht="26.1" customHeight="1">
      <c r="A340" s="2918"/>
      <c r="B340" s="2919"/>
      <c r="C340" s="2920"/>
      <c r="D340" s="2917"/>
      <c r="E340" s="1603" t="s">
        <v>2497</v>
      </c>
      <c r="F340" s="1583"/>
      <c r="G340" s="1583"/>
      <c r="H340" s="1583"/>
      <c r="I340" s="1583"/>
      <c r="J340" s="1583"/>
      <c r="K340" s="1583"/>
      <c r="L340" s="1583"/>
      <c r="M340" s="1583"/>
      <c r="N340" s="1583"/>
      <c r="O340" s="1583"/>
      <c r="P340" s="1583"/>
      <c r="Q340" s="1583"/>
      <c r="R340" s="1600"/>
      <c r="S340" s="1600"/>
      <c r="T340" s="1585"/>
      <c r="U340" s="1618"/>
      <c r="V340" s="1585"/>
      <c r="W340" s="1585"/>
      <c r="X340" s="1585"/>
      <c r="Y340" s="1585"/>
      <c r="Z340" s="1585"/>
      <c r="AA340" s="1585"/>
      <c r="AB340" s="1585"/>
      <c r="AC340" s="1585"/>
      <c r="AD340" s="1601">
        <f t="shared" si="62"/>
        <v>0</v>
      </c>
      <c r="AE340" s="1790">
        <v>0</v>
      </c>
      <c r="AF340" s="1792"/>
    </row>
    <row r="341" spans="1:32" s="1602" customFormat="1" ht="26.1" customHeight="1">
      <c r="A341" s="2918" t="s">
        <v>1437</v>
      </c>
      <c r="B341" s="2919" t="s">
        <v>1942</v>
      </c>
      <c r="C341" s="2920" t="s">
        <v>51</v>
      </c>
      <c r="D341" s="2917">
        <v>185.25</v>
      </c>
      <c r="E341" s="1598" t="s">
        <v>2496</v>
      </c>
      <c r="F341" s="1583"/>
      <c r="G341" s="1583"/>
      <c r="H341" s="1583"/>
      <c r="I341" s="1583"/>
      <c r="J341" s="1583"/>
      <c r="K341" s="1583"/>
      <c r="L341" s="1583"/>
      <c r="M341" s="1583"/>
      <c r="N341" s="1583"/>
      <c r="O341" s="1583"/>
      <c r="P341" s="1583"/>
      <c r="Q341" s="1583"/>
      <c r="R341" s="1600"/>
      <c r="S341" s="1600"/>
      <c r="T341" s="1585"/>
      <c r="U341" s="1585"/>
      <c r="V341" s="1585"/>
      <c r="W341" s="1585"/>
      <c r="X341" s="1585"/>
      <c r="Y341" s="1585"/>
      <c r="Z341" s="1585">
        <v>185.25</v>
      </c>
      <c r="AA341" s="1585"/>
      <c r="AB341" s="1585"/>
      <c r="AC341" s="1585"/>
      <c r="AD341" s="1601">
        <f t="shared" si="62"/>
        <v>185.25</v>
      </c>
      <c r="AE341" s="1790">
        <v>0</v>
      </c>
      <c r="AF341" s="1792"/>
    </row>
    <row r="342" spans="1:32" s="1602" customFormat="1" ht="26.1" customHeight="1">
      <c r="A342" s="2918"/>
      <c r="B342" s="2919"/>
      <c r="C342" s="2920"/>
      <c r="D342" s="2917"/>
      <c r="E342" s="1603" t="s">
        <v>2497</v>
      </c>
      <c r="F342" s="1583"/>
      <c r="G342" s="1583"/>
      <c r="H342" s="1583"/>
      <c r="I342" s="1583"/>
      <c r="J342" s="1583"/>
      <c r="K342" s="1583"/>
      <c r="L342" s="1583"/>
      <c r="M342" s="1583"/>
      <c r="N342" s="1583"/>
      <c r="O342" s="1583"/>
      <c r="P342" s="1583"/>
      <c r="Q342" s="1583"/>
      <c r="R342" s="1600"/>
      <c r="S342" s="1600"/>
      <c r="T342" s="1585"/>
      <c r="U342" s="1618"/>
      <c r="V342" s="1585"/>
      <c r="W342" s="1585"/>
      <c r="X342" s="1585"/>
      <c r="Y342" s="1585"/>
      <c r="Z342" s="1585"/>
      <c r="AA342" s="1585"/>
      <c r="AB342" s="1585"/>
      <c r="AC342" s="1585"/>
      <c r="AD342" s="1601">
        <f t="shared" si="62"/>
        <v>0</v>
      </c>
      <c r="AE342" s="1790">
        <v>0</v>
      </c>
      <c r="AF342" s="1792"/>
    </row>
    <row r="343" spans="1:32" s="1602" customFormat="1" ht="26.1" customHeight="1">
      <c r="A343" s="2918" t="s">
        <v>1438</v>
      </c>
      <c r="B343" s="2919" t="s">
        <v>1943</v>
      </c>
      <c r="C343" s="2920" t="s">
        <v>51</v>
      </c>
      <c r="D343" s="2917">
        <v>1211.76</v>
      </c>
      <c r="E343" s="1598" t="s">
        <v>2496</v>
      </c>
      <c r="F343" s="1583"/>
      <c r="G343" s="1583"/>
      <c r="H343" s="1583"/>
      <c r="I343" s="1583"/>
      <c r="J343" s="1583"/>
      <c r="K343" s="1583"/>
      <c r="L343" s="1583"/>
      <c r="M343" s="1583"/>
      <c r="N343" s="1583"/>
      <c r="O343" s="1583"/>
      <c r="P343" s="1583"/>
      <c r="Q343" s="1583"/>
      <c r="R343" s="1600"/>
      <c r="S343" s="1600"/>
      <c r="T343" s="1585"/>
      <c r="U343" s="1585"/>
      <c r="V343" s="1585"/>
      <c r="W343" s="1585"/>
      <c r="X343" s="1585"/>
      <c r="Y343" s="1585"/>
      <c r="Z343" s="1585">
        <v>1211.76</v>
      </c>
      <c r="AA343" s="1585"/>
      <c r="AB343" s="1585"/>
      <c r="AC343" s="1585"/>
      <c r="AD343" s="1601">
        <f t="shared" si="62"/>
        <v>1211.76</v>
      </c>
      <c r="AE343" s="1790">
        <v>0</v>
      </c>
      <c r="AF343" s="1792"/>
    </row>
    <row r="344" spans="1:32" s="1602" customFormat="1" ht="26.1" customHeight="1">
      <c r="A344" s="2918"/>
      <c r="B344" s="2919"/>
      <c r="C344" s="2920"/>
      <c r="D344" s="2917"/>
      <c r="E344" s="1603" t="s">
        <v>2497</v>
      </c>
      <c r="F344" s="1583"/>
      <c r="G344" s="1583"/>
      <c r="H344" s="1583"/>
      <c r="I344" s="1583"/>
      <c r="J344" s="1583"/>
      <c r="K344" s="1583"/>
      <c r="L344" s="1583"/>
      <c r="M344" s="1583"/>
      <c r="N344" s="1583"/>
      <c r="O344" s="1583"/>
      <c r="P344" s="1583"/>
      <c r="Q344" s="1583"/>
      <c r="R344" s="1600"/>
      <c r="S344" s="1600"/>
      <c r="T344" s="1585"/>
      <c r="U344" s="1618"/>
      <c r="V344" s="1585"/>
      <c r="W344" s="1585"/>
      <c r="X344" s="1585"/>
      <c r="Y344" s="1585"/>
      <c r="Z344" s="1585"/>
      <c r="AA344" s="1585"/>
      <c r="AB344" s="1585"/>
      <c r="AC344" s="1585"/>
      <c r="AD344" s="1601">
        <f t="shared" si="62"/>
        <v>0</v>
      </c>
      <c r="AE344" s="1790">
        <v>0</v>
      </c>
      <c r="AF344" s="1792"/>
    </row>
    <row r="345" spans="1:32" s="1602" customFormat="1" ht="26.1" customHeight="1">
      <c r="A345" s="2918" t="s">
        <v>1439</v>
      </c>
      <c r="B345" s="2919" t="s">
        <v>1944</v>
      </c>
      <c r="C345" s="2920" t="s">
        <v>51</v>
      </c>
      <c r="D345" s="2917">
        <v>930.3</v>
      </c>
      <c r="E345" s="1598" t="s">
        <v>2496</v>
      </c>
      <c r="F345" s="1583"/>
      <c r="G345" s="1583"/>
      <c r="H345" s="1583"/>
      <c r="I345" s="1583"/>
      <c r="J345" s="1583"/>
      <c r="K345" s="1583"/>
      <c r="L345" s="1583"/>
      <c r="M345" s="1583"/>
      <c r="N345" s="1583"/>
      <c r="O345" s="1583"/>
      <c r="P345" s="1583"/>
      <c r="Q345" s="1583"/>
      <c r="R345" s="1600"/>
      <c r="S345" s="1600"/>
      <c r="T345" s="1585"/>
      <c r="U345" s="1585"/>
      <c r="V345" s="1585"/>
      <c r="W345" s="1585"/>
      <c r="X345" s="1585"/>
      <c r="Y345" s="1585"/>
      <c r="Z345" s="1585">
        <v>930.3</v>
      </c>
      <c r="AA345" s="1585"/>
      <c r="AB345" s="1585"/>
      <c r="AC345" s="1585"/>
      <c r="AD345" s="1601">
        <f t="shared" si="62"/>
        <v>930.3</v>
      </c>
      <c r="AE345" s="1790">
        <v>0</v>
      </c>
      <c r="AF345" s="1792"/>
    </row>
    <row r="346" spans="1:32" s="1602" customFormat="1" ht="26.1" customHeight="1">
      <c r="A346" s="2918"/>
      <c r="B346" s="2919"/>
      <c r="C346" s="2920"/>
      <c r="D346" s="2917"/>
      <c r="E346" s="1603" t="s">
        <v>2497</v>
      </c>
      <c r="F346" s="1583"/>
      <c r="G346" s="1583"/>
      <c r="H346" s="1583"/>
      <c r="I346" s="1583"/>
      <c r="J346" s="1583"/>
      <c r="K346" s="1583"/>
      <c r="L346" s="1583"/>
      <c r="M346" s="1583"/>
      <c r="N346" s="1583"/>
      <c r="O346" s="1583"/>
      <c r="P346" s="1583"/>
      <c r="Q346" s="1583"/>
      <c r="R346" s="1600"/>
      <c r="S346" s="1600"/>
      <c r="T346" s="1585"/>
      <c r="U346" s="1585"/>
      <c r="V346" s="1585"/>
      <c r="W346" s="1585"/>
      <c r="X346" s="1585"/>
      <c r="Y346" s="1585"/>
      <c r="Z346" s="1585"/>
      <c r="AA346" s="1585"/>
      <c r="AB346" s="1585"/>
      <c r="AC346" s="1585"/>
      <c r="AD346" s="1601">
        <f t="shared" si="62"/>
        <v>0</v>
      </c>
      <c r="AE346" s="1790">
        <v>0</v>
      </c>
      <c r="AF346" s="1792"/>
    </row>
    <row r="347" spans="1:32" s="1602" customFormat="1" ht="26.1" customHeight="1">
      <c r="A347" s="1594">
        <v>5.5</v>
      </c>
      <c r="B347" s="1614" t="s">
        <v>1945</v>
      </c>
      <c r="C347" s="1596"/>
      <c r="D347" s="1597"/>
      <c r="E347" s="1600"/>
      <c r="F347" s="1583"/>
      <c r="G347" s="1583"/>
      <c r="H347" s="1583"/>
      <c r="I347" s="1583"/>
      <c r="J347" s="1583"/>
      <c r="K347" s="1583"/>
      <c r="L347" s="1583"/>
      <c r="M347" s="1583"/>
      <c r="N347" s="1583"/>
      <c r="O347" s="1583"/>
      <c r="P347" s="1583"/>
      <c r="Q347" s="1583"/>
      <c r="R347" s="1600"/>
      <c r="S347" s="1600"/>
      <c r="T347" s="1585"/>
      <c r="U347" s="1585"/>
      <c r="V347" s="1585"/>
      <c r="W347" s="1585"/>
      <c r="X347" s="1585"/>
      <c r="Y347" s="1585"/>
      <c r="Z347" s="1585"/>
      <c r="AA347" s="1585"/>
      <c r="AB347" s="1585"/>
      <c r="AC347" s="1585"/>
      <c r="AD347" s="1601">
        <f t="shared" si="62"/>
        <v>0</v>
      </c>
      <c r="AE347" s="1790">
        <v>0</v>
      </c>
      <c r="AF347" s="1792"/>
    </row>
    <row r="348" spans="1:32" s="1602" customFormat="1" ht="26.1" customHeight="1">
      <c r="A348" s="1594" t="s">
        <v>1440</v>
      </c>
      <c r="B348" s="1609" t="s">
        <v>1934</v>
      </c>
      <c r="C348" s="1596"/>
      <c r="D348" s="1613"/>
      <c r="E348" s="1600"/>
      <c r="F348" s="1583"/>
      <c r="G348" s="1583"/>
      <c r="H348" s="1583"/>
      <c r="I348" s="1583"/>
      <c r="J348" s="1583"/>
      <c r="K348" s="1583"/>
      <c r="L348" s="1583"/>
      <c r="M348" s="1583"/>
      <c r="N348" s="1583"/>
      <c r="O348" s="1583"/>
      <c r="P348" s="1583"/>
      <c r="Q348" s="1583"/>
      <c r="R348" s="1600"/>
      <c r="S348" s="1600"/>
      <c r="T348" s="1585"/>
      <c r="U348" s="1585"/>
      <c r="V348" s="1585"/>
      <c r="W348" s="1585"/>
      <c r="X348" s="1585"/>
      <c r="Y348" s="1585"/>
      <c r="Z348" s="1585"/>
      <c r="AA348" s="1585"/>
      <c r="AB348" s="1585"/>
      <c r="AC348" s="1585"/>
      <c r="AD348" s="1601">
        <f t="shared" si="62"/>
        <v>0</v>
      </c>
      <c r="AE348" s="1790">
        <v>0</v>
      </c>
      <c r="AF348" s="1792"/>
    </row>
    <row r="349" spans="1:32" s="1602" customFormat="1" ht="26.1" customHeight="1">
      <c r="A349" s="2918" t="s">
        <v>1441</v>
      </c>
      <c r="B349" s="2919" t="s">
        <v>1946</v>
      </c>
      <c r="C349" s="2920" t="s">
        <v>51</v>
      </c>
      <c r="D349" s="2917">
        <v>144305</v>
      </c>
      <c r="E349" s="1598" t="s">
        <v>2496</v>
      </c>
      <c r="F349" s="1583"/>
      <c r="G349" s="1583"/>
      <c r="H349" s="1583"/>
      <c r="I349" s="1585">
        <f>I350</f>
        <v>8137.5</v>
      </c>
      <c r="J349" s="1585">
        <f>J350</f>
        <v>15577.5</v>
      </c>
      <c r="K349" s="1585">
        <f t="shared" ref="K349:P358" si="63">K350</f>
        <v>23157</v>
      </c>
      <c r="L349" s="1585">
        <f t="shared" si="63"/>
        <v>10462.5</v>
      </c>
      <c r="M349" s="1585">
        <f t="shared" si="63"/>
        <v>23668.5</v>
      </c>
      <c r="N349" s="1585">
        <f t="shared" si="63"/>
        <v>13326.9</v>
      </c>
      <c r="O349" s="1585">
        <f t="shared" si="63"/>
        <v>2170</v>
      </c>
      <c r="P349" s="1585">
        <f t="shared" si="63"/>
        <v>21390</v>
      </c>
      <c r="Q349" s="1583"/>
      <c r="R349" s="1600"/>
      <c r="S349" s="1600"/>
      <c r="T349" s="1585"/>
      <c r="U349" s="1585">
        <v>3255</v>
      </c>
      <c r="V349" s="1585">
        <v>2046</v>
      </c>
      <c r="W349" s="1585">
        <v>651</v>
      </c>
      <c r="X349" s="1585"/>
      <c r="Y349" s="1585"/>
      <c r="Z349" s="1585"/>
      <c r="AA349" s="1585">
        <v>20463.100000000006</v>
      </c>
      <c r="AB349" s="1585"/>
      <c r="AC349" s="1585"/>
      <c r="AD349" s="1601">
        <f t="shared" si="62"/>
        <v>144305</v>
      </c>
      <c r="AE349" s="1790">
        <v>123841.9</v>
      </c>
      <c r="AF349" s="1792"/>
    </row>
    <row r="350" spans="1:32" s="1602" customFormat="1" ht="26.1" customHeight="1">
      <c r="A350" s="2918"/>
      <c r="B350" s="2919"/>
      <c r="C350" s="2920"/>
      <c r="D350" s="2917"/>
      <c r="E350" s="1603" t="s">
        <v>2497</v>
      </c>
      <c r="F350" s="1583"/>
      <c r="G350" s="1583"/>
      <c r="H350" s="1583"/>
      <c r="I350" s="1583">
        <v>8137.5</v>
      </c>
      <c r="J350" s="1583">
        <v>15577.5</v>
      </c>
      <c r="K350" s="1604">
        <v>23157</v>
      </c>
      <c r="L350" s="1604">
        <v>10462.5</v>
      </c>
      <c r="M350" s="1604">
        <v>23668.5</v>
      </c>
      <c r="N350" s="1604">
        <v>13326.9</v>
      </c>
      <c r="O350" s="1604">
        <v>2170</v>
      </c>
      <c r="P350" s="1604">
        <v>21390</v>
      </c>
      <c r="Q350" s="1583"/>
      <c r="R350" s="1600"/>
      <c r="S350" s="1600"/>
      <c r="T350" s="1585"/>
      <c r="U350" s="1604">
        <v>3255</v>
      </c>
      <c r="V350" s="1604">
        <v>2046</v>
      </c>
      <c r="W350" s="1604">
        <v>651</v>
      </c>
      <c r="X350" s="1585"/>
      <c r="Y350" s="1585"/>
      <c r="Z350" s="1585"/>
      <c r="AA350" s="1585"/>
      <c r="AB350" s="1585"/>
      <c r="AC350" s="1585"/>
      <c r="AD350" s="1601">
        <f t="shared" si="62"/>
        <v>123841.9</v>
      </c>
      <c r="AE350" s="1790">
        <v>123841.9</v>
      </c>
      <c r="AF350" s="1792"/>
    </row>
    <row r="351" spans="1:32" s="1602" customFormat="1" ht="26.1" customHeight="1">
      <c r="A351" s="1594" t="s">
        <v>1445</v>
      </c>
      <c r="B351" s="1609" t="s">
        <v>1950</v>
      </c>
      <c r="C351" s="1588"/>
      <c r="D351" s="1597"/>
      <c r="E351" s="1600"/>
      <c r="F351" s="1583"/>
      <c r="G351" s="1583"/>
      <c r="H351" s="1583"/>
      <c r="I351" s="1583"/>
      <c r="J351" s="1583"/>
      <c r="K351" s="1583"/>
      <c r="L351" s="1583"/>
      <c r="M351" s="1583"/>
      <c r="N351" s="1583"/>
      <c r="O351" s="1583"/>
      <c r="P351" s="1605"/>
      <c r="Q351" s="1583"/>
      <c r="R351" s="1600"/>
      <c r="S351" s="1600"/>
      <c r="T351" s="1585"/>
      <c r="U351" s="1585"/>
      <c r="V351" s="1585"/>
      <c r="W351" s="1585"/>
      <c r="X351" s="1585"/>
      <c r="Y351" s="1585"/>
      <c r="Z351" s="1585"/>
      <c r="AA351" s="1585"/>
      <c r="AB351" s="1585"/>
      <c r="AC351" s="1585"/>
      <c r="AD351" s="1601">
        <f t="shared" si="62"/>
        <v>0</v>
      </c>
      <c r="AE351" s="1790">
        <v>0</v>
      </c>
      <c r="AF351" s="1792"/>
    </row>
    <row r="352" spans="1:32" s="1602" customFormat="1" ht="26.1" customHeight="1">
      <c r="A352" s="2918" t="s">
        <v>1446</v>
      </c>
      <c r="B352" s="2919" t="s">
        <v>1951</v>
      </c>
      <c r="C352" s="2920" t="s">
        <v>1145</v>
      </c>
      <c r="D352" s="2917">
        <v>74717.37000000001</v>
      </c>
      <c r="E352" s="1598" t="s">
        <v>2496</v>
      </c>
      <c r="F352" s="1583"/>
      <c r="G352" s="1583"/>
      <c r="H352" s="1583"/>
      <c r="I352" s="1585">
        <f>I353</f>
        <v>5382.57</v>
      </c>
      <c r="J352" s="1585">
        <f>J353</f>
        <v>9852.84</v>
      </c>
      <c r="K352" s="1585">
        <f t="shared" si="63"/>
        <v>14779.26</v>
      </c>
      <c r="L352" s="1583"/>
      <c r="M352" s="1585">
        <f t="shared" ref="M352" si="64">M353</f>
        <v>14231.88</v>
      </c>
      <c r="N352" s="1585">
        <f t="shared" si="63"/>
        <v>10491.45</v>
      </c>
      <c r="O352" s="1583"/>
      <c r="P352" s="1583"/>
      <c r="Q352" s="1585">
        <f t="shared" ref="Q352" si="65">Q353</f>
        <v>6294.87</v>
      </c>
      <c r="R352" s="1600"/>
      <c r="S352" s="1600"/>
      <c r="T352" s="1585"/>
      <c r="U352" s="1585"/>
      <c r="V352" s="1585"/>
      <c r="W352" s="1585"/>
      <c r="X352" s="1585"/>
      <c r="Y352" s="1585"/>
      <c r="Z352" s="1585">
        <v>13684.500000000007</v>
      </c>
      <c r="AA352" s="1585"/>
      <c r="AB352" s="1585"/>
      <c r="AC352" s="1585"/>
      <c r="AD352" s="1601">
        <f t="shared" si="62"/>
        <v>74717.37000000001</v>
      </c>
      <c r="AE352" s="1790">
        <v>61032.87</v>
      </c>
      <c r="AF352" s="1792"/>
    </row>
    <row r="353" spans="1:32" s="1602" customFormat="1" ht="26.1" customHeight="1">
      <c r="A353" s="2918"/>
      <c r="B353" s="2919"/>
      <c r="C353" s="2920"/>
      <c r="D353" s="2917"/>
      <c r="E353" s="1603" t="s">
        <v>2497</v>
      </c>
      <c r="F353" s="1583"/>
      <c r="G353" s="1583"/>
      <c r="H353" s="1583"/>
      <c r="I353" s="1583">
        <v>5382.57</v>
      </c>
      <c r="J353" s="1583">
        <v>9852.84</v>
      </c>
      <c r="K353" s="1604">
        <v>14779.26</v>
      </c>
      <c r="L353" s="1583"/>
      <c r="M353" s="1604">
        <v>14231.88</v>
      </c>
      <c r="N353" s="1604">
        <v>10491.45</v>
      </c>
      <c r="O353" s="1583"/>
      <c r="P353" s="1583"/>
      <c r="Q353" s="1604">
        <v>6294.87</v>
      </c>
      <c r="R353" s="1600"/>
      <c r="S353" s="1600"/>
      <c r="T353" s="1585"/>
      <c r="U353" s="1585"/>
      <c r="V353" s="1585"/>
      <c r="W353" s="1585"/>
      <c r="X353" s="1585"/>
      <c r="Y353" s="1585"/>
      <c r="Z353" s="1585"/>
      <c r="AA353" s="1585"/>
      <c r="AB353" s="1585"/>
      <c r="AC353" s="1585"/>
      <c r="AD353" s="1601">
        <f t="shared" si="62"/>
        <v>61032.87</v>
      </c>
      <c r="AE353" s="1790">
        <v>61032.87</v>
      </c>
      <c r="AF353" s="1792"/>
    </row>
    <row r="354" spans="1:32" s="1602" customFormat="1" ht="26.1" customHeight="1">
      <c r="A354" s="2918" t="s">
        <v>1447</v>
      </c>
      <c r="B354" s="2919" t="s">
        <v>1952</v>
      </c>
      <c r="C354" s="2920" t="s">
        <v>52</v>
      </c>
      <c r="D354" s="2917">
        <v>2100.94</v>
      </c>
      <c r="E354" s="1598" t="s">
        <v>2496</v>
      </c>
      <c r="F354" s="1583"/>
      <c r="G354" s="1583"/>
      <c r="H354" s="1583"/>
      <c r="I354" s="1583"/>
      <c r="J354" s="1583"/>
      <c r="K354" s="1585">
        <f t="shared" si="63"/>
        <v>187.07</v>
      </c>
      <c r="L354" s="1583"/>
      <c r="M354" s="1583"/>
      <c r="N354" s="1583"/>
      <c r="O354" s="1583"/>
      <c r="P354" s="1583"/>
      <c r="Q354" s="1583"/>
      <c r="R354" s="1600"/>
      <c r="S354" s="1600"/>
      <c r="T354" s="1585"/>
      <c r="U354" s="1585"/>
      <c r="V354" s="1585"/>
      <c r="W354" s="1585"/>
      <c r="X354" s="1585"/>
      <c r="Y354" s="1585"/>
      <c r="Z354" s="1585">
        <v>1913.8700000000001</v>
      </c>
      <c r="AA354" s="1585"/>
      <c r="AB354" s="1585"/>
      <c r="AC354" s="1585"/>
      <c r="AD354" s="1601">
        <f t="shared" si="62"/>
        <v>2100.94</v>
      </c>
      <c r="AE354" s="1790">
        <v>187.07</v>
      </c>
      <c r="AF354" s="1792"/>
    </row>
    <row r="355" spans="1:32" s="1602" customFormat="1" ht="26.1" customHeight="1">
      <c r="A355" s="2918"/>
      <c r="B355" s="2919"/>
      <c r="C355" s="2920"/>
      <c r="D355" s="2917"/>
      <c r="E355" s="1603" t="s">
        <v>2497</v>
      </c>
      <c r="F355" s="1583"/>
      <c r="G355" s="1583"/>
      <c r="H355" s="1583"/>
      <c r="I355" s="1583"/>
      <c r="J355" s="1583"/>
      <c r="K355" s="1604">
        <v>187.07</v>
      </c>
      <c r="L355" s="1583"/>
      <c r="M355" s="1583"/>
      <c r="N355" s="1583"/>
      <c r="O355" s="1583"/>
      <c r="P355" s="1583"/>
      <c r="Q355" s="1583"/>
      <c r="R355" s="1600"/>
      <c r="S355" s="1600"/>
      <c r="T355" s="1585"/>
      <c r="U355" s="1585"/>
      <c r="V355" s="1585"/>
      <c r="W355" s="1585"/>
      <c r="X355" s="1585"/>
      <c r="Y355" s="1585"/>
      <c r="Z355" s="1585"/>
      <c r="AA355" s="1585"/>
      <c r="AB355" s="1585"/>
      <c r="AC355" s="1585"/>
      <c r="AD355" s="1601">
        <f t="shared" si="62"/>
        <v>187.07</v>
      </c>
      <c r="AE355" s="1790">
        <v>187.07</v>
      </c>
      <c r="AF355" s="1792"/>
    </row>
    <row r="356" spans="1:32" s="1602" customFormat="1" ht="26.1" customHeight="1">
      <c r="A356" s="2918" t="s">
        <v>1448</v>
      </c>
      <c r="B356" s="2919" t="s">
        <v>1953</v>
      </c>
      <c r="C356" s="2920" t="s">
        <v>52</v>
      </c>
      <c r="D356" s="2917">
        <v>1065.78</v>
      </c>
      <c r="E356" s="1598" t="s">
        <v>2496</v>
      </c>
      <c r="F356" s="1583"/>
      <c r="G356" s="1583"/>
      <c r="H356" s="1583"/>
      <c r="I356" s="1583"/>
      <c r="J356" s="1583"/>
      <c r="K356" s="1585"/>
      <c r="L356" s="1583"/>
      <c r="M356" s="1583"/>
      <c r="N356" s="1583"/>
      <c r="O356" s="1583"/>
      <c r="P356" s="1583"/>
      <c r="Q356" s="1583"/>
      <c r="R356" s="1600"/>
      <c r="S356" s="1600"/>
      <c r="T356" s="1585"/>
      <c r="U356" s="1585"/>
      <c r="V356" s="1585"/>
      <c r="W356" s="1585"/>
      <c r="X356" s="1585"/>
      <c r="Y356" s="1585"/>
      <c r="Z356" s="1585">
        <v>1065.78</v>
      </c>
      <c r="AA356" s="1585"/>
      <c r="AB356" s="1585"/>
      <c r="AC356" s="1585"/>
      <c r="AD356" s="1601">
        <f t="shared" si="62"/>
        <v>1065.78</v>
      </c>
      <c r="AE356" s="1790">
        <v>0</v>
      </c>
      <c r="AF356" s="1792"/>
    </row>
    <row r="357" spans="1:32" s="1602" customFormat="1" ht="26.1" customHeight="1">
      <c r="A357" s="2918"/>
      <c r="B357" s="2919"/>
      <c r="C357" s="2920"/>
      <c r="D357" s="2917"/>
      <c r="E357" s="1603" t="s">
        <v>2497</v>
      </c>
      <c r="F357" s="1583"/>
      <c r="G357" s="1583"/>
      <c r="H357" s="1583"/>
      <c r="I357" s="1583"/>
      <c r="J357" s="1583"/>
      <c r="K357" s="1604"/>
      <c r="L357" s="1583"/>
      <c r="M357" s="1583"/>
      <c r="N357" s="1583"/>
      <c r="O357" s="1583"/>
      <c r="P357" s="1583"/>
      <c r="Q357" s="1583"/>
      <c r="R357" s="1600"/>
      <c r="S357" s="1600"/>
      <c r="T357" s="1585"/>
      <c r="U357" s="1585"/>
      <c r="V357" s="1585"/>
      <c r="W357" s="1585"/>
      <c r="X357" s="1585"/>
      <c r="Y357" s="1585"/>
      <c r="Z357" s="1585"/>
      <c r="AA357" s="1585"/>
      <c r="AB357" s="1585"/>
      <c r="AC357" s="1585"/>
      <c r="AD357" s="1601">
        <f t="shared" si="62"/>
        <v>0</v>
      </c>
      <c r="AE357" s="1790">
        <v>0</v>
      </c>
      <c r="AF357" s="1792"/>
    </row>
    <row r="358" spans="1:32" s="1602" customFormat="1" ht="26.1" customHeight="1">
      <c r="A358" s="2918" t="s">
        <v>1449</v>
      </c>
      <c r="B358" s="2919" t="s">
        <v>1954</v>
      </c>
      <c r="C358" s="2920" t="s">
        <v>1145</v>
      </c>
      <c r="D358" s="2917">
        <f>17105.4-1193.4</f>
        <v>15912.000000000002</v>
      </c>
      <c r="E358" s="1598" t="s">
        <v>2496</v>
      </c>
      <c r="F358" s="1583"/>
      <c r="G358" s="1583"/>
      <c r="H358" s="1583"/>
      <c r="I358" s="1583"/>
      <c r="J358" s="1583"/>
      <c r="K358" s="1585">
        <f t="shared" si="63"/>
        <v>1392.3</v>
      </c>
      <c r="L358" s="1583"/>
      <c r="M358" s="1583"/>
      <c r="N358" s="1583"/>
      <c r="O358" s="1583"/>
      <c r="P358" s="1583"/>
      <c r="Q358" s="1583"/>
      <c r="R358" s="1600"/>
      <c r="S358" s="1600"/>
      <c r="T358" s="1585"/>
      <c r="U358" s="1585"/>
      <c r="V358" s="1585"/>
      <c r="W358" s="1585"/>
      <c r="X358" s="1585"/>
      <c r="Y358" s="1585"/>
      <c r="Z358" s="1585">
        <v>14519.700000000003</v>
      </c>
      <c r="AA358" s="1585"/>
      <c r="AB358" s="1585"/>
      <c r="AC358" s="1585"/>
      <c r="AD358" s="1601">
        <f t="shared" si="62"/>
        <v>15912.000000000002</v>
      </c>
      <c r="AE358" s="1790">
        <v>1392.3</v>
      </c>
      <c r="AF358" s="1792"/>
    </row>
    <row r="359" spans="1:32" s="1602" customFormat="1" ht="26.1" customHeight="1">
      <c r="A359" s="2918"/>
      <c r="B359" s="2919"/>
      <c r="C359" s="2920"/>
      <c r="D359" s="2917"/>
      <c r="E359" s="1603" t="s">
        <v>2497</v>
      </c>
      <c r="F359" s="1583"/>
      <c r="G359" s="1583"/>
      <c r="H359" s="1583"/>
      <c r="I359" s="1583"/>
      <c r="J359" s="1583"/>
      <c r="K359" s="1604">
        <v>1392.3</v>
      </c>
      <c r="L359" s="1583"/>
      <c r="M359" s="1583"/>
      <c r="N359" s="1583"/>
      <c r="O359" s="1583"/>
      <c r="P359" s="1583"/>
      <c r="Q359" s="1583"/>
      <c r="R359" s="1600"/>
      <c r="S359" s="1600"/>
      <c r="T359" s="1585"/>
      <c r="U359" s="1585"/>
      <c r="V359" s="1585"/>
      <c r="W359" s="1585"/>
      <c r="X359" s="1585"/>
      <c r="Y359" s="1585"/>
      <c r="Z359" s="1585"/>
      <c r="AA359" s="1585"/>
      <c r="AB359" s="1585"/>
      <c r="AC359" s="1585"/>
      <c r="AD359" s="1601">
        <f t="shared" si="62"/>
        <v>1392.3</v>
      </c>
      <c r="AE359" s="1790">
        <v>1392.3</v>
      </c>
      <c r="AF359" s="1792"/>
    </row>
    <row r="360" spans="1:32" s="1602" customFormat="1" ht="26.1" customHeight="1">
      <c r="A360" s="2918" t="s">
        <v>1450</v>
      </c>
      <c r="B360" s="2919" t="s">
        <v>1955</v>
      </c>
      <c r="C360" s="2920" t="s">
        <v>1145</v>
      </c>
      <c r="D360" s="2917">
        <v>3878.55</v>
      </c>
      <c r="E360" s="1598" t="s">
        <v>2496</v>
      </c>
      <c r="F360" s="1583"/>
      <c r="G360" s="1583"/>
      <c r="H360" s="1583"/>
      <c r="I360" s="1583"/>
      <c r="J360" s="1583"/>
      <c r="K360" s="1583"/>
      <c r="L360" s="1583"/>
      <c r="M360" s="1583"/>
      <c r="N360" s="1583"/>
      <c r="O360" s="1583"/>
      <c r="P360" s="1583"/>
      <c r="Q360" s="1583"/>
      <c r="R360" s="1600"/>
      <c r="S360" s="1600"/>
      <c r="T360" s="1585"/>
      <c r="U360" s="1585"/>
      <c r="V360" s="1585"/>
      <c r="W360" s="1585"/>
      <c r="X360" s="1585"/>
      <c r="Y360" s="1585"/>
      <c r="Z360" s="1585">
        <v>3878.55</v>
      </c>
      <c r="AA360" s="1585"/>
      <c r="AB360" s="1585"/>
      <c r="AC360" s="1585"/>
      <c r="AD360" s="1601">
        <f t="shared" si="62"/>
        <v>3878.55</v>
      </c>
      <c r="AE360" s="1790">
        <v>0</v>
      </c>
      <c r="AF360" s="1792"/>
    </row>
    <row r="361" spans="1:32" s="1602" customFormat="1" ht="26.1" customHeight="1">
      <c r="A361" s="2918"/>
      <c r="B361" s="2919"/>
      <c r="C361" s="2920"/>
      <c r="D361" s="2917"/>
      <c r="E361" s="1603" t="s">
        <v>2497</v>
      </c>
      <c r="F361" s="1583"/>
      <c r="G361" s="1583"/>
      <c r="H361" s="1583"/>
      <c r="I361" s="1583"/>
      <c r="J361" s="1583"/>
      <c r="K361" s="1583"/>
      <c r="L361" s="1583"/>
      <c r="M361" s="1583"/>
      <c r="N361" s="1583"/>
      <c r="O361" s="1583"/>
      <c r="P361" s="1583"/>
      <c r="Q361" s="1583"/>
      <c r="R361" s="1600"/>
      <c r="S361" s="1600"/>
      <c r="T361" s="1585"/>
      <c r="U361" s="1585"/>
      <c r="V361" s="1585"/>
      <c r="W361" s="1585"/>
      <c r="X361" s="1585"/>
      <c r="Y361" s="1585"/>
      <c r="Z361" s="1585"/>
      <c r="AA361" s="1585"/>
      <c r="AB361" s="1585"/>
      <c r="AC361" s="1585"/>
      <c r="AD361" s="1601">
        <f t="shared" si="62"/>
        <v>0</v>
      </c>
      <c r="AE361" s="1790">
        <v>0</v>
      </c>
      <c r="AF361" s="1792"/>
    </row>
    <row r="362" spans="1:32" s="1602" customFormat="1" ht="26.1" customHeight="1">
      <c r="A362" s="2918" t="s">
        <v>1451</v>
      </c>
      <c r="B362" s="2919" t="s">
        <v>1956</v>
      </c>
      <c r="C362" s="2920" t="s">
        <v>1145</v>
      </c>
      <c r="D362" s="2917">
        <f>38686.05-7856.55</f>
        <v>30829.500000000004</v>
      </c>
      <c r="E362" s="1598" t="s">
        <v>2496</v>
      </c>
      <c r="F362" s="1583"/>
      <c r="G362" s="1583"/>
      <c r="H362" s="1583"/>
      <c r="I362" s="1583"/>
      <c r="J362" s="1583"/>
      <c r="K362" s="1583"/>
      <c r="L362" s="1583"/>
      <c r="M362" s="1583"/>
      <c r="N362" s="1583"/>
      <c r="O362" s="1583"/>
      <c r="P362" s="1583"/>
      <c r="Q362" s="1583"/>
      <c r="R362" s="1600"/>
      <c r="S362" s="1600"/>
      <c r="T362" s="1585"/>
      <c r="U362" s="1585"/>
      <c r="V362" s="1585"/>
      <c r="W362" s="1585"/>
      <c r="X362" s="1585"/>
      <c r="Y362" s="1585"/>
      <c r="Z362" s="1585"/>
      <c r="AA362" s="1585">
        <v>30829.500000000004</v>
      </c>
      <c r="AB362" s="1585"/>
      <c r="AC362" s="1585"/>
      <c r="AD362" s="1601">
        <f t="shared" si="62"/>
        <v>30829.500000000004</v>
      </c>
      <c r="AE362" s="1790">
        <v>0</v>
      </c>
      <c r="AF362" s="1792"/>
    </row>
    <row r="363" spans="1:32" s="1602" customFormat="1" ht="26.1" customHeight="1">
      <c r="A363" s="2918"/>
      <c r="B363" s="2919"/>
      <c r="C363" s="2920"/>
      <c r="D363" s="2917"/>
      <c r="E363" s="1603" t="s">
        <v>2497</v>
      </c>
      <c r="F363" s="1583"/>
      <c r="G363" s="1583"/>
      <c r="H363" s="1583"/>
      <c r="I363" s="1583"/>
      <c r="J363" s="1583"/>
      <c r="K363" s="1583"/>
      <c r="L363" s="1583"/>
      <c r="M363" s="1583"/>
      <c r="N363" s="1583"/>
      <c r="O363" s="1583"/>
      <c r="P363" s="1583"/>
      <c r="Q363" s="1583"/>
      <c r="R363" s="1600"/>
      <c r="S363" s="1600"/>
      <c r="T363" s="1585"/>
      <c r="U363" s="1585"/>
      <c r="V363" s="1585"/>
      <c r="W363" s="1585"/>
      <c r="X363" s="1585"/>
      <c r="Y363" s="1585"/>
      <c r="Z363" s="1585"/>
      <c r="AA363" s="1585"/>
      <c r="AB363" s="1585"/>
      <c r="AC363" s="1585"/>
      <c r="AD363" s="1601">
        <f t="shared" si="62"/>
        <v>0</v>
      </c>
      <c r="AE363" s="1790">
        <v>0</v>
      </c>
      <c r="AF363" s="1792"/>
    </row>
    <row r="364" spans="1:32" s="1602" customFormat="1" ht="26.1" customHeight="1">
      <c r="A364" s="2918" t="s">
        <v>1452</v>
      </c>
      <c r="B364" s="2919" t="s">
        <v>1957</v>
      </c>
      <c r="C364" s="2920" t="s">
        <v>1145</v>
      </c>
      <c r="D364" s="2917">
        <v>497.25</v>
      </c>
      <c r="E364" s="1598" t="s">
        <v>2496</v>
      </c>
      <c r="F364" s="1583"/>
      <c r="G364" s="1583"/>
      <c r="H364" s="1583"/>
      <c r="I364" s="1583"/>
      <c r="J364" s="1583"/>
      <c r="K364" s="1583"/>
      <c r="L364" s="1583"/>
      <c r="M364" s="1583"/>
      <c r="N364" s="1583"/>
      <c r="O364" s="1583"/>
      <c r="P364" s="1583"/>
      <c r="Q364" s="1583"/>
      <c r="R364" s="1600"/>
      <c r="S364" s="1600"/>
      <c r="T364" s="1585"/>
      <c r="U364" s="1585"/>
      <c r="V364" s="1585"/>
      <c r="W364" s="1585"/>
      <c r="X364" s="1585"/>
      <c r="Y364" s="1585"/>
      <c r="Z364" s="1585"/>
      <c r="AA364" s="1585">
        <v>497.25</v>
      </c>
      <c r="AB364" s="1585"/>
      <c r="AC364" s="1585"/>
      <c r="AD364" s="1601">
        <f t="shared" si="62"/>
        <v>497.25</v>
      </c>
      <c r="AE364" s="1790">
        <v>0</v>
      </c>
      <c r="AF364" s="1792"/>
    </row>
    <row r="365" spans="1:32" s="1602" customFormat="1" ht="26.1" customHeight="1">
      <c r="A365" s="2918"/>
      <c r="B365" s="2919"/>
      <c r="C365" s="2920"/>
      <c r="D365" s="2917"/>
      <c r="E365" s="1603" t="s">
        <v>2497</v>
      </c>
      <c r="F365" s="1583"/>
      <c r="G365" s="1583"/>
      <c r="H365" s="1583"/>
      <c r="I365" s="1583"/>
      <c r="J365" s="1583"/>
      <c r="K365" s="1583"/>
      <c r="L365" s="1583"/>
      <c r="M365" s="1583"/>
      <c r="N365" s="1583"/>
      <c r="O365" s="1583"/>
      <c r="P365" s="1583"/>
      <c r="Q365" s="1583"/>
      <c r="R365" s="1600"/>
      <c r="S365" s="1600"/>
      <c r="T365" s="1585"/>
      <c r="U365" s="1585"/>
      <c r="V365" s="1585"/>
      <c r="W365" s="1585"/>
      <c r="X365" s="1585"/>
      <c r="Y365" s="1585"/>
      <c r="Z365" s="1585"/>
      <c r="AA365" s="1585"/>
      <c r="AB365" s="1585"/>
      <c r="AC365" s="1585"/>
      <c r="AD365" s="1601">
        <f t="shared" si="62"/>
        <v>0</v>
      </c>
      <c r="AE365" s="1790">
        <v>0</v>
      </c>
      <c r="AF365" s="1792"/>
    </row>
    <row r="366" spans="1:32" s="1602" customFormat="1" ht="26.1" customHeight="1">
      <c r="A366" s="2918" t="s">
        <v>1453</v>
      </c>
      <c r="B366" s="2919" t="s">
        <v>1958</v>
      </c>
      <c r="C366" s="2920" t="s">
        <v>1145</v>
      </c>
      <c r="D366" s="2917">
        <f>2088.45-895.05</f>
        <v>1193.3999999999999</v>
      </c>
      <c r="E366" s="1598" t="s">
        <v>2496</v>
      </c>
      <c r="F366" s="1583"/>
      <c r="G366" s="1583"/>
      <c r="H366" s="1583"/>
      <c r="I366" s="1583"/>
      <c r="J366" s="1583"/>
      <c r="K366" s="1583"/>
      <c r="L366" s="1583"/>
      <c r="M366" s="1583"/>
      <c r="N366" s="1583"/>
      <c r="O366" s="1583"/>
      <c r="P366" s="1583"/>
      <c r="Q366" s="1583"/>
      <c r="R366" s="1600"/>
      <c r="S366" s="1600"/>
      <c r="T366" s="1585"/>
      <c r="U366" s="1585"/>
      <c r="V366" s="1585"/>
      <c r="W366" s="1585"/>
      <c r="X366" s="1585"/>
      <c r="Y366" s="1585"/>
      <c r="Z366" s="1585"/>
      <c r="AA366" s="1585">
        <v>1193.3999999999999</v>
      </c>
      <c r="AB366" s="1585"/>
      <c r="AC366" s="1585"/>
      <c r="AD366" s="1601">
        <f t="shared" si="62"/>
        <v>1193.3999999999999</v>
      </c>
      <c r="AE366" s="1790">
        <v>0</v>
      </c>
      <c r="AF366" s="1792"/>
    </row>
    <row r="367" spans="1:32" s="1602" customFormat="1" ht="26.1" customHeight="1">
      <c r="A367" s="2918"/>
      <c r="B367" s="2919"/>
      <c r="C367" s="2920"/>
      <c r="D367" s="2917"/>
      <c r="E367" s="1603" t="s">
        <v>2497</v>
      </c>
      <c r="F367" s="1583"/>
      <c r="G367" s="1583"/>
      <c r="H367" s="1583"/>
      <c r="I367" s="1583"/>
      <c r="J367" s="1583"/>
      <c r="K367" s="1583"/>
      <c r="L367" s="1583"/>
      <c r="M367" s="1583"/>
      <c r="N367" s="1583"/>
      <c r="O367" s="1583"/>
      <c r="P367" s="1583"/>
      <c r="Q367" s="1583"/>
      <c r="R367" s="1600"/>
      <c r="S367" s="1600"/>
      <c r="T367" s="1585"/>
      <c r="U367" s="1585"/>
      <c r="V367" s="1585"/>
      <c r="W367" s="1585"/>
      <c r="X367" s="1585"/>
      <c r="Y367" s="1585"/>
      <c r="Z367" s="1585"/>
      <c r="AA367" s="1585"/>
      <c r="AB367" s="1585"/>
      <c r="AC367" s="1585"/>
      <c r="AD367" s="1601">
        <f t="shared" si="62"/>
        <v>0</v>
      </c>
      <c r="AE367" s="1790">
        <v>0</v>
      </c>
      <c r="AF367" s="1792"/>
    </row>
    <row r="368" spans="1:32" s="1602" customFormat="1" ht="26.1" customHeight="1">
      <c r="A368" s="2918" t="s">
        <v>1454</v>
      </c>
      <c r="B368" s="2919" t="s">
        <v>1959</v>
      </c>
      <c r="C368" s="2920" t="s">
        <v>1145</v>
      </c>
      <c r="D368" s="2917">
        <v>4896.45</v>
      </c>
      <c r="E368" s="1598" t="s">
        <v>2496</v>
      </c>
      <c r="F368" s="1583"/>
      <c r="G368" s="1583"/>
      <c r="H368" s="1583"/>
      <c r="I368" s="1583"/>
      <c r="J368" s="1583"/>
      <c r="K368" s="1583"/>
      <c r="L368" s="1583"/>
      <c r="M368" s="1583"/>
      <c r="N368" s="1583"/>
      <c r="O368" s="1583"/>
      <c r="P368" s="1583"/>
      <c r="Q368" s="1583"/>
      <c r="R368" s="1600"/>
      <c r="S368" s="1600"/>
      <c r="T368" s="1585"/>
      <c r="U368" s="1585"/>
      <c r="V368" s="1585"/>
      <c r="W368" s="1585"/>
      <c r="X368" s="1585"/>
      <c r="Y368" s="1585"/>
      <c r="Z368" s="1585"/>
      <c r="AA368" s="1585">
        <v>4896.45</v>
      </c>
      <c r="AB368" s="1585"/>
      <c r="AC368" s="1585"/>
      <c r="AD368" s="1601">
        <f t="shared" si="62"/>
        <v>4896.45</v>
      </c>
      <c r="AE368" s="1790">
        <v>0</v>
      </c>
      <c r="AF368" s="1792"/>
    </row>
    <row r="369" spans="1:32" s="1602" customFormat="1" ht="26.1" customHeight="1">
      <c r="A369" s="2918"/>
      <c r="B369" s="2919"/>
      <c r="C369" s="2920"/>
      <c r="D369" s="2917"/>
      <c r="E369" s="1603" t="s">
        <v>2497</v>
      </c>
      <c r="F369" s="1583"/>
      <c r="G369" s="1583"/>
      <c r="H369" s="1583"/>
      <c r="I369" s="1583"/>
      <c r="J369" s="1583"/>
      <c r="K369" s="1583"/>
      <c r="L369" s="1583"/>
      <c r="M369" s="1583"/>
      <c r="N369" s="1583"/>
      <c r="O369" s="1583"/>
      <c r="P369" s="1583"/>
      <c r="Q369" s="1583"/>
      <c r="R369" s="1600"/>
      <c r="S369" s="1600"/>
      <c r="T369" s="1585"/>
      <c r="U369" s="1585"/>
      <c r="V369" s="1585"/>
      <c r="W369" s="1585"/>
      <c r="X369" s="1585"/>
      <c r="Y369" s="1585"/>
      <c r="Z369" s="1585"/>
      <c r="AA369" s="1585"/>
      <c r="AB369" s="1585"/>
      <c r="AC369" s="1585"/>
      <c r="AD369" s="1601">
        <f t="shared" si="62"/>
        <v>0</v>
      </c>
      <c r="AE369" s="1790">
        <v>0</v>
      </c>
      <c r="AF369" s="1792"/>
    </row>
    <row r="370" spans="1:32" s="1602" customFormat="1" ht="26.1" customHeight="1">
      <c r="A370" s="1594">
        <v>5.6</v>
      </c>
      <c r="B370" s="1614" t="s">
        <v>1960</v>
      </c>
      <c r="C370" s="1583"/>
      <c r="D370" s="1597"/>
      <c r="E370" s="1600"/>
      <c r="F370" s="1583"/>
      <c r="G370" s="1583"/>
      <c r="H370" s="1583"/>
      <c r="I370" s="1583"/>
      <c r="J370" s="1583"/>
      <c r="K370" s="1583"/>
      <c r="L370" s="1583"/>
      <c r="M370" s="1583"/>
      <c r="N370" s="1583"/>
      <c r="O370" s="1583"/>
      <c r="P370" s="1583"/>
      <c r="Q370" s="1583"/>
      <c r="R370" s="1600"/>
      <c r="S370" s="1600"/>
      <c r="T370" s="1585"/>
      <c r="U370" s="1585"/>
      <c r="V370" s="1585"/>
      <c r="W370" s="1585"/>
      <c r="X370" s="1585"/>
      <c r="Y370" s="1585"/>
      <c r="Z370" s="1585"/>
      <c r="AA370" s="1585"/>
      <c r="AB370" s="1585"/>
      <c r="AC370" s="1585"/>
      <c r="AD370" s="1601">
        <f t="shared" si="62"/>
        <v>0</v>
      </c>
      <c r="AE370" s="1790">
        <v>0</v>
      </c>
      <c r="AF370" s="1792"/>
    </row>
    <row r="371" spans="1:32" s="1602" customFormat="1" ht="26.1" customHeight="1">
      <c r="A371" s="2918" t="s">
        <v>1455</v>
      </c>
      <c r="B371" s="2919" t="s">
        <v>1961</v>
      </c>
      <c r="C371" s="2920" t="s">
        <v>52</v>
      </c>
      <c r="D371" s="2917">
        <f>64568.27-1829.87</f>
        <v>62738.399999999994</v>
      </c>
      <c r="E371" s="1598" t="s">
        <v>2496</v>
      </c>
      <c r="F371" s="1583"/>
      <c r="G371" s="1583"/>
      <c r="H371" s="1583"/>
      <c r="I371" s="1583"/>
      <c r="J371" s="1583"/>
      <c r="K371" s="1583"/>
      <c r="L371" s="1583"/>
      <c r="M371" s="1583"/>
      <c r="N371" s="1583"/>
      <c r="O371" s="1583"/>
      <c r="P371" s="1583"/>
      <c r="Q371" s="1583"/>
      <c r="R371" s="1600"/>
      <c r="S371" s="1600"/>
      <c r="T371" s="1585"/>
      <c r="U371" s="1585"/>
      <c r="V371" s="1585"/>
      <c r="W371" s="1585"/>
      <c r="X371" s="1585"/>
      <c r="Y371" s="1585"/>
      <c r="Z371" s="1585"/>
      <c r="AA371" s="1585">
        <v>62738.399999999994</v>
      </c>
      <c r="AB371" s="1585"/>
      <c r="AC371" s="1585"/>
      <c r="AD371" s="1601">
        <f t="shared" si="62"/>
        <v>62738.399999999994</v>
      </c>
      <c r="AE371" s="1790">
        <v>0</v>
      </c>
      <c r="AF371" s="1792"/>
    </row>
    <row r="372" spans="1:32" s="1602" customFormat="1" ht="26.1" customHeight="1">
      <c r="A372" s="2918"/>
      <c r="B372" s="2919"/>
      <c r="C372" s="2920"/>
      <c r="D372" s="2917"/>
      <c r="E372" s="1603" t="s">
        <v>2497</v>
      </c>
      <c r="F372" s="1583"/>
      <c r="G372" s="1583"/>
      <c r="H372" s="1583"/>
      <c r="I372" s="1583"/>
      <c r="J372" s="1583"/>
      <c r="K372" s="1583"/>
      <c r="L372" s="1583"/>
      <c r="M372" s="1583"/>
      <c r="N372" s="1583"/>
      <c r="O372" s="1583"/>
      <c r="P372" s="1583"/>
      <c r="Q372" s="1583"/>
      <c r="R372" s="1600"/>
      <c r="S372" s="1600"/>
      <c r="T372" s="1585"/>
      <c r="U372" s="1585"/>
      <c r="V372" s="1585"/>
      <c r="W372" s="1585"/>
      <c r="X372" s="1585"/>
      <c r="Y372" s="1585"/>
      <c r="Z372" s="1585"/>
      <c r="AA372" s="1585"/>
      <c r="AB372" s="1585"/>
      <c r="AC372" s="1585"/>
      <c r="AD372" s="1601">
        <f t="shared" si="62"/>
        <v>0</v>
      </c>
      <c r="AE372" s="1790">
        <v>0</v>
      </c>
      <c r="AF372" s="1792"/>
    </row>
    <row r="373" spans="1:32" s="1602" customFormat="1" ht="26.1" customHeight="1">
      <c r="A373" s="2918" t="s">
        <v>1456</v>
      </c>
      <c r="B373" s="2919" t="s">
        <v>1962</v>
      </c>
      <c r="C373" s="2920" t="s">
        <v>52</v>
      </c>
      <c r="D373" s="2917">
        <f>52048.65-12766.65</f>
        <v>39282</v>
      </c>
      <c r="E373" s="1598" t="s">
        <v>2496</v>
      </c>
      <c r="F373" s="1583"/>
      <c r="G373" s="1583"/>
      <c r="H373" s="1583"/>
      <c r="I373" s="1583"/>
      <c r="J373" s="1583"/>
      <c r="K373" s="1583"/>
      <c r="L373" s="1583"/>
      <c r="M373" s="1583"/>
      <c r="N373" s="1583"/>
      <c r="O373" s="1583"/>
      <c r="P373" s="1583"/>
      <c r="Q373" s="1583"/>
      <c r="R373" s="1600"/>
      <c r="S373" s="1600"/>
      <c r="T373" s="1585"/>
      <c r="U373" s="1585"/>
      <c r="V373" s="1585"/>
      <c r="W373" s="1585"/>
      <c r="X373" s="1585"/>
      <c r="Y373" s="1585"/>
      <c r="Z373" s="1585"/>
      <c r="AA373" s="1585">
        <v>39282</v>
      </c>
      <c r="AB373" s="1585"/>
      <c r="AC373" s="1585"/>
      <c r="AD373" s="1601">
        <f t="shared" si="62"/>
        <v>39282</v>
      </c>
      <c r="AE373" s="1790">
        <v>0</v>
      </c>
      <c r="AF373" s="1792"/>
    </row>
    <row r="374" spans="1:32" s="1602" customFormat="1" ht="26.1" customHeight="1">
      <c r="A374" s="2918"/>
      <c r="B374" s="2919"/>
      <c r="C374" s="2920"/>
      <c r="D374" s="2917"/>
      <c r="E374" s="1603" t="s">
        <v>2497</v>
      </c>
      <c r="F374" s="1583"/>
      <c r="G374" s="1583"/>
      <c r="H374" s="1583"/>
      <c r="I374" s="1583"/>
      <c r="J374" s="1583"/>
      <c r="K374" s="1583"/>
      <c r="L374" s="1583"/>
      <c r="M374" s="1583"/>
      <c r="N374" s="1583"/>
      <c r="O374" s="1583"/>
      <c r="P374" s="1583"/>
      <c r="Q374" s="1583"/>
      <c r="R374" s="1600"/>
      <c r="S374" s="1600"/>
      <c r="T374" s="1585"/>
      <c r="U374" s="1585"/>
      <c r="V374" s="1585"/>
      <c r="W374" s="1585"/>
      <c r="X374" s="1585"/>
      <c r="Y374" s="1585"/>
      <c r="Z374" s="1585"/>
      <c r="AA374" s="1585"/>
      <c r="AB374" s="1585"/>
      <c r="AC374" s="1585"/>
      <c r="AD374" s="1601">
        <f t="shared" si="62"/>
        <v>0</v>
      </c>
      <c r="AE374" s="1790">
        <v>0</v>
      </c>
      <c r="AF374" s="1792"/>
    </row>
    <row r="375" spans="1:32" s="1602" customFormat="1" ht="26.1" customHeight="1">
      <c r="A375" s="2918" t="s">
        <v>1459</v>
      </c>
      <c r="B375" s="2919" t="s">
        <v>1965</v>
      </c>
      <c r="C375" s="2920" t="s">
        <v>52</v>
      </c>
      <c r="D375" s="2917">
        <v>10810.26</v>
      </c>
      <c r="E375" s="1598" t="s">
        <v>2496</v>
      </c>
      <c r="F375" s="1583"/>
      <c r="G375" s="1583"/>
      <c r="H375" s="1583"/>
      <c r="I375" s="1583"/>
      <c r="J375" s="1583"/>
      <c r="K375" s="1583"/>
      <c r="L375" s="1583"/>
      <c r="M375" s="1583"/>
      <c r="N375" s="1583"/>
      <c r="O375" s="1583"/>
      <c r="P375" s="1583"/>
      <c r="Q375" s="1583"/>
      <c r="R375" s="1600"/>
      <c r="S375" s="1600"/>
      <c r="T375" s="1585"/>
      <c r="U375" s="1585"/>
      <c r="V375" s="1585"/>
      <c r="W375" s="1585"/>
      <c r="X375" s="1585"/>
      <c r="Y375" s="1585"/>
      <c r="Z375" s="1585">
        <v>10810.26</v>
      </c>
      <c r="AA375" s="1585"/>
      <c r="AB375" s="1585"/>
      <c r="AC375" s="1585"/>
      <c r="AD375" s="1601">
        <f t="shared" si="62"/>
        <v>10810.26</v>
      </c>
      <c r="AE375" s="1790">
        <v>0</v>
      </c>
      <c r="AF375" s="1792"/>
    </row>
    <row r="376" spans="1:32" s="1602" customFormat="1" ht="26.1" customHeight="1">
      <c r="A376" s="2918"/>
      <c r="B376" s="2919"/>
      <c r="C376" s="2920"/>
      <c r="D376" s="2917"/>
      <c r="E376" s="1603" t="s">
        <v>2497</v>
      </c>
      <c r="F376" s="1583"/>
      <c r="G376" s="1583"/>
      <c r="H376" s="1583"/>
      <c r="I376" s="1583"/>
      <c r="J376" s="1583"/>
      <c r="K376" s="1583"/>
      <c r="L376" s="1583"/>
      <c r="M376" s="1583"/>
      <c r="N376" s="1583"/>
      <c r="O376" s="1583"/>
      <c r="P376" s="1583"/>
      <c r="Q376" s="1583"/>
      <c r="R376" s="1600"/>
      <c r="S376" s="1600"/>
      <c r="T376" s="1585"/>
      <c r="U376" s="1585"/>
      <c r="V376" s="1585"/>
      <c r="W376" s="1585"/>
      <c r="X376" s="1585"/>
      <c r="Y376" s="1585"/>
      <c r="Z376" s="1585"/>
      <c r="AA376" s="1585"/>
      <c r="AB376" s="1585"/>
      <c r="AC376" s="1585"/>
      <c r="AD376" s="1601">
        <f t="shared" si="62"/>
        <v>0</v>
      </c>
      <c r="AE376" s="1790">
        <v>0</v>
      </c>
      <c r="AF376" s="1792"/>
    </row>
    <row r="377" spans="1:32" s="1602" customFormat="1" ht="26.1" customHeight="1">
      <c r="A377" s="1594">
        <v>5.7</v>
      </c>
      <c r="B377" s="1614" t="s">
        <v>1966</v>
      </c>
      <c r="C377" s="1588"/>
      <c r="D377" s="1597"/>
      <c r="E377" s="1600"/>
      <c r="F377" s="1583"/>
      <c r="G377" s="1583"/>
      <c r="H377" s="1583"/>
      <c r="I377" s="1583"/>
      <c r="J377" s="1583"/>
      <c r="K377" s="1583"/>
      <c r="L377" s="1583"/>
      <c r="M377" s="1583"/>
      <c r="N377" s="1583"/>
      <c r="O377" s="1583"/>
      <c r="P377" s="1583"/>
      <c r="Q377" s="1583"/>
      <c r="R377" s="1600"/>
      <c r="S377" s="1600"/>
      <c r="T377" s="1585"/>
      <c r="U377" s="1585"/>
      <c r="V377" s="1585"/>
      <c r="W377" s="1585"/>
      <c r="X377" s="1585"/>
      <c r="Y377" s="1585"/>
      <c r="Z377" s="1585"/>
      <c r="AA377" s="1585"/>
      <c r="AB377" s="1585"/>
      <c r="AC377" s="1585"/>
      <c r="AD377" s="1601">
        <f t="shared" si="62"/>
        <v>0</v>
      </c>
      <c r="AE377" s="1790">
        <v>0</v>
      </c>
      <c r="AF377" s="1792"/>
    </row>
    <row r="378" spans="1:32" s="1602" customFormat="1" ht="26.1" customHeight="1">
      <c r="A378" s="2918" t="s">
        <v>1460</v>
      </c>
      <c r="B378" s="2919" t="s">
        <v>1967</v>
      </c>
      <c r="C378" s="2920" t="s">
        <v>52</v>
      </c>
      <c r="D378" s="2917">
        <v>160000</v>
      </c>
      <c r="E378" s="1598" t="s">
        <v>2496</v>
      </c>
      <c r="F378" s="1583"/>
      <c r="G378" s="1583"/>
      <c r="H378" s="1583"/>
      <c r="I378" s="1583"/>
      <c r="J378" s="1583"/>
      <c r="K378" s="1583"/>
      <c r="L378" s="1583"/>
      <c r="M378" s="1583"/>
      <c r="N378" s="1583"/>
      <c r="O378" s="1583"/>
      <c r="P378" s="1583"/>
      <c r="Q378" s="1583"/>
      <c r="R378" s="1600"/>
      <c r="S378" s="1600"/>
      <c r="T378" s="1585"/>
      <c r="U378" s="1585"/>
      <c r="V378" s="1585"/>
      <c r="W378" s="1585"/>
      <c r="X378" s="1585"/>
      <c r="Z378" s="1585"/>
      <c r="AA378" s="1585"/>
      <c r="AB378" s="1585"/>
      <c r="AC378" s="1585">
        <v>160000</v>
      </c>
      <c r="AD378" s="1601">
        <f t="shared" si="62"/>
        <v>160000</v>
      </c>
      <c r="AE378" s="1790">
        <v>0</v>
      </c>
      <c r="AF378" s="1792"/>
    </row>
    <row r="379" spans="1:32" s="1602" customFormat="1" ht="26.1" customHeight="1">
      <c r="A379" s="2918"/>
      <c r="B379" s="2919"/>
      <c r="C379" s="2920"/>
      <c r="D379" s="2917"/>
      <c r="E379" s="1603" t="s">
        <v>2497</v>
      </c>
      <c r="F379" s="1583"/>
      <c r="G379" s="1583"/>
      <c r="H379" s="1583"/>
      <c r="I379" s="1583"/>
      <c r="J379" s="1583"/>
      <c r="K379" s="1583"/>
      <c r="L379" s="1583"/>
      <c r="M379" s="1583"/>
      <c r="N379" s="1583"/>
      <c r="O379" s="1583"/>
      <c r="P379" s="1583"/>
      <c r="Q379" s="1583"/>
      <c r="R379" s="1600"/>
      <c r="S379" s="1600"/>
      <c r="T379" s="1585"/>
      <c r="U379" s="1585"/>
      <c r="V379" s="1585"/>
      <c r="W379" s="1585"/>
      <c r="X379" s="1585"/>
      <c r="Y379" s="1585"/>
      <c r="Z379" s="1585"/>
      <c r="AA379" s="1585"/>
      <c r="AB379" s="1585"/>
      <c r="AC379" s="1585"/>
      <c r="AD379" s="1601">
        <f t="shared" si="62"/>
        <v>0</v>
      </c>
      <c r="AE379" s="1790">
        <v>0</v>
      </c>
      <c r="AF379" s="1792"/>
    </row>
    <row r="380" spans="1:32" s="1602" customFormat="1" ht="26.1" customHeight="1">
      <c r="A380" s="1594">
        <v>6</v>
      </c>
      <c r="B380" s="1614" t="s">
        <v>1969</v>
      </c>
      <c r="C380" s="1596"/>
      <c r="D380" s="1582"/>
      <c r="E380" s="1600"/>
      <c r="F380" s="1583"/>
      <c r="G380" s="1583"/>
      <c r="H380" s="1583"/>
      <c r="I380" s="1583"/>
      <c r="J380" s="1583"/>
      <c r="K380" s="1583"/>
      <c r="L380" s="1583"/>
      <c r="M380" s="1583"/>
      <c r="N380" s="1583"/>
      <c r="O380" s="1583"/>
      <c r="P380" s="1583"/>
      <c r="Q380" s="1583"/>
      <c r="R380" s="1600"/>
      <c r="S380" s="1600"/>
      <c r="T380" s="1585"/>
      <c r="U380" s="1585"/>
      <c r="V380" s="1585"/>
      <c r="W380" s="1585"/>
      <c r="X380" s="1585"/>
      <c r="Y380" s="1585"/>
      <c r="Z380" s="1585"/>
      <c r="AA380" s="1585"/>
      <c r="AB380" s="1585"/>
      <c r="AC380" s="1585"/>
      <c r="AD380" s="1601">
        <f t="shared" si="62"/>
        <v>0</v>
      </c>
      <c r="AE380" s="1790">
        <v>0</v>
      </c>
      <c r="AF380" s="1792"/>
    </row>
    <row r="381" spans="1:32" s="1602" customFormat="1" ht="26.1" customHeight="1">
      <c r="A381" s="1594">
        <v>6.1</v>
      </c>
      <c r="B381" s="1609" t="s">
        <v>1970</v>
      </c>
      <c r="C381" s="1596"/>
      <c r="D381" s="1597"/>
      <c r="E381" s="1600"/>
      <c r="F381" s="1583"/>
      <c r="G381" s="1583"/>
      <c r="H381" s="1583"/>
      <c r="I381" s="1583"/>
      <c r="J381" s="1583"/>
      <c r="K381" s="1583"/>
      <c r="L381" s="1583"/>
      <c r="M381" s="1583"/>
      <c r="N381" s="1583"/>
      <c r="O381" s="1583"/>
      <c r="P381" s="1583"/>
      <c r="Q381" s="1583"/>
      <c r="R381" s="1600"/>
      <c r="S381" s="1600"/>
      <c r="T381" s="1585"/>
      <c r="U381" s="1585"/>
      <c r="V381" s="1585"/>
      <c r="W381" s="1585"/>
      <c r="X381" s="1585"/>
      <c r="Y381" s="1585"/>
      <c r="Z381" s="1585"/>
      <c r="AA381" s="1585"/>
      <c r="AB381" s="1585"/>
      <c r="AC381" s="1585"/>
      <c r="AD381" s="1601">
        <f t="shared" si="62"/>
        <v>0</v>
      </c>
      <c r="AE381" s="1790">
        <v>0</v>
      </c>
      <c r="AF381" s="1792"/>
    </row>
    <row r="382" spans="1:32" s="1602" customFormat="1" ht="26.1" customHeight="1">
      <c r="A382" s="2918" t="s">
        <v>1462</v>
      </c>
      <c r="B382" s="2919" t="s">
        <v>1971</v>
      </c>
      <c r="C382" s="2920"/>
      <c r="D382" s="2917">
        <v>3200.61</v>
      </c>
      <c r="E382" s="1598" t="s">
        <v>2496</v>
      </c>
      <c r="F382" s="1583"/>
      <c r="G382" s="1583"/>
      <c r="H382" s="1583"/>
      <c r="I382" s="1583"/>
      <c r="J382" s="1583"/>
      <c r="K382" s="1583"/>
      <c r="L382" s="1583"/>
      <c r="M382" s="1583"/>
      <c r="N382" s="1583"/>
      <c r="O382" s="1583"/>
      <c r="P382" s="1583"/>
      <c r="Q382" s="1583"/>
      <c r="R382" s="1600"/>
      <c r="S382" s="1600"/>
      <c r="T382" s="1585"/>
      <c r="U382" s="1585"/>
      <c r="V382" s="1585"/>
      <c r="W382" s="1585"/>
      <c r="X382" s="1585"/>
      <c r="Y382" s="1585"/>
      <c r="Z382" s="1585"/>
      <c r="AA382" s="1585"/>
      <c r="AB382" s="1585"/>
      <c r="AC382" s="1585">
        <v>3200.61</v>
      </c>
      <c r="AD382" s="1601">
        <f t="shared" si="62"/>
        <v>3200.61</v>
      </c>
      <c r="AE382" s="1790">
        <v>0</v>
      </c>
      <c r="AF382" s="1792"/>
    </row>
    <row r="383" spans="1:32" s="1602" customFormat="1" ht="26.1" customHeight="1">
      <c r="A383" s="2918"/>
      <c r="B383" s="2919"/>
      <c r="C383" s="2920" t="s">
        <v>52</v>
      </c>
      <c r="D383" s="2917">
        <v>2160</v>
      </c>
      <c r="E383" s="1603" t="s">
        <v>2497</v>
      </c>
      <c r="F383" s="1583"/>
      <c r="G383" s="1583"/>
      <c r="H383" s="1583"/>
      <c r="I383" s="1583"/>
      <c r="J383" s="1583"/>
      <c r="K383" s="1583"/>
      <c r="L383" s="1583"/>
      <c r="M383" s="1583"/>
      <c r="N383" s="1583"/>
      <c r="O383" s="1583"/>
      <c r="P383" s="1583"/>
      <c r="Q383" s="1583"/>
      <c r="R383" s="1600"/>
      <c r="S383" s="1600"/>
      <c r="T383" s="1585"/>
      <c r="U383" s="1585"/>
      <c r="V383" s="1585"/>
      <c r="W383" s="1585"/>
      <c r="X383" s="1618"/>
      <c r="Y383" s="1585"/>
      <c r="Z383" s="1585"/>
      <c r="AA383" s="1585"/>
      <c r="AB383" s="1585"/>
      <c r="AC383" s="1585"/>
      <c r="AD383" s="1601">
        <f t="shared" si="62"/>
        <v>0</v>
      </c>
      <c r="AE383" s="1790">
        <v>0</v>
      </c>
      <c r="AF383" s="1792"/>
    </row>
    <row r="384" spans="1:32" s="1602" customFormat="1" ht="26.1" customHeight="1">
      <c r="A384" s="2918" t="s">
        <v>1463</v>
      </c>
      <c r="B384" s="2919" t="s">
        <v>1972</v>
      </c>
      <c r="C384" s="2920"/>
      <c r="D384" s="2917">
        <v>2160</v>
      </c>
      <c r="E384" s="1598" t="s">
        <v>2496</v>
      </c>
      <c r="F384" s="1583"/>
      <c r="G384" s="1583"/>
      <c r="H384" s="1583"/>
      <c r="I384" s="1583"/>
      <c r="J384" s="1583"/>
      <c r="K384" s="1583"/>
      <c r="L384" s="1583"/>
      <c r="M384" s="1583"/>
      <c r="N384" s="1583"/>
      <c r="O384" s="1583"/>
      <c r="P384" s="1583"/>
      <c r="Q384" s="1583"/>
      <c r="R384" s="1600"/>
      <c r="S384" s="1600"/>
      <c r="T384" s="1585"/>
      <c r="U384" s="1585"/>
      <c r="V384" s="1585"/>
      <c r="W384" s="1585"/>
      <c r="X384" s="1585"/>
      <c r="Y384" s="1585"/>
      <c r="Z384" s="1585"/>
      <c r="AA384" s="1585"/>
      <c r="AB384" s="1585"/>
      <c r="AC384" s="1585">
        <v>2160</v>
      </c>
      <c r="AD384" s="1601">
        <f t="shared" si="62"/>
        <v>2160</v>
      </c>
      <c r="AE384" s="1790">
        <v>0</v>
      </c>
      <c r="AF384" s="1792"/>
    </row>
    <row r="385" spans="1:32" s="1602" customFormat="1" ht="26.1" customHeight="1">
      <c r="A385" s="2918"/>
      <c r="B385" s="2919"/>
      <c r="C385" s="2920" t="s">
        <v>52</v>
      </c>
      <c r="D385" s="2917">
        <v>17330.27</v>
      </c>
      <c r="E385" s="1603" t="s">
        <v>2497</v>
      </c>
      <c r="F385" s="1583"/>
      <c r="G385" s="1583"/>
      <c r="H385" s="1583"/>
      <c r="I385" s="1583"/>
      <c r="J385" s="1583"/>
      <c r="K385" s="1583"/>
      <c r="L385" s="1583"/>
      <c r="M385" s="1583"/>
      <c r="N385" s="1583"/>
      <c r="O385" s="1583"/>
      <c r="P385" s="1583"/>
      <c r="Q385" s="1583"/>
      <c r="R385" s="1600"/>
      <c r="S385" s="1600"/>
      <c r="T385" s="1585"/>
      <c r="U385" s="1585"/>
      <c r="V385" s="1585"/>
      <c r="W385" s="1585"/>
      <c r="X385" s="1618"/>
      <c r="Y385" s="1585"/>
      <c r="Z385" s="1585"/>
      <c r="AA385" s="1585"/>
      <c r="AB385" s="1585"/>
      <c r="AC385" s="1585"/>
      <c r="AD385" s="1601">
        <f t="shared" si="62"/>
        <v>0</v>
      </c>
      <c r="AE385" s="1790">
        <v>0</v>
      </c>
      <c r="AF385" s="1792"/>
    </row>
    <row r="386" spans="1:32" s="1602" customFormat="1" ht="26.1" customHeight="1">
      <c r="A386" s="2918" t="s">
        <v>1464</v>
      </c>
      <c r="B386" s="2919" t="s">
        <v>1973</v>
      </c>
      <c r="C386" s="2920"/>
      <c r="D386" s="2917">
        <v>17330.27</v>
      </c>
      <c r="E386" s="1598" t="s">
        <v>2496</v>
      </c>
      <c r="F386" s="1583"/>
      <c r="G386" s="1583"/>
      <c r="H386" s="1583"/>
      <c r="I386" s="1583"/>
      <c r="J386" s="1583"/>
      <c r="K386" s="1583"/>
      <c r="L386" s="1583"/>
      <c r="M386" s="1583"/>
      <c r="N386" s="1583"/>
      <c r="O386" s="1583"/>
      <c r="P386" s="1583"/>
      <c r="Q386" s="1583"/>
      <c r="R386" s="1600"/>
      <c r="S386" s="1600"/>
      <c r="T386" s="1585"/>
      <c r="U386" s="1585"/>
      <c r="V386" s="1585"/>
      <c r="W386" s="1585"/>
      <c r="X386" s="1585"/>
      <c r="Y386" s="1585"/>
      <c r="Z386" s="1585"/>
      <c r="AA386" s="1585"/>
      <c r="AB386" s="1585"/>
      <c r="AC386" s="1585">
        <v>17330.27</v>
      </c>
      <c r="AD386" s="1601">
        <f t="shared" si="62"/>
        <v>17330.27</v>
      </c>
      <c r="AE386" s="1790">
        <v>0</v>
      </c>
      <c r="AF386" s="1792"/>
    </row>
    <row r="387" spans="1:32" s="1602" customFormat="1" ht="26.1" customHeight="1">
      <c r="A387" s="2918"/>
      <c r="B387" s="2919"/>
      <c r="C387" s="2920" t="s">
        <v>52</v>
      </c>
      <c r="D387" s="2917">
        <v>2658.69</v>
      </c>
      <c r="E387" s="1603" t="s">
        <v>2497</v>
      </c>
      <c r="F387" s="1583"/>
      <c r="G387" s="1583"/>
      <c r="H387" s="1583"/>
      <c r="I387" s="1583"/>
      <c r="J387" s="1583"/>
      <c r="K387" s="1583"/>
      <c r="L387" s="1583"/>
      <c r="M387" s="1583"/>
      <c r="N387" s="1583"/>
      <c r="O387" s="1583"/>
      <c r="P387" s="1583"/>
      <c r="Q387" s="1583"/>
      <c r="R387" s="1600"/>
      <c r="S387" s="1600"/>
      <c r="T387" s="1585"/>
      <c r="U387" s="1585"/>
      <c r="V387" s="1585"/>
      <c r="W387" s="1585"/>
      <c r="X387" s="1618"/>
      <c r="Y387" s="1585"/>
      <c r="Z387" s="1585"/>
      <c r="AA387" s="1585"/>
      <c r="AB387" s="1585"/>
      <c r="AC387" s="1585"/>
      <c r="AD387" s="1601">
        <f t="shared" si="62"/>
        <v>0</v>
      </c>
      <c r="AE387" s="1790">
        <v>0</v>
      </c>
      <c r="AF387" s="1792"/>
    </row>
    <row r="388" spans="1:32" s="1602" customFormat="1" ht="26.1" customHeight="1">
      <c r="A388" s="2918" t="s">
        <v>1465</v>
      </c>
      <c r="B388" s="2919" t="s">
        <v>1974</v>
      </c>
      <c r="C388" s="2920"/>
      <c r="D388" s="2917">
        <v>2658.69</v>
      </c>
      <c r="E388" s="1598" t="s">
        <v>2496</v>
      </c>
      <c r="F388" s="1583"/>
      <c r="G388" s="1583"/>
      <c r="H388" s="1583"/>
      <c r="I388" s="1583"/>
      <c r="J388" s="1583"/>
      <c r="K388" s="1583"/>
      <c r="L388" s="1583"/>
      <c r="M388" s="1583"/>
      <c r="N388" s="1583"/>
      <c r="O388" s="1583"/>
      <c r="P388" s="1583"/>
      <c r="Q388" s="1583"/>
      <c r="R388" s="1600"/>
      <c r="S388" s="1600"/>
      <c r="T388" s="1585"/>
      <c r="U388" s="1585"/>
      <c r="V388" s="1585"/>
      <c r="W388" s="1585"/>
      <c r="X388" s="1585"/>
      <c r="Y388" s="1585"/>
      <c r="Z388" s="1585"/>
      <c r="AA388" s="1585"/>
      <c r="AB388" s="1585"/>
      <c r="AC388" s="1585">
        <v>2658.69</v>
      </c>
      <c r="AD388" s="1601">
        <f t="shared" si="62"/>
        <v>2658.69</v>
      </c>
      <c r="AE388" s="1790">
        <v>0</v>
      </c>
      <c r="AF388" s="1792"/>
    </row>
    <row r="389" spans="1:32" s="1602" customFormat="1" ht="26.1" customHeight="1">
      <c r="A389" s="2918"/>
      <c r="B389" s="2919"/>
      <c r="C389" s="2920" t="s">
        <v>268</v>
      </c>
      <c r="D389" s="2917">
        <v>3950.21</v>
      </c>
      <c r="E389" s="1603" t="s">
        <v>2497</v>
      </c>
      <c r="F389" s="1583"/>
      <c r="G389" s="1583"/>
      <c r="H389" s="1583"/>
      <c r="I389" s="1583"/>
      <c r="J389" s="1583"/>
      <c r="K389" s="1583"/>
      <c r="L389" s="1583"/>
      <c r="M389" s="1583"/>
      <c r="N389" s="1583"/>
      <c r="O389" s="1583"/>
      <c r="P389" s="1583"/>
      <c r="Q389" s="1583"/>
      <c r="R389" s="1600"/>
      <c r="S389" s="1600"/>
      <c r="T389" s="1585"/>
      <c r="U389" s="1585"/>
      <c r="V389" s="1585"/>
      <c r="W389" s="1585"/>
      <c r="X389" s="1618"/>
      <c r="Y389" s="1585"/>
      <c r="Z389" s="1585"/>
      <c r="AA389" s="1585"/>
      <c r="AB389" s="1585"/>
      <c r="AC389" s="1585"/>
      <c r="AD389" s="1601">
        <f t="shared" si="62"/>
        <v>0</v>
      </c>
      <c r="AE389" s="1790">
        <v>0</v>
      </c>
      <c r="AF389" s="1792"/>
    </row>
    <row r="390" spans="1:32" s="1602" customFormat="1" ht="26.1" customHeight="1">
      <c r="A390" s="2918" t="s">
        <v>1466</v>
      </c>
      <c r="B390" s="2919" t="s">
        <v>1975</v>
      </c>
      <c r="C390" s="2920"/>
      <c r="D390" s="2917">
        <v>3950.21</v>
      </c>
      <c r="E390" s="1598" t="s">
        <v>2496</v>
      </c>
      <c r="F390" s="1583"/>
      <c r="G390" s="1583"/>
      <c r="H390" s="1583"/>
      <c r="I390" s="1583"/>
      <c r="J390" s="1583"/>
      <c r="K390" s="1583"/>
      <c r="L390" s="1583"/>
      <c r="M390" s="1583"/>
      <c r="N390" s="1583"/>
      <c r="O390" s="1583"/>
      <c r="P390" s="1583"/>
      <c r="Q390" s="1583"/>
      <c r="R390" s="1600"/>
      <c r="S390" s="1600"/>
      <c r="T390" s="1585"/>
      <c r="U390" s="1585"/>
      <c r="V390" s="1585"/>
      <c r="W390" s="1585"/>
      <c r="X390" s="1585"/>
      <c r="Y390" s="1585"/>
      <c r="Z390" s="1585"/>
      <c r="AA390" s="1585"/>
      <c r="AB390" s="1585"/>
      <c r="AC390" s="1585">
        <v>3950.21</v>
      </c>
      <c r="AD390" s="1601">
        <f t="shared" si="62"/>
        <v>3950.21</v>
      </c>
      <c r="AE390" s="1790">
        <v>0</v>
      </c>
      <c r="AF390" s="1792"/>
    </row>
    <row r="391" spans="1:32" s="1602" customFormat="1" ht="26.1" customHeight="1">
      <c r="A391" s="2918"/>
      <c r="B391" s="2919"/>
      <c r="C391" s="2920"/>
      <c r="D391" s="2917"/>
      <c r="E391" s="1603" t="s">
        <v>2497</v>
      </c>
      <c r="F391" s="1583"/>
      <c r="G391" s="1583"/>
      <c r="H391" s="1583"/>
      <c r="I391" s="1583"/>
      <c r="J391" s="1583"/>
      <c r="K391" s="1583"/>
      <c r="L391" s="1583"/>
      <c r="M391" s="1583"/>
      <c r="N391" s="1583"/>
      <c r="O391" s="1583"/>
      <c r="P391" s="1583"/>
      <c r="Q391" s="1583"/>
      <c r="R391" s="1600"/>
      <c r="S391" s="1600"/>
      <c r="T391" s="1585"/>
      <c r="U391" s="1585"/>
      <c r="V391" s="1585"/>
      <c r="W391" s="1585"/>
      <c r="X391" s="1585"/>
      <c r="Y391" s="1585"/>
      <c r="Z391" s="1585"/>
      <c r="AA391" s="1585"/>
      <c r="AB391" s="1585"/>
      <c r="AC391" s="1585"/>
      <c r="AD391" s="1601">
        <f t="shared" si="62"/>
        <v>0</v>
      </c>
      <c r="AE391" s="1790">
        <v>0</v>
      </c>
      <c r="AF391" s="1792"/>
    </row>
    <row r="392" spans="1:32" s="1602" customFormat="1" ht="26.1" customHeight="1">
      <c r="A392" s="1594">
        <v>6.2</v>
      </c>
      <c r="B392" s="1614" t="s">
        <v>1976</v>
      </c>
      <c r="C392" s="1596"/>
      <c r="D392" s="1597"/>
      <c r="E392" s="1617"/>
      <c r="F392" s="1583"/>
      <c r="G392" s="1583"/>
      <c r="H392" s="1583"/>
      <c r="I392" s="1583"/>
      <c r="J392" s="1583"/>
      <c r="K392" s="1583"/>
      <c r="L392" s="1583"/>
      <c r="M392" s="1583"/>
      <c r="N392" s="1583"/>
      <c r="O392" s="1583"/>
      <c r="P392" s="1583"/>
      <c r="Q392" s="1583"/>
      <c r="R392" s="1600"/>
      <c r="S392" s="1600"/>
      <c r="T392" s="1585"/>
      <c r="U392" s="1585"/>
      <c r="V392" s="1585"/>
      <c r="W392" s="1585"/>
      <c r="X392" s="1585"/>
      <c r="Y392" s="1585"/>
      <c r="Z392" s="1585"/>
      <c r="AA392" s="1585"/>
      <c r="AB392" s="1585"/>
      <c r="AC392" s="1585"/>
      <c r="AD392" s="1601">
        <f t="shared" si="62"/>
        <v>0</v>
      </c>
      <c r="AE392" s="1790">
        <v>0</v>
      </c>
      <c r="AF392" s="1792"/>
    </row>
    <row r="393" spans="1:32" s="1602" customFormat="1" ht="26.1" customHeight="1">
      <c r="A393" s="1594" t="s">
        <v>1470</v>
      </c>
      <c r="B393" s="1609" t="s">
        <v>1980</v>
      </c>
      <c r="C393" s="1591"/>
      <c r="D393" s="1597"/>
      <c r="E393" s="1600"/>
      <c r="F393" s="1583"/>
      <c r="G393" s="1583"/>
      <c r="H393" s="1583"/>
      <c r="I393" s="1583"/>
      <c r="J393" s="1583"/>
      <c r="K393" s="1583"/>
      <c r="L393" s="1605"/>
      <c r="M393" s="1583"/>
      <c r="N393" s="1583"/>
      <c r="O393" s="1583"/>
      <c r="P393" s="1583"/>
      <c r="Q393" s="1583"/>
      <c r="R393" s="1600"/>
      <c r="S393" s="1600"/>
      <c r="T393" s="1585"/>
      <c r="U393" s="1585"/>
      <c r="V393" s="1585"/>
      <c r="W393" s="1585"/>
      <c r="X393" s="1585"/>
      <c r="Y393" s="1585"/>
      <c r="Z393" s="1585"/>
      <c r="AA393" s="1585"/>
      <c r="AB393" s="1585"/>
      <c r="AC393" s="1585"/>
      <c r="AD393" s="1601">
        <f t="shared" si="62"/>
        <v>0</v>
      </c>
      <c r="AE393" s="1790">
        <v>0</v>
      </c>
      <c r="AF393" s="1792"/>
    </row>
    <row r="394" spans="1:32" s="1602" customFormat="1" ht="26.1" customHeight="1">
      <c r="A394" s="2918" t="s">
        <v>1471</v>
      </c>
      <c r="B394" s="2919" t="s">
        <v>1981</v>
      </c>
      <c r="C394" s="2920" t="s">
        <v>51</v>
      </c>
      <c r="D394" s="2917">
        <v>37.72</v>
      </c>
      <c r="E394" s="1598" t="s">
        <v>2496</v>
      </c>
      <c r="F394" s="1583"/>
      <c r="G394" s="1583"/>
      <c r="H394" s="1583"/>
      <c r="I394" s="1583"/>
      <c r="J394" s="1583"/>
      <c r="K394" s="1583"/>
      <c r="L394" s="1605"/>
      <c r="M394" s="1583"/>
      <c r="N394" s="1583"/>
      <c r="O394" s="1583"/>
      <c r="P394" s="1583"/>
      <c r="Q394" s="1583"/>
      <c r="R394" s="1600"/>
      <c r="S394" s="1600"/>
      <c r="T394" s="1585"/>
      <c r="U394" s="1585"/>
      <c r="V394" s="1585"/>
      <c r="W394" s="1585"/>
      <c r="X394" s="1585"/>
      <c r="Y394" s="1585"/>
      <c r="Z394" s="1585">
        <v>37.72</v>
      </c>
      <c r="AA394" s="1585"/>
      <c r="AB394" s="1585"/>
      <c r="AC394" s="1585"/>
      <c r="AD394" s="1601">
        <f t="shared" si="62"/>
        <v>37.72</v>
      </c>
      <c r="AE394" s="1790">
        <v>0</v>
      </c>
      <c r="AF394" s="1792"/>
    </row>
    <row r="395" spans="1:32" s="1602" customFormat="1" ht="26.1" customHeight="1">
      <c r="A395" s="2918"/>
      <c r="B395" s="2919"/>
      <c r="C395" s="2920"/>
      <c r="D395" s="2917"/>
      <c r="E395" s="1603" t="s">
        <v>2497</v>
      </c>
      <c r="F395" s="1583"/>
      <c r="G395" s="1583"/>
      <c r="H395" s="1583"/>
      <c r="I395" s="1583"/>
      <c r="J395" s="1583"/>
      <c r="K395" s="1583"/>
      <c r="L395" s="1605"/>
      <c r="M395" s="1583"/>
      <c r="N395" s="1583"/>
      <c r="O395" s="1583"/>
      <c r="P395" s="1583"/>
      <c r="Q395" s="1583"/>
      <c r="R395" s="1600"/>
      <c r="S395" s="1600"/>
      <c r="T395" s="1585"/>
      <c r="U395" s="1585"/>
      <c r="V395" s="1618"/>
      <c r="W395" s="1585"/>
      <c r="X395" s="1585"/>
      <c r="Y395" s="1585"/>
      <c r="Z395" s="1585"/>
      <c r="AA395" s="1585"/>
      <c r="AB395" s="1585"/>
      <c r="AC395" s="1585"/>
      <c r="AD395" s="1601">
        <f t="shared" si="62"/>
        <v>0</v>
      </c>
      <c r="AE395" s="1790">
        <v>0</v>
      </c>
      <c r="AF395" s="1792"/>
    </row>
    <row r="396" spans="1:32" s="1602" customFormat="1" ht="26.1" customHeight="1">
      <c r="A396" s="2918" t="s">
        <v>1472</v>
      </c>
      <c r="B396" s="2919" t="s">
        <v>1982</v>
      </c>
      <c r="C396" s="2920" t="s">
        <v>52</v>
      </c>
      <c r="D396" s="2917">
        <v>8.2899999999999991</v>
      </c>
      <c r="E396" s="1598" t="s">
        <v>2496</v>
      </c>
      <c r="F396" s="1583"/>
      <c r="G396" s="1583"/>
      <c r="H396" s="1583"/>
      <c r="I396" s="1583"/>
      <c r="J396" s="1583"/>
      <c r="K396" s="1583"/>
      <c r="L396" s="1605"/>
      <c r="M396" s="1583"/>
      <c r="N396" s="1583"/>
      <c r="O396" s="1583"/>
      <c r="P396" s="1583"/>
      <c r="Q396" s="1583"/>
      <c r="R396" s="1600"/>
      <c r="S396" s="1600"/>
      <c r="T396" s="1585"/>
      <c r="U396" s="1585"/>
      <c r="V396" s="1585"/>
      <c r="W396" s="1585"/>
      <c r="X396" s="1585"/>
      <c r="Y396" s="1585"/>
      <c r="Z396" s="1585">
        <v>8.2899999999999991</v>
      </c>
      <c r="AA396" s="1585"/>
      <c r="AB396" s="1585"/>
      <c r="AC396" s="1585"/>
      <c r="AD396" s="1601">
        <f t="shared" si="62"/>
        <v>8.2899999999999991</v>
      </c>
      <c r="AE396" s="1790">
        <v>0</v>
      </c>
      <c r="AF396" s="1792"/>
    </row>
    <row r="397" spans="1:32" s="1602" customFormat="1" ht="26.1" customHeight="1">
      <c r="A397" s="2918"/>
      <c r="B397" s="2919"/>
      <c r="C397" s="2920"/>
      <c r="D397" s="2917"/>
      <c r="E397" s="1603" t="s">
        <v>2497</v>
      </c>
      <c r="F397" s="1583"/>
      <c r="G397" s="1583"/>
      <c r="H397" s="1583"/>
      <c r="I397" s="1583"/>
      <c r="J397" s="1583"/>
      <c r="K397" s="1583"/>
      <c r="L397" s="1605"/>
      <c r="M397" s="1583"/>
      <c r="N397" s="1583"/>
      <c r="O397" s="1583"/>
      <c r="P397" s="1583"/>
      <c r="Q397" s="1583"/>
      <c r="R397" s="1600"/>
      <c r="S397" s="1600"/>
      <c r="T397" s="1585"/>
      <c r="U397" s="1585"/>
      <c r="V397" s="1618"/>
      <c r="W397" s="1585"/>
      <c r="X397" s="1585"/>
      <c r="Y397" s="1585"/>
      <c r="Z397" s="1585"/>
      <c r="AA397" s="1585"/>
      <c r="AB397" s="1585"/>
      <c r="AC397" s="1585"/>
      <c r="AD397" s="1601">
        <f t="shared" si="62"/>
        <v>0</v>
      </c>
      <c r="AE397" s="1790">
        <v>0</v>
      </c>
      <c r="AF397" s="1792"/>
    </row>
    <row r="398" spans="1:32" s="1602" customFormat="1" ht="26.1" customHeight="1">
      <c r="A398" s="2918" t="s">
        <v>1473</v>
      </c>
      <c r="B398" s="2919" t="s">
        <v>1983</v>
      </c>
      <c r="C398" s="2920" t="s">
        <v>52</v>
      </c>
      <c r="D398" s="2917">
        <v>35.840000000000003</v>
      </c>
      <c r="E398" s="1598" t="s">
        <v>2496</v>
      </c>
      <c r="F398" s="1583"/>
      <c r="G398" s="1583"/>
      <c r="H398" s="1583"/>
      <c r="I398" s="1583"/>
      <c r="J398" s="1583"/>
      <c r="K398" s="1583"/>
      <c r="L398" s="1605"/>
      <c r="M398" s="1583"/>
      <c r="N398" s="1583"/>
      <c r="O398" s="1583"/>
      <c r="P398" s="1583"/>
      <c r="Q398" s="1583"/>
      <c r="R398" s="1600"/>
      <c r="S398" s="1600"/>
      <c r="T398" s="1585"/>
      <c r="U398" s="1585"/>
      <c r="V398" s="1585"/>
      <c r="W398" s="1585"/>
      <c r="X398" s="1585"/>
      <c r="Y398" s="1585"/>
      <c r="Z398" s="1585">
        <v>35.840000000000003</v>
      </c>
      <c r="AA398" s="1585"/>
      <c r="AB398" s="1585"/>
      <c r="AC398" s="1585"/>
      <c r="AD398" s="1601">
        <f t="shared" si="62"/>
        <v>35.840000000000003</v>
      </c>
      <c r="AE398" s="1790">
        <v>0</v>
      </c>
      <c r="AF398" s="1792"/>
    </row>
    <row r="399" spans="1:32" s="1602" customFormat="1" ht="26.1" customHeight="1">
      <c r="A399" s="2918"/>
      <c r="B399" s="2919"/>
      <c r="C399" s="2920"/>
      <c r="D399" s="2917"/>
      <c r="E399" s="1603" t="s">
        <v>2497</v>
      </c>
      <c r="F399" s="1583"/>
      <c r="G399" s="1583"/>
      <c r="H399" s="1583"/>
      <c r="I399" s="1583"/>
      <c r="J399" s="1583"/>
      <c r="K399" s="1583"/>
      <c r="L399" s="1605"/>
      <c r="M399" s="1583"/>
      <c r="N399" s="1583"/>
      <c r="O399" s="1583"/>
      <c r="P399" s="1583"/>
      <c r="Q399" s="1583"/>
      <c r="R399" s="1600"/>
      <c r="S399" s="1600"/>
      <c r="T399" s="1585"/>
      <c r="U399" s="1585"/>
      <c r="V399" s="1618"/>
      <c r="W399" s="1585"/>
      <c r="X399" s="1585"/>
      <c r="Y399" s="1585"/>
      <c r="Z399" s="1585"/>
      <c r="AA399" s="1585"/>
      <c r="AB399" s="1585"/>
      <c r="AC399" s="1585"/>
      <c r="AD399" s="1601">
        <f t="shared" si="62"/>
        <v>0</v>
      </c>
      <c r="AE399" s="1790">
        <v>0</v>
      </c>
      <c r="AF399" s="1792"/>
    </row>
    <row r="400" spans="1:32" s="1602" customFormat="1" ht="26.1" customHeight="1">
      <c r="A400" s="2918" t="s">
        <v>1474</v>
      </c>
      <c r="B400" s="2919" t="s">
        <v>1984</v>
      </c>
      <c r="C400" s="2920" t="s">
        <v>51</v>
      </c>
      <c r="D400" s="2917">
        <v>6230.84</v>
      </c>
      <c r="E400" s="1598" t="s">
        <v>2496</v>
      </c>
      <c r="F400" s="1583"/>
      <c r="G400" s="1583"/>
      <c r="H400" s="1583"/>
      <c r="I400" s="1583"/>
      <c r="J400" s="1583"/>
      <c r="K400" s="1583"/>
      <c r="L400" s="1605"/>
      <c r="M400" s="1583"/>
      <c r="N400" s="1583"/>
      <c r="O400" s="1583"/>
      <c r="P400" s="1583"/>
      <c r="Q400" s="1583"/>
      <c r="R400" s="1600"/>
      <c r="S400" s="1600"/>
      <c r="T400" s="1585"/>
      <c r="U400" s="1585"/>
      <c r="V400" s="1585"/>
      <c r="W400" s="1585"/>
      <c r="X400" s="1585"/>
      <c r="Y400" s="1585"/>
      <c r="Z400" s="1585">
        <v>6230.84</v>
      </c>
      <c r="AA400" s="1585"/>
      <c r="AB400" s="1585"/>
      <c r="AC400" s="1585"/>
      <c r="AD400" s="1601">
        <f t="shared" si="62"/>
        <v>6230.84</v>
      </c>
      <c r="AE400" s="1790">
        <v>0</v>
      </c>
      <c r="AF400" s="1792"/>
    </row>
    <row r="401" spans="1:32" s="1602" customFormat="1" ht="26.1" customHeight="1">
      <c r="A401" s="2918"/>
      <c r="B401" s="2919"/>
      <c r="C401" s="2920"/>
      <c r="D401" s="2917"/>
      <c r="E401" s="1603" t="s">
        <v>2497</v>
      </c>
      <c r="F401" s="1583"/>
      <c r="G401" s="1583"/>
      <c r="H401" s="1583"/>
      <c r="I401" s="1583"/>
      <c r="J401" s="1583"/>
      <c r="K401" s="1583"/>
      <c r="L401" s="1605"/>
      <c r="M401" s="1583"/>
      <c r="N401" s="1583"/>
      <c r="O401" s="1583"/>
      <c r="P401" s="1583"/>
      <c r="Q401" s="1583"/>
      <c r="R401" s="1600"/>
      <c r="S401" s="1600"/>
      <c r="T401" s="1585"/>
      <c r="U401" s="1585"/>
      <c r="V401" s="1618"/>
      <c r="W401" s="1585"/>
      <c r="X401" s="1585"/>
      <c r="Y401" s="1585"/>
      <c r="Z401" s="1585"/>
      <c r="AA401" s="1585"/>
      <c r="AB401" s="1585"/>
      <c r="AC401" s="1585"/>
      <c r="AD401" s="1601">
        <f t="shared" ref="AD401:AD464" si="66">SUM(F401:AC401)</f>
        <v>0</v>
      </c>
      <c r="AE401" s="1790">
        <v>0</v>
      </c>
      <c r="AF401" s="1792"/>
    </row>
    <row r="402" spans="1:32" s="1602" customFormat="1" ht="26.1" customHeight="1">
      <c r="A402" s="2918" t="s">
        <v>1475</v>
      </c>
      <c r="B402" s="2919" t="s">
        <v>1985</v>
      </c>
      <c r="C402" s="2920" t="s">
        <v>52</v>
      </c>
      <c r="D402" s="2917">
        <v>1390.6</v>
      </c>
      <c r="E402" s="1598" t="s">
        <v>2496</v>
      </c>
      <c r="F402" s="1583"/>
      <c r="G402" s="1583"/>
      <c r="H402" s="1583"/>
      <c r="I402" s="1583"/>
      <c r="J402" s="1583"/>
      <c r="K402" s="1583"/>
      <c r="L402" s="1605"/>
      <c r="M402" s="1583"/>
      <c r="N402" s="1583"/>
      <c r="O402" s="1583"/>
      <c r="P402" s="1583"/>
      <c r="Q402" s="1583"/>
      <c r="R402" s="1600"/>
      <c r="S402" s="1600"/>
      <c r="T402" s="1585"/>
      <c r="U402" s="1585"/>
      <c r="V402" s="1585"/>
      <c r="W402" s="1585"/>
      <c r="X402" s="1585"/>
      <c r="Y402" s="1585"/>
      <c r="Z402" s="1585">
        <v>1390.6</v>
      </c>
      <c r="AA402" s="1585"/>
      <c r="AB402" s="1585"/>
      <c r="AC402" s="1585"/>
      <c r="AD402" s="1601">
        <f t="shared" si="66"/>
        <v>1390.6</v>
      </c>
      <c r="AE402" s="1790">
        <v>0</v>
      </c>
      <c r="AF402" s="1792"/>
    </row>
    <row r="403" spans="1:32" s="1602" customFormat="1" ht="26.1" customHeight="1">
      <c r="A403" s="2918"/>
      <c r="B403" s="2919"/>
      <c r="C403" s="2920"/>
      <c r="D403" s="2917"/>
      <c r="E403" s="1603" t="s">
        <v>2497</v>
      </c>
      <c r="F403" s="1583"/>
      <c r="G403" s="1583"/>
      <c r="H403" s="1583"/>
      <c r="I403" s="1583"/>
      <c r="J403" s="1583"/>
      <c r="K403" s="1583"/>
      <c r="L403" s="1605"/>
      <c r="M403" s="1583"/>
      <c r="N403" s="1583"/>
      <c r="O403" s="1583"/>
      <c r="P403" s="1583"/>
      <c r="Q403" s="1583"/>
      <c r="R403" s="1600"/>
      <c r="S403" s="1600"/>
      <c r="T403" s="1585"/>
      <c r="U403" s="1585"/>
      <c r="V403" s="1618"/>
      <c r="W403" s="1585"/>
      <c r="X403" s="1585"/>
      <c r="Y403" s="1585"/>
      <c r="Z403" s="1585"/>
      <c r="AA403" s="1585"/>
      <c r="AB403" s="1585"/>
      <c r="AC403" s="1585"/>
      <c r="AD403" s="1601">
        <f t="shared" si="66"/>
        <v>0</v>
      </c>
      <c r="AE403" s="1790">
        <v>0</v>
      </c>
      <c r="AF403" s="1792"/>
    </row>
    <row r="404" spans="1:32" s="1602" customFormat="1" ht="26.1" customHeight="1">
      <c r="A404" s="2918" t="s">
        <v>1476</v>
      </c>
      <c r="B404" s="2919" t="s">
        <v>1986</v>
      </c>
      <c r="C404" s="2920" t="s">
        <v>52</v>
      </c>
      <c r="D404" s="2917">
        <v>4192.25</v>
      </c>
      <c r="E404" s="1598" t="s">
        <v>2496</v>
      </c>
      <c r="F404" s="1583"/>
      <c r="G404" s="1583"/>
      <c r="H404" s="1583"/>
      <c r="I404" s="1583"/>
      <c r="J404" s="1583"/>
      <c r="K404" s="1583"/>
      <c r="L404" s="1605"/>
      <c r="M404" s="1583"/>
      <c r="N404" s="1583"/>
      <c r="O404" s="1583"/>
      <c r="P404" s="1583"/>
      <c r="Q404" s="1583"/>
      <c r="R404" s="1600"/>
      <c r="S404" s="1600"/>
      <c r="T404" s="1585"/>
      <c r="U404" s="1585"/>
      <c r="V404" s="1585"/>
      <c r="W404" s="1585"/>
      <c r="X404" s="1585"/>
      <c r="Y404" s="1585"/>
      <c r="Z404" s="1585">
        <v>4192.25</v>
      </c>
      <c r="AA404" s="1585"/>
      <c r="AB404" s="1585"/>
      <c r="AC404" s="1585"/>
      <c r="AD404" s="1601">
        <f t="shared" si="66"/>
        <v>4192.25</v>
      </c>
      <c r="AE404" s="1790">
        <v>0</v>
      </c>
      <c r="AF404" s="1792"/>
    </row>
    <row r="405" spans="1:32" s="1602" customFormat="1" ht="26.1" customHeight="1">
      <c r="A405" s="2918"/>
      <c r="B405" s="2919"/>
      <c r="C405" s="2920"/>
      <c r="D405" s="2917"/>
      <c r="E405" s="1603" t="s">
        <v>2497</v>
      </c>
      <c r="F405" s="1583"/>
      <c r="G405" s="1583"/>
      <c r="H405" s="1583"/>
      <c r="I405" s="1583"/>
      <c r="J405" s="1583"/>
      <c r="K405" s="1583"/>
      <c r="L405" s="1605"/>
      <c r="M405" s="1583"/>
      <c r="N405" s="1583"/>
      <c r="O405" s="1583"/>
      <c r="P405" s="1583"/>
      <c r="Q405" s="1583"/>
      <c r="R405" s="1600"/>
      <c r="S405" s="1600"/>
      <c r="T405" s="1585"/>
      <c r="U405" s="1585"/>
      <c r="V405" s="1585"/>
      <c r="W405" s="1585"/>
      <c r="X405" s="1585"/>
      <c r="Y405" s="1585"/>
      <c r="Z405" s="1585"/>
      <c r="AA405" s="1585"/>
      <c r="AB405" s="1585"/>
      <c r="AC405" s="1585"/>
      <c r="AD405" s="1601">
        <f t="shared" si="66"/>
        <v>0</v>
      </c>
      <c r="AE405" s="1790">
        <v>0</v>
      </c>
      <c r="AF405" s="1792"/>
    </row>
    <row r="406" spans="1:32" s="1602" customFormat="1" ht="26.1" customHeight="1">
      <c r="A406" s="1594" t="s">
        <v>1477</v>
      </c>
      <c r="B406" s="1609" t="s">
        <v>1987</v>
      </c>
      <c r="C406" s="1596"/>
      <c r="D406" s="1597"/>
      <c r="E406" s="1619"/>
      <c r="F406" s="1583"/>
      <c r="G406" s="1583"/>
      <c r="H406" s="1583"/>
      <c r="I406" s="1583"/>
      <c r="J406" s="1583"/>
      <c r="K406" s="1583"/>
      <c r="L406" s="1583"/>
      <c r="M406" s="1583"/>
      <c r="N406" s="1583"/>
      <c r="O406" s="1583"/>
      <c r="P406" s="1583"/>
      <c r="Q406" s="1583"/>
      <c r="R406" s="1600"/>
      <c r="S406" s="1600"/>
      <c r="T406" s="1585"/>
      <c r="U406" s="1585"/>
      <c r="V406" s="1585"/>
      <c r="W406" s="1585"/>
      <c r="X406" s="1585"/>
      <c r="Y406" s="1585"/>
      <c r="Z406" s="1585"/>
      <c r="AA406" s="1585"/>
      <c r="AB406" s="1585"/>
      <c r="AC406" s="1585"/>
      <c r="AD406" s="1601">
        <f t="shared" si="66"/>
        <v>0</v>
      </c>
      <c r="AE406" s="1790">
        <v>0</v>
      </c>
      <c r="AF406" s="1792"/>
    </row>
    <row r="407" spans="1:32" s="1602" customFormat="1" ht="26.1" customHeight="1">
      <c r="A407" s="2918" t="s">
        <v>1478</v>
      </c>
      <c r="B407" s="2919" t="s">
        <v>1988</v>
      </c>
      <c r="C407" s="2920" t="s">
        <v>2145</v>
      </c>
      <c r="D407" s="2917">
        <v>29.32</v>
      </c>
      <c r="E407" s="1598" t="s">
        <v>2496</v>
      </c>
      <c r="F407" s="1583"/>
      <c r="G407" s="1583"/>
      <c r="H407" s="1583"/>
      <c r="I407" s="1583"/>
      <c r="J407" s="1583"/>
      <c r="K407" s="1583"/>
      <c r="L407" s="1583"/>
      <c r="M407" s="1583"/>
      <c r="N407" s="1583"/>
      <c r="O407" s="1583"/>
      <c r="P407" s="1583"/>
      <c r="Q407" s="1583"/>
      <c r="R407" s="1600"/>
      <c r="S407" s="1600"/>
      <c r="T407" s="1585"/>
      <c r="U407" s="1585"/>
      <c r="V407" s="1585"/>
      <c r="W407" s="1585"/>
      <c r="X407" s="1585"/>
      <c r="Y407" s="1585"/>
      <c r="Z407" s="1585">
        <v>29.32</v>
      </c>
      <c r="AA407" s="1585"/>
      <c r="AB407" s="1585"/>
      <c r="AC407" s="1585"/>
      <c r="AD407" s="1601">
        <f t="shared" si="66"/>
        <v>29.32</v>
      </c>
      <c r="AE407" s="1790">
        <v>0</v>
      </c>
      <c r="AF407" s="1792"/>
    </row>
    <row r="408" spans="1:32" s="1602" customFormat="1" ht="26.1" customHeight="1">
      <c r="A408" s="2918"/>
      <c r="B408" s="2919"/>
      <c r="C408" s="2920"/>
      <c r="D408" s="2917"/>
      <c r="E408" s="1603" t="s">
        <v>2497</v>
      </c>
      <c r="F408" s="1583"/>
      <c r="G408" s="1583"/>
      <c r="H408" s="1583"/>
      <c r="I408" s="1583"/>
      <c r="J408" s="1583"/>
      <c r="K408" s="1583"/>
      <c r="L408" s="1583"/>
      <c r="M408" s="1583"/>
      <c r="N408" s="1583"/>
      <c r="O408" s="1583"/>
      <c r="P408" s="1583"/>
      <c r="Q408" s="1583"/>
      <c r="R408" s="1600"/>
      <c r="S408" s="1600"/>
      <c r="T408" s="1585"/>
      <c r="U408" s="1585"/>
      <c r="V408" s="1618"/>
      <c r="W408" s="1585"/>
      <c r="X408" s="1585"/>
      <c r="Y408" s="1585"/>
      <c r="Z408" s="1585"/>
      <c r="AA408" s="1585"/>
      <c r="AB408" s="1585"/>
      <c r="AC408" s="1585"/>
      <c r="AD408" s="1601">
        <f t="shared" si="66"/>
        <v>0</v>
      </c>
      <c r="AE408" s="1790">
        <v>0</v>
      </c>
      <c r="AF408" s="1792"/>
    </row>
    <row r="409" spans="1:32" s="1602" customFormat="1" ht="26.1" customHeight="1">
      <c r="A409" s="2918" t="s">
        <v>1479</v>
      </c>
      <c r="B409" s="2919" t="s">
        <v>1989</v>
      </c>
      <c r="C409" s="2920" t="s">
        <v>52</v>
      </c>
      <c r="D409" s="2917">
        <v>3493.1</v>
      </c>
      <c r="E409" s="1598" t="s">
        <v>2496</v>
      </c>
      <c r="F409" s="1583"/>
      <c r="G409" s="1583"/>
      <c r="H409" s="1583"/>
      <c r="I409" s="1583"/>
      <c r="J409" s="1583"/>
      <c r="K409" s="1583"/>
      <c r="L409" s="1583"/>
      <c r="M409" s="1583"/>
      <c r="N409" s="1583"/>
      <c r="O409" s="1583"/>
      <c r="P409" s="1583"/>
      <c r="Q409" s="1583"/>
      <c r="R409" s="1600"/>
      <c r="S409" s="1600"/>
      <c r="T409" s="1585"/>
      <c r="U409" s="1585"/>
      <c r="V409" s="1585"/>
      <c r="W409" s="1585"/>
      <c r="X409" s="1585"/>
      <c r="Y409" s="1585"/>
      <c r="Z409" s="1585">
        <v>3493.1</v>
      </c>
      <c r="AA409" s="1585"/>
      <c r="AB409" s="1585"/>
      <c r="AC409" s="1585"/>
      <c r="AD409" s="1601">
        <f t="shared" si="66"/>
        <v>3493.1</v>
      </c>
      <c r="AE409" s="1790">
        <v>0</v>
      </c>
      <c r="AF409" s="1792"/>
    </row>
    <row r="410" spans="1:32" s="1602" customFormat="1" ht="26.1" customHeight="1">
      <c r="A410" s="2918"/>
      <c r="B410" s="2919"/>
      <c r="C410" s="2920"/>
      <c r="D410" s="2917"/>
      <c r="E410" s="1603" t="s">
        <v>2497</v>
      </c>
      <c r="F410" s="1583"/>
      <c r="G410" s="1583"/>
      <c r="H410" s="1583"/>
      <c r="I410" s="1583"/>
      <c r="J410" s="1583"/>
      <c r="K410" s="1583"/>
      <c r="L410" s="1583"/>
      <c r="M410" s="1583"/>
      <c r="N410" s="1583"/>
      <c r="O410" s="1583"/>
      <c r="P410" s="1583"/>
      <c r="Q410" s="1583"/>
      <c r="R410" s="1600"/>
      <c r="S410" s="1600"/>
      <c r="T410" s="1585"/>
      <c r="U410" s="1585"/>
      <c r="V410" s="1585"/>
      <c r="W410" s="1585"/>
      <c r="X410" s="1585"/>
      <c r="Y410" s="1585"/>
      <c r="Z410" s="1585"/>
      <c r="AA410" s="1585"/>
      <c r="AB410" s="1585"/>
      <c r="AC410" s="1585"/>
      <c r="AD410" s="1601">
        <f t="shared" si="66"/>
        <v>0</v>
      </c>
      <c r="AE410" s="1790">
        <v>0</v>
      </c>
      <c r="AF410" s="1792"/>
    </row>
    <row r="411" spans="1:32" s="1602" customFormat="1" ht="26.1" customHeight="1">
      <c r="A411" s="1594" t="s">
        <v>1480</v>
      </c>
      <c r="B411" s="1609" t="s">
        <v>1990</v>
      </c>
      <c r="C411" s="1596"/>
      <c r="D411" s="1597"/>
      <c r="E411" s="1600"/>
      <c r="F411" s="1583"/>
      <c r="G411" s="1583"/>
      <c r="H411" s="1583"/>
      <c r="I411" s="1583"/>
      <c r="J411" s="1583"/>
      <c r="K411" s="1583"/>
      <c r="L411" s="1605"/>
      <c r="M411" s="1583"/>
      <c r="N411" s="1583"/>
      <c r="O411" s="1583"/>
      <c r="P411" s="1583"/>
      <c r="Q411" s="1583"/>
      <c r="R411" s="1600"/>
      <c r="S411" s="1600"/>
      <c r="T411" s="1585"/>
      <c r="U411" s="1585"/>
      <c r="V411" s="1585"/>
      <c r="W411" s="1585"/>
      <c r="X411" s="1585"/>
      <c r="Y411" s="1585"/>
      <c r="Z411" s="1585"/>
      <c r="AA411" s="1585"/>
      <c r="AB411" s="1585"/>
      <c r="AC411" s="1585"/>
      <c r="AD411" s="1601">
        <f t="shared" si="66"/>
        <v>0</v>
      </c>
      <c r="AE411" s="1790">
        <v>0</v>
      </c>
      <c r="AF411" s="1792"/>
    </row>
    <row r="412" spans="1:32" s="1602" customFormat="1" ht="26.1" customHeight="1">
      <c r="A412" s="2918" t="s">
        <v>1481</v>
      </c>
      <c r="B412" s="2919" t="s">
        <v>1991</v>
      </c>
      <c r="C412" s="2920" t="s">
        <v>1145</v>
      </c>
      <c r="D412" s="2917">
        <v>23.82</v>
      </c>
      <c r="E412" s="1598" t="s">
        <v>2496</v>
      </c>
      <c r="F412" s="1583"/>
      <c r="G412" s="1583"/>
      <c r="H412" s="1583"/>
      <c r="I412" s="1583"/>
      <c r="J412" s="1583"/>
      <c r="K412" s="1583"/>
      <c r="L412" s="1605"/>
      <c r="M412" s="1583"/>
      <c r="N412" s="1583"/>
      <c r="O412" s="1583"/>
      <c r="P412" s="1583"/>
      <c r="Q412" s="1583"/>
      <c r="R412" s="1600"/>
      <c r="S412" s="1600"/>
      <c r="T412" s="1585"/>
      <c r="U412" s="1585"/>
      <c r="V412" s="1585"/>
      <c r="W412" s="1585"/>
      <c r="X412" s="1585"/>
      <c r="Y412" s="1585"/>
      <c r="Z412" s="1585">
        <v>23.82</v>
      </c>
      <c r="AA412" s="1585"/>
      <c r="AB412" s="1585"/>
      <c r="AC412" s="1585"/>
      <c r="AD412" s="1601">
        <f t="shared" si="66"/>
        <v>23.82</v>
      </c>
      <c r="AE412" s="1790">
        <v>0</v>
      </c>
      <c r="AF412" s="1792"/>
    </row>
    <row r="413" spans="1:32" s="1602" customFormat="1" ht="26.1" customHeight="1">
      <c r="A413" s="2918"/>
      <c r="B413" s="2919"/>
      <c r="C413" s="2920"/>
      <c r="D413" s="2917"/>
      <c r="E413" s="1603" t="s">
        <v>2497</v>
      </c>
      <c r="F413" s="1583"/>
      <c r="G413" s="1583"/>
      <c r="H413" s="1583"/>
      <c r="I413" s="1583"/>
      <c r="J413" s="1583"/>
      <c r="K413" s="1583"/>
      <c r="L413" s="1605"/>
      <c r="M413" s="1583"/>
      <c r="N413" s="1583"/>
      <c r="O413" s="1583"/>
      <c r="P413" s="1583"/>
      <c r="Q413" s="1583"/>
      <c r="R413" s="1600"/>
      <c r="S413" s="1600"/>
      <c r="T413" s="1585"/>
      <c r="U413" s="1585"/>
      <c r="V413" s="1618"/>
      <c r="W413" s="1585"/>
      <c r="X413" s="1585"/>
      <c r="Y413" s="1585"/>
      <c r="Z413" s="1585"/>
      <c r="AA413" s="1585"/>
      <c r="AB413" s="1585"/>
      <c r="AC413" s="1585"/>
      <c r="AD413" s="1601">
        <f t="shared" si="66"/>
        <v>0</v>
      </c>
      <c r="AE413" s="1790">
        <v>0</v>
      </c>
      <c r="AF413" s="1792"/>
    </row>
    <row r="414" spans="1:32" s="1602" customFormat="1" ht="26.1" customHeight="1">
      <c r="A414" s="2918" t="s">
        <v>1482</v>
      </c>
      <c r="B414" s="2919" t="s">
        <v>1992</v>
      </c>
      <c r="C414" s="2920" t="s">
        <v>1145</v>
      </c>
      <c r="D414" s="2917">
        <v>23.82</v>
      </c>
      <c r="E414" s="1598" t="s">
        <v>2496</v>
      </c>
      <c r="F414" s="1583"/>
      <c r="G414" s="1583"/>
      <c r="H414" s="1583"/>
      <c r="I414" s="1583"/>
      <c r="J414" s="1583"/>
      <c r="K414" s="1583"/>
      <c r="L414" s="1605"/>
      <c r="M414" s="1583"/>
      <c r="N414" s="1583"/>
      <c r="O414" s="1583"/>
      <c r="P414" s="1583"/>
      <c r="Q414" s="1583"/>
      <c r="R414" s="1600"/>
      <c r="S414" s="1600"/>
      <c r="T414" s="1585"/>
      <c r="U414" s="1585"/>
      <c r="V414" s="1585"/>
      <c r="W414" s="1585"/>
      <c r="X414" s="1585"/>
      <c r="Y414" s="1585"/>
      <c r="Z414" s="1585">
        <v>23.82</v>
      </c>
      <c r="AA414" s="1585"/>
      <c r="AB414" s="1585"/>
      <c r="AC414" s="1585"/>
      <c r="AD414" s="1601">
        <f t="shared" si="66"/>
        <v>23.82</v>
      </c>
      <c r="AE414" s="1790">
        <v>0</v>
      </c>
      <c r="AF414" s="1792"/>
    </row>
    <row r="415" spans="1:32" s="1602" customFormat="1" ht="26.1" customHeight="1">
      <c r="A415" s="2918"/>
      <c r="B415" s="2919"/>
      <c r="C415" s="2920"/>
      <c r="D415" s="2917"/>
      <c r="E415" s="1603" t="s">
        <v>2497</v>
      </c>
      <c r="F415" s="1583"/>
      <c r="G415" s="1583"/>
      <c r="H415" s="1583"/>
      <c r="I415" s="1583"/>
      <c r="J415" s="1583"/>
      <c r="K415" s="1583"/>
      <c r="L415" s="1605"/>
      <c r="M415" s="1583"/>
      <c r="N415" s="1583"/>
      <c r="O415" s="1583"/>
      <c r="P415" s="1583"/>
      <c r="Q415" s="1583"/>
      <c r="R415" s="1600"/>
      <c r="S415" s="1600"/>
      <c r="T415" s="1585"/>
      <c r="U415" s="1585"/>
      <c r="V415" s="1618"/>
      <c r="W415" s="1585"/>
      <c r="X415" s="1585"/>
      <c r="Y415" s="1585"/>
      <c r="Z415" s="1585"/>
      <c r="AA415" s="1585"/>
      <c r="AB415" s="1585"/>
      <c r="AC415" s="1585"/>
      <c r="AD415" s="1601">
        <f t="shared" si="66"/>
        <v>0</v>
      </c>
      <c r="AE415" s="1790">
        <v>0</v>
      </c>
      <c r="AF415" s="1792"/>
    </row>
    <row r="416" spans="1:32" s="1602" customFormat="1" ht="26.1" customHeight="1">
      <c r="A416" s="2918" t="s">
        <v>1483</v>
      </c>
      <c r="B416" s="2919" t="s">
        <v>1993</v>
      </c>
      <c r="C416" s="2920" t="s">
        <v>1145</v>
      </c>
      <c r="D416" s="2917">
        <v>2677.16</v>
      </c>
      <c r="E416" s="1598" t="s">
        <v>2496</v>
      </c>
      <c r="F416" s="1583"/>
      <c r="G416" s="1583"/>
      <c r="H416" s="1583"/>
      <c r="I416" s="1583"/>
      <c r="J416" s="1583"/>
      <c r="K416" s="1583"/>
      <c r="L416" s="1583"/>
      <c r="M416" s="1583"/>
      <c r="N416" s="1583"/>
      <c r="O416" s="1583"/>
      <c r="P416" s="1583"/>
      <c r="Q416" s="1583"/>
      <c r="R416" s="1600"/>
      <c r="S416" s="1600"/>
      <c r="T416" s="1585"/>
      <c r="U416" s="1585"/>
      <c r="V416" s="1585"/>
      <c r="W416" s="1585"/>
      <c r="X416" s="1585"/>
      <c r="Y416" s="1585"/>
      <c r="Z416" s="1585">
        <v>2677.16</v>
      </c>
      <c r="AA416" s="1585"/>
      <c r="AB416" s="1585"/>
      <c r="AC416" s="1585"/>
      <c r="AD416" s="1601">
        <f t="shared" si="66"/>
        <v>2677.16</v>
      </c>
      <c r="AE416" s="1790">
        <v>0</v>
      </c>
      <c r="AF416" s="1792"/>
    </row>
    <row r="417" spans="1:32" s="1602" customFormat="1" ht="26.1" customHeight="1">
      <c r="A417" s="2918"/>
      <c r="B417" s="2919"/>
      <c r="C417" s="2920"/>
      <c r="D417" s="2917"/>
      <c r="E417" s="1603" t="s">
        <v>2497</v>
      </c>
      <c r="F417" s="1583"/>
      <c r="G417" s="1583"/>
      <c r="H417" s="1583"/>
      <c r="I417" s="1583"/>
      <c r="J417" s="1583"/>
      <c r="K417" s="1583"/>
      <c r="L417" s="1583"/>
      <c r="M417" s="1583"/>
      <c r="N417" s="1583"/>
      <c r="O417" s="1583"/>
      <c r="P417" s="1583"/>
      <c r="Q417" s="1583"/>
      <c r="R417" s="1600"/>
      <c r="S417" s="1600"/>
      <c r="T417" s="1585"/>
      <c r="U417" s="1585"/>
      <c r="V417" s="1585"/>
      <c r="W417" s="1585"/>
      <c r="X417" s="1585"/>
      <c r="Y417" s="1585"/>
      <c r="Z417" s="1585"/>
      <c r="AA417" s="1585"/>
      <c r="AB417" s="1585"/>
      <c r="AC417" s="1585"/>
      <c r="AD417" s="1601">
        <f t="shared" si="66"/>
        <v>0</v>
      </c>
      <c r="AE417" s="1790">
        <v>0</v>
      </c>
      <c r="AF417" s="1792"/>
    </row>
    <row r="418" spans="1:32" s="1602" customFormat="1" ht="26.1" customHeight="1">
      <c r="A418" s="1594" t="s">
        <v>1484</v>
      </c>
      <c r="B418" s="1609" t="s">
        <v>1994</v>
      </c>
      <c r="C418" s="1591"/>
      <c r="D418" s="1597"/>
      <c r="E418" s="1617"/>
      <c r="F418" s="1583"/>
      <c r="G418" s="1583"/>
      <c r="H418" s="1583"/>
      <c r="I418" s="1583"/>
      <c r="J418" s="1583"/>
      <c r="K418" s="1583"/>
      <c r="L418" s="1583"/>
      <c r="M418" s="1583"/>
      <c r="N418" s="1583"/>
      <c r="O418" s="1583"/>
      <c r="P418" s="1583"/>
      <c r="Q418" s="1583"/>
      <c r="R418" s="1600"/>
      <c r="S418" s="1600"/>
      <c r="T418" s="1585"/>
      <c r="U418" s="1585"/>
      <c r="V418" s="1585"/>
      <c r="W418" s="1585"/>
      <c r="X418" s="1585"/>
      <c r="Y418" s="1585"/>
      <c r="Z418" s="1585"/>
      <c r="AA418" s="1585"/>
      <c r="AB418" s="1585"/>
      <c r="AC418" s="1585"/>
      <c r="AD418" s="1601">
        <f t="shared" si="66"/>
        <v>0</v>
      </c>
      <c r="AE418" s="1790">
        <v>0</v>
      </c>
      <c r="AF418" s="1792"/>
    </row>
    <row r="419" spans="1:32" s="1602" customFormat="1" ht="26.1" customHeight="1">
      <c r="A419" s="2918" t="s">
        <v>1485</v>
      </c>
      <c r="B419" s="2919" t="s">
        <v>1995</v>
      </c>
      <c r="C419" s="2920" t="s">
        <v>1145</v>
      </c>
      <c r="D419" s="2917">
        <v>61.56</v>
      </c>
      <c r="E419" s="1598" t="s">
        <v>2496</v>
      </c>
      <c r="F419" s="1583"/>
      <c r="G419" s="1583"/>
      <c r="H419" s="1583"/>
      <c r="I419" s="1583"/>
      <c r="J419" s="1583"/>
      <c r="K419" s="1583"/>
      <c r="L419" s="1583"/>
      <c r="M419" s="1583"/>
      <c r="N419" s="1583"/>
      <c r="O419" s="1583"/>
      <c r="P419" s="1583"/>
      <c r="Q419" s="1583"/>
      <c r="R419" s="1600"/>
      <c r="S419" s="1600"/>
      <c r="T419" s="1585"/>
      <c r="U419" s="1585"/>
      <c r="V419" s="1585"/>
      <c r="W419" s="1585"/>
      <c r="X419" s="1585"/>
      <c r="Y419" s="1585"/>
      <c r="Z419" s="1585">
        <v>61.56</v>
      </c>
      <c r="AA419" s="1585"/>
      <c r="AB419" s="1585"/>
      <c r="AC419" s="1585"/>
      <c r="AD419" s="1601">
        <f t="shared" si="66"/>
        <v>61.56</v>
      </c>
      <c r="AE419" s="1790">
        <v>0</v>
      </c>
      <c r="AF419" s="1792"/>
    </row>
    <row r="420" spans="1:32" s="1602" customFormat="1" ht="26.1" customHeight="1">
      <c r="A420" s="2918"/>
      <c r="B420" s="2919"/>
      <c r="C420" s="2920"/>
      <c r="D420" s="2917"/>
      <c r="E420" s="1603" t="s">
        <v>2497</v>
      </c>
      <c r="F420" s="1583"/>
      <c r="G420" s="1583"/>
      <c r="H420" s="1583"/>
      <c r="I420" s="1583"/>
      <c r="J420" s="1583"/>
      <c r="K420" s="1583"/>
      <c r="L420" s="1583"/>
      <c r="M420" s="1583"/>
      <c r="N420" s="1583"/>
      <c r="O420" s="1583"/>
      <c r="P420" s="1583"/>
      <c r="Q420" s="1583"/>
      <c r="R420" s="1600"/>
      <c r="S420" s="1600"/>
      <c r="T420" s="1585"/>
      <c r="U420" s="1585"/>
      <c r="V420" s="1585"/>
      <c r="W420" s="1585"/>
      <c r="X420" s="1585"/>
      <c r="Y420" s="1585"/>
      <c r="Z420" s="1585"/>
      <c r="AA420" s="1585"/>
      <c r="AB420" s="1585"/>
      <c r="AC420" s="1585"/>
      <c r="AD420" s="1601">
        <f t="shared" si="66"/>
        <v>0</v>
      </c>
      <c r="AE420" s="1790">
        <v>0</v>
      </c>
      <c r="AF420" s="1792"/>
    </row>
    <row r="421" spans="1:32" s="1602" customFormat="1" ht="26.1" customHeight="1">
      <c r="A421" s="1594" t="s">
        <v>1486</v>
      </c>
      <c r="B421" s="1609" t="s">
        <v>1996</v>
      </c>
      <c r="C421" s="1596"/>
      <c r="D421" s="1597"/>
      <c r="E421" s="1600"/>
      <c r="F421" s="1583"/>
      <c r="G421" s="1583"/>
      <c r="H421" s="1583"/>
      <c r="I421" s="1583"/>
      <c r="J421" s="1605"/>
      <c r="K421" s="1605"/>
      <c r="L421" s="1605"/>
      <c r="M421" s="1583"/>
      <c r="N421" s="1583"/>
      <c r="O421" s="1583"/>
      <c r="P421" s="1583"/>
      <c r="Q421" s="1583"/>
      <c r="R421" s="1600"/>
      <c r="S421" s="1600"/>
      <c r="T421" s="1585"/>
      <c r="U421" s="1585"/>
      <c r="V421" s="1585"/>
      <c r="W421" s="1585"/>
      <c r="X421" s="1585"/>
      <c r="Y421" s="1585"/>
      <c r="Z421" s="1585"/>
      <c r="AA421" s="1585"/>
      <c r="AB421" s="1585"/>
      <c r="AC421" s="1585"/>
      <c r="AD421" s="1601">
        <f t="shared" si="66"/>
        <v>0</v>
      </c>
      <c r="AE421" s="1790">
        <v>0</v>
      </c>
      <c r="AF421" s="1792"/>
    </row>
    <row r="422" spans="1:32" s="1602" customFormat="1" ht="26.1" customHeight="1">
      <c r="A422" s="2918" t="s">
        <v>1487</v>
      </c>
      <c r="B422" s="2919" t="s">
        <v>1997</v>
      </c>
      <c r="C422" s="2920" t="s">
        <v>52</v>
      </c>
      <c r="D422" s="2917">
        <v>7876.5</v>
      </c>
      <c r="E422" s="1598" t="s">
        <v>2496</v>
      </c>
      <c r="F422" s="1583"/>
      <c r="G422" s="1583"/>
      <c r="H422" s="1583"/>
      <c r="I422" s="1583"/>
      <c r="J422" s="1583"/>
      <c r="K422" s="1583"/>
      <c r="L422" s="1583"/>
      <c r="M422" s="1583"/>
      <c r="N422" s="1583"/>
      <c r="O422" s="1583"/>
      <c r="P422" s="1583"/>
      <c r="Q422" s="1583"/>
      <c r="R422" s="1600"/>
      <c r="S422" s="1600"/>
      <c r="T422" s="1585"/>
      <c r="U422" s="1585"/>
      <c r="V422" s="1585"/>
      <c r="W422" s="1585"/>
      <c r="X422" s="1585"/>
      <c r="Y422" s="1585"/>
      <c r="Z422" s="1585"/>
      <c r="AA422" s="1585"/>
      <c r="AB422" s="1585"/>
      <c r="AC422" s="1585">
        <v>7876.5</v>
      </c>
      <c r="AD422" s="1601">
        <f t="shared" si="66"/>
        <v>7876.5</v>
      </c>
      <c r="AE422" s="1790">
        <v>0</v>
      </c>
      <c r="AF422" s="1792"/>
    </row>
    <row r="423" spans="1:32" s="1602" customFormat="1" ht="26.1" customHeight="1">
      <c r="A423" s="2918"/>
      <c r="B423" s="2919"/>
      <c r="C423" s="2920"/>
      <c r="D423" s="2917"/>
      <c r="E423" s="1603" t="s">
        <v>2497</v>
      </c>
      <c r="F423" s="1583"/>
      <c r="G423" s="1583"/>
      <c r="H423" s="1583"/>
      <c r="I423" s="1583"/>
      <c r="J423" s="1583"/>
      <c r="K423" s="1583"/>
      <c r="L423" s="1583"/>
      <c r="M423" s="1583"/>
      <c r="N423" s="1583"/>
      <c r="O423" s="1583"/>
      <c r="P423" s="1583"/>
      <c r="Q423" s="1583"/>
      <c r="R423" s="1600"/>
      <c r="S423" s="1600"/>
      <c r="T423" s="1585"/>
      <c r="U423" s="1585"/>
      <c r="V423" s="1585"/>
      <c r="W423" s="1618"/>
      <c r="X423" s="1585"/>
      <c r="Y423" s="1585"/>
      <c r="Z423" s="1585"/>
      <c r="AA423" s="1585"/>
      <c r="AB423" s="1585"/>
      <c r="AC423" s="1585"/>
      <c r="AD423" s="1601">
        <f t="shared" si="66"/>
        <v>0</v>
      </c>
      <c r="AE423" s="1790">
        <v>0</v>
      </c>
      <c r="AF423" s="1792"/>
    </row>
    <row r="424" spans="1:32" s="1602" customFormat="1" ht="26.1" customHeight="1">
      <c r="A424" s="2918" t="s">
        <v>1488</v>
      </c>
      <c r="B424" s="2919" t="s">
        <v>1998</v>
      </c>
      <c r="C424" s="2920" t="s">
        <v>52</v>
      </c>
      <c r="D424" s="2917">
        <v>1416</v>
      </c>
      <c r="E424" s="1598" t="s">
        <v>2496</v>
      </c>
      <c r="F424" s="1583"/>
      <c r="G424" s="1583"/>
      <c r="H424" s="1583"/>
      <c r="I424" s="1583"/>
      <c r="J424" s="1605"/>
      <c r="K424" s="1605"/>
      <c r="L424" s="1605"/>
      <c r="M424" s="1583"/>
      <c r="N424" s="1583"/>
      <c r="O424" s="1583"/>
      <c r="P424" s="1583"/>
      <c r="Q424" s="1583"/>
      <c r="R424" s="1600"/>
      <c r="S424" s="1600"/>
      <c r="T424" s="1585"/>
      <c r="U424" s="1585"/>
      <c r="V424" s="1585"/>
      <c r="W424" s="1585"/>
      <c r="X424" s="1585"/>
      <c r="Y424" s="1585"/>
      <c r="Z424" s="1585"/>
      <c r="AA424" s="1585"/>
      <c r="AB424" s="1585"/>
      <c r="AC424" s="1585">
        <v>1416</v>
      </c>
      <c r="AD424" s="1601">
        <f t="shared" si="66"/>
        <v>1416</v>
      </c>
      <c r="AE424" s="1790">
        <v>0</v>
      </c>
      <c r="AF424" s="1792"/>
    </row>
    <row r="425" spans="1:32" s="1602" customFormat="1" ht="26.1" customHeight="1">
      <c r="A425" s="2918"/>
      <c r="B425" s="2919"/>
      <c r="C425" s="2920"/>
      <c r="D425" s="2917"/>
      <c r="E425" s="1603" t="s">
        <v>2497</v>
      </c>
      <c r="F425" s="1583"/>
      <c r="G425" s="1583"/>
      <c r="H425" s="1583"/>
      <c r="I425" s="1583"/>
      <c r="J425" s="1605"/>
      <c r="K425" s="1605"/>
      <c r="L425" s="1605"/>
      <c r="M425" s="1583"/>
      <c r="N425" s="1583"/>
      <c r="O425" s="1583"/>
      <c r="P425" s="1583"/>
      <c r="Q425" s="1583"/>
      <c r="R425" s="1600"/>
      <c r="S425" s="1600"/>
      <c r="T425" s="1585"/>
      <c r="U425" s="1585"/>
      <c r="V425" s="1585"/>
      <c r="W425" s="1618"/>
      <c r="X425" s="1585"/>
      <c r="Y425" s="1585"/>
      <c r="Z425" s="1585"/>
      <c r="AA425" s="1585"/>
      <c r="AB425" s="1585"/>
      <c r="AC425" s="1585"/>
      <c r="AD425" s="1601">
        <f t="shared" si="66"/>
        <v>0</v>
      </c>
      <c r="AE425" s="1790">
        <v>0</v>
      </c>
      <c r="AF425" s="1792"/>
    </row>
    <row r="426" spans="1:32" s="1602" customFormat="1" ht="26.1" customHeight="1">
      <c r="A426" s="2918" t="s">
        <v>1489</v>
      </c>
      <c r="B426" s="2919" t="s">
        <v>1999</v>
      </c>
      <c r="C426" s="2920" t="s">
        <v>52</v>
      </c>
      <c r="D426" s="2917">
        <v>30025.100000000002</v>
      </c>
      <c r="E426" s="1598" t="s">
        <v>2496</v>
      </c>
      <c r="F426" s="1583"/>
      <c r="G426" s="1583"/>
      <c r="H426" s="1583"/>
      <c r="I426" s="1583"/>
      <c r="J426" s="1583"/>
      <c r="K426" s="1583"/>
      <c r="L426" s="1583"/>
      <c r="M426" s="1583"/>
      <c r="N426" s="1583"/>
      <c r="O426" s="1583"/>
      <c r="P426" s="1583"/>
      <c r="Q426" s="1583"/>
      <c r="R426" s="1600"/>
      <c r="S426" s="1600"/>
      <c r="T426" s="1585"/>
      <c r="U426" s="1585"/>
      <c r="V426" s="1585"/>
      <c r="W426" s="1585"/>
      <c r="X426" s="1585"/>
      <c r="Y426" s="1585"/>
      <c r="Z426" s="1585"/>
      <c r="AA426" s="1585"/>
      <c r="AB426" s="1585"/>
      <c r="AC426" s="1585">
        <v>30025.100000000002</v>
      </c>
      <c r="AD426" s="1601">
        <f t="shared" si="66"/>
        <v>30025.100000000002</v>
      </c>
      <c r="AE426" s="1790">
        <v>0</v>
      </c>
      <c r="AF426" s="1792"/>
    </row>
    <row r="427" spans="1:32" s="1602" customFormat="1" ht="26.1" customHeight="1">
      <c r="A427" s="2918"/>
      <c r="B427" s="2919"/>
      <c r="C427" s="2920"/>
      <c r="D427" s="2917"/>
      <c r="E427" s="1603" t="s">
        <v>2497</v>
      </c>
      <c r="F427" s="1583"/>
      <c r="G427" s="1583"/>
      <c r="H427" s="1583"/>
      <c r="I427" s="1583"/>
      <c r="J427" s="1583"/>
      <c r="K427" s="1583"/>
      <c r="L427" s="1583"/>
      <c r="M427" s="1583"/>
      <c r="N427" s="1583"/>
      <c r="O427" s="1583"/>
      <c r="P427" s="1583"/>
      <c r="Q427" s="1583"/>
      <c r="R427" s="1600"/>
      <c r="S427" s="1600"/>
      <c r="T427" s="1585"/>
      <c r="U427" s="1585"/>
      <c r="V427" s="1585"/>
      <c r="W427" s="1618"/>
      <c r="X427" s="1585"/>
      <c r="Y427" s="1585"/>
      <c r="Z427" s="1585"/>
      <c r="AA427" s="1585"/>
      <c r="AB427" s="1585"/>
      <c r="AC427" s="1585"/>
      <c r="AD427" s="1601">
        <f t="shared" si="66"/>
        <v>0</v>
      </c>
      <c r="AE427" s="1790">
        <v>0</v>
      </c>
      <c r="AF427" s="1792"/>
    </row>
    <row r="428" spans="1:32" s="1602" customFormat="1" ht="26.1" customHeight="1">
      <c r="A428" s="2918" t="s">
        <v>1490</v>
      </c>
      <c r="B428" s="2919" t="s">
        <v>2000</v>
      </c>
      <c r="C428" s="2920" t="s">
        <v>52</v>
      </c>
      <c r="D428" s="2917">
        <v>69030</v>
      </c>
      <c r="E428" s="1598" t="s">
        <v>2496</v>
      </c>
      <c r="F428" s="1583"/>
      <c r="G428" s="1583"/>
      <c r="H428" s="1583"/>
      <c r="I428" s="1583"/>
      <c r="J428" s="1583"/>
      <c r="K428" s="1583"/>
      <c r="L428" s="1583"/>
      <c r="M428" s="1583"/>
      <c r="N428" s="1583"/>
      <c r="O428" s="1583"/>
      <c r="P428" s="1583"/>
      <c r="Q428" s="1583"/>
      <c r="R428" s="1600"/>
      <c r="S428" s="1600"/>
      <c r="T428" s="1585"/>
      <c r="U428" s="1585"/>
      <c r="V428" s="1585"/>
      <c r="W428" s="1585"/>
      <c r="X428" s="1585"/>
      <c r="Y428" s="1585"/>
      <c r="Z428" s="1585"/>
      <c r="AA428" s="1585"/>
      <c r="AB428" s="1585"/>
      <c r="AC428" s="1585">
        <v>69030</v>
      </c>
      <c r="AD428" s="1601">
        <f t="shared" si="66"/>
        <v>69030</v>
      </c>
      <c r="AE428" s="1790">
        <v>0</v>
      </c>
      <c r="AF428" s="1792"/>
    </row>
    <row r="429" spans="1:32" s="1602" customFormat="1" ht="26.1" customHeight="1">
      <c r="A429" s="2918"/>
      <c r="B429" s="2919"/>
      <c r="C429" s="2920"/>
      <c r="D429" s="2917"/>
      <c r="E429" s="1603" t="s">
        <v>2497</v>
      </c>
      <c r="F429" s="1583"/>
      <c r="G429" s="1583"/>
      <c r="H429" s="1583"/>
      <c r="I429" s="1583"/>
      <c r="J429" s="1583"/>
      <c r="K429" s="1583"/>
      <c r="L429" s="1583"/>
      <c r="M429" s="1583"/>
      <c r="N429" s="1583"/>
      <c r="O429" s="1583"/>
      <c r="P429" s="1583"/>
      <c r="Q429" s="1583"/>
      <c r="R429" s="1600"/>
      <c r="S429" s="1600"/>
      <c r="T429" s="1585"/>
      <c r="U429" s="1585"/>
      <c r="V429" s="1585"/>
      <c r="W429" s="1585"/>
      <c r="X429" s="1585"/>
      <c r="Y429" s="1585"/>
      <c r="Z429" s="1585"/>
      <c r="AA429" s="1585"/>
      <c r="AB429" s="1585"/>
      <c r="AC429" s="1585"/>
      <c r="AD429" s="1601">
        <f t="shared" si="66"/>
        <v>0</v>
      </c>
      <c r="AE429" s="1790">
        <v>0</v>
      </c>
      <c r="AF429" s="1792"/>
    </row>
    <row r="430" spans="1:32" s="1602" customFormat="1" ht="26.1" customHeight="1">
      <c r="A430" s="1594" t="s">
        <v>1491</v>
      </c>
      <c r="B430" s="1609" t="s">
        <v>2001</v>
      </c>
      <c r="C430" s="1596"/>
      <c r="D430" s="1597"/>
      <c r="E430" s="1600"/>
      <c r="F430" s="1583"/>
      <c r="G430" s="1583"/>
      <c r="H430" s="1583"/>
      <c r="I430" s="1583"/>
      <c r="J430" s="1583"/>
      <c r="K430" s="1583"/>
      <c r="L430" s="1583"/>
      <c r="M430" s="1583"/>
      <c r="N430" s="1583"/>
      <c r="O430" s="1583"/>
      <c r="P430" s="1583"/>
      <c r="Q430" s="1583"/>
      <c r="R430" s="1600"/>
      <c r="S430" s="1600"/>
      <c r="T430" s="1585"/>
      <c r="U430" s="1585"/>
      <c r="V430" s="1585"/>
      <c r="W430" s="1585"/>
      <c r="X430" s="1585"/>
      <c r="Y430" s="1585"/>
      <c r="Z430" s="1585"/>
      <c r="AA430" s="1585"/>
      <c r="AB430" s="1585"/>
      <c r="AC430" s="1585"/>
      <c r="AD430" s="1601">
        <f t="shared" si="66"/>
        <v>0</v>
      </c>
      <c r="AE430" s="1790">
        <v>0</v>
      </c>
      <c r="AF430" s="1792"/>
    </row>
    <row r="431" spans="1:32" s="1602" customFormat="1" ht="26.1" customHeight="1">
      <c r="A431" s="2918" t="s">
        <v>1492</v>
      </c>
      <c r="B431" s="2919" t="s">
        <v>2002</v>
      </c>
      <c r="C431" s="2920" t="s">
        <v>52</v>
      </c>
      <c r="D431" s="2917">
        <v>3250</v>
      </c>
      <c r="E431" s="1598" t="s">
        <v>2496</v>
      </c>
      <c r="F431" s="1583"/>
      <c r="G431" s="1583"/>
      <c r="H431" s="1583"/>
      <c r="I431" s="1583"/>
      <c r="J431" s="1583"/>
      <c r="K431" s="1583"/>
      <c r="L431" s="1605"/>
      <c r="M431" s="1583"/>
      <c r="N431" s="1583"/>
      <c r="O431" s="1583"/>
      <c r="P431" s="1583"/>
      <c r="Q431" s="1583"/>
      <c r="R431" s="1600"/>
      <c r="S431" s="1600"/>
      <c r="T431" s="1585"/>
      <c r="U431" s="1585"/>
      <c r="V431" s="1585"/>
      <c r="W431" s="1585"/>
      <c r="X431" s="1585"/>
      <c r="Y431" s="1585"/>
      <c r="Z431" s="1585"/>
      <c r="AA431" s="1585"/>
      <c r="AB431" s="1585"/>
      <c r="AC431" s="1585">
        <v>3250</v>
      </c>
      <c r="AD431" s="1601">
        <f t="shared" si="66"/>
        <v>3250</v>
      </c>
      <c r="AE431" s="1790">
        <v>0</v>
      </c>
      <c r="AF431" s="1792"/>
    </row>
    <row r="432" spans="1:32" s="1602" customFormat="1" ht="26.1" customHeight="1">
      <c r="A432" s="2918"/>
      <c r="B432" s="2919"/>
      <c r="C432" s="2920"/>
      <c r="D432" s="2917"/>
      <c r="E432" s="1603" t="s">
        <v>2497</v>
      </c>
      <c r="F432" s="1583"/>
      <c r="G432" s="1583"/>
      <c r="H432" s="1583"/>
      <c r="I432" s="1583"/>
      <c r="J432" s="1583"/>
      <c r="K432" s="1583"/>
      <c r="L432" s="1605"/>
      <c r="M432" s="1583"/>
      <c r="N432" s="1583"/>
      <c r="O432" s="1583"/>
      <c r="P432" s="1583"/>
      <c r="Q432" s="1583"/>
      <c r="R432" s="1600"/>
      <c r="S432" s="1600"/>
      <c r="T432" s="1585"/>
      <c r="U432" s="1585"/>
      <c r="V432" s="1585"/>
      <c r="W432" s="1585"/>
      <c r="X432" s="1618"/>
      <c r="Y432" s="1585"/>
      <c r="Z432" s="1585"/>
      <c r="AA432" s="1585"/>
      <c r="AB432" s="1585"/>
      <c r="AC432" s="1585"/>
      <c r="AD432" s="1601">
        <f t="shared" si="66"/>
        <v>0</v>
      </c>
      <c r="AE432" s="1790">
        <v>0</v>
      </c>
      <c r="AF432" s="1792"/>
    </row>
    <row r="433" spans="1:32" s="1602" customFormat="1" ht="26.1" customHeight="1">
      <c r="A433" s="2918" t="s">
        <v>1493</v>
      </c>
      <c r="B433" s="2919" t="s">
        <v>2003</v>
      </c>
      <c r="C433" s="2920" t="s">
        <v>52</v>
      </c>
      <c r="D433" s="2917">
        <v>1950.5</v>
      </c>
      <c r="E433" s="1598" t="s">
        <v>2496</v>
      </c>
      <c r="F433" s="1583"/>
      <c r="G433" s="1583"/>
      <c r="H433" s="1583"/>
      <c r="I433" s="1583"/>
      <c r="J433" s="1583"/>
      <c r="K433" s="1583"/>
      <c r="L433" s="1583"/>
      <c r="M433" s="1583"/>
      <c r="N433" s="1583"/>
      <c r="O433" s="1583"/>
      <c r="P433" s="1583"/>
      <c r="Q433" s="1583"/>
      <c r="R433" s="1600"/>
      <c r="S433" s="1600"/>
      <c r="T433" s="1585"/>
      <c r="U433" s="1585"/>
      <c r="V433" s="1585"/>
      <c r="W433" s="1585"/>
      <c r="X433" s="1585"/>
      <c r="Y433" s="1585"/>
      <c r="Z433" s="1585"/>
      <c r="AA433" s="1585"/>
      <c r="AB433" s="1585"/>
      <c r="AC433" s="1585">
        <v>1950.5</v>
      </c>
      <c r="AD433" s="1601">
        <f t="shared" si="66"/>
        <v>1950.5</v>
      </c>
      <c r="AE433" s="1790">
        <v>0</v>
      </c>
      <c r="AF433" s="1792"/>
    </row>
    <row r="434" spans="1:32" s="1602" customFormat="1" ht="26.1" customHeight="1">
      <c r="A434" s="2918"/>
      <c r="B434" s="2919"/>
      <c r="C434" s="2920"/>
      <c r="D434" s="2917"/>
      <c r="E434" s="1603" t="s">
        <v>2497</v>
      </c>
      <c r="F434" s="1583"/>
      <c r="G434" s="1583"/>
      <c r="H434" s="1583"/>
      <c r="I434" s="1583"/>
      <c r="J434" s="1583"/>
      <c r="K434" s="1583"/>
      <c r="L434" s="1583"/>
      <c r="M434" s="1583"/>
      <c r="N434" s="1583"/>
      <c r="O434" s="1583"/>
      <c r="P434" s="1583"/>
      <c r="Q434" s="1583"/>
      <c r="R434" s="1600"/>
      <c r="S434" s="1600"/>
      <c r="T434" s="1585"/>
      <c r="U434" s="1585"/>
      <c r="V434" s="1585"/>
      <c r="W434" s="1585"/>
      <c r="X434" s="1618"/>
      <c r="Y434" s="1585"/>
      <c r="Z434" s="1585"/>
      <c r="AA434" s="1585"/>
      <c r="AB434" s="1585"/>
      <c r="AC434" s="1585"/>
      <c r="AD434" s="1601">
        <f t="shared" si="66"/>
        <v>0</v>
      </c>
      <c r="AE434" s="1790">
        <v>0</v>
      </c>
      <c r="AF434" s="1792"/>
    </row>
    <row r="435" spans="1:32" s="1602" customFormat="1" ht="26.1" customHeight="1">
      <c r="A435" s="2918" t="s">
        <v>1494</v>
      </c>
      <c r="B435" s="2919" t="s">
        <v>2004</v>
      </c>
      <c r="C435" s="2920" t="s">
        <v>52</v>
      </c>
      <c r="D435" s="2917">
        <v>14500</v>
      </c>
      <c r="E435" s="1598" t="s">
        <v>2496</v>
      </c>
      <c r="F435" s="1583"/>
      <c r="G435" s="1583"/>
      <c r="H435" s="1583"/>
      <c r="I435" s="1583"/>
      <c r="J435" s="1583"/>
      <c r="K435" s="1583"/>
      <c r="L435" s="1583"/>
      <c r="M435" s="1583"/>
      <c r="N435" s="1583"/>
      <c r="O435" s="1583"/>
      <c r="P435" s="1583"/>
      <c r="Q435" s="1583"/>
      <c r="R435" s="1600"/>
      <c r="S435" s="1600"/>
      <c r="T435" s="1585"/>
      <c r="U435" s="1585"/>
      <c r="V435" s="1585"/>
      <c r="W435" s="1585"/>
      <c r="X435" s="1585"/>
      <c r="Y435" s="1585"/>
      <c r="Z435" s="1585"/>
      <c r="AA435" s="1585"/>
      <c r="AB435" s="1585"/>
      <c r="AC435" s="1585">
        <v>14500</v>
      </c>
      <c r="AD435" s="1601">
        <f t="shared" si="66"/>
        <v>14500</v>
      </c>
      <c r="AE435" s="1790">
        <v>0</v>
      </c>
      <c r="AF435" s="1792"/>
    </row>
    <row r="436" spans="1:32" s="1602" customFormat="1" ht="26.1" customHeight="1">
      <c r="A436" s="2918"/>
      <c r="B436" s="2919"/>
      <c r="C436" s="2920"/>
      <c r="D436" s="2917"/>
      <c r="E436" s="1603" t="s">
        <v>2497</v>
      </c>
      <c r="F436" s="1583"/>
      <c r="G436" s="1583"/>
      <c r="H436" s="1583"/>
      <c r="I436" s="1583"/>
      <c r="J436" s="1583"/>
      <c r="K436" s="1583"/>
      <c r="L436" s="1583"/>
      <c r="M436" s="1583"/>
      <c r="N436" s="1583"/>
      <c r="O436" s="1583"/>
      <c r="P436" s="1583"/>
      <c r="Q436" s="1583"/>
      <c r="R436" s="1600"/>
      <c r="S436" s="1600"/>
      <c r="T436" s="1585"/>
      <c r="U436" s="1585"/>
      <c r="V436" s="1585"/>
      <c r="W436" s="1585"/>
      <c r="X436" s="1618"/>
      <c r="Y436" s="1585"/>
      <c r="Z436" s="1585"/>
      <c r="AA436" s="1585"/>
      <c r="AB436" s="1585"/>
      <c r="AC436" s="1585"/>
      <c r="AD436" s="1601">
        <f t="shared" si="66"/>
        <v>0</v>
      </c>
      <c r="AE436" s="1790">
        <v>0</v>
      </c>
      <c r="AF436" s="1792"/>
    </row>
    <row r="437" spans="1:32" s="1602" customFormat="1" ht="26.1" customHeight="1">
      <c r="A437" s="2918" t="s">
        <v>1495</v>
      </c>
      <c r="B437" s="2919" t="s">
        <v>2005</v>
      </c>
      <c r="C437" s="2920" t="s">
        <v>52</v>
      </c>
      <c r="D437" s="2917">
        <v>2150</v>
      </c>
      <c r="E437" s="1598" t="s">
        <v>2496</v>
      </c>
      <c r="F437" s="1583"/>
      <c r="G437" s="1583"/>
      <c r="H437" s="1583"/>
      <c r="I437" s="1583"/>
      <c r="J437" s="1583"/>
      <c r="K437" s="1583"/>
      <c r="L437" s="1583"/>
      <c r="M437" s="1583"/>
      <c r="N437" s="1583"/>
      <c r="O437" s="1583"/>
      <c r="P437" s="1583"/>
      <c r="Q437" s="1583"/>
      <c r="R437" s="1600"/>
      <c r="S437" s="1600"/>
      <c r="T437" s="1585"/>
      <c r="U437" s="1585"/>
      <c r="V437" s="1585"/>
      <c r="W437" s="1585"/>
      <c r="X437" s="1585"/>
      <c r="Y437" s="1585"/>
      <c r="Z437" s="1585"/>
      <c r="AA437" s="1585"/>
      <c r="AB437" s="1585"/>
      <c r="AC437" s="1585">
        <v>2150</v>
      </c>
      <c r="AD437" s="1601">
        <f t="shared" si="66"/>
        <v>2150</v>
      </c>
      <c r="AE437" s="1790">
        <v>0</v>
      </c>
      <c r="AF437" s="1792"/>
    </row>
    <row r="438" spans="1:32" s="1602" customFormat="1" ht="26.1" customHeight="1">
      <c r="A438" s="2918"/>
      <c r="B438" s="2919"/>
      <c r="C438" s="2920"/>
      <c r="D438" s="2917"/>
      <c r="E438" s="1603" t="s">
        <v>2497</v>
      </c>
      <c r="F438" s="1583"/>
      <c r="G438" s="1583"/>
      <c r="H438" s="1583"/>
      <c r="I438" s="1583"/>
      <c r="J438" s="1583"/>
      <c r="K438" s="1583"/>
      <c r="L438" s="1583"/>
      <c r="M438" s="1583"/>
      <c r="N438" s="1583"/>
      <c r="O438" s="1583"/>
      <c r="P438" s="1583"/>
      <c r="Q438" s="1583"/>
      <c r="R438" s="1600"/>
      <c r="S438" s="1600"/>
      <c r="T438" s="1585"/>
      <c r="U438" s="1585"/>
      <c r="V438" s="1585"/>
      <c r="W438" s="1585"/>
      <c r="X438" s="1618"/>
      <c r="Y438" s="1585"/>
      <c r="Z438" s="1585"/>
      <c r="AA438" s="1585"/>
      <c r="AB438" s="1585"/>
      <c r="AC438" s="1585"/>
      <c r="AD438" s="1601">
        <f t="shared" si="66"/>
        <v>0</v>
      </c>
      <c r="AE438" s="1790">
        <v>0</v>
      </c>
      <c r="AF438" s="1792"/>
    </row>
    <row r="439" spans="1:32" s="1602" customFormat="1" ht="26.1" customHeight="1">
      <c r="A439" s="2918" t="s">
        <v>1496</v>
      </c>
      <c r="B439" s="2919" t="s">
        <v>2006</v>
      </c>
      <c r="C439" s="2920" t="s">
        <v>52</v>
      </c>
      <c r="D439" s="2917">
        <v>1120</v>
      </c>
      <c r="E439" s="1598" t="s">
        <v>2496</v>
      </c>
      <c r="F439" s="1583"/>
      <c r="G439" s="1583"/>
      <c r="H439" s="1583"/>
      <c r="I439" s="1583"/>
      <c r="J439" s="1583"/>
      <c r="K439" s="1583"/>
      <c r="L439" s="1583"/>
      <c r="M439" s="1583"/>
      <c r="N439" s="1583"/>
      <c r="O439" s="1583"/>
      <c r="P439" s="1583"/>
      <c r="Q439" s="1583"/>
      <c r="R439" s="1600"/>
      <c r="S439" s="1600"/>
      <c r="T439" s="1585"/>
      <c r="U439" s="1585"/>
      <c r="V439" s="1585"/>
      <c r="W439" s="1585"/>
      <c r="X439" s="1585"/>
      <c r="Y439" s="1585"/>
      <c r="Z439" s="1585"/>
      <c r="AA439" s="1585"/>
      <c r="AB439" s="1585"/>
      <c r="AC439" s="1585">
        <v>1120</v>
      </c>
      <c r="AD439" s="1601">
        <f t="shared" si="66"/>
        <v>1120</v>
      </c>
      <c r="AE439" s="1790">
        <v>0</v>
      </c>
      <c r="AF439" s="1792"/>
    </row>
    <row r="440" spans="1:32" s="1602" customFormat="1" ht="26.1" customHeight="1">
      <c r="A440" s="2918"/>
      <c r="B440" s="2919"/>
      <c r="C440" s="2920"/>
      <c r="D440" s="2917"/>
      <c r="E440" s="1603" t="s">
        <v>2497</v>
      </c>
      <c r="F440" s="1583"/>
      <c r="G440" s="1583"/>
      <c r="H440" s="1583"/>
      <c r="I440" s="1583"/>
      <c r="J440" s="1583"/>
      <c r="K440" s="1583"/>
      <c r="L440" s="1583"/>
      <c r="M440" s="1583"/>
      <c r="N440" s="1583"/>
      <c r="O440" s="1583"/>
      <c r="P440" s="1583"/>
      <c r="Q440" s="1583"/>
      <c r="R440" s="1600"/>
      <c r="S440" s="1600"/>
      <c r="T440" s="1585"/>
      <c r="U440" s="1585"/>
      <c r="V440" s="1585"/>
      <c r="W440" s="1585"/>
      <c r="X440" s="1618"/>
      <c r="Y440" s="1585"/>
      <c r="Z440" s="1585"/>
      <c r="AA440" s="1585"/>
      <c r="AB440" s="1585"/>
      <c r="AC440" s="1585"/>
      <c r="AD440" s="1601">
        <f t="shared" si="66"/>
        <v>0</v>
      </c>
      <c r="AE440" s="1790">
        <v>0</v>
      </c>
      <c r="AF440" s="1792"/>
    </row>
    <row r="441" spans="1:32" s="1602" customFormat="1" ht="26.1" customHeight="1">
      <c r="A441" s="2918" t="s">
        <v>1497</v>
      </c>
      <c r="B441" s="2919" t="s">
        <v>2007</v>
      </c>
      <c r="C441" s="2920" t="s">
        <v>52</v>
      </c>
      <c r="D441" s="2917">
        <v>658</v>
      </c>
      <c r="E441" s="1598" t="s">
        <v>2496</v>
      </c>
      <c r="F441" s="1583"/>
      <c r="G441" s="1583"/>
      <c r="H441" s="1583"/>
      <c r="I441" s="1583"/>
      <c r="J441" s="1583"/>
      <c r="K441" s="1583"/>
      <c r="L441" s="1583"/>
      <c r="M441" s="1583"/>
      <c r="N441" s="1583"/>
      <c r="O441" s="1583"/>
      <c r="P441" s="1583"/>
      <c r="Q441" s="1583"/>
      <c r="R441" s="1600"/>
      <c r="S441" s="1600"/>
      <c r="T441" s="1585"/>
      <c r="U441" s="1585"/>
      <c r="V441" s="1585"/>
      <c r="W441" s="1585"/>
      <c r="X441" s="1585"/>
      <c r="Y441" s="1585"/>
      <c r="Z441" s="1585"/>
      <c r="AA441" s="1585"/>
      <c r="AB441" s="1585"/>
      <c r="AC441" s="1585">
        <v>658</v>
      </c>
      <c r="AD441" s="1601">
        <f t="shared" si="66"/>
        <v>658</v>
      </c>
      <c r="AE441" s="1790">
        <v>0</v>
      </c>
      <c r="AF441" s="1792"/>
    </row>
    <row r="442" spans="1:32" s="1602" customFormat="1" ht="26.1" customHeight="1">
      <c r="A442" s="2918"/>
      <c r="B442" s="2919"/>
      <c r="C442" s="2920"/>
      <c r="D442" s="2917"/>
      <c r="E442" s="1603" t="s">
        <v>2497</v>
      </c>
      <c r="F442" s="1583"/>
      <c r="G442" s="1583"/>
      <c r="H442" s="1583"/>
      <c r="I442" s="1583"/>
      <c r="J442" s="1583"/>
      <c r="K442" s="1583"/>
      <c r="L442" s="1583"/>
      <c r="M442" s="1583"/>
      <c r="N442" s="1583"/>
      <c r="O442" s="1583"/>
      <c r="P442" s="1583"/>
      <c r="Q442" s="1583"/>
      <c r="R442" s="1600"/>
      <c r="S442" s="1600"/>
      <c r="T442" s="1585"/>
      <c r="U442" s="1585"/>
      <c r="V442" s="1585"/>
      <c r="W442" s="1585"/>
      <c r="X442" s="1618"/>
      <c r="Y442" s="1585"/>
      <c r="Z442" s="1585"/>
      <c r="AA442" s="1585"/>
      <c r="AB442" s="1585"/>
      <c r="AC442" s="1585"/>
      <c r="AD442" s="1601">
        <f t="shared" si="66"/>
        <v>0</v>
      </c>
      <c r="AE442" s="1790">
        <v>0</v>
      </c>
      <c r="AF442" s="1792"/>
    </row>
    <row r="443" spans="1:32" s="1602" customFormat="1" ht="26.1" customHeight="1">
      <c r="A443" s="2918" t="s">
        <v>1498</v>
      </c>
      <c r="B443" s="2919" t="s">
        <v>2008</v>
      </c>
      <c r="C443" s="2920" t="s">
        <v>52</v>
      </c>
      <c r="D443" s="2917">
        <v>440</v>
      </c>
      <c r="E443" s="1598" t="s">
        <v>2496</v>
      </c>
      <c r="F443" s="1583"/>
      <c r="G443" s="1583"/>
      <c r="H443" s="1583"/>
      <c r="I443" s="1583"/>
      <c r="J443" s="1583"/>
      <c r="K443" s="1583"/>
      <c r="L443" s="1605"/>
      <c r="M443" s="1583"/>
      <c r="N443" s="1583"/>
      <c r="O443" s="1583"/>
      <c r="P443" s="1583"/>
      <c r="Q443" s="1583"/>
      <c r="R443" s="1600"/>
      <c r="S443" s="1600"/>
      <c r="T443" s="1585"/>
      <c r="U443" s="1585"/>
      <c r="V443" s="1585"/>
      <c r="W443" s="1585"/>
      <c r="X443" s="1585"/>
      <c r="Y443" s="1585"/>
      <c r="Z443" s="1585"/>
      <c r="AA443" s="1585"/>
      <c r="AB443" s="1585"/>
      <c r="AC443" s="1585">
        <v>440</v>
      </c>
      <c r="AD443" s="1601">
        <f t="shared" si="66"/>
        <v>440</v>
      </c>
      <c r="AE443" s="1790">
        <v>0</v>
      </c>
      <c r="AF443" s="1792"/>
    </row>
    <row r="444" spans="1:32" s="1602" customFormat="1" ht="26.1" customHeight="1">
      <c r="A444" s="2918"/>
      <c r="B444" s="2919"/>
      <c r="C444" s="2920"/>
      <c r="D444" s="2917"/>
      <c r="E444" s="1603" t="s">
        <v>2497</v>
      </c>
      <c r="F444" s="1583"/>
      <c r="G444" s="1583"/>
      <c r="H444" s="1583"/>
      <c r="I444" s="1583"/>
      <c r="J444" s="1583"/>
      <c r="K444" s="1583"/>
      <c r="L444" s="1605"/>
      <c r="M444" s="1583"/>
      <c r="N444" s="1583"/>
      <c r="O444" s="1583"/>
      <c r="P444" s="1583"/>
      <c r="Q444" s="1583"/>
      <c r="R444" s="1600"/>
      <c r="S444" s="1600"/>
      <c r="T444" s="1585"/>
      <c r="U444" s="1585"/>
      <c r="V444" s="1585"/>
      <c r="W444" s="1585"/>
      <c r="X444" s="1618"/>
      <c r="Y444" s="1585"/>
      <c r="Z444" s="1585"/>
      <c r="AA444" s="1585"/>
      <c r="AB444" s="1585"/>
      <c r="AC444" s="1585"/>
      <c r="AD444" s="1601">
        <f t="shared" si="66"/>
        <v>0</v>
      </c>
      <c r="AE444" s="1790">
        <v>0</v>
      </c>
      <c r="AF444" s="1792"/>
    </row>
    <row r="445" spans="1:32" s="1602" customFormat="1" ht="26.1" customHeight="1">
      <c r="A445" s="2918" t="s">
        <v>1499</v>
      </c>
      <c r="B445" s="2919" t="s">
        <v>2009</v>
      </c>
      <c r="C445" s="2920" t="s">
        <v>52</v>
      </c>
      <c r="D445" s="2917">
        <v>2461.11</v>
      </c>
      <c r="E445" s="1598" t="s">
        <v>2496</v>
      </c>
      <c r="F445" s="1583"/>
      <c r="G445" s="1583"/>
      <c r="H445" s="1583"/>
      <c r="I445" s="1583"/>
      <c r="J445" s="1583"/>
      <c r="K445" s="1583"/>
      <c r="L445" s="1605"/>
      <c r="M445" s="1583"/>
      <c r="N445" s="1583"/>
      <c r="O445" s="1583"/>
      <c r="P445" s="1583"/>
      <c r="Q445" s="1583"/>
      <c r="R445" s="1600"/>
      <c r="S445" s="1600"/>
      <c r="T445" s="1585"/>
      <c r="U445" s="1585"/>
      <c r="V445" s="1585"/>
      <c r="W445" s="1585"/>
      <c r="X445" s="1585"/>
      <c r="Y445" s="1585"/>
      <c r="Z445" s="1585"/>
      <c r="AA445" s="1585"/>
      <c r="AB445" s="1585"/>
      <c r="AC445" s="1585">
        <v>2461.11</v>
      </c>
      <c r="AD445" s="1601">
        <f t="shared" si="66"/>
        <v>2461.11</v>
      </c>
      <c r="AE445" s="1790">
        <v>0</v>
      </c>
      <c r="AF445" s="1792"/>
    </row>
    <row r="446" spans="1:32" s="1602" customFormat="1" ht="26.1" customHeight="1">
      <c r="A446" s="2918"/>
      <c r="B446" s="2919"/>
      <c r="C446" s="2920"/>
      <c r="D446" s="2917"/>
      <c r="E446" s="1603" t="s">
        <v>2497</v>
      </c>
      <c r="F446" s="1583"/>
      <c r="G446" s="1583"/>
      <c r="H446" s="1583"/>
      <c r="I446" s="1583"/>
      <c r="J446" s="1583"/>
      <c r="K446" s="1583"/>
      <c r="L446" s="1605"/>
      <c r="M446" s="1583"/>
      <c r="N446" s="1583"/>
      <c r="O446" s="1583"/>
      <c r="P446" s="1583"/>
      <c r="Q446" s="1583"/>
      <c r="R446" s="1600"/>
      <c r="S446" s="1600"/>
      <c r="T446" s="1585"/>
      <c r="U446" s="1585"/>
      <c r="V446" s="1585"/>
      <c r="W446" s="1585"/>
      <c r="X446" s="1618"/>
      <c r="Y446" s="1585"/>
      <c r="Z446" s="1585"/>
      <c r="AA446" s="1585"/>
      <c r="AB446" s="1585"/>
      <c r="AC446" s="1585"/>
      <c r="AD446" s="1601">
        <f t="shared" si="66"/>
        <v>0</v>
      </c>
      <c r="AE446" s="1790">
        <v>0</v>
      </c>
      <c r="AF446" s="1792"/>
    </row>
    <row r="447" spans="1:32" s="1602" customFormat="1" ht="26.1" customHeight="1">
      <c r="A447" s="2918" t="s">
        <v>1500</v>
      </c>
      <c r="B447" s="2919" t="s">
        <v>2010</v>
      </c>
      <c r="C447" s="2920" t="s">
        <v>52</v>
      </c>
      <c r="D447" s="2917">
        <v>1023</v>
      </c>
      <c r="E447" s="1598" t="s">
        <v>2496</v>
      </c>
      <c r="F447" s="1583"/>
      <c r="G447" s="1583"/>
      <c r="H447" s="1583"/>
      <c r="I447" s="1583"/>
      <c r="J447" s="1583"/>
      <c r="K447" s="1583"/>
      <c r="L447" s="1605"/>
      <c r="M447" s="1583"/>
      <c r="N447" s="1583"/>
      <c r="O447" s="1583"/>
      <c r="P447" s="1583"/>
      <c r="Q447" s="1583"/>
      <c r="R447" s="1600"/>
      <c r="S447" s="1600"/>
      <c r="T447" s="1585"/>
      <c r="U447" s="1585"/>
      <c r="V447" s="1585"/>
      <c r="W447" s="1585"/>
      <c r="X447" s="1585"/>
      <c r="Y447" s="1585"/>
      <c r="Z447" s="1585"/>
      <c r="AA447" s="1585"/>
      <c r="AB447" s="1585"/>
      <c r="AC447" s="1585">
        <v>1023</v>
      </c>
      <c r="AD447" s="1601">
        <f t="shared" si="66"/>
        <v>1023</v>
      </c>
      <c r="AE447" s="1790">
        <v>0</v>
      </c>
      <c r="AF447" s="1792"/>
    </row>
    <row r="448" spans="1:32" s="1602" customFormat="1" ht="26.1" customHeight="1">
      <c r="A448" s="2918"/>
      <c r="B448" s="2919"/>
      <c r="C448" s="2920"/>
      <c r="D448" s="2917"/>
      <c r="E448" s="1603" t="s">
        <v>2497</v>
      </c>
      <c r="F448" s="1583"/>
      <c r="G448" s="1583"/>
      <c r="H448" s="1583"/>
      <c r="I448" s="1583"/>
      <c r="J448" s="1583"/>
      <c r="K448" s="1583"/>
      <c r="L448" s="1605"/>
      <c r="M448" s="1583"/>
      <c r="N448" s="1583"/>
      <c r="O448" s="1583"/>
      <c r="P448" s="1583"/>
      <c r="Q448" s="1583"/>
      <c r="R448" s="1600"/>
      <c r="S448" s="1600"/>
      <c r="T448" s="1585"/>
      <c r="U448" s="1585"/>
      <c r="V448" s="1585"/>
      <c r="W448" s="1585"/>
      <c r="X448" s="1585"/>
      <c r="Y448" s="1585"/>
      <c r="Z448" s="1585"/>
      <c r="AA448" s="1585"/>
      <c r="AB448" s="1585"/>
      <c r="AC448" s="1585"/>
      <c r="AD448" s="1601">
        <f t="shared" si="66"/>
        <v>0</v>
      </c>
      <c r="AE448" s="1790">
        <v>0</v>
      </c>
      <c r="AF448" s="1792"/>
    </row>
    <row r="449" spans="1:32" s="1602" customFormat="1" ht="26.1" customHeight="1">
      <c r="A449" s="1594" t="s">
        <v>1501</v>
      </c>
      <c r="B449" s="1609" t="s">
        <v>2011</v>
      </c>
      <c r="C449" s="1596"/>
      <c r="D449" s="1597"/>
      <c r="E449" s="1600"/>
      <c r="F449" s="1583"/>
      <c r="G449" s="1583"/>
      <c r="H449" s="1583"/>
      <c r="I449" s="1583"/>
      <c r="J449" s="1583"/>
      <c r="K449" s="1583"/>
      <c r="L449" s="1605"/>
      <c r="M449" s="1583"/>
      <c r="N449" s="1583"/>
      <c r="O449" s="1583"/>
      <c r="P449" s="1583"/>
      <c r="Q449" s="1583"/>
      <c r="R449" s="1600"/>
      <c r="S449" s="1600"/>
      <c r="T449" s="1585"/>
      <c r="U449" s="1585"/>
      <c r="V449" s="1585"/>
      <c r="W449" s="1585"/>
      <c r="X449" s="1585"/>
      <c r="Y449" s="1585"/>
      <c r="Z449" s="1585"/>
      <c r="AA449" s="1585"/>
      <c r="AB449" s="1585"/>
      <c r="AC449" s="1585"/>
      <c r="AD449" s="1601">
        <f t="shared" si="66"/>
        <v>0</v>
      </c>
      <c r="AE449" s="1790">
        <v>0</v>
      </c>
      <c r="AF449" s="1792"/>
    </row>
    <row r="450" spans="1:32" s="1602" customFormat="1" ht="26.1" customHeight="1">
      <c r="A450" s="2918" t="s">
        <v>1502</v>
      </c>
      <c r="B450" s="2919" t="s">
        <v>2012</v>
      </c>
      <c r="C450" s="2920" t="s">
        <v>268</v>
      </c>
      <c r="D450" s="2917">
        <v>13983.2</v>
      </c>
      <c r="E450" s="1598" t="s">
        <v>2496</v>
      </c>
      <c r="F450" s="1583"/>
      <c r="G450" s="1583"/>
      <c r="H450" s="1583"/>
      <c r="I450" s="1583"/>
      <c r="J450" s="1583"/>
      <c r="K450" s="1583"/>
      <c r="L450" s="1605"/>
      <c r="M450" s="1583"/>
      <c r="N450" s="1583"/>
      <c r="O450" s="1583"/>
      <c r="P450" s="1583"/>
      <c r="Q450" s="1583"/>
      <c r="R450" s="1600"/>
      <c r="S450" s="1600"/>
      <c r="T450" s="1585"/>
      <c r="U450" s="1585"/>
      <c r="V450" s="1585"/>
      <c r="W450" s="1585"/>
      <c r="X450" s="1585"/>
      <c r="Y450" s="1585"/>
      <c r="Z450" s="1585"/>
      <c r="AA450" s="1585"/>
      <c r="AB450" s="1585"/>
      <c r="AC450" s="1585">
        <v>13983.2</v>
      </c>
      <c r="AD450" s="1601">
        <f t="shared" si="66"/>
        <v>13983.2</v>
      </c>
      <c r="AE450" s="1790">
        <v>0</v>
      </c>
      <c r="AF450" s="1792"/>
    </row>
    <row r="451" spans="1:32" s="1602" customFormat="1" ht="26.1" customHeight="1">
      <c r="A451" s="2918"/>
      <c r="B451" s="2919"/>
      <c r="C451" s="2920"/>
      <c r="D451" s="2917"/>
      <c r="E451" s="1603" t="s">
        <v>2497</v>
      </c>
      <c r="F451" s="1583"/>
      <c r="G451" s="1583"/>
      <c r="H451" s="1583"/>
      <c r="I451" s="1583"/>
      <c r="J451" s="1583"/>
      <c r="K451" s="1583"/>
      <c r="L451" s="1605"/>
      <c r="M451" s="1583"/>
      <c r="N451" s="1583"/>
      <c r="O451" s="1583"/>
      <c r="P451" s="1583"/>
      <c r="Q451" s="1583"/>
      <c r="R451" s="1600"/>
      <c r="S451" s="1600"/>
      <c r="T451" s="1585"/>
      <c r="U451" s="1585"/>
      <c r="V451" s="1585"/>
      <c r="W451" s="1585"/>
      <c r="X451" s="1585"/>
      <c r="Y451" s="1585"/>
      <c r="Z451" s="1585"/>
      <c r="AA451" s="1585"/>
      <c r="AB451" s="1585"/>
      <c r="AC451" s="1585"/>
      <c r="AD451" s="1601">
        <f t="shared" si="66"/>
        <v>0</v>
      </c>
      <c r="AE451" s="1790">
        <v>0</v>
      </c>
      <c r="AF451" s="1792"/>
    </row>
    <row r="452" spans="1:32" s="1602" customFormat="1" ht="26.1" customHeight="1">
      <c r="A452" s="1594">
        <v>6.3</v>
      </c>
      <c r="B452" s="1614" t="s">
        <v>2013</v>
      </c>
      <c r="C452" s="1596"/>
      <c r="D452" s="1592"/>
      <c r="E452" s="1600"/>
      <c r="F452" s="1583"/>
      <c r="G452" s="1583"/>
      <c r="H452" s="1583"/>
      <c r="I452" s="1583"/>
      <c r="J452" s="1583"/>
      <c r="K452" s="1583"/>
      <c r="L452" s="1605"/>
      <c r="M452" s="1583"/>
      <c r="N452" s="1583"/>
      <c r="O452" s="1583"/>
      <c r="P452" s="1583"/>
      <c r="Q452" s="1583"/>
      <c r="R452" s="1600"/>
      <c r="S452" s="1600"/>
      <c r="T452" s="1585"/>
      <c r="U452" s="1585"/>
      <c r="V452" s="1585"/>
      <c r="W452" s="1585"/>
      <c r="X452" s="1585"/>
      <c r="Y452" s="1585"/>
      <c r="Z452" s="1585"/>
      <c r="AA452" s="1585"/>
      <c r="AB452" s="1585"/>
      <c r="AC452" s="1585"/>
      <c r="AD452" s="1601">
        <f t="shared" si="66"/>
        <v>0</v>
      </c>
      <c r="AE452" s="1790">
        <v>0</v>
      </c>
      <c r="AF452" s="1792"/>
    </row>
    <row r="453" spans="1:32" s="1602" customFormat="1" ht="26.1" customHeight="1">
      <c r="A453" s="1594" t="s">
        <v>1505</v>
      </c>
      <c r="B453" s="1609" t="s">
        <v>1980</v>
      </c>
      <c r="C453" s="1591"/>
      <c r="D453" s="1592"/>
      <c r="E453" s="1600"/>
      <c r="F453" s="1583"/>
      <c r="G453" s="1583"/>
      <c r="H453" s="1583"/>
      <c r="I453" s="1583"/>
      <c r="J453" s="1583"/>
      <c r="K453" s="1583"/>
      <c r="L453" s="1605"/>
      <c r="M453" s="1583"/>
      <c r="N453" s="1583"/>
      <c r="O453" s="1583"/>
      <c r="P453" s="1583"/>
      <c r="Q453" s="1583"/>
      <c r="R453" s="1600"/>
      <c r="S453" s="1600"/>
      <c r="T453" s="1585"/>
      <c r="U453" s="1585"/>
      <c r="V453" s="1585"/>
      <c r="W453" s="1585"/>
      <c r="X453" s="1585"/>
      <c r="Y453" s="1585"/>
      <c r="Z453" s="1585"/>
      <c r="AA453" s="1585"/>
      <c r="AB453" s="1585"/>
      <c r="AC453" s="1585"/>
      <c r="AD453" s="1601">
        <f t="shared" si="66"/>
        <v>0</v>
      </c>
      <c r="AE453" s="1790">
        <v>0</v>
      </c>
      <c r="AF453" s="1792"/>
    </row>
    <row r="454" spans="1:32" s="1602" customFormat="1" ht="26.1" customHeight="1">
      <c r="A454" s="2918" t="s">
        <v>1506</v>
      </c>
      <c r="B454" s="2919" t="s">
        <v>1981</v>
      </c>
      <c r="C454" s="2920" t="s">
        <v>51</v>
      </c>
      <c r="D454" s="2917">
        <v>94.3</v>
      </c>
      <c r="E454" s="1598" t="s">
        <v>2496</v>
      </c>
      <c r="F454" s="1583"/>
      <c r="G454" s="1583"/>
      <c r="H454" s="1583"/>
      <c r="I454" s="1583"/>
      <c r="J454" s="1583"/>
      <c r="K454" s="1583"/>
      <c r="L454" s="1583"/>
      <c r="M454" s="1583"/>
      <c r="N454" s="1583"/>
      <c r="O454" s="1583"/>
      <c r="P454" s="1583"/>
      <c r="Q454" s="1583"/>
      <c r="R454" s="1600"/>
      <c r="S454" s="1600"/>
      <c r="T454" s="1585"/>
      <c r="U454" s="1585"/>
      <c r="V454" s="1585"/>
      <c r="W454" s="1585"/>
      <c r="X454" s="1585"/>
      <c r="Y454" s="1585"/>
      <c r="Z454" s="1585">
        <v>94.3</v>
      </c>
      <c r="AA454" s="1585"/>
      <c r="AB454" s="1585"/>
      <c r="AC454" s="1585"/>
      <c r="AD454" s="1601">
        <f t="shared" si="66"/>
        <v>94.3</v>
      </c>
      <c r="AE454" s="1790">
        <v>0</v>
      </c>
      <c r="AF454" s="1792"/>
    </row>
    <row r="455" spans="1:32" s="1602" customFormat="1" ht="26.1" customHeight="1">
      <c r="A455" s="2918"/>
      <c r="B455" s="2919"/>
      <c r="C455" s="2920"/>
      <c r="D455" s="2917"/>
      <c r="E455" s="1603" t="s">
        <v>2497</v>
      </c>
      <c r="F455" s="1583"/>
      <c r="G455" s="1583"/>
      <c r="H455" s="1583"/>
      <c r="I455" s="1583"/>
      <c r="J455" s="1583"/>
      <c r="K455" s="1583"/>
      <c r="L455" s="1583"/>
      <c r="M455" s="1583"/>
      <c r="N455" s="1583"/>
      <c r="O455" s="1583"/>
      <c r="P455" s="1583"/>
      <c r="Q455" s="1583"/>
      <c r="R455" s="1600"/>
      <c r="S455" s="1600"/>
      <c r="T455" s="1585"/>
      <c r="U455" s="1585"/>
      <c r="V455" s="1618"/>
      <c r="W455" s="1585"/>
      <c r="X455" s="1585"/>
      <c r="Y455" s="1585"/>
      <c r="Z455" s="1585"/>
      <c r="AA455" s="1585"/>
      <c r="AB455" s="1585"/>
      <c r="AC455" s="1585"/>
      <c r="AD455" s="1601">
        <f t="shared" si="66"/>
        <v>0</v>
      </c>
      <c r="AE455" s="1790">
        <v>0</v>
      </c>
      <c r="AF455" s="1792"/>
    </row>
    <row r="456" spans="1:32" s="1602" customFormat="1" ht="26.1" customHeight="1">
      <c r="A456" s="2918" t="s">
        <v>1507</v>
      </c>
      <c r="B456" s="2919" t="s">
        <v>1982</v>
      </c>
      <c r="C456" s="2920" t="s">
        <v>52</v>
      </c>
      <c r="D456" s="2917">
        <v>16.579999999999998</v>
      </c>
      <c r="E456" s="1598" t="s">
        <v>2496</v>
      </c>
      <c r="F456" s="1583"/>
      <c r="G456" s="1583"/>
      <c r="H456" s="1583"/>
      <c r="I456" s="1583"/>
      <c r="J456" s="1583"/>
      <c r="K456" s="1583"/>
      <c r="L456" s="1605"/>
      <c r="M456" s="1583"/>
      <c r="N456" s="1583"/>
      <c r="O456" s="1583"/>
      <c r="P456" s="1583"/>
      <c r="Q456" s="1583"/>
      <c r="R456" s="1600"/>
      <c r="S456" s="1600"/>
      <c r="T456" s="1585"/>
      <c r="U456" s="1585"/>
      <c r="V456" s="1585"/>
      <c r="W456" s="1585"/>
      <c r="X456" s="1585"/>
      <c r="Y456" s="1585"/>
      <c r="Z456" s="1585">
        <v>16.579999999999998</v>
      </c>
      <c r="AA456" s="1585"/>
      <c r="AB456" s="1585"/>
      <c r="AC456" s="1585"/>
      <c r="AD456" s="1601">
        <f t="shared" si="66"/>
        <v>16.579999999999998</v>
      </c>
      <c r="AE456" s="1790">
        <v>0</v>
      </c>
      <c r="AF456" s="1792"/>
    </row>
    <row r="457" spans="1:32" s="1602" customFormat="1" ht="26.1" customHeight="1">
      <c r="A457" s="2918"/>
      <c r="B457" s="2919"/>
      <c r="C457" s="2920"/>
      <c r="D457" s="2917"/>
      <c r="E457" s="1603" t="s">
        <v>2497</v>
      </c>
      <c r="F457" s="1583"/>
      <c r="G457" s="1583"/>
      <c r="H457" s="1583"/>
      <c r="I457" s="1583"/>
      <c r="J457" s="1583"/>
      <c r="K457" s="1583"/>
      <c r="L457" s="1605"/>
      <c r="M457" s="1583"/>
      <c r="N457" s="1583"/>
      <c r="O457" s="1583"/>
      <c r="P457" s="1583"/>
      <c r="Q457" s="1583"/>
      <c r="R457" s="1600"/>
      <c r="S457" s="1600"/>
      <c r="T457" s="1585"/>
      <c r="U457" s="1585"/>
      <c r="V457" s="1618"/>
      <c r="W457" s="1585"/>
      <c r="X457" s="1585"/>
      <c r="Y457" s="1585"/>
      <c r="Z457" s="1585"/>
      <c r="AA457" s="1585"/>
      <c r="AB457" s="1585"/>
      <c r="AC457" s="1585"/>
      <c r="AD457" s="1601">
        <f t="shared" si="66"/>
        <v>0</v>
      </c>
      <c r="AE457" s="1790">
        <v>0</v>
      </c>
      <c r="AF457" s="1792"/>
    </row>
    <row r="458" spans="1:32" s="1602" customFormat="1" ht="26.1" customHeight="1">
      <c r="A458" s="2918" t="s">
        <v>1508</v>
      </c>
      <c r="B458" s="2919" t="s">
        <v>1983</v>
      </c>
      <c r="C458" s="2920" t="s">
        <v>52</v>
      </c>
      <c r="D458" s="2917">
        <v>71.680000000000007</v>
      </c>
      <c r="E458" s="1598" t="s">
        <v>2496</v>
      </c>
      <c r="F458" s="1583"/>
      <c r="G458" s="1583"/>
      <c r="H458" s="1583"/>
      <c r="I458" s="1583"/>
      <c r="J458" s="1583"/>
      <c r="K458" s="1583"/>
      <c r="L458" s="1583"/>
      <c r="M458" s="1583"/>
      <c r="N458" s="1583"/>
      <c r="O458" s="1583"/>
      <c r="P458" s="1583"/>
      <c r="Q458" s="1583"/>
      <c r="R458" s="1600"/>
      <c r="S458" s="1600"/>
      <c r="T458" s="1585"/>
      <c r="U458" s="1585"/>
      <c r="V458" s="1585"/>
      <c r="W458" s="1585"/>
      <c r="X458" s="1585"/>
      <c r="Y458" s="1585"/>
      <c r="Z458" s="1585">
        <v>71.680000000000007</v>
      </c>
      <c r="AA458" s="1585"/>
      <c r="AB458" s="1585"/>
      <c r="AC458" s="1585"/>
      <c r="AD458" s="1601">
        <f t="shared" si="66"/>
        <v>71.680000000000007</v>
      </c>
      <c r="AE458" s="1790">
        <v>0</v>
      </c>
      <c r="AF458" s="1792"/>
    </row>
    <row r="459" spans="1:32" s="1602" customFormat="1" ht="26.1" customHeight="1">
      <c r="A459" s="2918"/>
      <c r="B459" s="2919"/>
      <c r="C459" s="2920"/>
      <c r="D459" s="2917"/>
      <c r="E459" s="1603" t="s">
        <v>2497</v>
      </c>
      <c r="F459" s="1583"/>
      <c r="G459" s="1583"/>
      <c r="H459" s="1583"/>
      <c r="I459" s="1583"/>
      <c r="J459" s="1583"/>
      <c r="K459" s="1583"/>
      <c r="L459" s="1583"/>
      <c r="M459" s="1583"/>
      <c r="N459" s="1583"/>
      <c r="O459" s="1583"/>
      <c r="P459" s="1583"/>
      <c r="Q459" s="1583"/>
      <c r="R459" s="1600"/>
      <c r="S459" s="1600"/>
      <c r="T459" s="1585"/>
      <c r="U459" s="1585"/>
      <c r="V459" s="1618"/>
      <c r="W459" s="1585"/>
      <c r="X459" s="1585"/>
      <c r="Y459" s="1585"/>
      <c r="Z459" s="1585"/>
      <c r="AA459" s="1585"/>
      <c r="AB459" s="1585"/>
      <c r="AC459" s="1585"/>
      <c r="AD459" s="1601">
        <f t="shared" si="66"/>
        <v>0</v>
      </c>
      <c r="AE459" s="1790">
        <v>0</v>
      </c>
      <c r="AF459" s="1792"/>
    </row>
    <row r="460" spans="1:32" s="1602" customFormat="1" ht="26.1" customHeight="1">
      <c r="A460" s="2918" t="s">
        <v>1509</v>
      </c>
      <c r="B460" s="2919" t="s">
        <v>1984</v>
      </c>
      <c r="C460" s="2920" t="s">
        <v>51</v>
      </c>
      <c r="D460" s="2917">
        <v>80.92</v>
      </c>
      <c r="E460" s="1598" t="s">
        <v>2496</v>
      </c>
      <c r="F460" s="1583"/>
      <c r="G460" s="1583"/>
      <c r="H460" s="1583"/>
      <c r="I460" s="1583"/>
      <c r="J460" s="1583"/>
      <c r="K460" s="1583"/>
      <c r="L460" s="1583"/>
      <c r="M460" s="1583"/>
      <c r="N460" s="1583"/>
      <c r="O460" s="1583"/>
      <c r="P460" s="1583"/>
      <c r="Q460" s="1583"/>
      <c r="R460" s="1600"/>
      <c r="S460" s="1600"/>
      <c r="T460" s="1585"/>
      <c r="U460" s="1585"/>
      <c r="V460" s="1585"/>
      <c r="W460" s="1585"/>
      <c r="X460" s="1585"/>
      <c r="Y460" s="1585"/>
      <c r="Z460" s="1585">
        <v>80.92</v>
      </c>
      <c r="AA460" s="1585"/>
      <c r="AB460" s="1585"/>
      <c r="AC460" s="1585"/>
      <c r="AD460" s="1601">
        <f t="shared" si="66"/>
        <v>80.92</v>
      </c>
      <c r="AE460" s="1790">
        <v>0</v>
      </c>
      <c r="AF460" s="1792"/>
    </row>
    <row r="461" spans="1:32" s="1602" customFormat="1" ht="26.1" customHeight="1">
      <c r="A461" s="2918"/>
      <c r="B461" s="2919"/>
      <c r="C461" s="2920"/>
      <c r="D461" s="2917"/>
      <c r="E461" s="1603" t="s">
        <v>2497</v>
      </c>
      <c r="F461" s="1583"/>
      <c r="G461" s="1583"/>
      <c r="H461" s="1583"/>
      <c r="I461" s="1583"/>
      <c r="J461" s="1583"/>
      <c r="K461" s="1583"/>
      <c r="L461" s="1583"/>
      <c r="M461" s="1583"/>
      <c r="N461" s="1583"/>
      <c r="O461" s="1583"/>
      <c r="P461" s="1583"/>
      <c r="Q461" s="1583"/>
      <c r="R461" s="1600"/>
      <c r="S461" s="1600"/>
      <c r="T461" s="1585"/>
      <c r="U461" s="1585"/>
      <c r="V461" s="1618"/>
      <c r="W461" s="1585"/>
      <c r="X461" s="1585"/>
      <c r="Y461" s="1585"/>
      <c r="Z461" s="1585"/>
      <c r="AA461" s="1585"/>
      <c r="AB461" s="1585"/>
      <c r="AC461" s="1585"/>
      <c r="AD461" s="1601">
        <f t="shared" si="66"/>
        <v>0</v>
      </c>
      <c r="AE461" s="1790">
        <v>0</v>
      </c>
      <c r="AF461" s="1792"/>
    </row>
    <row r="462" spans="1:32" s="1602" customFormat="1" ht="26.1" customHeight="1">
      <c r="A462" s="2918" t="s">
        <v>1510</v>
      </c>
      <c r="B462" s="2919" t="s">
        <v>1985</v>
      </c>
      <c r="C462" s="2920" t="s">
        <v>52</v>
      </c>
      <c r="D462" s="2917">
        <v>20.45</v>
      </c>
      <c r="E462" s="1598" t="s">
        <v>2496</v>
      </c>
      <c r="F462" s="1583"/>
      <c r="G462" s="1583"/>
      <c r="H462" s="1583"/>
      <c r="I462" s="1583"/>
      <c r="J462" s="1583"/>
      <c r="K462" s="1583"/>
      <c r="L462" s="1583"/>
      <c r="M462" s="1583"/>
      <c r="N462" s="1583"/>
      <c r="O462" s="1583"/>
      <c r="P462" s="1583"/>
      <c r="Q462" s="1583"/>
      <c r="R462" s="1600"/>
      <c r="S462" s="1600"/>
      <c r="T462" s="1585"/>
      <c r="U462" s="1585"/>
      <c r="V462" s="1585"/>
      <c r="W462" s="1585"/>
      <c r="X462" s="1585"/>
      <c r="Y462" s="1585"/>
      <c r="Z462" s="1585">
        <v>20.45</v>
      </c>
      <c r="AA462" s="1585"/>
      <c r="AB462" s="1585"/>
      <c r="AC462" s="1585"/>
      <c r="AD462" s="1601">
        <f t="shared" si="66"/>
        <v>20.45</v>
      </c>
      <c r="AE462" s="1790">
        <v>0</v>
      </c>
      <c r="AF462" s="1792"/>
    </row>
    <row r="463" spans="1:32" s="1602" customFormat="1" ht="26.1" customHeight="1">
      <c r="A463" s="2918"/>
      <c r="B463" s="2919"/>
      <c r="C463" s="2920"/>
      <c r="D463" s="2917"/>
      <c r="E463" s="1603" t="s">
        <v>2497</v>
      </c>
      <c r="F463" s="1583"/>
      <c r="G463" s="1583"/>
      <c r="H463" s="1583"/>
      <c r="I463" s="1583"/>
      <c r="J463" s="1583"/>
      <c r="K463" s="1583"/>
      <c r="L463" s="1583"/>
      <c r="M463" s="1583"/>
      <c r="N463" s="1583"/>
      <c r="O463" s="1583"/>
      <c r="P463" s="1583"/>
      <c r="Q463" s="1583"/>
      <c r="R463" s="1600"/>
      <c r="S463" s="1600"/>
      <c r="T463" s="1585"/>
      <c r="U463" s="1585"/>
      <c r="V463" s="1618"/>
      <c r="W463" s="1585"/>
      <c r="X463" s="1585"/>
      <c r="Y463" s="1585"/>
      <c r="Z463" s="1585"/>
      <c r="AA463" s="1585"/>
      <c r="AB463" s="1585"/>
      <c r="AC463" s="1585"/>
      <c r="AD463" s="1601">
        <f t="shared" si="66"/>
        <v>0</v>
      </c>
      <c r="AE463" s="1790">
        <v>0</v>
      </c>
      <c r="AF463" s="1792"/>
    </row>
    <row r="464" spans="1:32" s="1602" customFormat="1" ht="26.1" customHeight="1">
      <c r="A464" s="2918" t="s">
        <v>1511</v>
      </c>
      <c r="B464" s="2919" t="s">
        <v>1986</v>
      </c>
      <c r="C464" s="2920" t="s">
        <v>52</v>
      </c>
      <c r="D464" s="2917">
        <v>81.8</v>
      </c>
      <c r="E464" s="1598" t="s">
        <v>2496</v>
      </c>
      <c r="F464" s="1583"/>
      <c r="G464" s="1583"/>
      <c r="H464" s="1583"/>
      <c r="I464" s="1583"/>
      <c r="J464" s="1583"/>
      <c r="K464" s="1583"/>
      <c r="L464" s="1583"/>
      <c r="M464" s="1583"/>
      <c r="N464" s="1583"/>
      <c r="O464" s="1583"/>
      <c r="P464" s="1583"/>
      <c r="Q464" s="1583"/>
      <c r="R464" s="1600"/>
      <c r="S464" s="1600"/>
      <c r="T464" s="1585"/>
      <c r="U464" s="1585"/>
      <c r="V464" s="1585"/>
      <c r="W464" s="1585"/>
      <c r="X464" s="1585"/>
      <c r="Y464" s="1585"/>
      <c r="Z464" s="1585">
        <v>81.8</v>
      </c>
      <c r="AA464" s="1585"/>
      <c r="AB464" s="1585"/>
      <c r="AC464" s="1585"/>
      <c r="AD464" s="1601">
        <f t="shared" si="66"/>
        <v>81.8</v>
      </c>
      <c r="AE464" s="1790">
        <v>0</v>
      </c>
      <c r="AF464" s="1792"/>
    </row>
    <row r="465" spans="1:32" s="1602" customFormat="1" ht="26.1" customHeight="1">
      <c r="A465" s="2918"/>
      <c r="B465" s="2919"/>
      <c r="C465" s="2920"/>
      <c r="D465" s="2917"/>
      <c r="E465" s="1603" t="s">
        <v>2497</v>
      </c>
      <c r="F465" s="1583"/>
      <c r="G465" s="1583"/>
      <c r="H465" s="1583"/>
      <c r="I465" s="1583"/>
      <c r="J465" s="1583"/>
      <c r="K465" s="1583"/>
      <c r="L465" s="1583"/>
      <c r="M465" s="1583"/>
      <c r="N465" s="1583"/>
      <c r="O465" s="1583"/>
      <c r="P465" s="1583"/>
      <c r="Q465" s="1583"/>
      <c r="R465" s="1600"/>
      <c r="S465" s="1600"/>
      <c r="T465" s="1585"/>
      <c r="U465" s="1585"/>
      <c r="V465" s="1585"/>
      <c r="W465" s="1585"/>
      <c r="X465" s="1585"/>
      <c r="Y465" s="1585"/>
      <c r="Z465" s="1585"/>
      <c r="AA465" s="1585"/>
      <c r="AB465" s="1585"/>
      <c r="AC465" s="1585"/>
      <c r="AD465" s="1601">
        <f t="shared" ref="AD465:AD528" si="67">SUM(F465:AC465)</f>
        <v>0</v>
      </c>
      <c r="AE465" s="1790">
        <v>0</v>
      </c>
      <c r="AF465" s="1792"/>
    </row>
    <row r="466" spans="1:32" s="1602" customFormat="1" ht="26.1" customHeight="1">
      <c r="A466" s="1623" t="s">
        <v>1512</v>
      </c>
      <c r="B466" s="1624" t="s">
        <v>1987</v>
      </c>
      <c r="C466" s="1625"/>
      <c r="D466" s="1597"/>
      <c r="E466" s="1600"/>
      <c r="F466" s="1583"/>
      <c r="G466" s="1583"/>
      <c r="H466" s="1583"/>
      <c r="I466" s="1583"/>
      <c r="J466" s="1583"/>
      <c r="K466" s="1583"/>
      <c r="L466" s="1583"/>
      <c r="M466" s="1583"/>
      <c r="N466" s="1583"/>
      <c r="O466" s="1583"/>
      <c r="P466" s="1583"/>
      <c r="Q466" s="1583"/>
      <c r="R466" s="1600"/>
      <c r="S466" s="1600"/>
      <c r="T466" s="1585"/>
      <c r="U466" s="1585"/>
      <c r="V466" s="1585"/>
      <c r="W466" s="1585"/>
      <c r="X466" s="1585"/>
      <c r="Y466" s="1585"/>
      <c r="Z466" s="1585"/>
      <c r="AA466" s="1585"/>
      <c r="AB466" s="1585"/>
      <c r="AC466" s="1585"/>
      <c r="AD466" s="1601">
        <f t="shared" si="67"/>
        <v>0</v>
      </c>
      <c r="AE466" s="1790">
        <v>0</v>
      </c>
      <c r="AF466" s="1792"/>
    </row>
    <row r="467" spans="1:32" s="1602" customFormat="1" ht="26.1" customHeight="1">
      <c r="A467" s="2918" t="s">
        <v>1513</v>
      </c>
      <c r="B467" s="2919" t="s">
        <v>1988</v>
      </c>
      <c r="C467" s="2920" t="s">
        <v>2145</v>
      </c>
      <c r="D467" s="2917">
        <v>58.64</v>
      </c>
      <c r="E467" s="1598" t="s">
        <v>2496</v>
      </c>
      <c r="F467" s="1583"/>
      <c r="G467" s="1583"/>
      <c r="H467" s="1583"/>
      <c r="I467" s="1583"/>
      <c r="J467" s="1583"/>
      <c r="K467" s="1583"/>
      <c r="L467" s="1583"/>
      <c r="M467" s="1583"/>
      <c r="N467" s="1583"/>
      <c r="O467" s="1583"/>
      <c r="P467" s="1583"/>
      <c r="Q467" s="1583"/>
      <c r="R467" s="1600"/>
      <c r="S467" s="1600"/>
      <c r="T467" s="1585"/>
      <c r="U467" s="1585"/>
      <c r="V467" s="1585"/>
      <c r="W467" s="1585"/>
      <c r="X467" s="1585"/>
      <c r="Y467" s="1585"/>
      <c r="Z467" s="1585">
        <v>58.64</v>
      </c>
      <c r="AA467" s="1585"/>
      <c r="AB467" s="1585"/>
      <c r="AC467" s="1585"/>
      <c r="AD467" s="1601">
        <f t="shared" si="67"/>
        <v>58.64</v>
      </c>
      <c r="AE467" s="1790">
        <v>0</v>
      </c>
      <c r="AF467" s="1792"/>
    </row>
    <row r="468" spans="1:32" s="1602" customFormat="1" ht="26.1" customHeight="1">
      <c r="A468" s="2918"/>
      <c r="B468" s="2919"/>
      <c r="C468" s="2920"/>
      <c r="D468" s="2917"/>
      <c r="E468" s="1603" t="s">
        <v>2497</v>
      </c>
      <c r="F468" s="1583"/>
      <c r="G468" s="1583"/>
      <c r="H468" s="1583"/>
      <c r="I468" s="1583"/>
      <c r="J468" s="1583"/>
      <c r="K468" s="1583"/>
      <c r="L468" s="1583"/>
      <c r="M468" s="1583"/>
      <c r="N468" s="1583"/>
      <c r="O468" s="1583"/>
      <c r="P468" s="1583"/>
      <c r="Q468" s="1583"/>
      <c r="R468" s="1600"/>
      <c r="S468" s="1600"/>
      <c r="T468" s="1585"/>
      <c r="U468" s="1585"/>
      <c r="V468" s="1618"/>
      <c r="W468" s="1585"/>
      <c r="X468" s="1585"/>
      <c r="Y468" s="1585"/>
      <c r="Z468" s="1585"/>
      <c r="AA468" s="1585"/>
      <c r="AB468" s="1585"/>
      <c r="AC468" s="1585"/>
      <c r="AD468" s="1601">
        <f t="shared" si="67"/>
        <v>0</v>
      </c>
      <c r="AE468" s="1790">
        <v>0</v>
      </c>
      <c r="AF468" s="1792"/>
    </row>
    <row r="469" spans="1:32" s="1602" customFormat="1" ht="26.1" customHeight="1">
      <c r="A469" s="2918" t="s">
        <v>1514</v>
      </c>
      <c r="B469" s="2919" t="s">
        <v>1989</v>
      </c>
      <c r="C469" s="2920" t="s">
        <v>52</v>
      </c>
      <c r="D469" s="2917">
        <v>107.48</v>
      </c>
      <c r="E469" s="1598" t="s">
        <v>2496</v>
      </c>
      <c r="F469" s="1583"/>
      <c r="G469" s="1583"/>
      <c r="H469" s="1583"/>
      <c r="I469" s="1583"/>
      <c r="J469" s="1583"/>
      <c r="K469" s="1583"/>
      <c r="L469" s="1583"/>
      <c r="M469" s="1583"/>
      <c r="N469" s="1583"/>
      <c r="O469" s="1583"/>
      <c r="P469" s="1583"/>
      <c r="Q469" s="1583"/>
      <c r="R469" s="1600"/>
      <c r="S469" s="1600"/>
      <c r="T469" s="1585"/>
      <c r="U469" s="1585"/>
      <c r="V469" s="1585"/>
      <c r="W469" s="1585"/>
      <c r="X469" s="1585"/>
      <c r="Y469" s="1585"/>
      <c r="Z469" s="1585">
        <v>107.48</v>
      </c>
      <c r="AA469" s="1585"/>
      <c r="AB469" s="1585"/>
      <c r="AC469" s="1585"/>
      <c r="AD469" s="1601">
        <f t="shared" si="67"/>
        <v>107.48</v>
      </c>
      <c r="AE469" s="1790">
        <v>0</v>
      </c>
      <c r="AF469" s="1792"/>
    </row>
    <row r="470" spans="1:32" s="1602" customFormat="1" ht="26.1" customHeight="1">
      <c r="A470" s="2918"/>
      <c r="B470" s="2919"/>
      <c r="C470" s="2920"/>
      <c r="D470" s="2917"/>
      <c r="E470" s="1603" t="s">
        <v>2497</v>
      </c>
      <c r="F470" s="1583"/>
      <c r="G470" s="1583"/>
      <c r="H470" s="1583"/>
      <c r="I470" s="1583"/>
      <c r="J470" s="1583"/>
      <c r="K470" s="1583"/>
      <c r="L470" s="1583"/>
      <c r="M470" s="1583"/>
      <c r="N470" s="1583"/>
      <c r="O470" s="1583"/>
      <c r="P470" s="1583"/>
      <c r="Q470" s="1583"/>
      <c r="R470" s="1600"/>
      <c r="S470" s="1600"/>
      <c r="T470" s="1585"/>
      <c r="U470" s="1585"/>
      <c r="V470" s="1585"/>
      <c r="W470" s="1585"/>
      <c r="X470" s="1585"/>
      <c r="Y470" s="1585"/>
      <c r="Z470" s="1585"/>
      <c r="AA470" s="1585"/>
      <c r="AB470" s="1585"/>
      <c r="AC470" s="1585"/>
      <c r="AD470" s="1601">
        <f t="shared" si="67"/>
        <v>0</v>
      </c>
      <c r="AE470" s="1790">
        <v>0</v>
      </c>
      <c r="AF470" s="1792"/>
    </row>
    <row r="471" spans="1:32" s="1602" customFormat="1" ht="26.1" customHeight="1">
      <c r="A471" s="1594" t="s">
        <v>1515</v>
      </c>
      <c r="B471" s="1609" t="s">
        <v>2014</v>
      </c>
      <c r="C471" s="1597"/>
      <c r="D471" s="1597"/>
      <c r="E471" s="1600"/>
      <c r="F471" s="1583"/>
      <c r="G471" s="1583"/>
      <c r="H471" s="1583"/>
      <c r="I471" s="1583"/>
      <c r="J471" s="1583"/>
      <c r="K471" s="1583"/>
      <c r="L471" s="1583"/>
      <c r="M471" s="1583"/>
      <c r="N471" s="1583"/>
      <c r="O471" s="1583"/>
      <c r="P471" s="1583"/>
      <c r="Q471" s="1583"/>
      <c r="R471" s="1600"/>
      <c r="S471" s="1600"/>
      <c r="T471" s="1585"/>
      <c r="U471" s="1585"/>
      <c r="V471" s="1585"/>
      <c r="W471" s="1585"/>
      <c r="X471" s="1585"/>
      <c r="Y471" s="1585"/>
      <c r="Z471" s="1585"/>
      <c r="AA471" s="1585"/>
      <c r="AB471" s="1585"/>
      <c r="AC471" s="1585"/>
      <c r="AD471" s="1601">
        <f t="shared" si="67"/>
        <v>0</v>
      </c>
      <c r="AE471" s="1790">
        <v>0</v>
      </c>
      <c r="AF471" s="1792"/>
    </row>
    <row r="472" spans="1:32" s="1602" customFormat="1" ht="26.1" customHeight="1">
      <c r="A472" s="2918" t="s">
        <v>1516</v>
      </c>
      <c r="B472" s="2919" t="s">
        <v>2015</v>
      </c>
      <c r="C472" s="2920" t="s">
        <v>52</v>
      </c>
      <c r="D472" s="2917">
        <v>55.27</v>
      </c>
      <c r="E472" s="1598" t="s">
        <v>2496</v>
      </c>
      <c r="F472" s="1583"/>
      <c r="G472" s="1583"/>
      <c r="H472" s="1583"/>
      <c r="I472" s="1583"/>
      <c r="J472" s="1583"/>
      <c r="K472" s="1583"/>
      <c r="L472" s="1583"/>
      <c r="M472" s="1583"/>
      <c r="N472" s="1583"/>
      <c r="O472" s="1583"/>
      <c r="P472" s="1583"/>
      <c r="Q472" s="1583"/>
      <c r="R472" s="1600"/>
      <c r="S472" s="1600"/>
      <c r="T472" s="1585"/>
      <c r="U472" s="1585"/>
      <c r="V472" s="1585"/>
      <c r="W472" s="1585"/>
      <c r="X472" s="1585"/>
      <c r="Y472" s="1585"/>
      <c r="Z472" s="1585">
        <v>55.27</v>
      </c>
      <c r="AA472" s="1585"/>
      <c r="AB472" s="1585"/>
      <c r="AC472" s="1585"/>
      <c r="AD472" s="1601">
        <f t="shared" si="67"/>
        <v>55.27</v>
      </c>
      <c r="AE472" s="1790">
        <v>0</v>
      </c>
      <c r="AF472" s="1792"/>
    </row>
    <row r="473" spans="1:32" s="1602" customFormat="1" ht="26.1" customHeight="1">
      <c r="A473" s="2918"/>
      <c r="B473" s="2919"/>
      <c r="C473" s="2920"/>
      <c r="D473" s="2917"/>
      <c r="E473" s="1603" t="s">
        <v>2497</v>
      </c>
      <c r="F473" s="1583"/>
      <c r="G473" s="1583"/>
      <c r="H473" s="1583"/>
      <c r="I473" s="1583"/>
      <c r="J473" s="1583"/>
      <c r="K473" s="1583"/>
      <c r="L473" s="1583"/>
      <c r="M473" s="1583"/>
      <c r="N473" s="1583"/>
      <c r="O473" s="1583"/>
      <c r="P473" s="1583"/>
      <c r="Q473" s="1583"/>
      <c r="R473" s="1600"/>
      <c r="S473" s="1600"/>
      <c r="T473" s="1585"/>
      <c r="U473" s="1585"/>
      <c r="V473" s="1618"/>
      <c r="W473" s="1585"/>
      <c r="X473" s="1585"/>
      <c r="Y473" s="1585"/>
      <c r="Z473" s="1585"/>
      <c r="AA473" s="1585"/>
      <c r="AB473" s="1585"/>
      <c r="AC473" s="1585"/>
      <c r="AD473" s="1601">
        <f t="shared" si="67"/>
        <v>0</v>
      </c>
      <c r="AE473" s="1790">
        <v>0</v>
      </c>
      <c r="AF473" s="1792"/>
    </row>
    <row r="474" spans="1:32" s="1602" customFormat="1" ht="26.1" customHeight="1">
      <c r="A474" s="2918" t="s">
        <v>1517</v>
      </c>
      <c r="B474" s="2919" t="s">
        <v>2016</v>
      </c>
      <c r="C474" s="2920" t="s">
        <v>52</v>
      </c>
      <c r="D474" s="2917">
        <v>30.55</v>
      </c>
      <c r="E474" s="1598" t="s">
        <v>2496</v>
      </c>
      <c r="F474" s="1583"/>
      <c r="G474" s="1583"/>
      <c r="H474" s="1583"/>
      <c r="I474" s="1583"/>
      <c r="J474" s="1583"/>
      <c r="K474" s="1583"/>
      <c r="L474" s="1583"/>
      <c r="M474" s="1583"/>
      <c r="N474" s="1583"/>
      <c r="O474" s="1583"/>
      <c r="P474" s="1583"/>
      <c r="Q474" s="1583"/>
      <c r="R474" s="1600"/>
      <c r="S474" s="1600"/>
      <c r="T474" s="1585"/>
      <c r="U474" s="1585"/>
      <c r="V474" s="1585"/>
      <c r="W474" s="1585"/>
      <c r="X474" s="1585"/>
      <c r="Y474" s="1585"/>
      <c r="Z474" s="1585">
        <v>30.55</v>
      </c>
      <c r="AA474" s="1585"/>
      <c r="AB474" s="1585"/>
      <c r="AC474" s="1585"/>
      <c r="AD474" s="1601">
        <f t="shared" si="67"/>
        <v>30.55</v>
      </c>
      <c r="AE474" s="1790">
        <v>0</v>
      </c>
      <c r="AF474" s="1792"/>
    </row>
    <row r="475" spans="1:32" s="1602" customFormat="1" ht="26.1" customHeight="1">
      <c r="A475" s="2918"/>
      <c r="B475" s="2919"/>
      <c r="C475" s="2920"/>
      <c r="D475" s="2917"/>
      <c r="E475" s="1603" t="s">
        <v>2497</v>
      </c>
      <c r="F475" s="1583"/>
      <c r="G475" s="1583"/>
      <c r="H475" s="1583"/>
      <c r="I475" s="1583"/>
      <c r="J475" s="1583"/>
      <c r="K475" s="1583"/>
      <c r="L475" s="1583"/>
      <c r="M475" s="1583"/>
      <c r="N475" s="1583"/>
      <c r="O475" s="1583"/>
      <c r="P475" s="1583"/>
      <c r="Q475" s="1583"/>
      <c r="R475" s="1600"/>
      <c r="S475" s="1600"/>
      <c r="T475" s="1585"/>
      <c r="U475" s="1585"/>
      <c r="V475" s="1618"/>
      <c r="W475" s="1585"/>
      <c r="X475" s="1585"/>
      <c r="Y475" s="1585"/>
      <c r="Z475" s="1585"/>
      <c r="AA475" s="1585"/>
      <c r="AB475" s="1585"/>
      <c r="AC475" s="1585"/>
      <c r="AD475" s="1601">
        <f t="shared" si="67"/>
        <v>0</v>
      </c>
      <c r="AE475" s="1790">
        <v>0</v>
      </c>
      <c r="AF475" s="1792"/>
    </row>
    <row r="476" spans="1:32" s="1602" customFormat="1" ht="26.1" customHeight="1">
      <c r="A476" s="2918" t="s">
        <v>1518</v>
      </c>
      <c r="B476" s="2919" t="s">
        <v>2017</v>
      </c>
      <c r="C476" s="2920" t="s">
        <v>52</v>
      </c>
      <c r="D476" s="2917">
        <v>30.55</v>
      </c>
      <c r="E476" s="1598" t="s">
        <v>2496</v>
      </c>
      <c r="F476" s="1583"/>
      <c r="G476" s="1583"/>
      <c r="H476" s="1583"/>
      <c r="I476" s="1583"/>
      <c r="J476" s="1583"/>
      <c r="K476" s="1583"/>
      <c r="L476" s="1583"/>
      <c r="M476" s="1583"/>
      <c r="N476" s="1583"/>
      <c r="O476" s="1583"/>
      <c r="P476" s="1583"/>
      <c r="Q476" s="1583"/>
      <c r="R476" s="1600"/>
      <c r="S476" s="1600"/>
      <c r="T476" s="1585"/>
      <c r="U476" s="1585"/>
      <c r="V476" s="1585"/>
      <c r="W476" s="1585"/>
      <c r="X476" s="1585"/>
      <c r="Y476" s="1585"/>
      <c r="Z476" s="1585">
        <v>30.55</v>
      </c>
      <c r="AA476" s="1585"/>
      <c r="AB476" s="1585"/>
      <c r="AC476" s="1585"/>
      <c r="AD476" s="1601">
        <f t="shared" si="67"/>
        <v>30.55</v>
      </c>
      <c r="AE476" s="1790">
        <v>0</v>
      </c>
      <c r="AF476" s="1792"/>
    </row>
    <row r="477" spans="1:32" s="1602" customFormat="1" ht="26.1" customHeight="1">
      <c r="A477" s="2918"/>
      <c r="B477" s="2919"/>
      <c r="C477" s="2920"/>
      <c r="D477" s="2917"/>
      <c r="E477" s="1603" t="s">
        <v>2497</v>
      </c>
      <c r="F477" s="1583"/>
      <c r="G477" s="1583"/>
      <c r="H477" s="1583"/>
      <c r="I477" s="1583"/>
      <c r="J477" s="1583"/>
      <c r="K477" s="1583"/>
      <c r="L477" s="1583"/>
      <c r="M477" s="1583"/>
      <c r="N477" s="1583"/>
      <c r="O477" s="1583"/>
      <c r="P477" s="1583"/>
      <c r="Q477" s="1583"/>
      <c r="R477" s="1600"/>
      <c r="S477" s="1600"/>
      <c r="T477" s="1585"/>
      <c r="U477" s="1585"/>
      <c r="V477" s="1618"/>
      <c r="W477" s="1585"/>
      <c r="X477" s="1585"/>
      <c r="Y477" s="1585"/>
      <c r="Z477" s="1585"/>
      <c r="AA477" s="1585"/>
      <c r="AB477" s="1585"/>
      <c r="AC477" s="1585"/>
      <c r="AD477" s="1601">
        <f t="shared" si="67"/>
        <v>0</v>
      </c>
      <c r="AE477" s="1790">
        <v>0</v>
      </c>
      <c r="AF477" s="1792"/>
    </row>
    <row r="478" spans="1:32" s="1602" customFormat="1" ht="26.1" customHeight="1">
      <c r="A478" s="2918" t="s">
        <v>1519</v>
      </c>
      <c r="B478" s="2919" t="s">
        <v>2018</v>
      </c>
      <c r="C478" s="2920" t="s">
        <v>52</v>
      </c>
      <c r="D478" s="2917">
        <v>77.14</v>
      </c>
      <c r="E478" s="1598" t="s">
        <v>2496</v>
      </c>
      <c r="F478" s="1583"/>
      <c r="G478" s="1583"/>
      <c r="H478" s="1583"/>
      <c r="I478" s="1583"/>
      <c r="J478" s="1583"/>
      <c r="K478" s="1583"/>
      <c r="L478" s="1583"/>
      <c r="M478" s="1583"/>
      <c r="N478" s="1583"/>
      <c r="O478" s="1583"/>
      <c r="P478" s="1583"/>
      <c r="Q478" s="1583"/>
      <c r="R478" s="1600"/>
      <c r="S478" s="1600"/>
      <c r="T478" s="1585"/>
      <c r="U478" s="1585"/>
      <c r="V478" s="1585"/>
      <c r="W478" s="1585"/>
      <c r="X478" s="1585"/>
      <c r="Y478" s="1585"/>
      <c r="Z478" s="1585">
        <v>77.14</v>
      </c>
      <c r="AA478" s="1585"/>
      <c r="AB478" s="1585"/>
      <c r="AC478" s="1585"/>
      <c r="AD478" s="1601">
        <f t="shared" si="67"/>
        <v>77.14</v>
      </c>
      <c r="AE478" s="1790">
        <v>0</v>
      </c>
      <c r="AF478" s="1792"/>
    </row>
    <row r="479" spans="1:32" s="1602" customFormat="1" ht="26.1" customHeight="1">
      <c r="A479" s="2918"/>
      <c r="B479" s="2919"/>
      <c r="C479" s="2920"/>
      <c r="D479" s="2917"/>
      <c r="E479" s="1603" t="s">
        <v>2497</v>
      </c>
      <c r="F479" s="1583"/>
      <c r="G479" s="1583"/>
      <c r="H479" s="1583"/>
      <c r="I479" s="1583"/>
      <c r="J479" s="1583"/>
      <c r="K479" s="1583"/>
      <c r="L479" s="1583"/>
      <c r="M479" s="1583"/>
      <c r="N479" s="1583"/>
      <c r="O479" s="1583"/>
      <c r="P479" s="1583"/>
      <c r="Q479" s="1583"/>
      <c r="R479" s="1600"/>
      <c r="S479" s="1600"/>
      <c r="T479" s="1585"/>
      <c r="U479" s="1585"/>
      <c r="V479" s="1585"/>
      <c r="W479" s="1585"/>
      <c r="X479" s="1585"/>
      <c r="Y479" s="1585"/>
      <c r="Z479" s="1585"/>
      <c r="AA479" s="1585"/>
      <c r="AB479" s="1585"/>
      <c r="AC479" s="1585"/>
      <c r="AD479" s="1601">
        <f t="shared" si="67"/>
        <v>0</v>
      </c>
      <c r="AE479" s="1790">
        <v>0</v>
      </c>
      <c r="AF479" s="1792"/>
    </row>
    <row r="480" spans="1:32" s="1602" customFormat="1" ht="26.1" customHeight="1">
      <c r="A480" s="1594" t="s">
        <v>1520</v>
      </c>
      <c r="B480" s="1609" t="s">
        <v>2019</v>
      </c>
      <c r="C480" s="1596"/>
      <c r="D480" s="1597"/>
      <c r="E480" s="1600"/>
      <c r="F480" s="1583"/>
      <c r="G480" s="1583"/>
      <c r="H480" s="1583"/>
      <c r="I480" s="1583"/>
      <c r="J480" s="1583"/>
      <c r="K480" s="1583"/>
      <c r="L480" s="1583"/>
      <c r="M480" s="1583"/>
      <c r="N480" s="1583"/>
      <c r="O480" s="1583"/>
      <c r="P480" s="1583"/>
      <c r="Q480" s="1583"/>
      <c r="R480" s="1600"/>
      <c r="S480" s="1600"/>
      <c r="T480" s="1585"/>
      <c r="U480" s="1585"/>
      <c r="V480" s="1585"/>
      <c r="W480" s="1585"/>
      <c r="X480" s="1585"/>
      <c r="Y480" s="1585"/>
      <c r="Z480" s="1585"/>
      <c r="AA480" s="1585"/>
      <c r="AB480" s="1585"/>
      <c r="AC480" s="1585"/>
      <c r="AD480" s="1601">
        <f t="shared" si="67"/>
        <v>0</v>
      </c>
      <c r="AE480" s="1790">
        <v>0</v>
      </c>
      <c r="AF480" s="1792"/>
    </row>
    <row r="481" spans="1:32" s="1602" customFormat="1" ht="26.1" customHeight="1">
      <c r="A481" s="2918" t="s">
        <v>1521</v>
      </c>
      <c r="B481" s="2919" t="s">
        <v>2020</v>
      </c>
      <c r="C481" s="2920" t="s">
        <v>52</v>
      </c>
      <c r="D481" s="2917">
        <v>82.6</v>
      </c>
      <c r="E481" s="1598" t="s">
        <v>2496</v>
      </c>
      <c r="F481" s="1583"/>
      <c r="G481" s="1583"/>
      <c r="H481" s="1583"/>
      <c r="I481" s="1583"/>
      <c r="J481" s="1583"/>
      <c r="K481" s="1583"/>
      <c r="L481" s="1583"/>
      <c r="M481" s="1583"/>
      <c r="N481" s="1583"/>
      <c r="O481" s="1583"/>
      <c r="P481" s="1583"/>
      <c r="Q481" s="1583"/>
      <c r="R481" s="1600"/>
      <c r="S481" s="1600"/>
      <c r="T481" s="1585"/>
      <c r="U481" s="1585"/>
      <c r="V481" s="1585"/>
      <c r="W481" s="1585"/>
      <c r="X481" s="1585"/>
      <c r="Y481" s="1585"/>
      <c r="Z481" s="1585">
        <v>82.6</v>
      </c>
      <c r="AA481" s="1585"/>
      <c r="AB481" s="1585"/>
      <c r="AC481" s="1585"/>
      <c r="AD481" s="1601">
        <f t="shared" si="67"/>
        <v>82.6</v>
      </c>
      <c r="AE481" s="1790">
        <v>0</v>
      </c>
      <c r="AF481" s="1792"/>
    </row>
    <row r="482" spans="1:32" s="1602" customFormat="1" ht="26.1" customHeight="1">
      <c r="A482" s="2918"/>
      <c r="B482" s="2919"/>
      <c r="C482" s="2920"/>
      <c r="D482" s="2917"/>
      <c r="E482" s="1603" t="s">
        <v>2497</v>
      </c>
      <c r="F482" s="1583"/>
      <c r="G482" s="1583"/>
      <c r="H482" s="1583"/>
      <c r="I482" s="1583"/>
      <c r="J482" s="1583"/>
      <c r="K482" s="1583"/>
      <c r="L482" s="1583"/>
      <c r="M482" s="1583"/>
      <c r="N482" s="1583"/>
      <c r="O482" s="1583"/>
      <c r="P482" s="1583"/>
      <c r="Q482" s="1583"/>
      <c r="R482" s="1600"/>
      <c r="S482" s="1600"/>
      <c r="T482" s="1585"/>
      <c r="U482" s="1585"/>
      <c r="V482" s="1585"/>
      <c r="W482" s="1585"/>
      <c r="X482" s="1585"/>
      <c r="Y482" s="1585"/>
      <c r="Z482" s="1585"/>
      <c r="AA482" s="1585"/>
      <c r="AB482" s="1585"/>
      <c r="AC482" s="1585"/>
      <c r="AD482" s="1601">
        <f t="shared" si="67"/>
        <v>0</v>
      </c>
      <c r="AE482" s="1790">
        <v>0</v>
      </c>
      <c r="AF482" s="1792"/>
    </row>
    <row r="483" spans="1:32" s="1602" customFormat="1" ht="26.1" customHeight="1">
      <c r="A483" s="1594" t="s">
        <v>1522</v>
      </c>
      <c r="B483" s="1614" t="s">
        <v>2021</v>
      </c>
      <c r="C483" s="1596"/>
      <c r="D483" s="1589"/>
      <c r="E483" s="1600"/>
      <c r="F483" s="1583"/>
      <c r="G483" s="1583"/>
      <c r="H483" s="1583"/>
      <c r="I483" s="1583"/>
      <c r="J483" s="1583"/>
      <c r="K483" s="1583"/>
      <c r="L483" s="1583"/>
      <c r="M483" s="1583"/>
      <c r="N483" s="1583"/>
      <c r="O483" s="1583"/>
      <c r="P483" s="1583"/>
      <c r="Q483" s="1583"/>
      <c r="R483" s="1600"/>
      <c r="S483" s="1600"/>
      <c r="T483" s="1585"/>
      <c r="U483" s="1585"/>
      <c r="V483" s="1585"/>
      <c r="W483" s="1585"/>
      <c r="X483" s="1585"/>
      <c r="Y483" s="1585"/>
      <c r="Z483" s="1585"/>
      <c r="AA483" s="1585"/>
      <c r="AB483" s="1585"/>
      <c r="AC483" s="1585"/>
      <c r="AD483" s="1601">
        <f t="shared" si="67"/>
        <v>0</v>
      </c>
      <c r="AE483" s="1790">
        <v>0</v>
      </c>
      <c r="AF483" s="1792"/>
    </row>
    <row r="484" spans="1:32" s="1602" customFormat="1" ht="26.1" customHeight="1">
      <c r="A484" s="2918" t="s">
        <v>1523</v>
      </c>
      <c r="B484" s="2919" t="s">
        <v>2022</v>
      </c>
      <c r="C484" s="2920" t="s">
        <v>52</v>
      </c>
      <c r="D484" s="2917">
        <v>1700</v>
      </c>
      <c r="E484" s="1598" t="s">
        <v>2496</v>
      </c>
      <c r="F484" s="1583"/>
      <c r="G484" s="1583"/>
      <c r="H484" s="1583"/>
      <c r="I484" s="1583"/>
      <c r="J484" s="1583"/>
      <c r="K484" s="1583"/>
      <c r="L484" s="1583"/>
      <c r="M484" s="1583"/>
      <c r="N484" s="1583"/>
      <c r="O484" s="1583"/>
      <c r="P484" s="1583"/>
      <c r="Q484" s="1583"/>
      <c r="R484" s="1600"/>
      <c r="S484" s="1600"/>
      <c r="T484" s="1585"/>
      <c r="U484" s="1585"/>
      <c r="V484" s="1585"/>
      <c r="W484" s="1585"/>
      <c r="X484" s="1585"/>
      <c r="Y484" s="1585"/>
      <c r="Z484" s="1585">
        <v>1700</v>
      </c>
      <c r="AA484" s="1585"/>
      <c r="AB484" s="1585"/>
      <c r="AC484" s="1585"/>
      <c r="AD484" s="1601">
        <f t="shared" si="67"/>
        <v>1700</v>
      </c>
      <c r="AE484" s="1790">
        <v>0</v>
      </c>
      <c r="AF484" s="1792"/>
    </row>
    <row r="485" spans="1:32" s="1602" customFormat="1" ht="26.1" customHeight="1">
      <c r="A485" s="2918"/>
      <c r="B485" s="2919"/>
      <c r="C485" s="2920"/>
      <c r="D485" s="2917"/>
      <c r="E485" s="1603" t="s">
        <v>2497</v>
      </c>
      <c r="F485" s="1583"/>
      <c r="G485" s="1583"/>
      <c r="H485" s="1583"/>
      <c r="I485" s="1583"/>
      <c r="J485" s="1583"/>
      <c r="K485" s="1583"/>
      <c r="L485" s="1583"/>
      <c r="M485" s="1583"/>
      <c r="N485" s="1583"/>
      <c r="O485" s="1583"/>
      <c r="P485" s="1583"/>
      <c r="Q485" s="1583"/>
      <c r="R485" s="1600"/>
      <c r="S485" s="1600"/>
      <c r="T485" s="1585"/>
      <c r="U485" s="1585"/>
      <c r="V485" s="1585"/>
      <c r="W485" s="1585"/>
      <c r="X485" s="1618"/>
      <c r="Y485" s="1585"/>
      <c r="Z485" s="1585"/>
      <c r="AA485" s="1585"/>
      <c r="AB485" s="1585"/>
      <c r="AC485" s="1585"/>
      <c r="AD485" s="1601">
        <f t="shared" si="67"/>
        <v>0</v>
      </c>
      <c r="AE485" s="1790">
        <v>0</v>
      </c>
      <c r="AF485" s="1792"/>
    </row>
    <row r="486" spans="1:32" s="1602" customFormat="1" ht="26.1" customHeight="1">
      <c r="A486" s="2918" t="s">
        <v>1524</v>
      </c>
      <c r="B486" s="2919" t="s">
        <v>2023</v>
      </c>
      <c r="C486" s="2920" t="s">
        <v>52</v>
      </c>
      <c r="D486" s="2917">
        <v>472</v>
      </c>
      <c r="E486" s="1598" t="s">
        <v>2496</v>
      </c>
      <c r="F486" s="1583"/>
      <c r="G486" s="1583"/>
      <c r="H486" s="1583"/>
      <c r="I486" s="1583"/>
      <c r="J486" s="1583"/>
      <c r="K486" s="1583"/>
      <c r="L486" s="1583"/>
      <c r="M486" s="1583"/>
      <c r="N486" s="1583"/>
      <c r="O486" s="1583"/>
      <c r="P486" s="1583"/>
      <c r="Q486" s="1583"/>
      <c r="R486" s="1600"/>
      <c r="S486" s="1600"/>
      <c r="T486" s="1585"/>
      <c r="U486" s="1585"/>
      <c r="V486" s="1585"/>
      <c r="W486" s="1585"/>
      <c r="X486" s="1585"/>
      <c r="Y486" s="1585"/>
      <c r="Z486" s="1585">
        <v>472</v>
      </c>
      <c r="AA486" s="1585"/>
      <c r="AB486" s="1585"/>
      <c r="AC486" s="1585"/>
      <c r="AD486" s="1601">
        <f t="shared" si="67"/>
        <v>472</v>
      </c>
      <c r="AE486" s="1790">
        <v>0</v>
      </c>
      <c r="AF486" s="1792"/>
    </row>
    <row r="487" spans="1:32" s="1602" customFormat="1" ht="26.1" customHeight="1">
      <c r="A487" s="2918"/>
      <c r="B487" s="2919"/>
      <c r="C487" s="2920"/>
      <c r="D487" s="2917"/>
      <c r="E487" s="1603" t="s">
        <v>2497</v>
      </c>
      <c r="F487" s="1583"/>
      <c r="G487" s="1583"/>
      <c r="H487" s="1583"/>
      <c r="I487" s="1583"/>
      <c r="J487" s="1583"/>
      <c r="K487" s="1583"/>
      <c r="L487" s="1583"/>
      <c r="M487" s="1583"/>
      <c r="N487" s="1583"/>
      <c r="O487" s="1583"/>
      <c r="P487" s="1583"/>
      <c r="Q487" s="1583"/>
      <c r="R487" s="1600"/>
      <c r="S487" s="1600"/>
      <c r="T487" s="1585"/>
      <c r="U487" s="1585"/>
      <c r="V487" s="1585"/>
      <c r="W487" s="1585"/>
      <c r="X487" s="1618"/>
      <c r="Y487" s="1585"/>
      <c r="Z487" s="1585"/>
      <c r="AA487" s="1585"/>
      <c r="AB487" s="1585"/>
      <c r="AC487" s="1585"/>
      <c r="AD487" s="1601">
        <f t="shared" si="67"/>
        <v>0</v>
      </c>
      <c r="AE487" s="1790">
        <v>0</v>
      </c>
      <c r="AF487" s="1792"/>
    </row>
    <row r="488" spans="1:32" s="1602" customFormat="1" ht="26.1" customHeight="1">
      <c r="A488" s="2918" t="s">
        <v>1525</v>
      </c>
      <c r="B488" s="2919" t="s">
        <v>2024</v>
      </c>
      <c r="C488" s="2920" t="s">
        <v>52</v>
      </c>
      <c r="D488" s="2917">
        <v>129.80000000000001</v>
      </c>
      <c r="E488" s="1598" t="s">
        <v>2496</v>
      </c>
      <c r="F488" s="1583"/>
      <c r="G488" s="1583"/>
      <c r="H488" s="1583"/>
      <c r="I488" s="1583"/>
      <c r="J488" s="1583"/>
      <c r="K488" s="1583"/>
      <c r="L488" s="1583"/>
      <c r="M488" s="1583"/>
      <c r="N488" s="1583"/>
      <c r="O488" s="1583"/>
      <c r="P488" s="1583"/>
      <c r="Q488" s="1583"/>
      <c r="R488" s="1600"/>
      <c r="S488" s="1600"/>
      <c r="T488" s="1585"/>
      <c r="U488" s="1585"/>
      <c r="V488" s="1585"/>
      <c r="W488" s="1585"/>
      <c r="X488" s="1585"/>
      <c r="Y488" s="1585"/>
      <c r="Z488" s="1585">
        <v>129.80000000000001</v>
      </c>
      <c r="AA488" s="1585"/>
      <c r="AB488" s="1585"/>
      <c r="AC488" s="1585"/>
      <c r="AD488" s="1601">
        <f t="shared" si="67"/>
        <v>129.80000000000001</v>
      </c>
      <c r="AE488" s="1790">
        <v>0</v>
      </c>
      <c r="AF488" s="1792"/>
    </row>
    <row r="489" spans="1:32" s="1602" customFormat="1" ht="26.1" customHeight="1">
      <c r="A489" s="2918"/>
      <c r="B489" s="2919"/>
      <c r="C489" s="2920"/>
      <c r="D489" s="2917"/>
      <c r="E489" s="1603" t="s">
        <v>2497</v>
      </c>
      <c r="F489" s="1583"/>
      <c r="G489" s="1583"/>
      <c r="H489" s="1583"/>
      <c r="I489" s="1583"/>
      <c r="J489" s="1583"/>
      <c r="K489" s="1583"/>
      <c r="L489" s="1583"/>
      <c r="M489" s="1583"/>
      <c r="N489" s="1583"/>
      <c r="O489" s="1583"/>
      <c r="P489" s="1583"/>
      <c r="Q489" s="1583"/>
      <c r="R489" s="1600"/>
      <c r="S489" s="1600"/>
      <c r="T489" s="1585"/>
      <c r="U489" s="1585"/>
      <c r="V489" s="1585"/>
      <c r="W489" s="1585"/>
      <c r="X489" s="1618"/>
      <c r="Y489" s="1585"/>
      <c r="Z489" s="1585"/>
      <c r="AA489" s="1585"/>
      <c r="AB489" s="1585"/>
      <c r="AC489" s="1585"/>
      <c r="AD489" s="1601">
        <f t="shared" si="67"/>
        <v>0</v>
      </c>
      <c r="AE489" s="1790">
        <v>0</v>
      </c>
      <c r="AF489" s="1792"/>
    </row>
    <row r="490" spans="1:32" s="1602" customFormat="1" ht="26.1" customHeight="1">
      <c r="A490" s="2918" t="s">
        <v>1526</v>
      </c>
      <c r="B490" s="2919" t="s">
        <v>2025</v>
      </c>
      <c r="C490" s="2920" t="s">
        <v>52</v>
      </c>
      <c r="D490" s="2917">
        <v>57.82</v>
      </c>
      <c r="E490" s="1598" t="s">
        <v>2496</v>
      </c>
      <c r="F490" s="1583"/>
      <c r="G490" s="1583"/>
      <c r="H490" s="1583"/>
      <c r="I490" s="1583"/>
      <c r="J490" s="1583"/>
      <c r="K490" s="1583"/>
      <c r="L490" s="1583"/>
      <c r="M490" s="1583"/>
      <c r="N490" s="1583"/>
      <c r="O490" s="1583"/>
      <c r="P490" s="1583"/>
      <c r="Q490" s="1583"/>
      <c r="R490" s="1600"/>
      <c r="S490" s="1600"/>
      <c r="T490" s="1585"/>
      <c r="U490" s="1585"/>
      <c r="V490" s="1585"/>
      <c r="W490" s="1585"/>
      <c r="X490" s="1585"/>
      <c r="Y490" s="1585"/>
      <c r="Z490" s="1585">
        <v>57.82</v>
      </c>
      <c r="AA490" s="1585"/>
      <c r="AB490" s="1585"/>
      <c r="AC490" s="1585"/>
      <c r="AD490" s="1601">
        <f t="shared" si="67"/>
        <v>57.82</v>
      </c>
      <c r="AE490" s="1790">
        <v>0</v>
      </c>
      <c r="AF490" s="1792"/>
    </row>
    <row r="491" spans="1:32" s="1602" customFormat="1" ht="26.1" customHeight="1">
      <c r="A491" s="2918"/>
      <c r="B491" s="2919"/>
      <c r="C491" s="2920"/>
      <c r="D491" s="2917"/>
      <c r="E491" s="1603" t="s">
        <v>2497</v>
      </c>
      <c r="F491" s="1583"/>
      <c r="G491" s="1583"/>
      <c r="H491" s="1583"/>
      <c r="I491" s="1583"/>
      <c r="J491" s="1583"/>
      <c r="K491" s="1583"/>
      <c r="L491" s="1583"/>
      <c r="M491" s="1583"/>
      <c r="N491" s="1583"/>
      <c r="O491" s="1583"/>
      <c r="P491" s="1583"/>
      <c r="Q491" s="1583"/>
      <c r="R491" s="1600"/>
      <c r="S491" s="1600"/>
      <c r="T491" s="1585"/>
      <c r="U491" s="1585"/>
      <c r="V491" s="1585"/>
      <c r="W491" s="1585"/>
      <c r="X491" s="1618"/>
      <c r="Y491" s="1585"/>
      <c r="Z491" s="1585"/>
      <c r="AA491" s="1585"/>
      <c r="AB491" s="1585"/>
      <c r="AC491" s="1585"/>
      <c r="AD491" s="1601">
        <f t="shared" si="67"/>
        <v>0</v>
      </c>
      <c r="AE491" s="1790">
        <v>0</v>
      </c>
      <c r="AF491" s="1792"/>
    </row>
    <row r="492" spans="1:32" s="1602" customFormat="1" ht="26.1" customHeight="1">
      <c r="A492" s="2918" t="s">
        <v>1527</v>
      </c>
      <c r="B492" s="2919" t="s">
        <v>2026</v>
      </c>
      <c r="C492" s="2920" t="s">
        <v>52</v>
      </c>
      <c r="D492" s="2917">
        <v>2950</v>
      </c>
      <c r="E492" s="1598" t="s">
        <v>2496</v>
      </c>
      <c r="F492" s="1583"/>
      <c r="G492" s="1583"/>
      <c r="H492" s="1583"/>
      <c r="I492" s="1583"/>
      <c r="J492" s="1583"/>
      <c r="K492" s="1583"/>
      <c r="L492" s="1583"/>
      <c r="M492" s="1583"/>
      <c r="N492" s="1583"/>
      <c r="O492" s="1583"/>
      <c r="P492" s="1583"/>
      <c r="Q492" s="1583"/>
      <c r="R492" s="1600"/>
      <c r="S492" s="1600"/>
      <c r="T492" s="1585"/>
      <c r="U492" s="1585"/>
      <c r="V492" s="1585"/>
      <c r="W492" s="1585"/>
      <c r="X492" s="1585"/>
      <c r="Y492" s="1585"/>
      <c r="Z492" s="1585">
        <v>2950</v>
      </c>
      <c r="AA492" s="1585"/>
      <c r="AB492" s="1585"/>
      <c r="AC492" s="1585"/>
      <c r="AD492" s="1601">
        <f t="shared" si="67"/>
        <v>2950</v>
      </c>
      <c r="AE492" s="1790">
        <v>0</v>
      </c>
      <c r="AF492" s="1792"/>
    </row>
    <row r="493" spans="1:32" s="1602" customFormat="1" ht="26.1" customHeight="1">
      <c r="A493" s="2918"/>
      <c r="B493" s="2919"/>
      <c r="C493" s="2920"/>
      <c r="D493" s="2917"/>
      <c r="E493" s="1603" t="s">
        <v>2497</v>
      </c>
      <c r="F493" s="1583"/>
      <c r="G493" s="1583"/>
      <c r="H493" s="1583"/>
      <c r="I493" s="1583"/>
      <c r="J493" s="1583"/>
      <c r="K493" s="1583"/>
      <c r="L493" s="1583"/>
      <c r="M493" s="1583"/>
      <c r="N493" s="1583"/>
      <c r="O493" s="1583"/>
      <c r="P493" s="1583"/>
      <c r="Q493" s="1583"/>
      <c r="R493" s="1600"/>
      <c r="S493" s="1600"/>
      <c r="T493" s="1585"/>
      <c r="U493" s="1585"/>
      <c r="V493" s="1585"/>
      <c r="W493" s="1585"/>
      <c r="X493" s="1585"/>
      <c r="Y493" s="1585"/>
      <c r="Z493" s="1585"/>
      <c r="AA493" s="1585"/>
      <c r="AB493" s="1585"/>
      <c r="AC493" s="1585"/>
      <c r="AD493" s="1601">
        <f t="shared" si="67"/>
        <v>0</v>
      </c>
      <c r="AE493" s="1790">
        <v>0</v>
      </c>
      <c r="AF493" s="1792"/>
    </row>
    <row r="494" spans="1:32" s="1602" customFormat="1" ht="26.1" customHeight="1">
      <c r="A494" s="1594" t="s">
        <v>1528</v>
      </c>
      <c r="B494" s="1609" t="s">
        <v>2027</v>
      </c>
      <c r="C494" s="1596"/>
      <c r="D494" s="1597"/>
      <c r="E494" s="1600"/>
      <c r="F494" s="1583"/>
      <c r="G494" s="1583"/>
      <c r="H494" s="1583"/>
      <c r="I494" s="1583"/>
      <c r="J494" s="1583"/>
      <c r="K494" s="1583"/>
      <c r="L494" s="1583"/>
      <c r="M494" s="1583"/>
      <c r="N494" s="1583"/>
      <c r="O494" s="1583"/>
      <c r="P494" s="1583"/>
      <c r="Q494" s="1583"/>
      <c r="R494" s="1600"/>
      <c r="S494" s="1600"/>
      <c r="T494" s="1585"/>
      <c r="U494" s="1585"/>
      <c r="V494" s="1585"/>
      <c r="W494" s="1585"/>
      <c r="X494" s="1585"/>
      <c r="Y494" s="1585"/>
      <c r="Z494" s="1585"/>
      <c r="AA494" s="1585"/>
      <c r="AB494" s="1585"/>
      <c r="AC494" s="1585"/>
      <c r="AD494" s="1601">
        <f t="shared" si="67"/>
        <v>0</v>
      </c>
      <c r="AE494" s="1790">
        <v>0</v>
      </c>
      <c r="AF494" s="1792"/>
    </row>
    <row r="495" spans="1:32" s="1602" customFormat="1" ht="26.1" customHeight="1">
      <c r="A495" s="2918" t="s">
        <v>1529</v>
      </c>
      <c r="B495" s="2919" t="s">
        <v>2028</v>
      </c>
      <c r="C495" s="2920" t="s">
        <v>52</v>
      </c>
      <c r="D495" s="2917">
        <v>68.44</v>
      </c>
      <c r="E495" s="1598" t="s">
        <v>2496</v>
      </c>
      <c r="F495" s="1583"/>
      <c r="G495" s="1583"/>
      <c r="H495" s="1583"/>
      <c r="I495" s="1583"/>
      <c r="J495" s="1583"/>
      <c r="K495" s="1583"/>
      <c r="L495" s="1583"/>
      <c r="M495" s="1583"/>
      <c r="N495" s="1583"/>
      <c r="O495" s="1583"/>
      <c r="P495" s="1583"/>
      <c r="Q495" s="1583"/>
      <c r="R495" s="1600"/>
      <c r="S495" s="1600"/>
      <c r="T495" s="1585"/>
      <c r="U495" s="1585"/>
      <c r="V495" s="1618"/>
      <c r="W495" s="1585"/>
      <c r="X495" s="1585"/>
      <c r="Y495" s="1585"/>
      <c r="Z495" s="1585">
        <v>68.44</v>
      </c>
      <c r="AA495" s="1585"/>
      <c r="AB495" s="1585"/>
      <c r="AC495" s="1585"/>
      <c r="AD495" s="1601">
        <f t="shared" si="67"/>
        <v>68.44</v>
      </c>
      <c r="AE495" s="1790">
        <v>0</v>
      </c>
      <c r="AF495" s="1792"/>
    </row>
    <row r="496" spans="1:32" s="1602" customFormat="1" ht="26.1" customHeight="1">
      <c r="A496" s="2918"/>
      <c r="B496" s="2919"/>
      <c r="C496" s="2920"/>
      <c r="D496" s="2917"/>
      <c r="E496" s="1603" t="s">
        <v>2497</v>
      </c>
      <c r="F496" s="1583"/>
      <c r="G496" s="1583"/>
      <c r="H496" s="1583"/>
      <c r="I496" s="1583"/>
      <c r="J496" s="1583"/>
      <c r="K496" s="1583"/>
      <c r="L496" s="1583"/>
      <c r="M496" s="1583"/>
      <c r="N496" s="1583"/>
      <c r="O496" s="1583"/>
      <c r="P496" s="1583"/>
      <c r="Q496" s="1583"/>
      <c r="R496" s="1600"/>
      <c r="S496" s="1600"/>
      <c r="T496" s="1585"/>
      <c r="U496" s="1585"/>
      <c r="V496" s="1585"/>
      <c r="W496" s="1585"/>
      <c r="X496" s="1585"/>
      <c r="Y496" s="1585"/>
      <c r="Z496" s="1585"/>
      <c r="AA496" s="1585"/>
      <c r="AB496" s="1585"/>
      <c r="AC496" s="1585"/>
      <c r="AD496" s="1601">
        <f t="shared" si="67"/>
        <v>0</v>
      </c>
      <c r="AE496" s="1790">
        <v>0</v>
      </c>
      <c r="AF496" s="1792"/>
    </row>
    <row r="497" spans="1:32" s="1602" customFormat="1" ht="26.1" customHeight="1">
      <c r="A497" s="1594" t="s">
        <v>1530</v>
      </c>
      <c r="B497" s="1609" t="s">
        <v>2029</v>
      </c>
      <c r="C497" s="1596"/>
      <c r="D497" s="1597"/>
      <c r="E497" s="1600"/>
      <c r="F497" s="1583"/>
      <c r="G497" s="1583"/>
      <c r="H497" s="1583"/>
      <c r="I497" s="1583"/>
      <c r="J497" s="1583"/>
      <c r="K497" s="1583"/>
      <c r="L497" s="1583"/>
      <c r="M497" s="1583"/>
      <c r="N497" s="1583"/>
      <c r="O497" s="1583"/>
      <c r="P497" s="1583"/>
      <c r="Q497" s="1583"/>
      <c r="R497" s="1600"/>
      <c r="S497" s="1600"/>
      <c r="T497" s="1585"/>
      <c r="U497" s="1585"/>
      <c r="V497" s="1585"/>
      <c r="W497" s="1585"/>
      <c r="X497" s="1585"/>
      <c r="Y497" s="1585"/>
      <c r="Z497" s="1585"/>
      <c r="AA497" s="1585"/>
      <c r="AB497" s="1585"/>
      <c r="AC497" s="1585"/>
      <c r="AD497" s="1601">
        <f t="shared" si="67"/>
        <v>0</v>
      </c>
      <c r="AE497" s="1790">
        <v>0</v>
      </c>
      <c r="AF497" s="1792"/>
    </row>
    <row r="498" spans="1:32" s="1602" customFormat="1" ht="26.1" customHeight="1">
      <c r="A498" s="2918" t="s">
        <v>1531</v>
      </c>
      <c r="B498" s="2919" t="s">
        <v>2030</v>
      </c>
      <c r="C498" s="2920" t="s">
        <v>268</v>
      </c>
      <c r="D498" s="2917">
        <v>1000</v>
      </c>
      <c r="E498" s="1598" t="s">
        <v>2496</v>
      </c>
      <c r="F498" s="1583"/>
      <c r="G498" s="1583"/>
      <c r="H498" s="1583"/>
      <c r="I498" s="1583"/>
      <c r="J498" s="1583"/>
      <c r="K498" s="1583"/>
      <c r="L498" s="1583"/>
      <c r="M498" s="1583"/>
      <c r="N498" s="1583"/>
      <c r="O498" s="1583"/>
      <c r="P498" s="1583"/>
      <c r="Q498" s="1583"/>
      <c r="R498" s="1600"/>
      <c r="S498" s="1600"/>
      <c r="T498" s="1585"/>
      <c r="U498" s="1585"/>
      <c r="V498" s="1618"/>
      <c r="W498" s="1585"/>
      <c r="X498" s="1585"/>
      <c r="Y498" s="1585"/>
      <c r="Z498" s="1585">
        <v>1000</v>
      </c>
      <c r="AA498" s="1585"/>
      <c r="AB498" s="1585"/>
      <c r="AC498" s="1585"/>
      <c r="AD498" s="1601">
        <f t="shared" si="67"/>
        <v>1000</v>
      </c>
      <c r="AE498" s="1790">
        <v>0</v>
      </c>
      <c r="AF498" s="1792"/>
    </row>
    <row r="499" spans="1:32" s="1602" customFormat="1" ht="26.1" customHeight="1">
      <c r="A499" s="2918"/>
      <c r="B499" s="2919"/>
      <c r="C499" s="2920"/>
      <c r="D499" s="2917"/>
      <c r="E499" s="1603" t="s">
        <v>2497</v>
      </c>
      <c r="F499" s="1583"/>
      <c r="G499" s="1583"/>
      <c r="H499" s="1583"/>
      <c r="I499" s="1583"/>
      <c r="J499" s="1583"/>
      <c r="K499" s="1583"/>
      <c r="L499" s="1583"/>
      <c r="M499" s="1583"/>
      <c r="N499" s="1583"/>
      <c r="O499" s="1583"/>
      <c r="P499" s="1583"/>
      <c r="Q499" s="1583"/>
      <c r="R499" s="1600"/>
      <c r="S499" s="1600"/>
      <c r="T499" s="1585"/>
      <c r="U499" s="1585"/>
      <c r="V499" s="1585"/>
      <c r="W499" s="1585"/>
      <c r="X499" s="1585"/>
      <c r="Y499" s="1585"/>
      <c r="Z499" s="1585"/>
      <c r="AA499" s="1585"/>
      <c r="AB499" s="1585"/>
      <c r="AC499" s="1585"/>
      <c r="AD499" s="1601">
        <f t="shared" si="67"/>
        <v>0</v>
      </c>
      <c r="AE499" s="1790">
        <v>0</v>
      </c>
      <c r="AF499" s="1792"/>
    </row>
    <row r="500" spans="1:32" s="1602" customFormat="1" ht="26.1" customHeight="1">
      <c r="A500" s="1594">
        <v>6.4</v>
      </c>
      <c r="B500" s="1614" t="s">
        <v>2031</v>
      </c>
      <c r="C500" s="1596"/>
      <c r="D500" s="1597"/>
      <c r="E500" s="1600"/>
      <c r="F500" s="1583"/>
      <c r="G500" s="1583"/>
      <c r="H500" s="1583"/>
      <c r="I500" s="1583"/>
      <c r="J500" s="1583"/>
      <c r="K500" s="1583"/>
      <c r="L500" s="1583"/>
      <c r="M500" s="1583"/>
      <c r="N500" s="1583"/>
      <c r="O500" s="1583"/>
      <c r="P500" s="1583"/>
      <c r="Q500" s="1583"/>
      <c r="R500" s="1600"/>
      <c r="S500" s="1600"/>
      <c r="T500" s="1585"/>
      <c r="U500" s="1585"/>
      <c r="V500" s="1585"/>
      <c r="W500" s="1585"/>
      <c r="X500" s="1585"/>
      <c r="Y500" s="1585"/>
      <c r="Z500" s="1585"/>
      <c r="AA500" s="1585"/>
      <c r="AB500" s="1585"/>
      <c r="AC500" s="1585"/>
      <c r="AD500" s="1601">
        <f t="shared" si="67"/>
        <v>0</v>
      </c>
      <c r="AE500" s="1790">
        <v>0</v>
      </c>
      <c r="AF500" s="1792"/>
    </row>
    <row r="501" spans="1:32" s="1602" customFormat="1" ht="26.1" customHeight="1">
      <c r="A501" s="1594" t="s">
        <v>1535</v>
      </c>
      <c r="B501" s="1609" t="s">
        <v>1980</v>
      </c>
      <c r="C501" s="1591"/>
      <c r="D501" s="1597"/>
      <c r="E501" s="1600"/>
      <c r="F501" s="1583"/>
      <c r="G501" s="1583"/>
      <c r="H501" s="1583"/>
      <c r="I501" s="1583"/>
      <c r="J501" s="1583"/>
      <c r="K501" s="1583"/>
      <c r="L501" s="1583"/>
      <c r="M501" s="1583"/>
      <c r="N501" s="1583"/>
      <c r="O501" s="1583"/>
      <c r="P501" s="1583"/>
      <c r="Q501" s="1583"/>
      <c r="R501" s="1600"/>
      <c r="S501" s="1600"/>
      <c r="T501" s="1585"/>
      <c r="U501" s="1585"/>
      <c r="V501" s="1585"/>
      <c r="W501" s="1585"/>
      <c r="X501" s="1585"/>
      <c r="Y501" s="1585"/>
      <c r="Z501" s="1585"/>
      <c r="AA501" s="1585"/>
      <c r="AB501" s="1585"/>
      <c r="AC501" s="1585"/>
      <c r="AD501" s="1601">
        <f t="shared" si="67"/>
        <v>0</v>
      </c>
      <c r="AE501" s="1790">
        <v>0</v>
      </c>
      <c r="AF501" s="1792"/>
    </row>
    <row r="502" spans="1:32" s="1602" customFormat="1" ht="26.1" customHeight="1">
      <c r="A502" s="2918" t="s">
        <v>1536</v>
      </c>
      <c r="B502" s="2919" t="s">
        <v>1981</v>
      </c>
      <c r="C502" s="2920" t="s">
        <v>51</v>
      </c>
      <c r="D502" s="2917">
        <v>1725.69</v>
      </c>
      <c r="E502" s="1598" t="s">
        <v>2496</v>
      </c>
      <c r="F502" s="1583"/>
      <c r="G502" s="1583"/>
      <c r="H502" s="1583"/>
      <c r="I502" s="1583"/>
      <c r="J502" s="1583"/>
      <c r="K502" s="1583"/>
      <c r="L502" s="1583"/>
      <c r="M502" s="1583"/>
      <c r="N502" s="1583"/>
      <c r="O502" s="1583"/>
      <c r="P502" s="1583"/>
      <c r="Q502" s="1583"/>
      <c r="R502" s="1600"/>
      <c r="S502" s="1600"/>
      <c r="T502" s="1585"/>
      <c r="U502" s="1585"/>
      <c r="V502" s="1585"/>
      <c r="W502" s="1585"/>
      <c r="X502" s="1585"/>
      <c r="Y502" s="1585"/>
      <c r="Z502" s="1585"/>
      <c r="AA502" s="1585"/>
      <c r="AB502" s="1585"/>
      <c r="AC502" s="1585">
        <v>1725.69</v>
      </c>
      <c r="AD502" s="1601">
        <f t="shared" si="67"/>
        <v>1725.69</v>
      </c>
      <c r="AE502" s="1790">
        <v>0</v>
      </c>
      <c r="AF502" s="1792"/>
    </row>
    <row r="503" spans="1:32" s="1602" customFormat="1" ht="26.1" customHeight="1">
      <c r="A503" s="2918"/>
      <c r="B503" s="2919"/>
      <c r="C503" s="2920"/>
      <c r="D503" s="2917"/>
      <c r="E503" s="1603" t="s">
        <v>2497</v>
      </c>
      <c r="F503" s="1583"/>
      <c r="G503" s="1583"/>
      <c r="H503" s="1583"/>
      <c r="I503" s="1583"/>
      <c r="J503" s="1583"/>
      <c r="K503" s="1583"/>
      <c r="L503" s="1583"/>
      <c r="M503" s="1583"/>
      <c r="N503" s="1583"/>
      <c r="O503" s="1583"/>
      <c r="P503" s="1583"/>
      <c r="Q503" s="1583"/>
      <c r="R503" s="1600"/>
      <c r="S503" s="1600"/>
      <c r="T503" s="1585"/>
      <c r="U503" s="1585"/>
      <c r="V503" s="1585"/>
      <c r="W503" s="1618"/>
      <c r="X503" s="1585"/>
      <c r="Y503" s="1585"/>
      <c r="Z503" s="1585"/>
      <c r="AA503" s="1585"/>
      <c r="AB503" s="1585"/>
      <c r="AC503" s="1585"/>
      <c r="AD503" s="1601">
        <f t="shared" si="67"/>
        <v>0</v>
      </c>
      <c r="AE503" s="1790">
        <v>0</v>
      </c>
      <c r="AF503" s="1792"/>
    </row>
    <row r="504" spans="1:32" s="1602" customFormat="1" ht="26.1" customHeight="1">
      <c r="A504" s="2918" t="s">
        <v>1537</v>
      </c>
      <c r="B504" s="2919" t="s">
        <v>1982</v>
      </c>
      <c r="C504" s="2920" t="s">
        <v>52</v>
      </c>
      <c r="D504" s="2917">
        <v>572.01</v>
      </c>
      <c r="E504" s="1598" t="s">
        <v>2496</v>
      </c>
      <c r="F504" s="1583"/>
      <c r="G504" s="1583"/>
      <c r="H504" s="1583"/>
      <c r="I504" s="1583"/>
      <c r="J504" s="1583"/>
      <c r="K504" s="1583"/>
      <c r="L504" s="1583"/>
      <c r="M504" s="1583"/>
      <c r="N504" s="1583"/>
      <c r="O504" s="1583"/>
      <c r="P504" s="1583"/>
      <c r="Q504" s="1583"/>
      <c r="R504" s="1600"/>
      <c r="S504" s="1600"/>
      <c r="T504" s="1585"/>
      <c r="U504" s="1585"/>
      <c r="V504" s="1585"/>
      <c r="W504" s="1585"/>
      <c r="X504" s="1585"/>
      <c r="Y504" s="1585"/>
      <c r="Z504" s="1585"/>
      <c r="AA504" s="1585"/>
      <c r="AB504" s="1585"/>
      <c r="AC504" s="1585">
        <v>572.01</v>
      </c>
      <c r="AD504" s="1601">
        <f t="shared" si="67"/>
        <v>572.01</v>
      </c>
      <c r="AE504" s="1790">
        <v>0</v>
      </c>
      <c r="AF504" s="1792"/>
    </row>
    <row r="505" spans="1:32" s="1602" customFormat="1" ht="26.1" customHeight="1">
      <c r="A505" s="2918"/>
      <c r="B505" s="2919"/>
      <c r="C505" s="2920"/>
      <c r="D505" s="2917"/>
      <c r="E505" s="1603" t="s">
        <v>2497</v>
      </c>
      <c r="F505" s="1583"/>
      <c r="G505" s="1583"/>
      <c r="H505" s="1583"/>
      <c r="I505" s="1583"/>
      <c r="J505" s="1583"/>
      <c r="K505" s="1583"/>
      <c r="L505" s="1583"/>
      <c r="M505" s="1583"/>
      <c r="N505" s="1583"/>
      <c r="O505" s="1583"/>
      <c r="P505" s="1583"/>
      <c r="Q505" s="1583"/>
      <c r="R505" s="1600"/>
      <c r="S505" s="1600"/>
      <c r="T505" s="1585"/>
      <c r="U505" s="1585"/>
      <c r="V505" s="1585"/>
      <c r="W505" s="1604"/>
      <c r="X505" s="1585"/>
      <c r="Y505" s="1585"/>
      <c r="Z505" s="1585"/>
      <c r="AA505" s="1585"/>
      <c r="AB505" s="1585"/>
      <c r="AC505" s="1585"/>
      <c r="AD505" s="1601">
        <f t="shared" si="67"/>
        <v>0</v>
      </c>
      <c r="AE505" s="1790">
        <v>0</v>
      </c>
      <c r="AF505" s="1792"/>
    </row>
    <row r="506" spans="1:32" s="1602" customFormat="1" ht="26.1" customHeight="1">
      <c r="A506" s="2918" t="s">
        <v>1538</v>
      </c>
      <c r="B506" s="2919" t="s">
        <v>1983</v>
      </c>
      <c r="C506" s="2920" t="s">
        <v>52</v>
      </c>
      <c r="D506" s="2917">
        <v>1585.92</v>
      </c>
      <c r="E506" s="1598" t="s">
        <v>2496</v>
      </c>
      <c r="F506" s="1583"/>
      <c r="G506" s="1583"/>
      <c r="H506" s="1583"/>
      <c r="I506" s="1583"/>
      <c r="J506" s="1583"/>
      <c r="K506" s="1583"/>
      <c r="L506" s="1583"/>
      <c r="M506" s="1583"/>
      <c r="N506" s="1583"/>
      <c r="O506" s="1583"/>
      <c r="P506" s="1583"/>
      <c r="Q506" s="1583"/>
      <c r="R506" s="1600"/>
      <c r="S506" s="1600"/>
      <c r="T506" s="1585"/>
      <c r="U506" s="1585"/>
      <c r="V506" s="1585"/>
      <c r="W506" s="1585"/>
      <c r="X506" s="1585"/>
      <c r="Y506" s="1585"/>
      <c r="Z506" s="1585"/>
      <c r="AA506" s="1585"/>
      <c r="AB506" s="1585"/>
      <c r="AC506" s="1585">
        <v>1585.92</v>
      </c>
      <c r="AD506" s="1601">
        <f t="shared" si="67"/>
        <v>1585.92</v>
      </c>
      <c r="AE506" s="1790">
        <v>0</v>
      </c>
      <c r="AF506" s="1792"/>
    </row>
    <row r="507" spans="1:32" s="1602" customFormat="1" ht="26.1" customHeight="1">
      <c r="A507" s="2918"/>
      <c r="B507" s="2919"/>
      <c r="C507" s="2920"/>
      <c r="D507" s="2917"/>
      <c r="E507" s="1603" t="s">
        <v>2497</v>
      </c>
      <c r="F507" s="1583"/>
      <c r="G507" s="1583"/>
      <c r="H507" s="1583"/>
      <c r="I507" s="1583"/>
      <c r="J507" s="1583"/>
      <c r="K507" s="1583"/>
      <c r="L507" s="1583"/>
      <c r="M507" s="1583"/>
      <c r="N507" s="1583"/>
      <c r="O507" s="1583"/>
      <c r="P507" s="1583"/>
      <c r="Q507" s="1583"/>
      <c r="R507" s="1600"/>
      <c r="S507" s="1600"/>
      <c r="T507" s="1585"/>
      <c r="U507" s="1585"/>
      <c r="V507" s="1585"/>
      <c r="W507" s="1618"/>
      <c r="X507" s="1585"/>
      <c r="Y507" s="1585"/>
      <c r="Z507" s="1585"/>
      <c r="AA507" s="1585"/>
      <c r="AB507" s="1585"/>
      <c r="AC507" s="1585"/>
      <c r="AD507" s="1601">
        <f t="shared" si="67"/>
        <v>0</v>
      </c>
      <c r="AE507" s="1790">
        <v>0</v>
      </c>
      <c r="AF507" s="1792"/>
    </row>
    <row r="508" spans="1:32" s="1602" customFormat="1" ht="26.1" customHeight="1">
      <c r="A508" s="2918" t="s">
        <v>1539</v>
      </c>
      <c r="B508" s="2919" t="s">
        <v>2034</v>
      </c>
      <c r="C508" s="2920" t="s">
        <v>51</v>
      </c>
      <c r="D508" s="2917">
        <v>156.36000000000001</v>
      </c>
      <c r="E508" s="1598" t="s">
        <v>2496</v>
      </c>
      <c r="F508" s="1583"/>
      <c r="G508" s="1583"/>
      <c r="H508" s="1583"/>
      <c r="I508" s="1583"/>
      <c r="J508" s="1583"/>
      <c r="K508" s="1583"/>
      <c r="L508" s="1583"/>
      <c r="M508" s="1583"/>
      <c r="N508" s="1583"/>
      <c r="O508" s="1583"/>
      <c r="P508" s="1583"/>
      <c r="Q508" s="1583"/>
      <c r="R508" s="1600"/>
      <c r="S508" s="1600"/>
      <c r="T508" s="1585"/>
      <c r="U508" s="1585"/>
      <c r="V508" s="1585"/>
      <c r="W508" s="1585"/>
      <c r="X508" s="1585"/>
      <c r="Y508" s="1585"/>
      <c r="Z508" s="1585"/>
      <c r="AA508" s="1585"/>
      <c r="AB508" s="1585"/>
      <c r="AC508" s="1585">
        <v>156.36000000000001</v>
      </c>
      <c r="AD508" s="1601">
        <f t="shared" si="67"/>
        <v>156.36000000000001</v>
      </c>
      <c r="AE508" s="1790">
        <v>0</v>
      </c>
      <c r="AF508" s="1792"/>
    </row>
    <row r="509" spans="1:32" s="1602" customFormat="1" ht="26.1" customHeight="1">
      <c r="A509" s="2918"/>
      <c r="B509" s="2919"/>
      <c r="C509" s="2920"/>
      <c r="D509" s="2917"/>
      <c r="E509" s="1603" t="s">
        <v>2497</v>
      </c>
      <c r="F509" s="1583"/>
      <c r="G509" s="1583"/>
      <c r="H509" s="1583"/>
      <c r="I509" s="1583"/>
      <c r="J509" s="1583"/>
      <c r="K509" s="1583"/>
      <c r="L509" s="1583"/>
      <c r="M509" s="1583"/>
      <c r="N509" s="1583"/>
      <c r="O509" s="1583"/>
      <c r="P509" s="1583"/>
      <c r="Q509" s="1583"/>
      <c r="R509" s="1600"/>
      <c r="S509" s="1600"/>
      <c r="T509" s="1585"/>
      <c r="U509" s="1585"/>
      <c r="V509" s="1585"/>
      <c r="W509" s="1618"/>
      <c r="X509" s="1585"/>
      <c r="Y509" s="1585"/>
      <c r="Z509" s="1585"/>
      <c r="AA509" s="1585"/>
      <c r="AB509" s="1585"/>
      <c r="AC509" s="1585"/>
      <c r="AD509" s="1601">
        <f t="shared" si="67"/>
        <v>0</v>
      </c>
      <c r="AE509" s="1790">
        <v>0</v>
      </c>
      <c r="AF509" s="1792"/>
    </row>
    <row r="510" spans="1:32" s="1602" customFormat="1" ht="26.1" customHeight="1">
      <c r="A510" s="2918" t="s">
        <v>1540</v>
      </c>
      <c r="B510" s="2919" t="s">
        <v>2035</v>
      </c>
      <c r="C510" s="2920" t="s">
        <v>52</v>
      </c>
      <c r="D510" s="2917">
        <v>36.520000000000003</v>
      </c>
      <c r="E510" s="1598" t="s">
        <v>2496</v>
      </c>
      <c r="F510" s="1583"/>
      <c r="G510" s="1583"/>
      <c r="H510" s="1583"/>
      <c r="I510" s="1583"/>
      <c r="J510" s="1583"/>
      <c r="K510" s="1583"/>
      <c r="L510" s="1583"/>
      <c r="M510" s="1583"/>
      <c r="N510" s="1583"/>
      <c r="O510" s="1583"/>
      <c r="P510" s="1583"/>
      <c r="Q510" s="1583"/>
      <c r="R510" s="1600"/>
      <c r="S510" s="1600"/>
      <c r="T510" s="1585"/>
      <c r="U510" s="1585"/>
      <c r="V510" s="1585"/>
      <c r="W510" s="1585"/>
      <c r="X510" s="1585"/>
      <c r="Y510" s="1585"/>
      <c r="Z510" s="1585"/>
      <c r="AA510" s="1585"/>
      <c r="AB510" s="1585"/>
      <c r="AC510" s="1585">
        <v>36.520000000000003</v>
      </c>
      <c r="AD510" s="1601">
        <f t="shared" si="67"/>
        <v>36.520000000000003</v>
      </c>
      <c r="AE510" s="1790">
        <v>0</v>
      </c>
      <c r="AF510" s="1792"/>
    </row>
    <row r="511" spans="1:32" s="1602" customFormat="1" ht="26.1" customHeight="1">
      <c r="A511" s="2918"/>
      <c r="B511" s="2919"/>
      <c r="C511" s="2920"/>
      <c r="D511" s="2917"/>
      <c r="E511" s="1603" t="s">
        <v>2497</v>
      </c>
      <c r="F511" s="1583"/>
      <c r="G511" s="1583"/>
      <c r="H511" s="1583"/>
      <c r="I511" s="1583"/>
      <c r="J511" s="1583"/>
      <c r="K511" s="1583"/>
      <c r="L511" s="1583"/>
      <c r="M511" s="1583"/>
      <c r="N511" s="1583"/>
      <c r="O511" s="1583"/>
      <c r="P511" s="1583"/>
      <c r="Q511" s="1583"/>
      <c r="R511" s="1600"/>
      <c r="S511" s="1600"/>
      <c r="T511" s="1585"/>
      <c r="U511" s="1585"/>
      <c r="V511" s="1585"/>
      <c r="W511" s="1618"/>
      <c r="X511" s="1585"/>
      <c r="Y511" s="1585"/>
      <c r="Z511" s="1585"/>
      <c r="AA511" s="1585"/>
      <c r="AB511" s="1585"/>
      <c r="AC511" s="1585"/>
      <c r="AD511" s="1601">
        <f t="shared" si="67"/>
        <v>0</v>
      </c>
      <c r="AE511" s="1790">
        <v>0</v>
      </c>
      <c r="AF511" s="1792"/>
    </row>
    <row r="512" spans="1:32" s="1602" customFormat="1" ht="26.1" customHeight="1">
      <c r="A512" s="2918" t="s">
        <v>1541</v>
      </c>
      <c r="B512" s="2919" t="s">
        <v>1984</v>
      </c>
      <c r="C512" s="2920" t="s">
        <v>51</v>
      </c>
      <c r="D512" s="2917">
        <v>29778.560000000001</v>
      </c>
      <c r="E512" s="1598" t="s">
        <v>2496</v>
      </c>
      <c r="F512" s="1583"/>
      <c r="G512" s="1583"/>
      <c r="H512" s="1583"/>
      <c r="I512" s="1583"/>
      <c r="J512" s="1583"/>
      <c r="K512" s="1583"/>
      <c r="L512" s="1583"/>
      <c r="M512" s="1583"/>
      <c r="N512" s="1583"/>
      <c r="O512" s="1583"/>
      <c r="P512" s="1583"/>
      <c r="Q512" s="1583"/>
      <c r="R512" s="1600"/>
      <c r="S512" s="1600"/>
      <c r="T512" s="1585"/>
      <c r="U512" s="1585"/>
      <c r="V512" s="1585"/>
      <c r="W512" s="1585"/>
      <c r="X512" s="1585"/>
      <c r="Y512" s="1585"/>
      <c r="Z512" s="1585"/>
      <c r="AA512" s="1585"/>
      <c r="AB512" s="1585"/>
      <c r="AC512" s="1585">
        <v>29778.560000000001</v>
      </c>
      <c r="AD512" s="1601">
        <f t="shared" si="67"/>
        <v>29778.560000000001</v>
      </c>
      <c r="AE512" s="1790">
        <v>0</v>
      </c>
      <c r="AF512" s="1792"/>
    </row>
    <row r="513" spans="1:32" s="1602" customFormat="1" ht="26.1" customHeight="1">
      <c r="A513" s="2918"/>
      <c r="B513" s="2919"/>
      <c r="C513" s="2920"/>
      <c r="D513" s="2917"/>
      <c r="E513" s="1603" t="s">
        <v>2497</v>
      </c>
      <c r="F513" s="1583"/>
      <c r="G513" s="1583"/>
      <c r="H513" s="1583"/>
      <c r="I513" s="1583"/>
      <c r="J513" s="1583"/>
      <c r="K513" s="1583"/>
      <c r="L513" s="1583"/>
      <c r="M513" s="1583"/>
      <c r="N513" s="1583"/>
      <c r="O513" s="1583"/>
      <c r="P513" s="1583"/>
      <c r="Q513" s="1583"/>
      <c r="R513" s="1600"/>
      <c r="S513" s="1600"/>
      <c r="T513" s="1585"/>
      <c r="U513" s="1585"/>
      <c r="V513" s="1585"/>
      <c r="W513" s="1604"/>
      <c r="X513" s="1585"/>
      <c r="Y513" s="1585"/>
      <c r="Z513" s="1585"/>
      <c r="AA513" s="1585"/>
      <c r="AB513" s="1585"/>
      <c r="AC513" s="1585"/>
      <c r="AD513" s="1601">
        <f t="shared" si="67"/>
        <v>0</v>
      </c>
      <c r="AE513" s="1790">
        <v>0</v>
      </c>
      <c r="AF513" s="1792"/>
    </row>
    <row r="514" spans="1:32" s="1602" customFormat="1" ht="26.1" customHeight="1">
      <c r="A514" s="2918" t="s">
        <v>1542</v>
      </c>
      <c r="B514" s="2919" t="s">
        <v>1985</v>
      </c>
      <c r="C514" s="2920" t="s">
        <v>52</v>
      </c>
      <c r="D514" s="2917">
        <v>3231.1</v>
      </c>
      <c r="E514" s="1598" t="s">
        <v>2496</v>
      </c>
      <c r="F514" s="1583"/>
      <c r="G514" s="1583"/>
      <c r="H514" s="1583"/>
      <c r="I514" s="1583"/>
      <c r="J514" s="1583"/>
      <c r="K514" s="1583"/>
      <c r="L514" s="1583"/>
      <c r="M514" s="1583"/>
      <c r="N514" s="1583"/>
      <c r="O514" s="1583"/>
      <c r="P514" s="1583"/>
      <c r="Q514" s="1583"/>
      <c r="R514" s="1600"/>
      <c r="S514" s="1600"/>
      <c r="T514" s="1585"/>
      <c r="U514" s="1585"/>
      <c r="V514" s="1585"/>
      <c r="W514" s="1585"/>
      <c r="X514" s="1585"/>
      <c r="Y514" s="1585"/>
      <c r="Z514" s="1585"/>
      <c r="AA514" s="1585"/>
      <c r="AB514" s="1585"/>
      <c r="AC514" s="1585">
        <v>3231.1</v>
      </c>
      <c r="AD514" s="1601">
        <f t="shared" si="67"/>
        <v>3231.1</v>
      </c>
      <c r="AE514" s="1790">
        <v>0</v>
      </c>
      <c r="AF514" s="1792"/>
    </row>
    <row r="515" spans="1:32" s="1602" customFormat="1" ht="26.1" customHeight="1">
      <c r="A515" s="2918"/>
      <c r="B515" s="2919"/>
      <c r="C515" s="2920"/>
      <c r="D515" s="2917"/>
      <c r="E515" s="1603" t="s">
        <v>2497</v>
      </c>
      <c r="F515" s="1583"/>
      <c r="G515" s="1583"/>
      <c r="H515" s="1583"/>
      <c r="I515" s="1583"/>
      <c r="J515" s="1583"/>
      <c r="K515" s="1583"/>
      <c r="L515" s="1583"/>
      <c r="M515" s="1583"/>
      <c r="N515" s="1583"/>
      <c r="O515" s="1583"/>
      <c r="P515" s="1583"/>
      <c r="Q515" s="1583"/>
      <c r="R515" s="1600"/>
      <c r="S515" s="1600"/>
      <c r="T515" s="1585"/>
      <c r="U515" s="1585"/>
      <c r="V515" s="1585"/>
      <c r="W515" s="1604"/>
      <c r="X515" s="1585"/>
      <c r="Y515" s="1585"/>
      <c r="Z515" s="1585"/>
      <c r="AA515" s="1585"/>
      <c r="AB515" s="1585"/>
      <c r="AC515" s="1585"/>
      <c r="AD515" s="1601">
        <f t="shared" si="67"/>
        <v>0</v>
      </c>
      <c r="AE515" s="1790">
        <v>0</v>
      </c>
      <c r="AF515" s="1792"/>
    </row>
    <row r="516" spans="1:32" s="1602" customFormat="1" ht="26.1" customHeight="1">
      <c r="A516" s="2918" t="s">
        <v>1543</v>
      </c>
      <c r="B516" s="2919" t="s">
        <v>1986</v>
      </c>
      <c r="C516" s="2920" t="s">
        <v>52</v>
      </c>
      <c r="D516" s="2917">
        <v>9182.0499999999993</v>
      </c>
      <c r="E516" s="1598" t="s">
        <v>2496</v>
      </c>
      <c r="F516" s="1583"/>
      <c r="G516" s="1583"/>
      <c r="H516" s="1583"/>
      <c r="I516" s="1583"/>
      <c r="J516" s="1583"/>
      <c r="K516" s="1583"/>
      <c r="L516" s="1583"/>
      <c r="M516" s="1583"/>
      <c r="N516" s="1583"/>
      <c r="O516" s="1583"/>
      <c r="P516" s="1583"/>
      <c r="Q516" s="1583"/>
      <c r="R516" s="1600"/>
      <c r="S516" s="1600"/>
      <c r="T516" s="1585"/>
      <c r="U516" s="1585"/>
      <c r="V516" s="1585"/>
      <c r="W516" s="1585"/>
      <c r="X516" s="1585"/>
      <c r="Y516" s="1585"/>
      <c r="Z516" s="1585"/>
      <c r="AA516" s="1585"/>
      <c r="AB516" s="1585"/>
      <c r="AC516" s="1585">
        <v>9182.0499999999993</v>
      </c>
      <c r="AD516" s="1601">
        <f t="shared" si="67"/>
        <v>9182.0499999999993</v>
      </c>
      <c r="AE516" s="1790">
        <v>0</v>
      </c>
      <c r="AF516" s="1792"/>
    </row>
    <row r="517" spans="1:32" s="1602" customFormat="1" ht="26.1" customHeight="1">
      <c r="A517" s="2918"/>
      <c r="B517" s="2919"/>
      <c r="C517" s="2920"/>
      <c r="D517" s="2917"/>
      <c r="E517" s="1603" t="s">
        <v>2497</v>
      </c>
      <c r="F517" s="1583"/>
      <c r="G517" s="1583"/>
      <c r="H517" s="1583"/>
      <c r="I517" s="1583"/>
      <c r="J517" s="1583"/>
      <c r="K517" s="1583"/>
      <c r="L517" s="1583"/>
      <c r="M517" s="1583"/>
      <c r="N517" s="1583"/>
      <c r="O517" s="1583"/>
      <c r="P517" s="1583"/>
      <c r="Q517" s="1583"/>
      <c r="R517" s="1600"/>
      <c r="S517" s="1600"/>
      <c r="T517" s="1585"/>
      <c r="U517" s="1585"/>
      <c r="V517" s="1585"/>
      <c r="W517" s="1604"/>
      <c r="X517" s="1585"/>
      <c r="Y517" s="1585"/>
      <c r="Z517" s="1585"/>
      <c r="AA517" s="1585"/>
      <c r="AB517" s="1585"/>
      <c r="AC517" s="1585"/>
      <c r="AD517" s="1601">
        <f t="shared" si="67"/>
        <v>0</v>
      </c>
      <c r="AE517" s="1790">
        <v>0</v>
      </c>
      <c r="AF517" s="1792"/>
    </row>
    <row r="518" spans="1:32" s="1602" customFormat="1" ht="26.1" customHeight="1">
      <c r="A518" s="1594" t="s">
        <v>1544</v>
      </c>
      <c r="B518" s="1609" t="s">
        <v>1987</v>
      </c>
      <c r="C518" s="1596"/>
      <c r="D518" s="1597"/>
      <c r="E518" s="1600"/>
      <c r="F518" s="1583"/>
      <c r="G518" s="1583"/>
      <c r="H518" s="1583"/>
      <c r="I518" s="1583"/>
      <c r="J518" s="1583"/>
      <c r="K518" s="1583"/>
      <c r="L518" s="1583"/>
      <c r="M518" s="1583"/>
      <c r="N518" s="1583"/>
      <c r="O518" s="1583"/>
      <c r="P518" s="1583"/>
      <c r="Q518" s="1583"/>
      <c r="R518" s="1600"/>
      <c r="S518" s="1600"/>
      <c r="T518" s="1585"/>
      <c r="U518" s="1585"/>
      <c r="V518" s="1585"/>
      <c r="W518" s="1585"/>
      <c r="X518" s="1585"/>
      <c r="Y518" s="1585"/>
      <c r="Z518" s="1585"/>
      <c r="AA518" s="1585"/>
      <c r="AB518" s="1585"/>
      <c r="AC518" s="1585"/>
      <c r="AD518" s="1601">
        <f t="shared" si="67"/>
        <v>0</v>
      </c>
      <c r="AE518" s="1790">
        <v>0</v>
      </c>
      <c r="AF518" s="1792"/>
    </row>
    <row r="519" spans="1:32" s="1602" customFormat="1" ht="26.1" customHeight="1">
      <c r="A519" s="2918" t="s">
        <v>1545</v>
      </c>
      <c r="B519" s="2919" t="s">
        <v>1988</v>
      </c>
      <c r="C519" s="2920" t="s">
        <v>2145</v>
      </c>
      <c r="D519" s="2917">
        <v>996.88</v>
      </c>
      <c r="E519" s="1598" t="s">
        <v>2496</v>
      </c>
      <c r="F519" s="1583"/>
      <c r="G519" s="1583"/>
      <c r="H519" s="1583"/>
      <c r="I519" s="1583"/>
      <c r="J519" s="1583"/>
      <c r="K519" s="1583"/>
      <c r="L519" s="1583"/>
      <c r="M519" s="1583"/>
      <c r="N519" s="1583"/>
      <c r="O519" s="1583"/>
      <c r="P519" s="1583"/>
      <c r="Q519" s="1583"/>
      <c r="R519" s="1600"/>
      <c r="S519" s="1600"/>
      <c r="T519" s="1585"/>
      <c r="U519" s="1585"/>
      <c r="V519" s="1585"/>
      <c r="W519" s="1585"/>
      <c r="X519" s="1585"/>
      <c r="Y519" s="1585"/>
      <c r="Z519" s="1585"/>
      <c r="AA519" s="1585"/>
      <c r="AB519" s="1585"/>
      <c r="AC519" s="1585">
        <v>996.88</v>
      </c>
      <c r="AD519" s="1601">
        <f t="shared" si="67"/>
        <v>996.88</v>
      </c>
      <c r="AE519" s="1790">
        <v>0</v>
      </c>
      <c r="AF519" s="1792"/>
    </row>
    <row r="520" spans="1:32" s="1602" customFormat="1" ht="26.1" customHeight="1">
      <c r="A520" s="2918"/>
      <c r="B520" s="2919"/>
      <c r="C520" s="2920"/>
      <c r="D520" s="2917"/>
      <c r="E520" s="1603" t="s">
        <v>2497</v>
      </c>
      <c r="F520" s="1583"/>
      <c r="G520" s="1583"/>
      <c r="H520" s="1583"/>
      <c r="I520" s="1583"/>
      <c r="J520" s="1583"/>
      <c r="K520" s="1583"/>
      <c r="L520" s="1583"/>
      <c r="M520" s="1583"/>
      <c r="N520" s="1583"/>
      <c r="O520" s="1583"/>
      <c r="P520" s="1583"/>
      <c r="Q520" s="1583"/>
      <c r="R520" s="1600"/>
      <c r="S520" s="1600"/>
      <c r="T520" s="1585"/>
      <c r="U520" s="1585"/>
      <c r="V520" s="1585"/>
      <c r="W520" s="1618"/>
      <c r="X520" s="1585"/>
      <c r="Y520" s="1585"/>
      <c r="Z520" s="1585"/>
      <c r="AA520" s="1585"/>
      <c r="AB520" s="1585"/>
      <c r="AC520" s="1585"/>
      <c r="AD520" s="1601">
        <f t="shared" si="67"/>
        <v>0</v>
      </c>
      <c r="AE520" s="1790">
        <v>0</v>
      </c>
      <c r="AF520" s="1792"/>
    </row>
    <row r="521" spans="1:32" s="1602" customFormat="1" ht="26.1" customHeight="1">
      <c r="A521" s="2918" t="s">
        <v>1546</v>
      </c>
      <c r="B521" s="2919" t="s">
        <v>2036</v>
      </c>
      <c r="C521" s="2920" t="s">
        <v>2145</v>
      </c>
      <c r="D521" s="2917">
        <v>100.71000000000001</v>
      </c>
      <c r="E521" s="1598" t="s">
        <v>2496</v>
      </c>
      <c r="F521" s="1583"/>
      <c r="G521" s="1583"/>
      <c r="H521" s="1583"/>
      <c r="I521" s="1583"/>
      <c r="J521" s="1583"/>
      <c r="K521" s="1583"/>
      <c r="L521" s="1583"/>
      <c r="M521" s="1583"/>
      <c r="N521" s="1583"/>
      <c r="O521" s="1583"/>
      <c r="P521" s="1583"/>
      <c r="Q521" s="1583"/>
      <c r="R521" s="1600"/>
      <c r="S521" s="1600"/>
      <c r="T521" s="1585"/>
      <c r="U521" s="1585"/>
      <c r="V521" s="1585"/>
      <c r="W521" s="1585"/>
      <c r="X521" s="1585"/>
      <c r="Y521" s="1585"/>
      <c r="Z521" s="1585"/>
      <c r="AA521" s="1585"/>
      <c r="AB521" s="1585"/>
      <c r="AC521" s="1585">
        <v>100.71000000000001</v>
      </c>
      <c r="AD521" s="1601">
        <f t="shared" si="67"/>
        <v>100.71000000000001</v>
      </c>
      <c r="AE521" s="1790">
        <v>0</v>
      </c>
      <c r="AF521" s="1792"/>
    </row>
    <row r="522" spans="1:32" s="1602" customFormat="1" ht="26.1" customHeight="1">
      <c r="A522" s="2918"/>
      <c r="B522" s="2919"/>
      <c r="C522" s="2920"/>
      <c r="D522" s="2917"/>
      <c r="E522" s="1603" t="s">
        <v>2497</v>
      </c>
      <c r="F522" s="1583"/>
      <c r="G522" s="1583"/>
      <c r="H522" s="1583"/>
      <c r="I522" s="1583"/>
      <c r="J522" s="1583"/>
      <c r="K522" s="1583"/>
      <c r="L522" s="1583"/>
      <c r="M522" s="1583"/>
      <c r="N522" s="1583"/>
      <c r="O522" s="1583"/>
      <c r="P522" s="1583"/>
      <c r="Q522" s="1583"/>
      <c r="R522" s="1600"/>
      <c r="S522" s="1600"/>
      <c r="T522" s="1585"/>
      <c r="U522" s="1585"/>
      <c r="V522" s="1585"/>
      <c r="W522" s="1618"/>
      <c r="X522" s="1585"/>
      <c r="Y522" s="1585"/>
      <c r="Z522" s="1585"/>
      <c r="AA522" s="1585"/>
      <c r="AB522" s="1585"/>
      <c r="AC522" s="1585"/>
      <c r="AD522" s="1601">
        <f t="shared" si="67"/>
        <v>0</v>
      </c>
      <c r="AE522" s="1790">
        <v>0</v>
      </c>
      <c r="AF522" s="1792"/>
    </row>
    <row r="523" spans="1:32" s="1602" customFormat="1" ht="26.1" customHeight="1">
      <c r="A523" s="2918" t="s">
        <v>1547</v>
      </c>
      <c r="B523" s="2919" t="s">
        <v>1989</v>
      </c>
      <c r="C523" s="2920" t="s">
        <v>52</v>
      </c>
      <c r="D523" s="2917">
        <v>7899.7800000000007</v>
      </c>
      <c r="E523" s="1598" t="s">
        <v>2496</v>
      </c>
      <c r="F523" s="1583"/>
      <c r="G523" s="1583"/>
      <c r="H523" s="1583"/>
      <c r="I523" s="1583"/>
      <c r="J523" s="1583"/>
      <c r="K523" s="1583"/>
      <c r="L523" s="1583"/>
      <c r="M523" s="1583"/>
      <c r="N523" s="1583"/>
      <c r="O523" s="1583"/>
      <c r="P523" s="1583"/>
      <c r="Q523" s="1583"/>
      <c r="R523" s="1600"/>
      <c r="S523" s="1600"/>
      <c r="T523" s="1585"/>
      <c r="U523" s="1585"/>
      <c r="V523" s="1585"/>
      <c r="W523" s="1585"/>
      <c r="X523" s="1585"/>
      <c r="Y523" s="1585"/>
      <c r="Z523" s="1585"/>
      <c r="AA523" s="1585"/>
      <c r="AB523" s="1585"/>
      <c r="AC523" s="1585">
        <v>7899.7800000000007</v>
      </c>
      <c r="AD523" s="1601">
        <f t="shared" si="67"/>
        <v>7899.7800000000007</v>
      </c>
      <c r="AE523" s="1790">
        <v>0</v>
      </c>
      <c r="AF523" s="1792"/>
    </row>
    <row r="524" spans="1:32" s="1602" customFormat="1" ht="26.1" customHeight="1">
      <c r="A524" s="2918"/>
      <c r="B524" s="2919"/>
      <c r="C524" s="2920"/>
      <c r="D524" s="2917"/>
      <c r="E524" s="1603" t="s">
        <v>2497</v>
      </c>
      <c r="F524" s="1583"/>
      <c r="G524" s="1583"/>
      <c r="H524" s="1583"/>
      <c r="I524" s="1583"/>
      <c r="J524" s="1583"/>
      <c r="K524" s="1583"/>
      <c r="L524" s="1583"/>
      <c r="M524" s="1583"/>
      <c r="N524" s="1583"/>
      <c r="O524" s="1583"/>
      <c r="P524" s="1583"/>
      <c r="Q524" s="1583"/>
      <c r="R524" s="1600"/>
      <c r="S524" s="1600"/>
      <c r="T524" s="1585"/>
      <c r="U524" s="1585"/>
      <c r="V524" s="1585"/>
      <c r="W524" s="1585"/>
      <c r="X524" s="1585"/>
      <c r="Y524" s="1585"/>
      <c r="Z524" s="1585"/>
      <c r="AA524" s="1585"/>
      <c r="AB524" s="1585"/>
      <c r="AC524" s="1585"/>
      <c r="AD524" s="1601">
        <f t="shared" si="67"/>
        <v>0</v>
      </c>
      <c r="AE524" s="1790">
        <v>0</v>
      </c>
      <c r="AF524" s="1792"/>
    </row>
    <row r="525" spans="1:32" s="1602" customFormat="1" ht="26.1" customHeight="1">
      <c r="A525" s="1594" t="s">
        <v>1548</v>
      </c>
      <c r="B525" s="1609" t="s">
        <v>2037</v>
      </c>
      <c r="C525" s="1596"/>
      <c r="D525" s="1597"/>
      <c r="E525" s="1600"/>
      <c r="F525" s="1583"/>
      <c r="G525" s="1583"/>
      <c r="H525" s="1583"/>
      <c r="I525" s="1583"/>
      <c r="J525" s="1583"/>
      <c r="K525" s="1583"/>
      <c r="L525" s="1583"/>
      <c r="M525" s="1583"/>
      <c r="N525" s="1583"/>
      <c r="O525" s="1583"/>
      <c r="P525" s="1583"/>
      <c r="Q525" s="1583"/>
      <c r="R525" s="1600"/>
      <c r="S525" s="1600"/>
      <c r="T525" s="1585"/>
      <c r="U525" s="1585"/>
      <c r="V525" s="1585"/>
      <c r="W525" s="1585"/>
      <c r="X525" s="1585"/>
      <c r="Y525" s="1585"/>
      <c r="Z525" s="1585"/>
      <c r="AA525" s="1585"/>
      <c r="AB525" s="1585"/>
      <c r="AC525" s="1585"/>
      <c r="AD525" s="1601">
        <f t="shared" si="67"/>
        <v>0</v>
      </c>
      <c r="AE525" s="1790">
        <v>0</v>
      </c>
      <c r="AF525" s="1792"/>
    </row>
    <row r="526" spans="1:32" s="1602" customFormat="1" ht="26.1" customHeight="1">
      <c r="A526" s="2918" t="s">
        <v>1549</v>
      </c>
      <c r="B526" s="2919" t="s">
        <v>2038</v>
      </c>
      <c r="C526" s="2920" t="s">
        <v>1145</v>
      </c>
      <c r="D526" s="2917">
        <v>1001.28</v>
      </c>
      <c r="E526" s="1598" t="s">
        <v>2496</v>
      </c>
      <c r="F526" s="1583"/>
      <c r="G526" s="1583"/>
      <c r="H526" s="1583"/>
      <c r="I526" s="1583"/>
      <c r="J526" s="1583"/>
      <c r="K526" s="1583"/>
      <c r="L526" s="1583"/>
      <c r="M526" s="1583"/>
      <c r="N526" s="1583"/>
      <c r="O526" s="1583"/>
      <c r="P526" s="1583"/>
      <c r="Q526" s="1583"/>
      <c r="R526" s="1600"/>
      <c r="S526" s="1600"/>
      <c r="T526" s="1585"/>
      <c r="U526" s="1585"/>
      <c r="V526" s="1585"/>
      <c r="W526" s="1585"/>
      <c r="X526" s="1585"/>
      <c r="Y526" s="1585"/>
      <c r="Z526" s="1585"/>
      <c r="AA526" s="1585"/>
      <c r="AB526" s="1585"/>
      <c r="AC526" s="1585">
        <v>1001.28</v>
      </c>
      <c r="AD526" s="1601">
        <f t="shared" si="67"/>
        <v>1001.28</v>
      </c>
      <c r="AE526" s="1790">
        <v>0</v>
      </c>
      <c r="AF526" s="1792"/>
    </row>
    <row r="527" spans="1:32" s="1602" customFormat="1" ht="26.1" customHeight="1">
      <c r="A527" s="2918"/>
      <c r="B527" s="2919"/>
      <c r="C527" s="2920"/>
      <c r="D527" s="2917"/>
      <c r="E527" s="1603" t="s">
        <v>2497</v>
      </c>
      <c r="F527" s="1583"/>
      <c r="G527" s="1583"/>
      <c r="H527" s="1583"/>
      <c r="I527" s="1583"/>
      <c r="J527" s="1583"/>
      <c r="K527" s="1583"/>
      <c r="L527" s="1583"/>
      <c r="M527" s="1583"/>
      <c r="N527" s="1583"/>
      <c r="O527" s="1583"/>
      <c r="P527" s="1583"/>
      <c r="Q527" s="1583"/>
      <c r="R527" s="1600"/>
      <c r="S527" s="1600"/>
      <c r="T527" s="1585"/>
      <c r="U527" s="1585"/>
      <c r="V527" s="1585"/>
      <c r="W527" s="1618"/>
      <c r="X527" s="1585"/>
      <c r="Y527" s="1585"/>
      <c r="Z527" s="1585"/>
      <c r="AA527" s="1585"/>
      <c r="AB527" s="1585"/>
      <c r="AC527" s="1585"/>
      <c r="AD527" s="1601">
        <f t="shared" si="67"/>
        <v>0</v>
      </c>
      <c r="AE527" s="1790">
        <v>0</v>
      </c>
      <c r="AF527" s="1792"/>
    </row>
    <row r="528" spans="1:32" s="1602" customFormat="1" ht="26.1" customHeight="1">
      <c r="A528" s="2918" t="s">
        <v>1550</v>
      </c>
      <c r="B528" s="2919" t="s">
        <v>2039</v>
      </c>
      <c r="C528" s="2920" t="s">
        <v>1145</v>
      </c>
      <c r="D528" s="2917">
        <v>537.59999999999991</v>
      </c>
      <c r="E528" s="1598" t="s">
        <v>2496</v>
      </c>
      <c r="F528" s="1583"/>
      <c r="G528" s="1583"/>
      <c r="H528" s="1583"/>
      <c r="I528" s="1583"/>
      <c r="J528" s="1583"/>
      <c r="K528" s="1583"/>
      <c r="L528" s="1583"/>
      <c r="M528" s="1583"/>
      <c r="N528" s="1583"/>
      <c r="O528" s="1583"/>
      <c r="P528" s="1583"/>
      <c r="Q528" s="1583"/>
      <c r="R528" s="1600"/>
      <c r="S528" s="1600"/>
      <c r="T528" s="1585"/>
      <c r="U528" s="1585"/>
      <c r="V528" s="1585"/>
      <c r="W528" s="1585"/>
      <c r="X528" s="1585"/>
      <c r="Y528" s="1585"/>
      <c r="Z528" s="1585"/>
      <c r="AA528" s="1585"/>
      <c r="AB528" s="1585"/>
      <c r="AC528" s="1585">
        <v>537.6</v>
      </c>
      <c r="AD528" s="1601">
        <f t="shared" si="67"/>
        <v>537.6</v>
      </c>
      <c r="AE528" s="1790">
        <v>0</v>
      </c>
      <c r="AF528" s="1792"/>
    </row>
    <row r="529" spans="1:32" s="1602" customFormat="1" ht="26.1" customHeight="1">
      <c r="A529" s="2918"/>
      <c r="B529" s="2919"/>
      <c r="C529" s="2920"/>
      <c r="D529" s="2917"/>
      <c r="E529" s="1603" t="s">
        <v>2497</v>
      </c>
      <c r="F529" s="1583"/>
      <c r="G529" s="1583"/>
      <c r="H529" s="1583"/>
      <c r="I529" s="1583"/>
      <c r="J529" s="1583"/>
      <c r="K529" s="1583"/>
      <c r="L529" s="1583"/>
      <c r="M529" s="1583"/>
      <c r="N529" s="1583"/>
      <c r="O529" s="1583"/>
      <c r="P529" s="1583"/>
      <c r="Q529" s="1583"/>
      <c r="R529" s="1600"/>
      <c r="S529" s="1600"/>
      <c r="T529" s="1585"/>
      <c r="U529" s="1585"/>
      <c r="V529" s="1585"/>
      <c r="W529" s="1618"/>
      <c r="X529" s="1585"/>
      <c r="Y529" s="1585"/>
      <c r="Z529" s="1585"/>
      <c r="AA529" s="1585"/>
      <c r="AB529" s="1585"/>
      <c r="AC529" s="1585"/>
      <c r="AD529" s="1601">
        <f t="shared" ref="AD529:AD592" si="68">SUM(F529:AC529)</f>
        <v>0</v>
      </c>
      <c r="AE529" s="1790">
        <v>0</v>
      </c>
      <c r="AF529" s="1792"/>
    </row>
    <row r="530" spans="1:32" s="1602" customFormat="1" ht="25.5" customHeight="1">
      <c r="A530" s="2918" t="s">
        <v>1551</v>
      </c>
      <c r="B530" s="2919" t="s">
        <v>2040</v>
      </c>
      <c r="C530" s="2920" t="s">
        <v>1145</v>
      </c>
      <c r="D530" s="2917">
        <v>7839.72</v>
      </c>
      <c r="E530" s="1598" t="s">
        <v>2496</v>
      </c>
      <c r="F530" s="1583"/>
      <c r="G530" s="1583"/>
      <c r="H530" s="1583"/>
      <c r="I530" s="1583"/>
      <c r="J530" s="1583"/>
      <c r="K530" s="1583"/>
      <c r="L530" s="1583"/>
      <c r="M530" s="1583"/>
      <c r="N530" s="1583"/>
      <c r="O530" s="1583"/>
      <c r="P530" s="1583"/>
      <c r="Q530" s="1583"/>
      <c r="R530" s="1600"/>
      <c r="S530" s="1600"/>
      <c r="T530" s="1585"/>
      <c r="U530" s="1585"/>
      <c r="V530" s="1585"/>
      <c r="W530" s="1585"/>
      <c r="X530" s="1585"/>
      <c r="Y530" s="1585"/>
      <c r="Z530" s="1585"/>
      <c r="AA530" s="1585"/>
      <c r="AB530" s="1585"/>
      <c r="AC530" s="1585">
        <v>7839.72</v>
      </c>
      <c r="AD530" s="1601">
        <f t="shared" si="68"/>
        <v>7839.72</v>
      </c>
      <c r="AE530" s="1790">
        <v>0</v>
      </c>
      <c r="AF530" s="1792"/>
    </row>
    <row r="531" spans="1:32" s="1602" customFormat="1" ht="25.5" customHeight="1">
      <c r="A531" s="2918"/>
      <c r="B531" s="2919"/>
      <c r="C531" s="2920"/>
      <c r="D531" s="2917"/>
      <c r="E531" s="1603" t="s">
        <v>2497</v>
      </c>
      <c r="F531" s="1583"/>
      <c r="G531" s="1583"/>
      <c r="H531" s="1583"/>
      <c r="I531" s="1583"/>
      <c r="J531" s="1583"/>
      <c r="K531" s="1583"/>
      <c r="L531" s="1583"/>
      <c r="M531" s="1583"/>
      <c r="N531" s="1583"/>
      <c r="O531" s="1583"/>
      <c r="P531" s="1583"/>
      <c r="Q531" s="1583"/>
      <c r="R531" s="1600"/>
      <c r="S531" s="1600"/>
      <c r="T531" s="1585"/>
      <c r="U531" s="1585"/>
      <c r="V531" s="1585"/>
      <c r="W531" s="1618"/>
      <c r="X531" s="1585"/>
      <c r="Y531" s="1585"/>
      <c r="Z531" s="1585"/>
      <c r="AA531" s="1585"/>
      <c r="AB531" s="1585"/>
      <c r="AC531" s="1585"/>
      <c r="AD531" s="1601">
        <f t="shared" si="68"/>
        <v>0</v>
      </c>
      <c r="AE531" s="1790">
        <v>0</v>
      </c>
      <c r="AF531" s="1792"/>
    </row>
    <row r="532" spans="1:32" s="1602" customFormat="1" ht="26.1" customHeight="1">
      <c r="A532" s="2918" t="s">
        <v>1552</v>
      </c>
      <c r="B532" s="2919" t="s">
        <v>2041</v>
      </c>
      <c r="C532" s="2920" t="s">
        <v>1145</v>
      </c>
      <c r="D532" s="2917">
        <v>29.69</v>
      </c>
      <c r="E532" s="1598" t="s">
        <v>2496</v>
      </c>
      <c r="F532" s="1583"/>
      <c r="G532" s="1583"/>
      <c r="H532" s="1583"/>
      <c r="I532" s="1583"/>
      <c r="J532" s="1583"/>
      <c r="K532" s="1583"/>
      <c r="L532" s="1583"/>
      <c r="M532" s="1583"/>
      <c r="N532" s="1583"/>
      <c r="O532" s="1583"/>
      <c r="P532" s="1583"/>
      <c r="Q532" s="1583"/>
      <c r="R532" s="1600"/>
      <c r="S532" s="1600"/>
      <c r="T532" s="1585"/>
      <c r="U532" s="1585"/>
      <c r="V532" s="1585"/>
      <c r="W532" s="1585"/>
      <c r="X532" s="1585"/>
      <c r="Y532" s="1585"/>
      <c r="Z532" s="1585"/>
      <c r="AA532" s="1585"/>
      <c r="AB532" s="1585"/>
      <c r="AC532" s="1585">
        <v>29.69</v>
      </c>
      <c r="AD532" s="1601">
        <f t="shared" si="68"/>
        <v>29.69</v>
      </c>
      <c r="AE532" s="1790">
        <v>0</v>
      </c>
      <c r="AF532" s="1792"/>
    </row>
    <row r="533" spans="1:32" s="1602" customFormat="1" ht="26.1" customHeight="1">
      <c r="A533" s="2918"/>
      <c r="B533" s="2919"/>
      <c r="C533" s="2920"/>
      <c r="D533" s="2917"/>
      <c r="E533" s="1603" t="s">
        <v>2497</v>
      </c>
      <c r="F533" s="1583"/>
      <c r="G533" s="1583"/>
      <c r="H533" s="1583"/>
      <c r="I533" s="1583"/>
      <c r="J533" s="1583"/>
      <c r="K533" s="1583"/>
      <c r="L533" s="1583"/>
      <c r="M533" s="1583"/>
      <c r="N533" s="1583"/>
      <c r="O533" s="1583"/>
      <c r="P533" s="1583"/>
      <c r="Q533" s="1583"/>
      <c r="R533" s="1600"/>
      <c r="S533" s="1600"/>
      <c r="T533" s="1585"/>
      <c r="U533" s="1585"/>
      <c r="V533" s="1585"/>
      <c r="W533" s="1618"/>
      <c r="X533" s="1585"/>
      <c r="Y533" s="1585"/>
      <c r="Z533" s="1585"/>
      <c r="AA533" s="1585"/>
      <c r="AB533" s="1585"/>
      <c r="AC533" s="1585"/>
      <c r="AD533" s="1601">
        <f t="shared" si="68"/>
        <v>0</v>
      </c>
      <c r="AE533" s="1790">
        <v>0</v>
      </c>
      <c r="AF533" s="1792"/>
    </row>
    <row r="534" spans="1:32" s="1602" customFormat="1" ht="26.1" customHeight="1">
      <c r="A534" s="2918" t="s">
        <v>1553</v>
      </c>
      <c r="B534" s="2919" t="s">
        <v>2042</v>
      </c>
      <c r="C534" s="2920" t="s">
        <v>1145</v>
      </c>
      <c r="D534" s="2917">
        <v>279.63</v>
      </c>
      <c r="E534" s="1598" t="s">
        <v>2496</v>
      </c>
      <c r="F534" s="1583"/>
      <c r="G534" s="1583"/>
      <c r="H534" s="1583"/>
      <c r="I534" s="1583"/>
      <c r="J534" s="1583"/>
      <c r="K534" s="1583"/>
      <c r="L534" s="1583"/>
      <c r="M534" s="1583"/>
      <c r="N534" s="1583"/>
      <c r="O534" s="1583"/>
      <c r="P534" s="1583"/>
      <c r="Q534" s="1583"/>
      <c r="R534" s="1600"/>
      <c r="S534" s="1600"/>
      <c r="T534" s="1585"/>
      <c r="U534" s="1585"/>
      <c r="V534" s="1585"/>
      <c r="W534" s="1585"/>
      <c r="X534" s="1585"/>
      <c r="Y534" s="1585"/>
      <c r="Z534" s="1585"/>
      <c r="AA534" s="1585"/>
      <c r="AB534" s="1585"/>
      <c r="AC534" s="1585">
        <v>279.63</v>
      </c>
      <c r="AD534" s="1601">
        <f t="shared" si="68"/>
        <v>279.63</v>
      </c>
      <c r="AE534" s="1790">
        <v>0</v>
      </c>
      <c r="AF534" s="1792"/>
    </row>
    <row r="535" spans="1:32" s="1602" customFormat="1" ht="26.1" customHeight="1">
      <c r="A535" s="2918"/>
      <c r="B535" s="2919"/>
      <c r="C535" s="2920"/>
      <c r="D535" s="2917"/>
      <c r="E535" s="1603" t="s">
        <v>2497</v>
      </c>
      <c r="F535" s="1583"/>
      <c r="G535" s="1583"/>
      <c r="H535" s="1583"/>
      <c r="I535" s="1583"/>
      <c r="J535" s="1583"/>
      <c r="K535" s="1583"/>
      <c r="L535" s="1583"/>
      <c r="M535" s="1583"/>
      <c r="N535" s="1583"/>
      <c r="O535" s="1583"/>
      <c r="P535" s="1583"/>
      <c r="Q535" s="1583"/>
      <c r="R535" s="1600"/>
      <c r="S535" s="1600"/>
      <c r="T535" s="1585"/>
      <c r="U535" s="1585"/>
      <c r="V535" s="1585"/>
      <c r="W535" s="1585"/>
      <c r="X535" s="1585"/>
      <c r="Y535" s="1585"/>
      <c r="Z535" s="1585"/>
      <c r="AA535" s="1585"/>
      <c r="AB535" s="1585"/>
      <c r="AC535" s="1585"/>
      <c r="AD535" s="1601">
        <f t="shared" si="68"/>
        <v>0</v>
      </c>
      <c r="AE535" s="1790">
        <v>0</v>
      </c>
      <c r="AF535" s="1792"/>
    </row>
    <row r="536" spans="1:32" s="1602" customFormat="1" ht="26.1" customHeight="1">
      <c r="A536" s="1594" t="s">
        <v>1554</v>
      </c>
      <c r="B536" s="1609" t="s">
        <v>2043</v>
      </c>
      <c r="C536" s="1596"/>
      <c r="D536" s="1597"/>
      <c r="E536" s="1600"/>
      <c r="F536" s="1583"/>
      <c r="G536" s="1583"/>
      <c r="H536" s="1583"/>
      <c r="I536" s="1583"/>
      <c r="J536" s="1583"/>
      <c r="K536" s="1583"/>
      <c r="L536" s="1583"/>
      <c r="M536" s="1583"/>
      <c r="N536" s="1583"/>
      <c r="O536" s="1583"/>
      <c r="P536" s="1583"/>
      <c r="Q536" s="1583"/>
      <c r="R536" s="1600"/>
      <c r="S536" s="1600"/>
      <c r="T536" s="1585"/>
      <c r="U536" s="1585"/>
      <c r="V536" s="1585"/>
      <c r="W536" s="1585"/>
      <c r="X536" s="1585"/>
      <c r="Y536" s="1585"/>
      <c r="Z536" s="1585"/>
      <c r="AA536" s="1585"/>
      <c r="AB536" s="1585"/>
      <c r="AC536" s="1585"/>
      <c r="AD536" s="1601">
        <f t="shared" si="68"/>
        <v>0</v>
      </c>
      <c r="AE536" s="1790">
        <v>0</v>
      </c>
      <c r="AF536" s="1792"/>
    </row>
    <row r="537" spans="1:32" s="1602" customFormat="1" ht="26.1" customHeight="1">
      <c r="A537" s="1594" t="s">
        <v>1555</v>
      </c>
      <c r="B537" s="1609" t="s">
        <v>2044</v>
      </c>
      <c r="C537" s="1596"/>
      <c r="D537" s="1597"/>
      <c r="E537" s="1617"/>
      <c r="F537" s="1583"/>
      <c r="G537" s="1583"/>
      <c r="H537" s="1583"/>
      <c r="I537" s="1583"/>
      <c r="J537" s="1583"/>
      <c r="K537" s="1583"/>
      <c r="L537" s="1583"/>
      <c r="M537" s="1583"/>
      <c r="N537" s="1583"/>
      <c r="O537" s="1583"/>
      <c r="P537" s="1583"/>
      <c r="Q537" s="1583"/>
      <c r="R537" s="1600"/>
      <c r="S537" s="1600"/>
      <c r="T537" s="1585"/>
      <c r="U537" s="1585"/>
      <c r="V537" s="1585"/>
      <c r="W537" s="1585"/>
      <c r="X537" s="1585"/>
      <c r="Y537" s="1585"/>
      <c r="Z537" s="1585"/>
      <c r="AA537" s="1585"/>
      <c r="AB537" s="1585"/>
      <c r="AC537" s="1585"/>
      <c r="AD537" s="1601">
        <f t="shared" si="68"/>
        <v>0</v>
      </c>
      <c r="AE537" s="1790">
        <v>0</v>
      </c>
      <c r="AF537" s="1792"/>
    </row>
    <row r="538" spans="1:32" s="1602" customFormat="1" ht="26.1" customHeight="1">
      <c r="A538" s="2918" t="s">
        <v>1556</v>
      </c>
      <c r="B538" s="2919" t="s">
        <v>2045</v>
      </c>
      <c r="C538" s="2920" t="s">
        <v>52</v>
      </c>
      <c r="D538" s="2917">
        <v>5963.96</v>
      </c>
      <c r="E538" s="1598" t="s">
        <v>2496</v>
      </c>
      <c r="F538" s="1583"/>
      <c r="G538" s="1583"/>
      <c r="H538" s="1583"/>
      <c r="I538" s="1583"/>
      <c r="J538" s="1583"/>
      <c r="K538" s="1583"/>
      <c r="L538" s="1583"/>
      <c r="M538" s="1583"/>
      <c r="N538" s="1583"/>
      <c r="O538" s="1583"/>
      <c r="P538" s="1583"/>
      <c r="Q538" s="1583"/>
      <c r="R538" s="1600"/>
      <c r="S538" s="1600"/>
      <c r="T538" s="1585"/>
      <c r="U538" s="1585"/>
      <c r="V538" s="1585"/>
      <c r="W538" s="1585"/>
      <c r="X538" s="1585"/>
      <c r="Y538" s="1585"/>
      <c r="Z538" s="1585"/>
      <c r="AA538" s="1585"/>
      <c r="AB538" s="1585"/>
      <c r="AC538" s="1585">
        <v>5963.96</v>
      </c>
      <c r="AD538" s="1601">
        <f t="shared" si="68"/>
        <v>5963.96</v>
      </c>
      <c r="AE538" s="1790">
        <v>0</v>
      </c>
      <c r="AF538" s="1792"/>
    </row>
    <row r="539" spans="1:32" s="1602" customFormat="1" ht="26.1" customHeight="1">
      <c r="A539" s="2918"/>
      <c r="B539" s="2919"/>
      <c r="C539" s="2920"/>
      <c r="D539" s="2917"/>
      <c r="E539" s="1603" t="s">
        <v>2497</v>
      </c>
      <c r="F539" s="1583"/>
      <c r="G539" s="1583"/>
      <c r="H539" s="1583"/>
      <c r="I539" s="1583"/>
      <c r="J539" s="1583"/>
      <c r="K539" s="1583"/>
      <c r="L539" s="1583"/>
      <c r="M539" s="1583"/>
      <c r="N539" s="1583"/>
      <c r="O539" s="1583"/>
      <c r="P539" s="1583"/>
      <c r="Q539" s="1583"/>
      <c r="R539" s="1600"/>
      <c r="S539" s="1600"/>
      <c r="T539" s="1585"/>
      <c r="U539" s="1585"/>
      <c r="V539" s="1585"/>
      <c r="W539" s="1585"/>
      <c r="X539" s="1585"/>
      <c r="Y539" s="1585"/>
      <c r="Z539" s="1585"/>
      <c r="AA539" s="1585"/>
      <c r="AB539" s="1585"/>
      <c r="AC539" s="1585"/>
      <c r="AD539" s="1601">
        <f t="shared" si="68"/>
        <v>0</v>
      </c>
      <c r="AE539" s="1790">
        <v>0</v>
      </c>
      <c r="AF539" s="1792"/>
    </row>
    <row r="540" spans="1:32" s="1602" customFormat="1" ht="26.1" customHeight="1">
      <c r="A540" s="1594" t="s">
        <v>1557</v>
      </c>
      <c r="B540" s="1609" t="s">
        <v>2046</v>
      </c>
      <c r="C540" s="1596"/>
      <c r="D540" s="1597"/>
      <c r="E540" s="1600"/>
      <c r="F540" s="1583"/>
      <c r="G540" s="1583"/>
      <c r="H540" s="1583"/>
      <c r="I540" s="1583"/>
      <c r="J540" s="1583"/>
      <c r="K540" s="1583"/>
      <c r="L540" s="1583"/>
      <c r="M540" s="1583"/>
      <c r="N540" s="1583"/>
      <c r="O540" s="1583"/>
      <c r="P540" s="1583"/>
      <c r="Q540" s="1583"/>
      <c r="R540" s="1600"/>
      <c r="S540" s="1600"/>
      <c r="T540" s="1585"/>
      <c r="U540" s="1585"/>
      <c r="V540" s="1585"/>
      <c r="W540" s="1585"/>
      <c r="X540" s="1585"/>
      <c r="Y540" s="1585"/>
      <c r="Z540" s="1585"/>
      <c r="AA540" s="1585"/>
      <c r="AB540" s="1585"/>
      <c r="AC540" s="1585"/>
      <c r="AD540" s="1601">
        <f t="shared" si="68"/>
        <v>0</v>
      </c>
      <c r="AE540" s="1790">
        <v>0</v>
      </c>
      <c r="AF540" s="1792"/>
    </row>
    <row r="541" spans="1:32" s="1602" customFormat="1" ht="26.1" customHeight="1">
      <c r="A541" s="2918" t="s">
        <v>1558</v>
      </c>
      <c r="B541" s="2919" t="s">
        <v>2047</v>
      </c>
      <c r="C541" s="2920" t="s">
        <v>52</v>
      </c>
      <c r="D541" s="2917">
        <v>1350.59</v>
      </c>
      <c r="E541" s="1598" t="s">
        <v>2496</v>
      </c>
      <c r="F541" s="1583"/>
      <c r="G541" s="1583"/>
      <c r="H541" s="1583"/>
      <c r="I541" s="1583"/>
      <c r="J541" s="1583"/>
      <c r="K541" s="1583"/>
      <c r="L541" s="1583"/>
      <c r="M541" s="1583"/>
      <c r="N541" s="1583"/>
      <c r="O541" s="1583"/>
      <c r="P541" s="1583"/>
      <c r="Q541" s="1583"/>
      <c r="R541" s="1600"/>
      <c r="S541" s="1600"/>
      <c r="T541" s="1585"/>
      <c r="U541" s="1585"/>
      <c r="V541" s="1585"/>
      <c r="W541" s="1585"/>
      <c r="X541" s="1585"/>
      <c r="Y541" s="1585"/>
      <c r="Z541" s="1585"/>
      <c r="AA541" s="1585"/>
      <c r="AB541" s="1585"/>
      <c r="AC541" s="1585">
        <v>1350.59</v>
      </c>
      <c r="AD541" s="1601">
        <f t="shared" si="68"/>
        <v>1350.59</v>
      </c>
      <c r="AE541" s="1790">
        <v>0</v>
      </c>
      <c r="AF541" s="1792"/>
    </row>
    <row r="542" spans="1:32" s="1602" customFormat="1" ht="26.1" customHeight="1">
      <c r="A542" s="2918"/>
      <c r="B542" s="2919"/>
      <c r="C542" s="2920"/>
      <c r="D542" s="2917"/>
      <c r="E542" s="1603" t="s">
        <v>2497</v>
      </c>
      <c r="F542" s="1583"/>
      <c r="G542" s="1583"/>
      <c r="H542" s="1583"/>
      <c r="I542" s="1583"/>
      <c r="J542" s="1583"/>
      <c r="K542" s="1583"/>
      <c r="L542" s="1583"/>
      <c r="M542" s="1583"/>
      <c r="N542" s="1583"/>
      <c r="O542" s="1583"/>
      <c r="P542" s="1583"/>
      <c r="Q542" s="1583"/>
      <c r="R542" s="1600"/>
      <c r="S542" s="1600"/>
      <c r="T542" s="1585"/>
      <c r="U542" s="1585"/>
      <c r="V542" s="1585"/>
      <c r="W542" s="1585"/>
      <c r="X542" s="1585"/>
      <c r="Y542" s="1585"/>
      <c r="Z542" s="1585"/>
      <c r="AA542" s="1585"/>
      <c r="AB542" s="1585"/>
      <c r="AC542" s="1585"/>
      <c r="AD542" s="1601">
        <f t="shared" si="68"/>
        <v>0</v>
      </c>
      <c r="AE542" s="1790">
        <v>0</v>
      </c>
      <c r="AF542" s="1792"/>
    </row>
    <row r="543" spans="1:32" s="1602" customFormat="1" ht="26.1" customHeight="1">
      <c r="A543" s="1594" t="s">
        <v>1559</v>
      </c>
      <c r="B543" s="1609" t="s">
        <v>2048</v>
      </c>
      <c r="C543" s="1596"/>
      <c r="D543" s="1597"/>
      <c r="E543" s="1600"/>
      <c r="F543" s="1583"/>
      <c r="G543" s="1583"/>
      <c r="H543" s="1583"/>
      <c r="I543" s="1583"/>
      <c r="J543" s="1583"/>
      <c r="K543" s="1583"/>
      <c r="L543" s="1583"/>
      <c r="M543" s="1583"/>
      <c r="N543" s="1583"/>
      <c r="O543" s="1583"/>
      <c r="P543" s="1583"/>
      <c r="Q543" s="1583"/>
      <c r="R543" s="1600"/>
      <c r="S543" s="1600"/>
      <c r="T543" s="1585"/>
      <c r="U543" s="1585"/>
      <c r="V543" s="1585"/>
      <c r="W543" s="1585"/>
      <c r="X543" s="1585"/>
      <c r="Y543" s="1585"/>
      <c r="Z543" s="1585"/>
      <c r="AA543" s="1585"/>
      <c r="AB543" s="1585"/>
      <c r="AC543" s="1585"/>
      <c r="AD543" s="1601">
        <f t="shared" si="68"/>
        <v>0</v>
      </c>
      <c r="AE543" s="1790">
        <v>0</v>
      </c>
      <c r="AF543" s="1792"/>
    </row>
    <row r="544" spans="1:32" s="1602" customFormat="1" ht="26.1" customHeight="1">
      <c r="A544" s="2918" t="s">
        <v>1560</v>
      </c>
      <c r="B544" s="2919" t="s">
        <v>2049</v>
      </c>
      <c r="C544" s="2920" t="s">
        <v>52</v>
      </c>
      <c r="D544" s="2917">
        <v>22322.65</v>
      </c>
      <c r="E544" s="1598" t="s">
        <v>2496</v>
      </c>
      <c r="F544" s="1583"/>
      <c r="G544" s="1583"/>
      <c r="H544" s="1583"/>
      <c r="I544" s="1583"/>
      <c r="J544" s="1583"/>
      <c r="K544" s="1583"/>
      <c r="L544" s="1583"/>
      <c r="M544" s="1583"/>
      <c r="N544" s="1583"/>
      <c r="O544" s="1583"/>
      <c r="P544" s="1583"/>
      <c r="Q544" s="1583"/>
      <c r="R544" s="1600"/>
      <c r="S544" s="1600"/>
      <c r="T544" s="1585"/>
      <c r="U544" s="1585"/>
      <c r="V544" s="1585"/>
      <c r="W544" s="1585"/>
      <c r="X544" s="1585"/>
      <c r="Y544" s="1585"/>
      <c r="Z544" s="1585"/>
      <c r="AA544" s="1585"/>
      <c r="AB544" s="1585"/>
      <c r="AC544" s="1585">
        <v>22322.65</v>
      </c>
      <c r="AD544" s="1601">
        <f t="shared" si="68"/>
        <v>22322.65</v>
      </c>
      <c r="AE544" s="1790">
        <v>0</v>
      </c>
      <c r="AF544" s="1792"/>
    </row>
    <row r="545" spans="1:32" s="1602" customFormat="1" ht="26.1" customHeight="1">
      <c r="A545" s="2918"/>
      <c r="B545" s="2919"/>
      <c r="C545" s="2920"/>
      <c r="D545" s="2917"/>
      <c r="E545" s="1603" t="s">
        <v>2497</v>
      </c>
      <c r="F545" s="1583"/>
      <c r="G545" s="1583"/>
      <c r="H545" s="1583"/>
      <c r="I545" s="1583"/>
      <c r="J545" s="1583"/>
      <c r="K545" s="1583"/>
      <c r="L545" s="1583"/>
      <c r="M545" s="1583"/>
      <c r="N545" s="1583"/>
      <c r="O545" s="1583"/>
      <c r="P545" s="1583"/>
      <c r="Q545" s="1583"/>
      <c r="R545" s="1600"/>
      <c r="S545" s="1600"/>
      <c r="T545" s="1585"/>
      <c r="U545" s="1585"/>
      <c r="V545" s="1585"/>
      <c r="W545" s="1618"/>
      <c r="X545" s="1585"/>
      <c r="Y545" s="1585"/>
      <c r="Z545" s="1585"/>
      <c r="AA545" s="1585"/>
      <c r="AB545" s="1585"/>
      <c r="AC545" s="1585"/>
      <c r="AD545" s="1601">
        <f t="shared" si="68"/>
        <v>0</v>
      </c>
      <c r="AE545" s="1790">
        <v>0</v>
      </c>
      <c r="AF545" s="1792"/>
    </row>
    <row r="546" spans="1:32" s="1602" customFormat="1" ht="26.1" customHeight="1">
      <c r="A546" s="2918" t="s">
        <v>1561</v>
      </c>
      <c r="B546" s="2919" t="s">
        <v>2050</v>
      </c>
      <c r="C546" s="2920" t="s">
        <v>52</v>
      </c>
      <c r="D546" s="2917">
        <v>3274.32</v>
      </c>
      <c r="E546" s="1598" t="s">
        <v>2496</v>
      </c>
      <c r="F546" s="1583"/>
      <c r="G546" s="1583"/>
      <c r="H546" s="1583"/>
      <c r="I546" s="1583"/>
      <c r="J546" s="1583"/>
      <c r="K546" s="1583"/>
      <c r="L546" s="1583"/>
      <c r="M546" s="1583"/>
      <c r="N546" s="1583"/>
      <c r="O546" s="1583"/>
      <c r="P546" s="1583"/>
      <c r="Q546" s="1583"/>
      <c r="R546" s="1600"/>
      <c r="S546" s="1600"/>
      <c r="T546" s="1585"/>
      <c r="U546" s="1585"/>
      <c r="V546" s="1585"/>
      <c r="W546" s="1585"/>
      <c r="X546" s="1585"/>
      <c r="Y546" s="1585"/>
      <c r="Z546" s="1585"/>
      <c r="AA546" s="1585"/>
      <c r="AB546" s="1585"/>
      <c r="AC546" s="1585">
        <v>3274.32</v>
      </c>
      <c r="AD546" s="1601">
        <f t="shared" si="68"/>
        <v>3274.32</v>
      </c>
      <c r="AE546" s="1790">
        <v>0</v>
      </c>
      <c r="AF546" s="1792"/>
    </row>
    <row r="547" spans="1:32" s="1602" customFormat="1" ht="26.1" customHeight="1">
      <c r="A547" s="2918"/>
      <c r="B547" s="2919"/>
      <c r="C547" s="2920"/>
      <c r="D547" s="2917"/>
      <c r="E547" s="1603" t="s">
        <v>2497</v>
      </c>
      <c r="F547" s="1583"/>
      <c r="G547" s="1583"/>
      <c r="H547" s="1583"/>
      <c r="I547" s="1583"/>
      <c r="J547" s="1583"/>
      <c r="K547" s="1583"/>
      <c r="L547" s="1583"/>
      <c r="M547" s="1583"/>
      <c r="N547" s="1583"/>
      <c r="O547" s="1583"/>
      <c r="P547" s="1583"/>
      <c r="Q547" s="1583"/>
      <c r="R547" s="1600"/>
      <c r="S547" s="1600"/>
      <c r="T547" s="1585"/>
      <c r="U547" s="1585"/>
      <c r="V547" s="1585"/>
      <c r="W547" s="1618"/>
      <c r="X547" s="1585"/>
      <c r="Y547" s="1585"/>
      <c r="Z547" s="1585"/>
      <c r="AA547" s="1585"/>
      <c r="AB547" s="1585"/>
      <c r="AC547" s="1585"/>
      <c r="AD547" s="1601">
        <f t="shared" si="68"/>
        <v>0</v>
      </c>
      <c r="AE547" s="1790">
        <v>0</v>
      </c>
      <c r="AF547" s="1792"/>
    </row>
    <row r="548" spans="1:32" s="1602" customFormat="1" ht="26.1" customHeight="1">
      <c r="A548" s="2918" t="s">
        <v>1562</v>
      </c>
      <c r="B548" s="2919" t="s">
        <v>2051</v>
      </c>
      <c r="C548" s="2920" t="s">
        <v>52</v>
      </c>
      <c r="D548" s="2917">
        <v>3398.4</v>
      </c>
      <c r="E548" s="1598" t="s">
        <v>2496</v>
      </c>
      <c r="F548" s="1583"/>
      <c r="G548" s="1583"/>
      <c r="H548" s="1583"/>
      <c r="I548" s="1583"/>
      <c r="J548" s="1583"/>
      <c r="K548" s="1583"/>
      <c r="L548" s="1583"/>
      <c r="M548" s="1583"/>
      <c r="N548" s="1583"/>
      <c r="O548" s="1583"/>
      <c r="P548" s="1583"/>
      <c r="Q548" s="1583"/>
      <c r="R548" s="1600"/>
      <c r="S548" s="1600"/>
      <c r="T548" s="1585"/>
      <c r="U548" s="1585"/>
      <c r="V548" s="1585"/>
      <c r="W548" s="1585"/>
      <c r="X548" s="1585"/>
      <c r="Y548" s="1585"/>
      <c r="Z548" s="1585"/>
      <c r="AA548" s="1585"/>
      <c r="AB548" s="1585"/>
      <c r="AC548" s="1585">
        <v>3398.4</v>
      </c>
      <c r="AD548" s="1601">
        <f t="shared" si="68"/>
        <v>3398.4</v>
      </c>
      <c r="AE548" s="1790">
        <v>0</v>
      </c>
      <c r="AF548" s="1792"/>
    </row>
    <row r="549" spans="1:32" s="1602" customFormat="1" ht="26.1" customHeight="1">
      <c r="A549" s="2918"/>
      <c r="B549" s="2919"/>
      <c r="C549" s="2920"/>
      <c r="D549" s="2917"/>
      <c r="E549" s="1603" t="s">
        <v>2497</v>
      </c>
      <c r="F549" s="1583"/>
      <c r="G549" s="1583"/>
      <c r="H549" s="1583"/>
      <c r="I549" s="1583"/>
      <c r="J549" s="1583"/>
      <c r="K549" s="1583"/>
      <c r="L549" s="1583"/>
      <c r="M549" s="1583"/>
      <c r="N549" s="1583"/>
      <c r="O549" s="1583"/>
      <c r="P549" s="1583"/>
      <c r="Q549" s="1583"/>
      <c r="R549" s="1600"/>
      <c r="S549" s="1600"/>
      <c r="T549" s="1585"/>
      <c r="U549" s="1585"/>
      <c r="V549" s="1585"/>
      <c r="W549" s="1618"/>
      <c r="X549" s="1585"/>
      <c r="Y549" s="1585"/>
      <c r="Z549" s="1585"/>
      <c r="AA549" s="1585"/>
      <c r="AB549" s="1585"/>
      <c r="AC549" s="1585"/>
      <c r="AD549" s="1601">
        <f t="shared" si="68"/>
        <v>0</v>
      </c>
      <c r="AE549" s="1790">
        <v>0</v>
      </c>
      <c r="AF549" s="1792"/>
    </row>
    <row r="550" spans="1:32" s="1602" customFormat="1" ht="26.1" customHeight="1">
      <c r="A550" s="2918" t="s">
        <v>1563</v>
      </c>
      <c r="B550" s="2919" t="s">
        <v>2052</v>
      </c>
      <c r="C550" s="2920" t="s">
        <v>52</v>
      </c>
      <c r="D550" s="2917">
        <v>7899.36</v>
      </c>
      <c r="E550" s="1598" t="s">
        <v>2496</v>
      </c>
      <c r="F550" s="1583"/>
      <c r="G550" s="1583"/>
      <c r="H550" s="1583"/>
      <c r="I550" s="1583"/>
      <c r="J550" s="1583"/>
      <c r="K550" s="1583"/>
      <c r="L550" s="1583"/>
      <c r="M550" s="1583"/>
      <c r="N550" s="1583"/>
      <c r="O550" s="1583"/>
      <c r="P550" s="1583"/>
      <c r="Q550" s="1583"/>
      <c r="R550" s="1600"/>
      <c r="S550" s="1600"/>
      <c r="T550" s="1585"/>
      <c r="U550" s="1585"/>
      <c r="V550" s="1585"/>
      <c r="W550" s="1585"/>
      <c r="X550" s="1585"/>
      <c r="Y550" s="1585"/>
      <c r="Z550" s="1585"/>
      <c r="AA550" s="1585"/>
      <c r="AB550" s="1585"/>
      <c r="AC550" s="1585">
        <v>7899.36</v>
      </c>
      <c r="AD550" s="1601">
        <f t="shared" si="68"/>
        <v>7899.36</v>
      </c>
      <c r="AE550" s="1790">
        <v>0</v>
      </c>
      <c r="AF550" s="1792"/>
    </row>
    <row r="551" spans="1:32" s="1602" customFormat="1" ht="26.1" customHeight="1">
      <c r="A551" s="2918"/>
      <c r="B551" s="2919"/>
      <c r="C551" s="2920"/>
      <c r="D551" s="2917"/>
      <c r="E551" s="1603" t="s">
        <v>2497</v>
      </c>
      <c r="F551" s="1583"/>
      <c r="G551" s="1583"/>
      <c r="H551" s="1583"/>
      <c r="I551" s="1583"/>
      <c r="J551" s="1583"/>
      <c r="K551" s="1583"/>
      <c r="L551" s="1583"/>
      <c r="M551" s="1583"/>
      <c r="N551" s="1583"/>
      <c r="O551" s="1583"/>
      <c r="P551" s="1583"/>
      <c r="Q551" s="1583"/>
      <c r="R551" s="1600"/>
      <c r="S551" s="1600"/>
      <c r="T551" s="1585"/>
      <c r="U551" s="1585"/>
      <c r="V551" s="1585"/>
      <c r="W551" s="1618"/>
      <c r="X551" s="1585"/>
      <c r="Y551" s="1585"/>
      <c r="Z551" s="1585"/>
      <c r="AA551" s="1585"/>
      <c r="AB551" s="1585"/>
      <c r="AC551" s="1585"/>
      <c r="AD551" s="1601">
        <f t="shared" si="68"/>
        <v>0</v>
      </c>
      <c r="AE551" s="1790">
        <v>0</v>
      </c>
      <c r="AF551" s="1792"/>
    </row>
    <row r="552" spans="1:32" s="1602" customFormat="1" ht="26.1" customHeight="1">
      <c r="A552" s="2918" t="s">
        <v>1564</v>
      </c>
      <c r="B552" s="2919" t="s">
        <v>2053</v>
      </c>
      <c r="C552" s="2920" t="s">
        <v>52</v>
      </c>
      <c r="D552" s="2917">
        <v>4388.6400000000003</v>
      </c>
      <c r="E552" s="1598" t="s">
        <v>2496</v>
      </c>
      <c r="F552" s="1583"/>
      <c r="G552" s="1583"/>
      <c r="H552" s="1583"/>
      <c r="I552" s="1583"/>
      <c r="J552" s="1583"/>
      <c r="K552" s="1583"/>
      <c r="L552" s="1583"/>
      <c r="M552" s="1583"/>
      <c r="N552" s="1583"/>
      <c r="O552" s="1583"/>
      <c r="P552" s="1583"/>
      <c r="Q552" s="1583"/>
      <c r="R552" s="1600"/>
      <c r="S552" s="1600"/>
      <c r="T552" s="1585"/>
      <c r="U552" s="1585"/>
      <c r="V552" s="1585"/>
      <c r="W552" s="1585"/>
      <c r="X552" s="1585"/>
      <c r="Y552" s="1585"/>
      <c r="Z552" s="1585"/>
      <c r="AA552" s="1585"/>
      <c r="AB552" s="1585"/>
      <c r="AC552" s="1585">
        <v>4388.6400000000003</v>
      </c>
      <c r="AD552" s="1601">
        <f t="shared" si="68"/>
        <v>4388.6400000000003</v>
      </c>
      <c r="AE552" s="1790">
        <v>0</v>
      </c>
      <c r="AF552" s="1792"/>
    </row>
    <row r="553" spans="1:32" s="1602" customFormat="1" ht="26.1" customHeight="1">
      <c r="A553" s="2918"/>
      <c r="B553" s="2919"/>
      <c r="C553" s="2920"/>
      <c r="D553" s="2917"/>
      <c r="E553" s="1603" t="s">
        <v>2497</v>
      </c>
      <c r="F553" s="1583"/>
      <c r="G553" s="1583"/>
      <c r="H553" s="1583"/>
      <c r="I553" s="1583"/>
      <c r="J553" s="1583"/>
      <c r="K553" s="1583"/>
      <c r="L553" s="1583"/>
      <c r="M553" s="1583"/>
      <c r="N553" s="1583"/>
      <c r="O553" s="1583"/>
      <c r="P553" s="1583"/>
      <c r="Q553" s="1583"/>
      <c r="R553" s="1600"/>
      <c r="S553" s="1600"/>
      <c r="T553" s="1585"/>
      <c r="U553" s="1585"/>
      <c r="V553" s="1585"/>
      <c r="W553" s="1618"/>
      <c r="X553" s="1585"/>
      <c r="Y553" s="1585"/>
      <c r="Z553" s="1585"/>
      <c r="AA553" s="1585"/>
      <c r="AB553" s="1585"/>
      <c r="AC553" s="1585"/>
      <c r="AD553" s="1601">
        <f t="shared" si="68"/>
        <v>0</v>
      </c>
      <c r="AE553" s="1790">
        <v>0</v>
      </c>
      <c r="AF553" s="1792"/>
    </row>
    <row r="554" spans="1:32" s="1602" customFormat="1" ht="26.1" customHeight="1">
      <c r="A554" s="2918" t="s">
        <v>1565</v>
      </c>
      <c r="B554" s="2919" t="s">
        <v>2054</v>
      </c>
      <c r="C554" s="2920" t="s">
        <v>52</v>
      </c>
      <c r="D554" s="2917">
        <v>1371.0900000000001</v>
      </c>
      <c r="E554" s="1598" t="s">
        <v>2496</v>
      </c>
      <c r="F554" s="1583"/>
      <c r="G554" s="1583"/>
      <c r="H554" s="1583"/>
      <c r="I554" s="1583"/>
      <c r="J554" s="1583"/>
      <c r="K554" s="1583"/>
      <c r="L554" s="1583"/>
      <c r="M554" s="1583"/>
      <c r="N554" s="1583"/>
      <c r="O554" s="1583"/>
      <c r="P554" s="1583"/>
      <c r="Q554" s="1583"/>
      <c r="R554" s="1600"/>
      <c r="S554" s="1600"/>
      <c r="T554" s="1585"/>
      <c r="U554" s="1585"/>
      <c r="V554" s="1585"/>
      <c r="W554" s="1585"/>
      <c r="X554" s="1585"/>
      <c r="Y554" s="1585"/>
      <c r="Z554" s="1585"/>
      <c r="AA554" s="1585"/>
      <c r="AB554" s="1585"/>
      <c r="AC554" s="1585">
        <v>1371.09</v>
      </c>
      <c r="AD554" s="1601">
        <f t="shared" si="68"/>
        <v>1371.09</v>
      </c>
      <c r="AE554" s="1790">
        <v>0</v>
      </c>
      <c r="AF554" s="1792"/>
    </row>
    <row r="555" spans="1:32" s="1602" customFormat="1" ht="26.1" customHeight="1">
      <c r="A555" s="2918"/>
      <c r="B555" s="2919"/>
      <c r="C555" s="2920"/>
      <c r="D555" s="2917"/>
      <c r="E555" s="1603" t="s">
        <v>2497</v>
      </c>
      <c r="F555" s="1583"/>
      <c r="G555" s="1583"/>
      <c r="H555" s="1583"/>
      <c r="I555" s="1583"/>
      <c r="J555" s="1583"/>
      <c r="K555" s="1583"/>
      <c r="L555" s="1583"/>
      <c r="M555" s="1583"/>
      <c r="N555" s="1583"/>
      <c r="O555" s="1583"/>
      <c r="P555" s="1583"/>
      <c r="Q555" s="1583"/>
      <c r="R555" s="1600"/>
      <c r="S555" s="1600"/>
      <c r="T555" s="1585"/>
      <c r="U555" s="1585"/>
      <c r="V555" s="1585"/>
      <c r="W555" s="1618"/>
      <c r="X555" s="1585"/>
      <c r="Y555" s="1585"/>
      <c r="Z555" s="1585"/>
      <c r="AA555" s="1585"/>
      <c r="AB555" s="1585"/>
      <c r="AC555" s="1585"/>
      <c r="AD555" s="1601">
        <f t="shared" si="68"/>
        <v>0</v>
      </c>
      <c r="AE555" s="1790">
        <v>0</v>
      </c>
      <c r="AF555" s="1792"/>
    </row>
    <row r="556" spans="1:32" s="1602" customFormat="1" ht="26.1" customHeight="1">
      <c r="A556" s="2918" t="s">
        <v>1566</v>
      </c>
      <c r="B556" s="2919" t="s">
        <v>2055</v>
      </c>
      <c r="C556" s="2920" t="s">
        <v>52</v>
      </c>
      <c r="D556" s="2917">
        <v>4620.6400000000003</v>
      </c>
      <c r="E556" s="1598" t="s">
        <v>2496</v>
      </c>
      <c r="F556" s="1583"/>
      <c r="G556" s="1583"/>
      <c r="H556" s="1583"/>
      <c r="I556" s="1583"/>
      <c r="J556" s="1583"/>
      <c r="K556" s="1583"/>
      <c r="L556" s="1583"/>
      <c r="M556" s="1583"/>
      <c r="N556" s="1583"/>
      <c r="O556" s="1583"/>
      <c r="P556" s="1583"/>
      <c r="Q556" s="1583"/>
      <c r="R556" s="1600"/>
      <c r="S556" s="1600"/>
      <c r="T556" s="1585"/>
      <c r="U556" s="1585"/>
      <c r="V556" s="1585"/>
      <c r="W556" s="1585"/>
      <c r="X556" s="1585"/>
      <c r="Y556" s="1585"/>
      <c r="Z556" s="1585"/>
      <c r="AA556" s="1585"/>
      <c r="AB556" s="1585"/>
      <c r="AC556" s="1585">
        <v>4620.6400000000003</v>
      </c>
      <c r="AD556" s="1601">
        <f t="shared" si="68"/>
        <v>4620.6400000000003</v>
      </c>
      <c r="AE556" s="1790">
        <v>0</v>
      </c>
      <c r="AF556" s="1792"/>
    </row>
    <row r="557" spans="1:32" s="1602" customFormat="1" ht="26.1" customHeight="1">
      <c r="A557" s="2918"/>
      <c r="B557" s="2919"/>
      <c r="C557" s="2920"/>
      <c r="D557" s="2917"/>
      <c r="E557" s="1603" t="s">
        <v>2497</v>
      </c>
      <c r="F557" s="1583"/>
      <c r="G557" s="1583"/>
      <c r="H557" s="1583"/>
      <c r="I557" s="1583"/>
      <c r="J557" s="1583"/>
      <c r="K557" s="1583"/>
      <c r="L557" s="1583"/>
      <c r="M557" s="1583"/>
      <c r="N557" s="1583"/>
      <c r="O557" s="1583"/>
      <c r="P557" s="1583"/>
      <c r="Q557" s="1583"/>
      <c r="R557" s="1600"/>
      <c r="S557" s="1600"/>
      <c r="T557" s="1585"/>
      <c r="U557" s="1585"/>
      <c r="V557" s="1585"/>
      <c r="W557" s="1618"/>
      <c r="X557" s="1585"/>
      <c r="Y557" s="1585"/>
      <c r="Z557" s="1585"/>
      <c r="AA557" s="1585"/>
      <c r="AB557" s="1585"/>
      <c r="AC557" s="1585"/>
      <c r="AD557" s="1601">
        <f t="shared" si="68"/>
        <v>0</v>
      </c>
      <c r="AE557" s="1790">
        <v>0</v>
      </c>
      <c r="AF557" s="1792"/>
    </row>
    <row r="558" spans="1:32" s="1602" customFormat="1" ht="26.1" customHeight="1">
      <c r="A558" s="2918" t="s">
        <v>1567</v>
      </c>
      <c r="B558" s="2919" t="s">
        <v>2056</v>
      </c>
      <c r="C558" s="2920" t="s">
        <v>52</v>
      </c>
      <c r="D558" s="2917">
        <v>275.52</v>
      </c>
      <c r="E558" s="1598" t="s">
        <v>2496</v>
      </c>
      <c r="F558" s="1583"/>
      <c r="G558" s="1583"/>
      <c r="H558" s="1583"/>
      <c r="I558" s="1583"/>
      <c r="J558" s="1583"/>
      <c r="K558" s="1583"/>
      <c r="L558" s="1583"/>
      <c r="M558" s="1583"/>
      <c r="N558" s="1583"/>
      <c r="O558" s="1583"/>
      <c r="P558" s="1583"/>
      <c r="Q558" s="1583"/>
      <c r="R558" s="1600"/>
      <c r="S558" s="1600"/>
      <c r="T558" s="1585"/>
      <c r="U558" s="1585"/>
      <c r="V558" s="1585"/>
      <c r="W558" s="1585"/>
      <c r="X558" s="1585"/>
      <c r="Y558" s="1585"/>
      <c r="Z558" s="1585"/>
      <c r="AA558" s="1585"/>
      <c r="AB558" s="1585"/>
      <c r="AC558" s="1585">
        <v>275.52</v>
      </c>
      <c r="AD558" s="1601">
        <f t="shared" si="68"/>
        <v>275.52</v>
      </c>
      <c r="AE558" s="1790">
        <v>0</v>
      </c>
      <c r="AF558" s="1792"/>
    </row>
    <row r="559" spans="1:32" s="1602" customFormat="1" ht="26.1" customHeight="1">
      <c r="A559" s="2918"/>
      <c r="B559" s="2919"/>
      <c r="C559" s="2920"/>
      <c r="D559" s="2917"/>
      <c r="E559" s="1603" t="s">
        <v>2497</v>
      </c>
      <c r="F559" s="1583"/>
      <c r="G559" s="1583"/>
      <c r="H559" s="1583"/>
      <c r="I559" s="1583"/>
      <c r="J559" s="1583"/>
      <c r="K559" s="1583"/>
      <c r="L559" s="1583"/>
      <c r="M559" s="1583"/>
      <c r="N559" s="1583"/>
      <c r="O559" s="1583"/>
      <c r="P559" s="1583"/>
      <c r="Q559" s="1583"/>
      <c r="R559" s="1600"/>
      <c r="S559" s="1600"/>
      <c r="T559" s="1585"/>
      <c r="U559" s="1585"/>
      <c r="V559" s="1585"/>
      <c r="W559" s="1585"/>
      <c r="X559" s="1585"/>
      <c r="Y559" s="1585"/>
      <c r="Z559" s="1585"/>
      <c r="AA559" s="1585"/>
      <c r="AB559" s="1585"/>
      <c r="AC559" s="1585"/>
      <c r="AD559" s="1601">
        <f t="shared" si="68"/>
        <v>0</v>
      </c>
      <c r="AE559" s="1790">
        <v>0</v>
      </c>
      <c r="AF559" s="1792"/>
    </row>
    <row r="560" spans="1:32" s="1602" customFormat="1" ht="26.1" customHeight="1">
      <c r="A560" s="1594" t="s">
        <v>1568</v>
      </c>
      <c r="B560" s="1609" t="s">
        <v>2057</v>
      </c>
      <c r="C560" s="1596"/>
      <c r="D560" s="1597"/>
      <c r="E560" s="1600"/>
      <c r="F560" s="1583"/>
      <c r="G560" s="1583"/>
      <c r="H560" s="1583"/>
      <c r="I560" s="1583"/>
      <c r="J560" s="1583"/>
      <c r="K560" s="1583"/>
      <c r="L560" s="1583"/>
      <c r="M560" s="1583"/>
      <c r="N560" s="1583"/>
      <c r="O560" s="1583"/>
      <c r="P560" s="1583"/>
      <c r="Q560" s="1583"/>
      <c r="R560" s="1600"/>
      <c r="S560" s="1600"/>
      <c r="T560" s="1585"/>
      <c r="U560" s="1585"/>
      <c r="V560" s="1585"/>
      <c r="W560" s="1585"/>
      <c r="X560" s="1585"/>
      <c r="Y560" s="1585"/>
      <c r="Z560" s="1585"/>
      <c r="AA560" s="1585"/>
      <c r="AB560" s="1585"/>
      <c r="AC560" s="1585"/>
      <c r="AD560" s="1601">
        <f t="shared" si="68"/>
        <v>0</v>
      </c>
      <c r="AE560" s="1790">
        <v>0</v>
      </c>
      <c r="AF560" s="1792"/>
    </row>
    <row r="561" spans="1:32" s="1602" customFormat="1" ht="26.1" customHeight="1">
      <c r="A561" s="2918" t="s">
        <v>1569</v>
      </c>
      <c r="B561" s="2919" t="s">
        <v>2058</v>
      </c>
      <c r="C561" s="2920" t="s">
        <v>268</v>
      </c>
      <c r="D561" s="2917">
        <v>17712.75</v>
      </c>
      <c r="E561" s="1598" t="s">
        <v>2496</v>
      </c>
      <c r="F561" s="1583"/>
      <c r="G561" s="1583"/>
      <c r="H561" s="1583"/>
      <c r="I561" s="1583"/>
      <c r="J561" s="1583"/>
      <c r="K561" s="1583"/>
      <c r="L561" s="1583"/>
      <c r="M561" s="1583"/>
      <c r="N561" s="1583"/>
      <c r="O561" s="1583"/>
      <c r="P561" s="1583"/>
      <c r="Q561" s="1583"/>
      <c r="R561" s="1600"/>
      <c r="S561" s="1600"/>
      <c r="T561" s="1585"/>
      <c r="U561" s="1585"/>
      <c r="V561" s="1618"/>
      <c r="W561" s="1585"/>
      <c r="X561" s="1585"/>
      <c r="Y561" s="1585"/>
      <c r="Z561" s="1585"/>
      <c r="AA561" s="1585"/>
      <c r="AB561" s="1585"/>
      <c r="AC561" s="1585">
        <v>17712.75</v>
      </c>
      <c r="AD561" s="1601">
        <f t="shared" si="68"/>
        <v>17712.75</v>
      </c>
      <c r="AE561" s="1790">
        <v>0</v>
      </c>
      <c r="AF561" s="1792"/>
    </row>
    <row r="562" spans="1:32" s="1602" customFormat="1" ht="26.1" customHeight="1">
      <c r="A562" s="2918"/>
      <c r="B562" s="2919"/>
      <c r="C562" s="2920"/>
      <c r="D562" s="2917"/>
      <c r="E562" s="1603" t="s">
        <v>2497</v>
      </c>
      <c r="F562" s="1583"/>
      <c r="G562" s="1583"/>
      <c r="H562" s="1583"/>
      <c r="I562" s="1583"/>
      <c r="J562" s="1583"/>
      <c r="K562" s="1583"/>
      <c r="L562" s="1583"/>
      <c r="M562" s="1583"/>
      <c r="N562" s="1583"/>
      <c r="O562" s="1583"/>
      <c r="P562" s="1583"/>
      <c r="Q562" s="1583"/>
      <c r="R562" s="1600"/>
      <c r="S562" s="1600"/>
      <c r="T562" s="1585"/>
      <c r="U562" s="1585"/>
      <c r="V562" s="1585"/>
      <c r="W562" s="1585"/>
      <c r="X562" s="1585"/>
      <c r="Y562" s="1585"/>
      <c r="Z562" s="1585"/>
      <c r="AA562" s="1585"/>
      <c r="AB562" s="1585"/>
      <c r="AC562" s="1585"/>
      <c r="AD562" s="1601">
        <f t="shared" si="68"/>
        <v>0</v>
      </c>
      <c r="AE562" s="1790">
        <v>0</v>
      </c>
      <c r="AF562" s="1792"/>
    </row>
    <row r="563" spans="1:32" s="1602" customFormat="1" ht="26.1" customHeight="1">
      <c r="A563" s="1594">
        <v>6.5</v>
      </c>
      <c r="B563" s="1614" t="s">
        <v>2059</v>
      </c>
      <c r="C563" s="1596"/>
      <c r="D563" s="1622"/>
      <c r="E563" s="1600"/>
      <c r="F563" s="1583"/>
      <c r="G563" s="1583"/>
      <c r="H563" s="1583"/>
      <c r="I563" s="1583"/>
      <c r="J563" s="1583"/>
      <c r="K563" s="1583"/>
      <c r="L563" s="1583"/>
      <c r="M563" s="1583"/>
      <c r="N563" s="1583"/>
      <c r="O563" s="1583"/>
      <c r="P563" s="1583"/>
      <c r="Q563" s="1583"/>
      <c r="R563" s="1600"/>
      <c r="S563" s="1600"/>
      <c r="T563" s="1585"/>
      <c r="U563" s="1585"/>
      <c r="V563" s="1585"/>
      <c r="W563" s="1585"/>
      <c r="X563" s="1585"/>
      <c r="Y563" s="1585"/>
      <c r="Z563" s="1585"/>
      <c r="AA563" s="1585"/>
      <c r="AB563" s="1585"/>
      <c r="AC563" s="1585"/>
      <c r="AD563" s="1601">
        <f t="shared" si="68"/>
        <v>0</v>
      </c>
      <c r="AE563" s="1790">
        <v>0</v>
      </c>
      <c r="AF563" s="1792"/>
    </row>
    <row r="564" spans="1:32" s="1602" customFormat="1" ht="26.1" customHeight="1">
      <c r="A564" s="1594">
        <v>6.6</v>
      </c>
      <c r="B564" s="1614" t="s">
        <v>2062</v>
      </c>
      <c r="C564" s="1596"/>
      <c r="D564" s="1622"/>
      <c r="E564" s="1600"/>
      <c r="F564" s="1583"/>
      <c r="G564" s="1583"/>
      <c r="H564" s="1583"/>
      <c r="I564" s="1583"/>
      <c r="J564" s="1583"/>
      <c r="K564" s="1583"/>
      <c r="L564" s="1583"/>
      <c r="M564" s="1583"/>
      <c r="N564" s="1583"/>
      <c r="O564" s="1583"/>
      <c r="P564" s="1583"/>
      <c r="Q564" s="1583"/>
      <c r="R564" s="1600"/>
      <c r="S564" s="1600"/>
      <c r="T564" s="1585"/>
      <c r="U564" s="1585"/>
      <c r="V564" s="1585"/>
      <c r="W564" s="1585"/>
      <c r="X564" s="1585"/>
      <c r="Y564" s="1585"/>
      <c r="Z564" s="1585"/>
      <c r="AA564" s="1585"/>
      <c r="AB564" s="1585"/>
      <c r="AC564" s="1585"/>
      <c r="AD564" s="1601">
        <f t="shared" si="68"/>
        <v>0</v>
      </c>
      <c r="AE564" s="1790">
        <v>0</v>
      </c>
      <c r="AF564" s="1792"/>
    </row>
    <row r="565" spans="1:32" s="1602" customFormat="1" ht="26.1" customHeight="1">
      <c r="A565" s="2918" t="s">
        <v>1572</v>
      </c>
      <c r="B565" s="2919" t="s">
        <v>2063</v>
      </c>
      <c r="C565" s="2920" t="s">
        <v>52</v>
      </c>
      <c r="D565" s="2917">
        <v>21611.89</v>
      </c>
      <c r="E565" s="1598" t="s">
        <v>2496</v>
      </c>
      <c r="F565" s="1583"/>
      <c r="G565" s="1583"/>
      <c r="H565" s="1583"/>
      <c r="I565" s="1583"/>
      <c r="J565" s="1583"/>
      <c r="K565" s="1583"/>
      <c r="L565" s="1583"/>
      <c r="M565" s="1583"/>
      <c r="N565" s="1583"/>
      <c r="O565" s="1583"/>
      <c r="P565" s="1583"/>
      <c r="Q565" s="1583"/>
      <c r="R565" s="1600"/>
      <c r="S565" s="1600"/>
      <c r="T565" s="1585"/>
      <c r="U565" s="1585"/>
      <c r="V565" s="1585"/>
      <c r="W565" s="1585"/>
      <c r="X565" s="1585"/>
      <c r="Y565" s="1585"/>
      <c r="Z565" s="1585"/>
      <c r="AA565" s="1585"/>
      <c r="AB565" s="1585"/>
      <c r="AC565" s="1585">
        <v>21611.89</v>
      </c>
      <c r="AD565" s="1601">
        <f t="shared" si="68"/>
        <v>21611.89</v>
      </c>
      <c r="AE565" s="1790">
        <v>0</v>
      </c>
      <c r="AF565" s="1792"/>
    </row>
    <row r="566" spans="1:32" s="1602" customFormat="1" ht="26.1" customHeight="1">
      <c r="A566" s="2918"/>
      <c r="B566" s="2919"/>
      <c r="C566" s="2920"/>
      <c r="D566" s="2917"/>
      <c r="E566" s="1603" t="s">
        <v>2497</v>
      </c>
      <c r="F566" s="1583"/>
      <c r="G566" s="1583"/>
      <c r="H566" s="1583"/>
      <c r="I566" s="1583"/>
      <c r="J566" s="1583"/>
      <c r="K566" s="1583"/>
      <c r="L566" s="1583"/>
      <c r="M566" s="1583"/>
      <c r="N566" s="1583"/>
      <c r="O566" s="1583"/>
      <c r="P566" s="1583"/>
      <c r="Q566" s="1583"/>
      <c r="R566" s="1600"/>
      <c r="S566" s="1600"/>
      <c r="T566" s="1585"/>
      <c r="U566" s="1585"/>
      <c r="V566" s="1585"/>
      <c r="W566" s="1585"/>
      <c r="X566" s="1585"/>
      <c r="Y566" s="1585"/>
      <c r="Z566" s="1585"/>
      <c r="AA566" s="1585"/>
      <c r="AB566" s="1585"/>
      <c r="AC566" s="1585"/>
      <c r="AD566" s="1601">
        <f t="shared" si="68"/>
        <v>0</v>
      </c>
      <c r="AE566" s="1790">
        <v>0</v>
      </c>
      <c r="AF566" s="1792"/>
    </row>
    <row r="567" spans="1:32" s="1602" customFormat="1" ht="26.1" customHeight="1">
      <c r="A567" s="2918" t="s">
        <v>1576</v>
      </c>
      <c r="B567" s="2919" t="s">
        <v>2067</v>
      </c>
      <c r="C567" s="2920" t="s">
        <v>52</v>
      </c>
      <c r="D567" s="2917">
        <v>79200</v>
      </c>
      <c r="E567" s="1598" t="s">
        <v>2496</v>
      </c>
      <c r="F567" s="1583"/>
      <c r="G567" s="1583"/>
      <c r="H567" s="1583"/>
      <c r="I567" s="1583"/>
      <c r="J567" s="1583"/>
      <c r="K567" s="1583"/>
      <c r="L567" s="1583"/>
      <c r="M567" s="1583"/>
      <c r="N567" s="1583"/>
      <c r="O567" s="1583"/>
      <c r="P567" s="1583"/>
      <c r="Q567" s="1583"/>
      <c r="R567" s="1600"/>
      <c r="S567" s="1600"/>
      <c r="T567" s="1585"/>
      <c r="U567" s="1585"/>
      <c r="V567" s="1585"/>
      <c r="W567" s="1585"/>
      <c r="X567" s="1585"/>
      <c r="Y567" s="1585"/>
      <c r="Z567" s="1585"/>
      <c r="AA567" s="1585"/>
      <c r="AB567" s="1585"/>
      <c r="AC567" s="1585">
        <v>79200</v>
      </c>
      <c r="AD567" s="1601">
        <f t="shared" si="68"/>
        <v>79200</v>
      </c>
      <c r="AE567" s="1790">
        <v>0</v>
      </c>
      <c r="AF567" s="1792"/>
    </row>
    <row r="568" spans="1:32" s="1602" customFormat="1" ht="26.1" customHeight="1">
      <c r="A568" s="2918"/>
      <c r="B568" s="2919"/>
      <c r="C568" s="2920"/>
      <c r="D568" s="2917"/>
      <c r="E568" s="1603" t="s">
        <v>2497</v>
      </c>
      <c r="F568" s="1583"/>
      <c r="G568" s="1583"/>
      <c r="H568" s="1583"/>
      <c r="I568" s="1583"/>
      <c r="J568" s="1583"/>
      <c r="K568" s="1583"/>
      <c r="L568" s="1583"/>
      <c r="M568" s="1583"/>
      <c r="N568" s="1583"/>
      <c r="O568" s="1583"/>
      <c r="P568" s="1583"/>
      <c r="Q568" s="1583"/>
      <c r="R568" s="1600"/>
      <c r="S568" s="1600"/>
      <c r="T568" s="1585"/>
      <c r="U568" s="1585"/>
      <c r="V568" s="1585"/>
      <c r="W568" s="1585"/>
      <c r="X568" s="1585"/>
      <c r="Y568" s="1585"/>
      <c r="Z568" s="1585"/>
      <c r="AA568" s="1585"/>
      <c r="AB568" s="1585"/>
      <c r="AC568" s="1585"/>
      <c r="AD568" s="1601">
        <f t="shared" si="68"/>
        <v>0</v>
      </c>
      <c r="AE568" s="1790">
        <v>0</v>
      </c>
      <c r="AF568" s="1792"/>
    </row>
    <row r="569" spans="1:32" s="1602" customFormat="1" ht="26.1" customHeight="1">
      <c r="A569" s="2918" t="s">
        <v>1577</v>
      </c>
      <c r="B569" s="2919" t="s">
        <v>2068</v>
      </c>
      <c r="C569" s="2920" t="s">
        <v>52</v>
      </c>
      <c r="D569" s="2917">
        <v>19752</v>
      </c>
      <c r="E569" s="1598" t="s">
        <v>2496</v>
      </c>
      <c r="F569" s="1583"/>
      <c r="G569" s="1583"/>
      <c r="H569" s="1583"/>
      <c r="I569" s="1583"/>
      <c r="J569" s="1583"/>
      <c r="K569" s="1583"/>
      <c r="L569" s="1583"/>
      <c r="M569" s="1583"/>
      <c r="N569" s="1583"/>
      <c r="O569" s="1583"/>
      <c r="P569" s="1583"/>
      <c r="Q569" s="1583"/>
      <c r="R569" s="1600"/>
      <c r="S569" s="1600"/>
      <c r="T569" s="1585"/>
      <c r="U569" s="1585"/>
      <c r="V569" s="1585"/>
      <c r="W569" s="1585"/>
      <c r="X569" s="1585"/>
      <c r="Y569" s="1585"/>
      <c r="Z569" s="1585"/>
      <c r="AA569" s="1585"/>
      <c r="AB569" s="1585"/>
      <c r="AC569" s="1585">
        <v>19752</v>
      </c>
      <c r="AD569" s="1601">
        <f t="shared" si="68"/>
        <v>19752</v>
      </c>
      <c r="AE569" s="1790">
        <v>0</v>
      </c>
      <c r="AF569" s="1792"/>
    </row>
    <row r="570" spans="1:32" s="1602" customFormat="1" ht="26.1" customHeight="1">
      <c r="A570" s="2918"/>
      <c r="B570" s="2919"/>
      <c r="C570" s="2920"/>
      <c r="D570" s="2917"/>
      <c r="E570" s="1603" t="s">
        <v>2497</v>
      </c>
      <c r="F570" s="1583"/>
      <c r="G570" s="1583"/>
      <c r="H570" s="1583"/>
      <c r="I570" s="1583"/>
      <c r="J570" s="1583"/>
      <c r="K570" s="1583"/>
      <c r="L570" s="1583"/>
      <c r="M570" s="1583"/>
      <c r="N570" s="1583"/>
      <c r="O570" s="1583"/>
      <c r="P570" s="1583"/>
      <c r="Q570" s="1583"/>
      <c r="R570" s="1600"/>
      <c r="S570" s="1600"/>
      <c r="T570" s="1585"/>
      <c r="U570" s="1585"/>
      <c r="V570" s="1585"/>
      <c r="W570" s="1585"/>
      <c r="X570" s="1585"/>
      <c r="Y570" s="1585"/>
      <c r="Z570" s="1585"/>
      <c r="AA570" s="1585"/>
      <c r="AB570" s="1585"/>
      <c r="AC570" s="1585"/>
      <c r="AD570" s="1601">
        <f t="shared" si="68"/>
        <v>0</v>
      </c>
      <c r="AE570" s="1790">
        <v>0</v>
      </c>
      <c r="AF570" s="1792"/>
    </row>
    <row r="571" spans="1:32" s="1602" customFormat="1" ht="26.1" customHeight="1">
      <c r="A571" s="2918" t="s">
        <v>1578</v>
      </c>
      <c r="B571" s="2919" t="s">
        <v>2069</v>
      </c>
      <c r="C571" s="2920" t="s">
        <v>268</v>
      </c>
      <c r="D571" s="2917">
        <v>16439.37</v>
      </c>
      <c r="E571" s="1598" t="s">
        <v>2496</v>
      </c>
      <c r="F571" s="1583"/>
      <c r="G571" s="1583"/>
      <c r="H571" s="1583"/>
      <c r="I571" s="1583"/>
      <c r="J571" s="1583"/>
      <c r="K571" s="1583"/>
      <c r="L571" s="1583"/>
      <c r="M571" s="1583"/>
      <c r="N571" s="1583"/>
      <c r="O571" s="1583"/>
      <c r="P571" s="1583"/>
      <c r="Q571" s="1583"/>
      <c r="R571" s="1600"/>
      <c r="S571" s="1600"/>
      <c r="T571" s="1585"/>
      <c r="U571" s="1585"/>
      <c r="V571" s="1585"/>
      <c r="W571" s="1585"/>
      <c r="X571" s="1585"/>
      <c r="Y571" s="1585"/>
      <c r="Z571" s="1585"/>
      <c r="AA571" s="1585"/>
      <c r="AB571" s="1585"/>
      <c r="AC571" s="1585">
        <v>16439.37</v>
      </c>
      <c r="AD571" s="1601">
        <f t="shared" si="68"/>
        <v>16439.37</v>
      </c>
      <c r="AE571" s="1790">
        <v>0</v>
      </c>
      <c r="AF571" s="1792"/>
    </row>
    <row r="572" spans="1:32" s="1602" customFormat="1" ht="26.1" customHeight="1">
      <c r="A572" s="2918"/>
      <c r="B572" s="2919"/>
      <c r="C572" s="2920"/>
      <c r="D572" s="2917"/>
      <c r="E572" s="1603" t="s">
        <v>2497</v>
      </c>
      <c r="F572" s="1583"/>
      <c r="G572" s="1583"/>
      <c r="H572" s="1583"/>
      <c r="I572" s="1583"/>
      <c r="J572" s="1583"/>
      <c r="K572" s="1583"/>
      <c r="L572" s="1583"/>
      <c r="M572" s="1583"/>
      <c r="N572" s="1583"/>
      <c r="O572" s="1583"/>
      <c r="P572" s="1583"/>
      <c r="Q572" s="1583"/>
      <c r="R572" s="1600"/>
      <c r="S572" s="1600"/>
      <c r="T572" s="1585"/>
      <c r="U572" s="1585"/>
      <c r="V572" s="1585"/>
      <c r="W572" s="1585"/>
      <c r="X572" s="1585"/>
      <c r="Y572" s="1585"/>
      <c r="Z572" s="1585"/>
      <c r="AA572" s="1585"/>
      <c r="AB572" s="1585"/>
      <c r="AC572" s="1585"/>
      <c r="AD572" s="1601">
        <f t="shared" si="68"/>
        <v>0</v>
      </c>
      <c r="AE572" s="1790">
        <v>0</v>
      </c>
      <c r="AF572" s="1792"/>
    </row>
    <row r="573" spans="1:32" s="1602" customFormat="1" ht="26.1" customHeight="1">
      <c r="A573" s="1594">
        <v>6.7</v>
      </c>
      <c r="B573" s="1614" t="s">
        <v>2070</v>
      </c>
      <c r="C573" s="1588"/>
      <c r="D573" s="1597"/>
      <c r="E573" s="1620"/>
      <c r="F573" s="1583"/>
      <c r="G573" s="1583"/>
      <c r="H573" s="1583"/>
      <c r="I573" s="1583"/>
      <c r="J573" s="1583"/>
      <c r="K573" s="1583"/>
      <c r="L573" s="1583"/>
      <c r="M573" s="1583"/>
      <c r="N573" s="1583"/>
      <c r="O573" s="1583"/>
      <c r="P573" s="1583"/>
      <c r="Q573" s="1583"/>
      <c r="R573" s="1600"/>
      <c r="S573" s="1600"/>
      <c r="T573" s="1585"/>
      <c r="U573" s="1585"/>
      <c r="V573" s="1585"/>
      <c r="W573" s="1585"/>
      <c r="X573" s="1585"/>
      <c r="Y573" s="1585"/>
      <c r="Z573" s="1585"/>
      <c r="AA573" s="1585"/>
      <c r="AB573" s="1585"/>
      <c r="AC573" s="1585"/>
      <c r="AD573" s="1601">
        <f t="shared" si="68"/>
        <v>0</v>
      </c>
      <c r="AE573" s="1790">
        <v>0</v>
      </c>
      <c r="AF573" s="1792"/>
    </row>
    <row r="574" spans="1:32" s="1602" customFormat="1" ht="26.1" customHeight="1">
      <c r="A574" s="1594" t="s">
        <v>1579</v>
      </c>
      <c r="B574" s="1609" t="s">
        <v>2071</v>
      </c>
      <c r="C574" s="1588"/>
      <c r="D574" s="1589"/>
      <c r="E574" s="1619"/>
      <c r="F574" s="1583"/>
      <c r="G574" s="1583"/>
      <c r="H574" s="1583"/>
      <c r="I574" s="1583"/>
      <c r="J574" s="1583"/>
      <c r="K574" s="1583"/>
      <c r="L574" s="1583"/>
      <c r="M574" s="1583"/>
      <c r="N574" s="1583"/>
      <c r="O574" s="1583"/>
      <c r="P574" s="1583"/>
      <c r="Q574" s="1583"/>
      <c r="R574" s="1600"/>
      <c r="S574" s="1600"/>
      <c r="T574" s="1585"/>
      <c r="U574" s="1585"/>
      <c r="V574" s="1585"/>
      <c r="W574" s="1585"/>
      <c r="X574" s="1585"/>
      <c r="Y574" s="1585"/>
      <c r="Z574" s="1585"/>
      <c r="AA574" s="1585"/>
      <c r="AB574" s="1585"/>
      <c r="AC574" s="1585"/>
      <c r="AD574" s="1601">
        <f t="shared" si="68"/>
        <v>0</v>
      </c>
      <c r="AE574" s="1790">
        <v>0</v>
      </c>
      <c r="AF574" s="1792"/>
    </row>
    <row r="575" spans="1:32" s="1602" customFormat="1" ht="26.1" customHeight="1">
      <c r="A575" s="1594" t="s">
        <v>1580</v>
      </c>
      <c r="B575" s="1609" t="s">
        <v>2072</v>
      </c>
      <c r="C575" s="1596"/>
      <c r="D575" s="1589"/>
      <c r="E575" s="1600"/>
      <c r="F575" s="1583"/>
      <c r="G575" s="1583"/>
      <c r="H575" s="1583"/>
      <c r="I575" s="1583"/>
      <c r="J575" s="1583"/>
      <c r="K575" s="1583"/>
      <c r="L575" s="1583"/>
      <c r="M575" s="1583"/>
      <c r="N575" s="1583"/>
      <c r="O575" s="1583"/>
      <c r="P575" s="1583"/>
      <c r="Q575" s="1583"/>
      <c r="R575" s="1600"/>
      <c r="S575" s="1600"/>
      <c r="T575" s="1585"/>
      <c r="U575" s="1585"/>
      <c r="V575" s="1585"/>
      <c r="W575" s="1585"/>
      <c r="X575" s="1585"/>
      <c r="Y575" s="1585"/>
      <c r="Z575" s="1585"/>
      <c r="AA575" s="1585"/>
      <c r="AB575" s="1585"/>
      <c r="AC575" s="1585"/>
      <c r="AD575" s="1601">
        <f t="shared" si="68"/>
        <v>0</v>
      </c>
      <c r="AE575" s="1790">
        <v>0</v>
      </c>
      <c r="AF575" s="1792"/>
    </row>
    <row r="576" spans="1:32" s="1602" customFormat="1" ht="26.1" customHeight="1">
      <c r="A576" s="1594" t="s">
        <v>1581</v>
      </c>
      <c r="B576" s="1609" t="s">
        <v>1980</v>
      </c>
      <c r="C576" s="1596"/>
      <c r="D576" s="1597"/>
      <c r="E576" s="1600"/>
      <c r="F576" s="1583"/>
      <c r="G576" s="1583"/>
      <c r="H576" s="1583"/>
      <c r="I576" s="1583"/>
      <c r="J576" s="1583"/>
      <c r="K576" s="1583"/>
      <c r="L576" s="1583"/>
      <c r="M576" s="1583"/>
      <c r="N576" s="1583"/>
      <c r="O576" s="1583"/>
      <c r="P576" s="1583"/>
      <c r="Q576" s="1583"/>
      <c r="R576" s="1600"/>
      <c r="S576" s="1600"/>
      <c r="T576" s="1585"/>
      <c r="U576" s="1585"/>
      <c r="V576" s="1585"/>
      <c r="W576" s="1585"/>
      <c r="X576" s="1585"/>
      <c r="Y576" s="1585"/>
      <c r="Z576" s="1585"/>
      <c r="AA576" s="1585"/>
      <c r="AB576" s="1585"/>
      <c r="AC576" s="1585"/>
      <c r="AD576" s="1601">
        <f t="shared" si="68"/>
        <v>0</v>
      </c>
      <c r="AE576" s="1790">
        <v>0</v>
      </c>
      <c r="AF576" s="1792"/>
    </row>
    <row r="577" spans="1:32" s="1602" customFormat="1" ht="26.1" customHeight="1">
      <c r="A577" s="2918" t="s">
        <v>1582</v>
      </c>
      <c r="B577" s="2919" t="s">
        <v>2073</v>
      </c>
      <c r="C577" s="2920" t="s">
        <v>51</v>
      </c>
      <c r="D577" s="2917">
        <v>1422.72</v>
      </c>
      <c r="E577" s="1598" t="s">
        <v>2496</v>
      </c>
      <c r="F577" s="1583"/>
      <c r="G577" s="1583"/>
      <c r="H577" s="1583"/>
      <c r="I577" s="1583"/>
      <c r="J577" s="1583"/>
      <c r="K577" s="1583"/>
      <c r="L577" s="1583"/>
      <c r="M577" s="1583"/>
      <c r="N577" s="1583"/>
      <c r="O577" s="1583"/>
      <c r="P577" s="1583"/>
      <c r="Q577" s="1583"/>
      <c r="R577" s="1600"/>
      <c r="S577" s="1600"/>
      <c r="T577" s="1585"/>
      <c r="U577" s="1585"/>
      <c r="V577" s="1585"/>
      <c r="W577" s="1585"/>
      <c r="X577" s="1585"/>
      <c r="Y577" s="1585"/>
      <c r="Z577" s="1585">
        <v>1422.72</v>
      </c>
      <c r="AA577" s="1585"/>
      <c r="AB577" s="1585"/>
      <c r="AC577" s="1585"/>
      <c r="AD577" s="1601">
        <f t="shared" si="68"/>
        <v>1422.72</v>
      </c>
      <c r="AE577" s="1790">
        <v>0</v>
      </c>
      <c r="AF577" s="1792"/>
    </row>
    <row r="578" spans="1:32" s="1602" customFormat="1" ht="26.1" customHeight="1">
      <c r="A578" s="2918"/>
      <c r="B578" s="2919"/>
      <c r="C578" s="2920"/>
      <c r="D578" s="2917"/>
      <c r="E578" s="1603" t="s">
        <v>2497</v>
      </c>
      <c r="F578" s="1583"/>
      <c r="G578" s="1583"/>
      <c r="H578" s="1583"/>
      <c r="I578" s="1583"/>
      <c r="J578" s="1583"/>
      <c r="K578" s="1583"/>
      <c r="L578" s="1583"/>
      <c r="M578" s="1583"/>
      <c r="N578" s="1583"/>
      <c r="O578" s="1583"/>
      <c r="P578" s="1583"/>
      <c r="Q578" s="1583"/>
      <c r="R578" s="1600"/>
      <c r="S578" s="1600"/>
      <c r="T578" s="1585"/>
      <c r="U578" s="1585"/>
      <c r="V578" s="1618"/>
      <c r="W578" s="1585"/>
      <c r="X578" s="1585"/>
      <c r="Y578" s="1585"/>
      <c r="Z578" s="1585"/>
      <c r="AA578" s="1585"/>
      <c r="AB578" s="1585"/>
      <c r="AC578" s="1585"/>
      <c r="AD578" s="1601">
        <f t="shared" si="68"/>
        <v>0</v>
      </c>
      <c r="AE578" s="1790">
        <v>0</v>
      </c>
      <c r="AF578" s="1792"/>
    </row>
    <row r="579" spans="1:32" s="1602" customFormat="1" ht="26.1" customHeight="1">
      <c r="A579" s="2918" t="s">
        <v>1583</v>
      </c>
      <c r="B579" s="2919" t="s">
        <v>2074</v>
      </c>
      <c r="C579" s="2920" t="s">
        <v>52</v>
      </c>
      <c r="D579" s="2917">
        <v>102.68</v>
      </c>
      <c r="E579" s="1598" t="s">
        <v>2496</v>
      </c>
      <c r="F579" s="1583"/>
      <c r="G579" s="1583"/>
      <c r="H579" s="1583"/>
      <c r="I579" s="1583"/>
      <c r="J579" s="1583"/>
      <c r="K579" s="1583"/>
      <c r="L579" s="1583"/>
      <c r="M579" s="1583"/>
      <c r="N579" s="1583"/>
      <c r="O579" s="1583"/>
      <c r="P579" s="1583"/>
      <c r="Q579" s="1583"/>
      <c r="R579" s="1600"/>
      <c r="S579" s="1600"/>
      <c r="T579" s="1585"/>
      <c r="U579" s="1585"/>
      <c r="V579" s="1585"/>
      <c r="W579" s="1585"/>
      <c r="X579" s="1585"/>
      <c r="Y579" s="1585"/>
      <c r="Z579" s="1585">
        <v>102.68</v>
      </c>
      <c r="AA579" s="1585"/>
      <c r="AB579" s="1585"/>
      <c r="AC579" s="1585"/>
      <c r="AD579" s="1601">
        <f t="shared" si="68"/>
        <v>102.68</v>
      </c>
      <c r="AE579" s="1790">
        <v>0</v>
      </c>
      <c r="AF579" s="1792"/>
    </row>
    <row r="580" spans="1:32" s="1602" customFormat="1" ht="26.1" customHeight="1">
      <c r="A580" s="2918"/>
      <c r="B580" s="2919"/>
      <c r="C580" s="2920"/>
      <c r="D580" s="2917"/>
      <c r="E580" s="1603" t="s">
        <v>2497</v>
      </c>
      <c r="F580" s="1583"/>
      <c r="G580" s="1583"/>
      <c r="H580" s="1583"/>
      <c r="I580" s="1583"/>
      <c r="J580" s="1583"/>
      <c r="K580" s="1583"/>
      <c r="L580" s="1583"/>
      <c r="M580" s="1583"/>
      <c r="N580" s="1583"/>
      <c r="O580" s="1583"/>
      <c r="P580" s="1583"/>
      <c r="Q580" s="1583"/>
      <c r="R580" s="1600"/>
      <c r="S580" s="1600"/>
      <c r="T580" s="1585"/>
      <c r="U580" s="1585"/>
      <c r="V580" s="1585"/>
      <c r="W580" s="1585"/>
      <c r="X580" s="1585"/>
      <c r="Y580" s="1585"/>
      <c r="Z580" s="1585"/>
      <c r="AA580" s="1585"/>
      <c r="AB580" s="1585"/>
      <c r="AC580" s="1585"/>
      <c r="AD580" s="1601">
        <f t="shared" si="68"/>
        <v>0</v>
      </c>
      <c r="AE580" s="1790">
        <v>0</v>
      </c>
      <c r="AF580" s="1792"/>
    </row>
    <row r="581" spans="1:32" s="1602" customFormat="1" ht="26.1" customHeight="1">
      <c r="A581" s="1594" t="s">
        <v>1584</v>
      </c>
      <c r="B581" s="1609" t="s">
        <v>1987</v>
      </c>
      <c r="C581" s="1591"/>
      <c r="D581" s="1597"/>
      <c r="E581" s="1600"/>
      <c r="F581" s="1583"/>
      <c r="G581" s="1583"/>
      <c r="H581" s="1583"/>
      <c r="I581" s="1583"/>
      <c r="J581" s="1583"/>
      <c r="K581" s="1583"/>
      <c r="L581" s="1583"/>
      <c r="M581" s="1583"/>
      <c r="N581" s="1583"/>
      <c r="O581" s="1583"/>
      <c r="P581" s="1583"/>
      <c r="Q581" s="1583"/>
      <c r="R581" s="1600"/>
      <c r="S581" s="1600"/>
      <c r="T581" s="1585"/>
      <c r="U581" s="1585"/>
      <c r="V581" s="1585"/>
      <c r="W581" s="1585"/>
      <c r="X581" s="1585"/>
      <c r="Y581" s="1585"/>
      <c r="Z581" s="1585"/>
      <c r="AA581" s="1585"/>
      <c r="AB581" s="1585"/>
      <c r="AC581" s="1585"/>
      <c r="AD581" s="1601">
        <f t="shared" si="68"/>
        <v>0</v>
      </c>
      <c r="AE581" s="1790">
        <v>0</v>
      </c>
      <c r="AF581" s="1792"/>
    </row>
    <row r="582" spans="1:32" s="1602" customFormat="1" ht="26.1" customHeight="1">
      <c r="A582" s="2918" t="s">
        <v>1585</v>
      </c>
      <c r="B582" s="2919" t="s">
        <v>2075</v>
      </c>
      <c r="C582" s="2920" t="s">
        <v>2145</v>
      </c>
      <c r="D582" s="2917">
        <v>104.44</v>
      </c>
      <c r="E582" s="1598" t="s">
        <v>2496</v>
      </c>
      <c r="F582" s="1583"/>
      <c r="G582" s="1583"/>
      <c r="H582" s="1583"/>
      <c r="I582" s="1583"/>
      <c r="J582" s="1583"/>
      <c r="K582" s="1583"/>
      <c r="L582" s="1583"/>
      <c r="M582" s="1583"/>
      <c r="N582" s="1583"/>
      <c r="O582" s="1583"/>
      <c r="P582" s="1583"/>
      <c r="Q582" s="1583"/>
      <c r="R582" s="1600"/>
      <c r="S582" s="1600"/>
      <c r="T582" s="1585"/>
      <c r="U582" s="1585"/>
      <c r="V582" s="1585"/>
      <c r="W582" s="1585"/>
      <c r="X582" s="1585"/>
      <c r="Y582" s="1585"/>
      <c r="Z582" s="1585">
        <v>104.44</v>
      </c>
      <c r="AA582" s="1585"/>
      <c r="AB582" s="1585"/>
      <c r="AC582" s="1585"/>
      <c r="AD582" s="1601">
        <f t="shared" si="68"/>
        <v>104.44</v>
      </c>
      <c r="AE582" s="1790">
        <v>0</v>
      </c>
      <c r="AF582" s="1792"/>
    </row>
    <row r="583" spans="1:32" s="1602" customFormat="1" ht="26.1" customHeight="1">
      <c r="A583" s="2918"/>
      <c r="B583" s="2919"/>
      <c r="C583" s="2920"/>
      <c r="D583" s="2917"/>
      <c r="E583" s="1603" t="s">
        <v>2497</v>
      </c>
      <c r="F583" s="1583"/>
      <c r="G583" s="1583"/>
      <c r="H583" s="1583"/>
      <c r="I583" s="1583"/>
      <c r="J583" s="1583"/>
      <c r="K583" s="1583"/>
      <c r="L583" s="1583"/>
      <c r="M583" s="1583"/>
      <c r="N583" s="1583"/>
      <c r="O583" s="1583"/>
      <c r="P583" s="1583"/>
      <c r="Q583" s="1583"/>
      <c r="R583" s="1600"/>
      <c r="S583" s="1600"/>
      <c r="T583" s="1585"/>
      <c r="U583" s="1585"/>
      <c r="V583" s="1585"/>
      <c r="W583" s="1585"/>
      <c r="X583" s="1585"/>
      <c r="Y583" s="1585"/>
      <c r="Z583" s="1585"/>
      <c r="AA583" s="1585"/>
      <c r="AB583" s="1585"/>
      <c r="AC583" s="1585"/>
      <c r="AD583" s="1601">
        <f t="shared" si="68"/>
        <v>0</v>
      </c>
      <c r="AE583" s="1790">
        <v>0</v>
      </c>
      <c r="AF583" s="1792"/>
    </row>
    <row r="584" spans="1:32" s="1602" customFormat="1" ht="26.1" customHeight="1">
      <c r="A584" s="1594">
        <v>6.8</v>
      </c>
      <c r="B584" s="1614" t="s">
        <v>2076</v>
      </c>
      <c r="C584" s="1596"/>
      <c r="D584" s="1597"/>
      <c r="E584" s="1600"/>
      <c r="F584" s="1583"/>
      <c r="G584" s="1583"/>
      <c r="H584" s="1583"/>
      <c r="I584" s="1583"/>
      <c r="J584" s="1583"/>
      <c r="K584" s="1583"/>
      <c r="L584" s="1583"/>
      <c r="M584" s="1583"/>
      <c r="N584" s="1583"/>
      <c r="O584" s="1583"/>
      <c r="P584" s="1583"/>
      <c r="Q584" s="1583"/>
      <c r="R584" s="1600"/>
      <c r="S584" s="1600"/>
      <c r="T584" s="1585"/>
      <c r="U584" s="1585"/>
      <c r="V584" s="1585"/>
      <c r="W584" s="1585"/>
      <c r="X584" s="1585"/>
      <c r="Y584" s="1585"/>
      <c r="Z584" s="1585"/>
      <c r="AA584" s="1585"/>
      <c r="AB584" s="1585"/>
      <c r="AC584" s="1585"/>
      <c r="AD584" s="1601">
        <f t="shared" si="68"/>
        <v>0</v>
      </c>
      <c r="AE584" s="1790">
        <v>0</v>
      </c>
      <c r="AF584" s="1792"/>
    </row>
    <row r="585" spans="1:32" s="1602" customFormat="1" ht="26.1" customHeight="1">
      <c r="A585" s="2918" t="s">
        <v>1589</v>
      </c>
      <c r="B585" s="2919" t="s">
        <v>2080</v>
      </c>
      <c r="C585" s="2920" t="s">
        <v>52</v>
      </c>
      <c r="D585" s="2917">
        <v>25932.18</v>
      </c>
      <c r="E585" s="1598" t="s">
        <v>2496</v>
      </c>
      <c r="F585" s="1583"/>
      <c r="G585" s="1583"/>
      <c r="H585" s="1583"/>
      <c r="I585" s="1583"/>
      <c r="J585" s="1583"/>
      <c r="K585" s="1583"/>
      <c r="L585" s="1583"/>
      <c r="M585" s="1583"/>
      <c r="N585" s="1583"/>
      <c r="O585" s="1583"/>
      <c r="P585" s="1583"/>
      <c r="Q585" s="1583"/>
      <c r="R585" s="1600"/>
      <c r="S585" s="1600"/>
      <c r="T585" s="1585"/>
      <c r="U585" s="1585"/>
      <c r="V585" s="1585"/>
      <c r="W585" s="1585"/>
      <c r="X585" s="1585"/>
      <c r="Y585" s="1585"/>
      <c r="Z585" s="1585"/>
      <c r="AA585" s="1585"/>
      <c r="AB585" s="1585"/>
      <c r="AC585" s="1585">
        <v>25932.18</v>
      </c>
      <c r="AD585" s="1601">
        <f t="shared" si="68"/>
        <v>25932.18</v>
      </c>
      <c r="AE585" s="1790">
        <v>0</v>
      </c>
      <c r="AF585" s="1792"/>
    </row>
    <row r="586" spans="1:32" s="1602" customFormat="1" ht="26.1" customHeight="1">
      <c r="A586" s="2918"/>
      <c r="B586" s="2919"/>
      <c r="C586" s="2920"/>
      <c r="D586" s="2917"/>
      <c r="E586" s="1603" t="s">
        <v>2497</v>
      </c>
      <c r="F586" s="1583"/>
      <c r="G586" s="1583"/>
      <c r="H586" s="1583"/>
      <c r="I586" s="1583"/>
      <c r="J586" s="1583"/>
      <c r="K586" s="1583"/>
      <c r="L586" s="1583"/>
      <c r="M586" s="1583"/>
      <c r="N586" s="1583"/>
      <c r="O586" s="1583"/>
      <c r="P586" s="1583"/>
      <c r="Q586" s="1583"/>
      <c r="R586" s="1600"/>
      <c r="S586" s="1600"/>
      <c r="T586" s="1585"/>
      <c r="U586" s="1585"/>
      <c r="V586" s="1585"/>
      <c r="W586" s="1585"/>
      <c r="X586" s="1585"/>
      <c r="Y586" s="1585"/>
      <c r="Z586" s="1585"/>
      <c r="AA586" s="1585"/>
      <c r="AB586" s="1585"/>
      <c r="AC586" s="1585"/>
      <c r="AD586" s="1601">
        <f t="shared" si="68"/>
        <v>0</v>
      </c>
      <c r="AE586" s="1790">
        <v>0</v>
      </c>
      <c r="AF586" s="1792"/>
    </row>
    <row r="587" spans="1:32" s="1602" customFormat="1" ht="26.1" customHeight="1">
      <c r="A587" s="2918" t="s">
        <v>1590</v>
      </c>
      <c r="B587" s="2919" t="s">
        <v>2081</v>
      </c>
      <c r="C587" s="2920" t="s">
        <v>52</v>
      </c>
      <c r="D587" s="2917">
        <v>2356</v>
      </c>
      <c r="E587" s="1598" t="s">
        <v>2496</v>
      </c>
      <c r="F587" s="1583"/>
      <c r="G587" s="1583"/>
      <c r="H587" s="1583"/>
      <c r="I587" s="1583"/>
      <c r="J587" s="1583"/>
      <c r="K587" s="1583"/>
      <c r="L587" s="1583"/>
      <c r="M587" s="1583"/>
      <c r="N587" s="1583"/>
      <c r="O587" s="1583"/>
      <c r="P587" s="1583"/>
      <c r="Q587" s="1583"/>
      <c r="R587" s="1600"/>
      <c r="S587" s="1600"/>
      <c r="T587" s="1585"/>
      <c r="U587" s="1585"/>
      <c r="V587" s="1585"/>
      <c r="W587" s="1585"/>
      <c r="X587" s="1585"/>
      <c r="Y587" s="1585"/>
      <c r="Z587" s="1585"/>
      <c r="AA587" s="1585"/>
      <c r="AB587" s="1585"/>
      <c r="AC587" s="1585">
        <v>2356</v>
      </c>
      <c r="AD587" s="1601">
        <f t="shared" si="68"/>
        <v>2356</v>
      </c>
      <c r="AE587" s="1790">
        <v>0</v>
      </c>
      <c r="AF587" s="1792"/>
    </row>
    <row r="588" spans="1:32" s="1602" customFormat="1" ht="26.1" customHeight="1">
      <c r="A588" s="2918"/>
      <c r="B588" s="2919"/>
      <c r="C588" s="2920"/>
      <c r="D588" s="2917"/>
      <c r="E588" s="1603" t="s">
        <v>2497</v>
      </c>
      <c r="F588" s="1583"/>
      <c r="G588" s="1583"/>
      <c r="H588" s="1583"/>
      <c r="I588" s="1583"/>
      <c r="J588" s="1583"/>
      <c r="K588" s="1583"/>
      <c r="L588" s="1583"/>
      <c r="M588" s="1583"/>
      <c r="N588" s="1583"/>
      <c r="O588" s="1583"/>
      <c r="P588" s="1583"/>
      <c r="Q588" s="1583"/>
      <c r="R588" s="1600"/>
      <c r="S588" s="1600"/>
      <c r="T588" s="1585"/>
      <c r="U588" s="1585"/>
      <c r="V588" s="1585"/>
      <c r="W588" s="1585"/>
      <c r="X588" s="1585"/>
      <c r="Y588" s="1585"/>
      <c r="Z588" s="1585"/>
      <c r="AA588" s="1585"/>
      <c r="AB588" s="1585"/>
      <c r="AC588" s="1585"/>
      <c r="AD588" s="1601">
        <f t="shared" si="68"/>
        <v>0</v>
      </c>
      <c r="AE588" s="1790">
        <v>0</v>
      </c>
      <c r="AF588" s="1792"/>
    </row>
    <row r="589" spans="1:32" s="1602" customFormat="1" ht="26.1" customHeight="1">
      <c r="A589" s="2918" t="s">
        <v>1591</v>
      </c>
      <c r="B589" s="2919" t="s">
        <v>2082</v>
      </c>
      <c r="C589" s="2920" t="s">
        <v>52</v>
      </c>
      <c r="D589" s="2917">
        <v>1156.99</v>
      </c>
      <c r="E589" s="1598" t="s">
        <v>2496</v>
      </c>
      <c r="F589" s="1583"/>
      <c r="G589" s="1583"/>
      <c r="H589" s="1583"/>
      <c r="I589" s="1583"/>
      <c r="J589" s="1583"/>
      <c r="K589" s="1583"/>
      <c r="L589" s="1583"/>
      <c r="M589" s="1583"/>
      <c r="N589" s="1583"/>
      <c r="O589" s="1583"/>
      <c r="P589" s="1583"/>
      <c r="Q589" s="1583"/>
      <c r="R589" s="1600"/>
      <c r="S589" s="1600"/>
      <c r="T589" s="1585"/>
      <c r="U589" s="1585"/>
      <c r="V589" s="1585"/>
      <c r="W589" s="1585"/>
      <c r="X589" s="1585"/>
      <c r="Y589" s="1585"/>
      <c r="Z589" s="1585"/>
      <c r="AA589" s="1585"/>
      <c r="AB589" s="1585"/>
      <c r="AC589" s="1585">
        <v>1156.99</v>
      </c>
      <c r="AD589" s="1601">
        <f t="shared" si="68"/>
        <v>1156.99</v>
      </c>
      <c r="AE589" s="1790">
        <v>0</v>
      </c>
      <c r="AF589" s="1792"/>
    </row>
    <row r="590" spans="1:32" s="1602" customFormat="1" ht="26.1" customHeight="1">
      <c r="A590" s="2918"/>
      <c r="B590" s="2919"/>
      <c r="C590" s="2920"/>
      <c r="D590" s="2917"/>
      <c r="E590" s="1603" t="s">
        <v>2497</v>
      </c>
      <c r="F590" s="1583"/>
      <c r="G590" s="1583"/>
      <c r="H590" s="1583"/>
      <c r="I590" s="1583"/>
      <c r="J590" s="1583"/>
      <c r="K590" s="1583"/>
      <c r="L590" s="1583"/>
      <c r="M590" s="1583"/>
      <c r="N590" s="1583"/>
      <c r="O590" s="1583"/>
      <c r="P590" s="1583"/>
      <c r="Q590" s="1583"/>
      <c r="R590" s="1600"/>
      <c r="S590" s="1600"/>
      <c r="T590" s="1585"/>
      <c r="U590" s="1585"/>
      <c r="V590" s="1585"/>
      <c r="W590" s="1585"/>
      <c r="X590" s="1585"/>
      <c r="Y590" s="1585"/>
      <c r="Z590" s="1585"/>
      <c r="AA590" s="1585"/>
      <c r="AB590" s="1585"/>
      <c r="AC590" s="1585"/>
      <c r="AD590" s="1601">
        <f t="shared" si="68"/>
        <v>0</v>
      </c>
      <c r="AE590" s="1790">
        <v>0</v>
      </c>
      <c r="AF590" s="1792"/>
    </row>
    <row r="591" spans="1:32" s="1602" customFormat="1" ht="26.1" customHeight="1">
      <c r="A591" s="1594">
        <v>6.9</v>
      </c>
      <c r="B591" s="1614" t="s">
        <v>2083</v>
      </c>
      <c r="C591" s="1596"/>
      <c r="D591" s="1597"/>
      <c r="E591" s="1600"/>
      <c r="F591" s="1583"/>
      <c r="G591" s="1583"/>
      <c r="H591" s="1583"/>
      <c r="I591" s="1583"/>
      <c r="J591" s="1583"/>
      <c r="K591" s="1583"/>
      <c r="L591" s="1583"/>
      <c r="M591" s="1583"/>
      <c r="N591" s="1583"/>
      <c r="O591" s="1583"/>
      <c r="P591" s="1583"/>
      <c r="Q591" s="1583"/>
      <c r="R591" s="1600"/>
      <c r="S591" s="1600"/>
      <c r="T591" s="1585"/>
      <c r="U591" s="1585"/>
      <c r="V591" s="1585"/>
      <c r="W591" s="1585"/>
      <c r="X591" s="1585"/>
      <c r="Y591" s="1585"/>
      <c r="Z591" s="1585"/>
      <c r="AA591" s="1585"/>
      <c r="AB591" s="1585"/>
      <c r="AC591" s="1585"/>
      <c r="AD591" s="1601">
        <f t="shared" si="68"/>
        <v>0</v>
      </c>
      <c r="AE591" s="1790">
        <v>0</v>
      </c>
      <c r="AF591" s="1792"/>
    </row>
    <row r="592" spans="1:32" s="1602" customFormat="1" ht="26.1" customHeight="1">
      <c r="A592" s="1594" t="s">
        <v>1592</v>
      </c>
      <c r="B592" s="1609" t="s">
        <v>1977</v>
      </c>
      <c r="C592" s="1596"/>
      <c r="D592" s="1597"/>
      <c r="E592" s="1600"/>
      <c r="F592" s="1583"/>
      <c r="G592" s="1583"/>
      <c r="H592" s="1583"/>
      <c r="I592" s="1583"/>
      <c r="J592" s="1583"/>
      <c r="K592" s="1583"/>
      <c r="L592" s="1583"/>
      <c r="M592" s="1583"/>
      <c r="N592" s="1583"/>
      <c r="O592" s="1583"/>
      <c r="P592" s="1583"/>
      <c r="Q592" s="1583"/>
      <c r="R592" s="1600"/>
      <c r="S592" s="1600"/>
      <c r="T592" s="1585"/>
      <c r="U592" s="1585"/>
      <c r="V592" s="1585"/>
      <c r="W592" s="1585"/>
      <c r="X592" s="1585"/>
      <c r="Y592" s="1585"/>
      <c r="Z592" s="1585"/>
      <c r="AA592" s="1585"/>
      <c r="AB592" s="1585"/>
      <c r="AC592" s="1585"/>
      <c r="AD592" s="1601">
        <f t="shared" si="68"/>
        <v>0</v>
      </c>
      <c r="AE592" s="1790">
        <v>0</v>
      </c>
      <c r="AF592" s="1792"/>
    </row>
    <row r="593" spans="1:32" s="1602" customFormat="1" ht="26.1" customHeight="1">
      <c r="A593" s="2918" t="s">
        <v>1593</v>
      </c>
      <c r="B593" s="2919" t="s">
        <v>2084</v>
      </c>
      <c r="C593" s="2920" t="s">
        <v>51</v>
      </c>
      <c r="D593" s="2917">
        <v>7176.0000000000009</v>
      </c>
      <c r="E593" s="1598" t="s">
        <v>2496</v>
      </c>
      <c r="F593" s="1583"/>
      <c r="G593" s="1583"/>
      <c r="H593" s="1583"/>
      <c r="I593" s="1583"/>
      <c r="J593" s="1583"/>
      <c r="K593" s="1583"/>
      <c r="L593" s="1583"/>
      <c r="M593" s="1583"/>
      <c r="N593" s="1583"/>
      <c r="O593" s="1583"/>
      <c r="P593" s="1583"/>
      <c r="Q593" s="1583"/>
      <c r="R593" s="1600"/>
      <c r="S593" s="1600"/>
      <c r="T593" s="1585"/>
      <c r="U593" s="1585"/>
      <c r="V593" s="1585"/>
      <c r="W593" s="1585"/>
      <c r="X593" s="1585"/>
      <c r="Y593" s="1585"/>
      <c r="Z593" s="1585"/>
      <c r="AA593" s="1585"/>
      <c r="AB593" s="1585"/>
      <c r="AC593" s="1585">
        <v>7176.0000000000009</v>
      </c>
      <c r="AD593" s="1601">
        <f t="shared" ref="AD593:AD656" si="69">SUM(F593:AC593)</f>
        <v>7176.0000000000009</v>
      </c>
      <c r="AE593" s="1790">
        <v>0</v>
      </c>
      <c r="AF593" s="1792"/>
    </row>
    <row r="594" spans="1:32" s="1602" customFormat="1" ht="26.1" customHeight="1">
      <c r="A594" s="2918"/>
      <c r="B594" s="2919"/>
      <c r="C594" s="2920"/>
      <c r="D594" s="2917"/>
      <c r="E594" s="1603" t="s">
        <v>2497</v>
      </c>
      <c r="F594" s="1583"/>
      <c r="G594" s="1583"/>
      <c r="H594" s="1583"/>
      <c r="I594" s="1583"/>
      <c r="J594" s="1583"/>
      <c r="K594" s="1583"/>
      <c r="L594" s="1583"/>
      <c r="M594" s="1583"/>
      <c r="N594" s="1583"/>
      <c r="O594" s="1583"/>
      <c r="P594" s="1583"/>
      <c r="Q594" s="1583"/>
      <c r="R594" s="1600"/>
      <c r="S594" s="1600"/>
      <c r="T594" s="1585"/>
      <c r="U594" s="1585"/>
      <c r="V594" s="1585"/>
      <c r="W594" s="1585"/>
      <c r="X594" s="1585"/>
      <c r="Y594" s="1585"/>
      <c r="Z594" s="1585"/>
      <c r="AA594" s="1585"/>
      <c r="AB594" s="1585"/>
      <c r="AC594" s="1585"/>
      <c r="AD594" s="1601">
        <f t="shared" si="69"/>
        <v>0</v>
      </c>
      <c r="AE594" s="1790">
        <v>0</v>
      </c>
      <c r="AF594" s="1792"/>
    </row>
    <row r="595" spans="1:32" s="1602" customFormat="1" ht="26.1" customHeight="1">
      <c r="A595" s="1594" t="s">
        <v>1595</v>
      </c>
      <c r="B595" s="1609" t="s">
        <v>1980</v>
      </c>
      <c r="C595" s="1596"/>
      <c r="D595" s="1597"/>
      <c r="E595" s="1600"/>
      <c r="F595" s="1583"/>
      <c r="G595" s="1583"/>
      <c r="H595" s="1583"/>
      <c r="I595" s="1583"/>
      <c r="J595" s="1583"/>
      <c r="K595" s="1583"/>
      <c r="L595" s="1583"/>
      <c r="M595" s="1583"/>
      <c r="N595" s="1583"/>
      <c r="O595" s="1583"/>
      <c r="P595" s="1583"/>
      <c r="Q595" s="1583"/>
      <c r="R595" s="1600"/>
      <c r="S595" s="1600"/>
      <c r="T595" s="1585"/>
      <c r="U595" s="1585"/>
      <c r="V595" s="1585"/>
      <c r="W595" s="1585"/>
      <c r="X595" s="1585"/>
      <c r="Y595" s="1585"/>
      <c r="Z595" s="1585"/>
      <c r="AA595" s="1585"/>
      <c r="AB595" s="1585"/>
      <c r="AC595" s="1585"/>
      <c r="AD595" s="1601">
        <f t="shared" si="69"/>
        <v>0</v>
      </c>
      <c r="AE595" s="1790">
        <v>0</v>
      </c>
      <c r="AF595" s="1792"/>
    </row>
    <row r="596" spans="1:32" s="1602" customFormat="1" ht="26.1" customHeight="1">
      <c r="A596" s="2918" t="s">
        <v>1596</v>
      </c>
      <c r="B596" s="2919" t="s">
        <v>1981</v>
      </c>
      <c r="C596" s="2920" t="s">
        <v>52</v>
      </c>
      <c r="D596" s="2917">
        <v>8458.7099999999991</v>
      </c>
      <c r="E596" s="1598" t="s">
        <v>2496</v>
      </c>
      <c r="F596" s="1583"/>
      <c r="G596" s="1583"/>
      <c r="H596" s="1583"/>
      <c r="I596" s="1583"/>
      <c r="J596" s="1583"/>
      <c r="K596" s="1583"/>
      <c r="L596" s="1583"/>
      <c r="M596" s="1583"/>
      <c r="N596" s="1583"/>
      <c r="O596" s="1583"/>
      <c r="P596" s="1583"/>
      <c r="Q596" s="1583"/>
      <c r="R596" s="1600"/>
      <c r="S596" s="1600"/>
      <c r="T596" s="1585"/>
      <c r="U596" s="1585"/>
      <c r="V596" s="1585"/>
      <c r="W596" s="1585"/>
      <c r="X596" s="1585"/>
      <c r="Y596" s="1585"/>
      <c r="Z596" s="1585"/>
      <c r="AA596" s="1585"/>
      <c r="AB596" s="1585"/>
      <c r="AC596" s="1585">
        <v>8458.7099999999991</v>
      </c>
      <c r="AD596" s="1601">
        <f t="shared" si="69"/>
        <v>8458.7099999999991</v>
      </c>
      <c r="AE596" s="1790">
        <v>0</v>
      </c>
      <c r="AF596" s="1792"/>
    </row>
    <row r="597" spans="1:32" s="1602" customFormat="1" ht="26.1" customHeight="1">
      <c r="A597" s="2918"/>
      <c r="B597" s="2919"/>
      <c r="C597" s="2920"/>
      <c r="D597" s="2917"/>
      <c r="E597" s="1603" t="s">
        <v>2497</v>
      </c>
      <c r="F597" s="1583"/>
      <c r="G597" s="1583"/>
      <c r="H597" s="1583"/>
      <c r="I597" s="1583"/>
      <c r="J597" s="1583"/>
      <c r="K597" s="1583"/>
      <c r="L597" s="1583"/>
      <c r="M597" s="1583"/>
      <c r="N597" s="1583"/>
      <c r="O597" s="1583"/>
      <c r="P597" s="1583"/>
      <c r="Q597" s="1583"/>
      <c r="R597" s="1600"/>
      <c r="S597" s="1600"/>
      <c r="T597" s="1585"/>
      <c r="U597" s="1585"/>
      <c r="V597" s="1585"/>
      <c r="W597" s="1618"/>
      <c r="X597" s="1585"/>
      <c r="Y597" s="1585"/>
      <c r="Z597" s="1585"/>
      <c r="AA597" s="1585"/>
      <c r="AB597" s="1585"/>
      <c r="AC597" s="1585"/>
      <c r="AD597" s="1601">
        <f t="shared" si="69"/>
        <v>0</v>
      </c>
      <c r="AE597" s="1790">
        <v>0</v>
      </c>
      <c r="AF597" s="1792"/>
    </row>
    <row r="598" spans="1:32" s="1602" customFormat="1" ht="26.1" customHeight="1">
      <c r="A598" s="2918" t="s">
        <v>1597</v>
      </c>
      <c r="B598" s="2919" t="s">
        <v>2034</v>
      </c>
      <c r="C598" s="2920" t="s">
        <v>52</v>
      </c>
      <c r="D598" s="2917">
        <v>5277.15</v>
      </c>
      <c r="E598" s="1598" t="s">
        <v>2496</v>
      </c>
      <c r="F598" s="1583"/>
      <c r="G598" s="1583"/>
      <c r="H598" s="1583"/>
      <c r="I598" s="1583"/>
      <c r="J598" s="1583"/>
      <c r="K598" s="1583"/>
      <c r="L598" s="1583"/>
      <c r="M598" s="1583"/>
      <c r="N598" s="1583"/>
      <c r="O598" s="1583"/>
      <c r="P598" s="1583"/>
      <c r="Q598" s="1583"/>
      <c r="R598" s="1600"/>
      <c r="S598" s="1600"/>
      <c r="T598" s="1585"/>
      <c r="U598" s="1585"/>
      <c r="V598" s="1585"/>
      <c r="W598" s="1585">
        <v>938.16</v>
      </c>
      <c r="X598" s="1585"/>
      <c r="Y598" s="1585"/>
      <c r="Z598" s="1585"/>
      <c r="AA598" s="1585"/>
      <c r="AB598" s="1585"/>
      <c r="AC598" s="1585">
        <v>4338.99</v>
      </c>
      <c r="AD598" s="1601">
        <f t="shared" si="69"/>
        <v>5277.15</v>
      </c>
      <c r="AE598" s="1790">
        <v>938.16</v>
      </c>
      <c r="AF598" s="1792"/>
    </row>
    <row r="599" spans="1:32" s="1602" customFormat="1" ht="26.1" customHeight="1">
      <c r="A599" s="2918"/>
      <c r="B599" s="2919"/>
      <c r="C599" s="2920"/>
      <c r="D599" s="2917"/>
      <c r="E599" s="1603" t="s">
        <v>2497</v>
      </c>
      <c r="F599" s="1583"/>
      <c r="G599" s="1583"/>
      <c r="H599" s="1583"/>
      <c r="I599" s="1583"/>
      <c r="J599" s="1583"/>
      <c r="K599" s="1583"/>
      <c r="L599" s="1583"/>
      <c r="M599" s="1583"/>
      <c r="N599" s="1583"/>
      <c r="O599" s="1583"/>
      <c r="P599" s="1583"/>
      <c r="Q599" s="1583"/>
      <c r="R599" s="1600"/>
      <c r="S599" s="1600"/>
      <c r="T599" s="1585"/>
      <c r="U599" s="1585"/>
      <c r="V599" s="1585"/>
      <c r="W599" s="1604">
        <v>938.16</v>
      </c>
      <c r="X599" s="1585"/>
      <c r="Y599" s="1585"/>
      <c r="Z599" s="1585"/>
      <c r="AA599" s="1585"/>
      <c r="AB599" s="1585"/>
      <c r="AC599" s="1585"/>
      <c r="AD599" s="1601">
        <f t="shared" si="69"/>
        <v>938.16</v>
      </c>
      <c r="AE599" s="1790">
        <v>938.16</v>
      </c>
      <c r="AF599" s="1792"/>
    </row>
    <row r="600" spans="1:32" s="1602" customFormat="1" ht="26.1" customHeight="1">
      <c r="A600" s="2918" t="s">
        <v>1598</v>
      </c>
      <c r="B600" s="2919" t="s">
        <v>1982</v>
      </c>
      <c r="C600" s="2920" t="s">
        <v>52</v>
      </c>
      <c r="D600" s="2917">
        <v>1840.38</v>
      </c>
      <c r="E600" s="1598" t="s">
        <v>2496</v>
      </c>
      <c r="F600" s="1583"/>
      <c r="G600" s="1583"/>
      <c r="H600" s="1583"/>
      <c r="I600" s="1583"/>
      <c r="J600" s="1583"/>
      <c r="K600" s="1583"/>
      <c r="L600" s="1583"/>
      <c r="M600" s="1583"/>
      <c r="N600" s="1583"/>
      <c r="O600" s="1583"/>
      <c r="P600" s="1583"/>
      <c r="Q600" s="1583"/>
      <c r="R600" s="1600"/>
      <c r="S600" s="1600"/>
      <c r="T600" s="1585"/>
      <c r="U600" s="1585"/>
      <c r="V600" s="1585"/>
      <c r="W600" s="1585"/>
      <c r="X600" s="1585"/>
      <c r="Y600" s="1585"/>
      <c r="Z600" s="1585"/>
      <c r="AA600" s="1585"/>
      <c r="AB600" s="1585"/>
      <c r="AC600" s="1585">
        <v>1840.38</v>
      </c>
      <c r="AD600" s="1601">
        <f t="shared" si="69"/>
        <v>1840.38</v>
      </c>
      <c r="AE600" s="1790">
        <v>0</v>
      </c>
      <c r="AF600" s="1792"/>
    </row>
    <row r="601" spans="1:32" s="1602" customFormat="1" ht="26.1" customHeight="1">
      <c r="A601" s="2918"/>
      <c r="B601" s="2919"/>
      <c r="C601" s="2920"/>
      <c r="D601" s="2917"/>
      <c r="E601" s="1603" t="s">
        <v>2497</v>
      </c>
      <c r="F601" s="1583"/>
      <c r="G601" s="1583"/>
      <c r="H601" s="1583"/>
      <c r="I601" s="1583"/>
      <c r="J601" s="1583"/>
      <c r="K601" s="1583"/>
      <c r="L601" s="1583"/>
      <c r="M601" s="1583"/>
      <c r="N601" s="1583"/>
      <c r="O601" s="1583"/>
      <c r="P601" s="1583"/>
      <c r="Q601" s="1583"/>
      <c r="R601" s="1600"/>
      <c r="S601" s="1600"/>
      <c r="T601" s="1585"/>
      <c r="U601" s="1585"/>
      <c r="V601" s="1585"/>
      <c r="W601" s="1618"/>
      <c r="X601" s="1585"/>
      <c r="Y601" s="1585"/>
      <c r="Z601" s="1585"/>
      <c r="AA601" s="1585"/>
      <c r="AB601" s="1585"/>
      <c r="AC601" s="1585"/>
      <c r="AD601" s="1601">
        <f t="shared" si="69"/>
        <v>0</v>
      </c>
      <c r="AE601" s="1790">
        <v>0</v>
      </c>
      <c r="AF601" s="1792"/>
    </row>
    <row r="602" spans="1:32" s="1602" customFormat="1" ht="26.1" customHeight="1">
      <c r="A602" s="2918" t="s">
        <v>1599</v>
      </c>
      <c r="B602" s="2919" t="s">
        <v>1983</v>
      </c>
      <c r="C602" s="2920" t="s">
        <v>52</v>
      </c>
      <c r="D602" s="2917">
        <v>3100.1600000000003</v>
      </c>
      <c r="E602" s="1598" t="s">
        <v>2496</v>
      </c>
      <c r="F602" s="1583"/>
      <c r="G602" s="1583"/>
      <c r="H602" s="1583"/>
      <c r="I602" s="1583"/>
      <c r="J602" s="1583"/>
      <c r="K602" s="1583"/>
      <c r="L602" s="1583"/>
      <c r="M602" s="1583"/>
      <c r="N602" s="1583"/>
      <c r="O602" s="1583"/>
      <c r="P602" s="1583"/>
      <c r="Q602" s="1583"/>
      <c r="R602" s="1600"/>
      <c r="S602" s="1600"/>
      <c r="T602" s="1585"/>
      <c r="U602" s="1585"/>
      <c r="V602" s="1585"/>
      <c r="W602" s="1585"/>
      <c r="X602" s="1585"/>
      <c r="Y602" s="1585"/>
      <c r="Z602" s="1585"/>
      <c r="AA602" s="1585"/>
      <c r="AB602" s="1585"/>
      <c r="AC602" s="1585">
        <v>3100.1600000000003</v>
      </c>
      <c r="AD602" s="1601">
        <f t="shared" si="69"/>
        <v>3100.1600000000003</v>
      </c>
      <c r="AE602" s="1790">
        <v>0</v>
      </c>
      <c r="AF602" s="1792"/>
    </row>
    <row r="603" spans="1:32" s="1602" customFormat="1" ht="26.1" customHeight="1">
      <c r="A603" s="2918"/>
      <c r="B603" s="2919"/>
      <c r="C603" s="2920"/>
      <c r="D603" s="2917"/>
      <c r="E603" s="1603" t="s">
        <v>2497</v>
      </c>
      <c r="F603" s="1583"/>
      <c r="G603" s="1583"/>
      <c r="H603" s="1583"/>
      <c r="I603" s="1583"/>
      <c r="J603" s="1583"/>
      <c r="K603" s="1583"/>
      <c r="L603" s="1583"/>
      <c r="M603" s="1583"/>
      <c r="N603" s="1583"/>
      <c r="O603" s="1583"/>
      <c r="P603" s="1583"/>
      <c r="Q603" s="1583"/>
      <c r="R603" s="1600"/>
      <c r="S603" s="1600"/>
      <c r="T603" s="1585"/>
      <c r="U603" s="1585"/>
      <c r="V603" s="1585"/>
      <c r="W603" s="1618"/>
      <c r="X603" s="1585"/>
      <c r="Y603" s="1585"/>
      <c r="Z603" s="1585"/>
      <c r="AA603" s="1585"/>
      <c r="AB603" s="1585"/>
      <c r="AC603" s="1585"/>
      <c r="AD603" s="1601">
        <f t="shared" si="69"/>
        <v>0</v>
      </c>
      <c r="AE603" s="1790">
        <v>0</v>
      </c>
      <c r="AF603" s="1792"/>
    </row>
    <row r="604" spans="1:32" s="1602" customFormat="1" ht="26.1" customHeight="1">
      <c r="A604" s="2918" t="s">
        <v>1600</v>
      </c>
      <c r="B604" s="2919" t="s">
        <v>2035</v>
      </c>
      <c r="C604" s="2920" t="s">
        <v>52</v>
      </c>
      <c r="D604" s="2917">
        <v>821.7</v>
      </c>
      <c r="E604" s="1598" t="s">
        <v>2496</v>
      </c>
      <c r="F604" s="1583"/>
      <c r="G604" s="1583"/>
      <c r="H604" s="1583"/>
      <c r="I604" s="1583"/>
      <c r="J604" s="1583"/>
      <c r="K604" s="1583"/>
      <c r="L604" s="1583"/>
      <c r="M604" s="1583"/>
      <c r="N604" s="1583"/>
      <c r="O604" s="1583"/>
      <c r="P604" s="1583"/>
      <c r="Q604" s="1583"/>
      <c r="R604" s="1600"/>
      <c r="S604" s="1600"/>
      <c r="T604" s="1585"/>
      <c r="U604" s="1585"/>
      <c r="V604" s="1585"/>
      <c r="W604" s="1585"/>
      <c r="X604" s="1585"/>
      <c r="Y604" s="1585"/>
      <c r="Z604" s="1585"/>
      <c r="AA604" s="1585"/>
      <c r="AB604" s="1585"/>
      <c r="AC604" s="1585">
        <v>821.7</v>
      </c>
      <c r="AD604" s="1601">
        <f t="shared" si="69"/>
        <v>821.7</v>
      </c>
      <c r="AE604" s="1790">
        <v>0</v>
      </c>
      <c r="AF604" s="1792"/>
    </row>
    <row r="605" spans="1:32" s="1602" customFormat="1" ht="26.1" customHeight="1">
      <c r="A605" s="2918"/>
      <c r="B605" s="2919"/>
      <c r="C605" s="2920"/>
      <c r="D605" s="2917"/>
      <c r="E605" s="1603" t="s">
        <v>2497</v>
      </c>
      <c r="F605" s="1583"/>
      <c r="G605" s="1583"/>
      <c r="H605" s="1583"/>
      <c r="I605" s="1583"/>
      <c r="J605" s="1583"/>
      <c r="K605" s="1583"/>
      <c r="L605" s="1583"/>
      <c r="M605" s="1583"/>
      <c r="N605" s="1583"/>
      <c r="O605" s="1583"/>
      <c r="P605" s="1583"/>
      <c r="Q605" s="1583"/>
      <c r="R605" s="1600"/>
      <c r="S605" s="1600"/>
      <c r="T605" s="1585"/>
      <c r="U605" s="1585"/>
      <c r="V605" s="1585"/>
      <c r="W605" s="1618"/>
      <c r="X605" s="1585"/>
      <c r="Y605" s="1585"/>
      <c r="Z605" s="1585"/>
      <c r="AA605" s="1585"/>
      <c r="AB605" s="1585"/>
      <c r="AC605" s="1585"/>
      <c r="AD605" s="1601">
        <f t="shared" si="69"/>
        <v>0</v>
      </c>
      <c r="AE605" s="1790">
        <v>0</v>
      </c>
      <c r="AF605" s="1792"/>
    </row>
    <row r="606" spans="1:32" s="1602" customFormat="1" ht="26.1" customHeight="1">
      <c r="A606" s="2918" t="s">
        <v>1601</v>
      </c>
      <c r="B606" s="2919" t="s">
        <v>1984</v>
      </c>
      <c r="C606" s="2920" t="s">
        <v>51</v>
      </c>
      <c r="D606" s="2917">
        <v>6311.76</v>
      </c>
      <c r="E606" s="1598" t="s">
        <v>2496</v>
      </c>
      <c r="F606" s="1583"/>
      <c r="G606" s="1583"/>
      <c r="H606" s="1583"/>
      <c r="I606" s="1583"/>
      <c r="J606" s="1583"/>
      <c r="K606" s="1583"/>
      <c r="L606" s="1583"/>
      <c r="M606" s="1583"/>
      <c r="N606" s="1583"/>
      <c r="O606" s="1583"/>
      <c r="P606" s="1583"/>
      <c r="Q606" s="1583"/>
      <c r="R606" s="1600"/>
      <c r="S606" s="1600"/>
      <c r="T606" s="1585"/>
      <c r="U606" s="1585"/>
      <c r="V606" s="1585"/>
      <c r="W606" s="1585">
        <v>6311.76</v>
      </c>
      <c r="X606" s="1585"/>
      <c r="Y606" s="1585"/>
      <c r="Z606" s="1585"/>
      <c r="AA606" s="1585"/>
      <c r="AB606" s="1585"/>
      <c r="AC606" s="1585"/>
      <c r="AD606" s="1601">
        <f t="shared" si="69"/>
        <v>6311.76</v>
      </c>
      <c r="AE606" s="1790">
        <v>6311.76</v>
      </c>
      <c r="AF606" s="1792"/>
    </row>
    <row r="607" spans="1:32" s="1602" customFormat="1" ht="26.1" customHeight="1">
      <c r="A607" s="2918"/>
      <c r="B607" s="2919"/>
      <c r="C607" s="2920"/>
      <c r="D607" s="2917"/>
      <c r="E607" s="1603" t="s">
        <v>2497</v>
      </c>
      <c r="F607" s="1583"/>
      <c r="G607" s="1583"/>
      <c r="H607" s="1583"/>
      <c r="I607" s="1583"/>
      <c r="J607" s="1583"/>
      <c r="K607" s="1583"/>
      <c r="L607" s="1583"/>
      <c r="M607" s="1583"/>
      <c r="N607" s="1583"/>
      <c r="O607" s="1583"/>
      <c r="P607" s="1583"/>
      <c r="Q607" s="1583"/>
      <c r="R607" s="1600"/>
      <c r="S607" s="1600"/>
      <c r="T607" s="1585"/>
      <c r="U607" s="1585"/>
      <c r="V607" s="1585"/>
      <c r="W607" s="1604">
        <v>6311.76</v>
      </c>
      <c r="X607" s="1585"/>
      <c r="Y607" s="1585"/>
      <c r="Z607" s="1585"/>
      <c r="AA607" s="1585"/>
      <c r="AB607" s="1585"/>
      <c r="AC607" s="1585"/>
      <c r="AD607" s="1601">
        <f t="shared" si="69"/>
        <v>6311.76</v>
      </c>
      <c r="AE607" s="1790">
        <v>6311.76</v>
      </c>
      <c r="AF607" s="1792"/>
    </row>
    <row r="608" spans="1:32" s="1602" customFormat="1" ht="26.1" customHeight="1">
      <c r="A608" s="2918" t="s">
        <v>1602</v>
      </c>
      <c r="B608" s="2919" t="s">
        <v>2073</v>
      </c>
      <c r="C608" s="2920" t="s">
        <v>51</v>
      </c>
      <c r="D608" s="2917">
        <v>9721.92</v>
      </c>
      <c r="E608" s="1598" t="s">
        <v>2496</v>
      </c>
      <c r="F608" s="1583"/>
      <c r="G608" s="1583"/>
      <c r="H608" s="1583"/>
      <c r="I608" s="1583"/>
      <c r="J608" s="1583"/>
      <c r="K608" s="1583"/>
      <c r="L608" s="1583"/>
      <c r="M608" s="1583"/>
      <c r="N608" s="1583"/>
      <c r="O608" s="1583"/>
      <c r="P608" s="1583"/>
      <c r="Q608" s="1583"/>
      <c r="R608" s="1600"/>
      <c r="S608" s="1600"/>
      <c r="T608" s="1585"/>
      <c r="U608" s="1585"/>
      <c r="V608" s="1585"/>
      <c r="W608" s="1585"/>
      <c r="X608" s="1585"/>
      <c r="Y608" s="1585"/>
      <c r="Z608" s="1585">
        <v>9721.92</v>
      </c>
      <c r="AA608" s="1585"/>
      <c r="AB608" s="1585"/>
      <c r="AC608" s="1585"/>
      <c r="AD608" s="1601">
        <f t="shared" si="69"/>
        <v>9721.92</v>
      </c>
      <c r="AE608" s="1790">
        <v>0</v>
      </c>
      <c r="AF608" s="1792"/>
    </row>
    <row r="609" spans="1:32" s="1602" customFormat="1" ht="26.1" customHeight="1">
      <c r="A609" s="2918"/>
      <c r="B609" s="2919"/>
      <c r="C609" s="2920"/>
      <c r="D609" s="2917"/>
      <c r="E609" s="1603" t="s">
        <v>2497</v>
      </c>
      <c r="F609" s="1583"/>
      <c r="G609" s="1583"/>
      <c r="H609" s="1583"/>
      <c r="I609" s="1583"/>
      <c r="J609" s="1583"/>
      <c r="K609" s="1583"/>
      <c r="L609" s="1583"/>
      <c r="M609" s="1583"/>
      <c r="N609" s="1583"/>
      <c r="O609" s="1583"/>
      <c r="P609" s="1583"/>
      <c r="Q609" s="1583"/>
      <c r="R609" s="1600"/>
      <c r="S609" s="1600"/>
      <c r="T609" s="1585"/>
      <c r="U609" s="1585"/>
      <c r="V609" s="1585"/>
      <c r="W609" s="1604"/>
      <c r="Y609" s="1585"/>
      <c r="Z609" s="1585"/>
      <c r="AA609" s="1585"/>
      <c r="AB609" s="1585"/>
      <c r="AC609" s="1585"/>
      <c r="AD609" s="1601">
        <f t="shared" si="69"/>
        <v>0</v>
      </c>
      <c r="AE609" s="1790">
        <v>0</v>
      </c>
      <c r="AF609" s="1792"/>
    </row>
    <row r="610" spans="1:32" s="1602" customFormat="1" ht="26.1" customHeight="1">
      <c r="A610" s="2918" t="s">
        <v>1603</v>
      </c>
      <c r="B610" s="2919" t="s">
        <v>1985</v>
      </c>
      <c r="C610" s="2920" t="s">
        <v>52</v>
      </c>
      <c r="D610" s="2917">
        <v>920.25</v>
      </c>
      <c r="E610" s="1598" t="s">
        <v>2496</v>
      </c>
      <c r="F610" s="1583"/>
      <c r="G610" s="1583"/>
      <c r="H610" s="1583"/>
      <c r="I610" s="1583"/>
      <c r="J610" s="1583"/>
      <c r="K610" s="1583"/>
      <c r="L610" s="1583"/>
      <c r="M610" s="1583"/>
      <c r="N610" s="1583"/>
      <c r="O610" s="1583"/>
      <c r="P610" s="1583"/>
      <c r="Q610" s="1583"/>
      <c r="R610" s="1600"/>
      <c r="S610" s="1600"/>
      <c r="T610" s="1585"/>
      <c r="U610" s="1585"/>
      <c r="V610" s="1585"/>
      <c r="W610" s="1585">
        <v>920.25</v>
      </c>
      <c r="X610" s="1585"/>
      <c r="Y610" s="1585"/>
      <c r="Z610" s="1585"/>
      <c r="AA610" s="1585"/>
      <c r="AB610" s="1585"/>
      <c r="AC610" s="1585"/>
      <c r="AD610" s="1601">
        <f t="shared" si="69"/>
        <v>920.25</v>
      </c>
      <c r="AE610" s="1790">
        <v>920.25</v>
      </c>
      <c r="AF610" s="1792"/>
    </row>
    <row r="611" spans="1:32" s="1602" customFormat="1" ht="26.1" customHeight="1">
      <c r="A611" s="2918"/>
      <c r="B611" s="2919"/>
      <c r="C611" s="2920"/>
      <c r="D611" s="2917"/>
      <c r="E611" s="1603" t="s">
        <v>2497</v>
      </c>
      <c r="F611" s="1583"/>
      <c r="G611" s="1583"/>
      <c r="H611" s="1583"/>
      <c r="I611" s="1583"/>
      <c r="J611" s="1583"/>
      <c r="K611" s="1583"/>
      <c r="L611" s="1583"/>
      <c r="M611" s="1583"/>
      <c r="N611" s="1583"/>
      <c r="O611" s="1583"/>
      <c r="P611" s="1583"/>
      <c r="Q611" s="1583"/>
      <c r="R611" s="1600"/>
      <c r="S611" s="1600"/>
      <c r="T611" s="1585"/>
      <c r="U611" s="1585"/>
      <c r="V611" s="1585"/>
      <c r="W611" s="1604">
        <v>920.25</v>
      </c>
      <c r="X611" s="1585"/>
      <c r="Y611" s="1585"/>
      <c r="Z611" s="1585"/>
      <c r="AA611" s="1585"/>
      <c r="AB611" s="1585"/>
      <c r="AC611" s="1585"/>
      <c r="AD611" s="1601">
        <f t="shared" si="69"/>
        <v>920.25</v>
      </c>
      <c r="AE611" s="1790">
        <v>920.25</v>
      </c>
      <c r="AF611" s="1792"/>
    </row>
    <row r="612" spans="1:32" s="1602" customFormat="1" ht="26.1" customHeight="1">
      <c r="A612" s="2918" t="s">
        <v>1604</v>
      </c>
      <c r="B612" s="2919" t="s">
        <v>2085</v>
      </c>
      <c r="C612" s="2920" t="s">
        <v>52</v>
      </c>
      <c r="D612" s="2917">
        <v>3001.0499999999997</v>
      </c>
      <c r="E612" s="1598" t="s">
        <v>2496</v>
      </c>
      <c r="F612" s="1583"/>
      <c r="G612" s="1583"/>
      <c r="H612" s="1583"/>
      <c r="I612" s="1583"/>
      <c r="J612" s="1583"/>
      <c r="K612" s="1583"/>
      <c r="L612" s="1583"/>
      <c r="M612" s="1583"/>
      <c r="N612" s="1583"/>
      <c r="O612" s="1583"/>
      <c r="P612" s="1583"/>
      <c r="Q612" s="1583"/>
      <c r="R612" s="1600"/>
      <c r="S612" s="1600"/>
      <c r="T612" s="1585"/>
      <c r="U612" s="1585"/>
      <c r="V612" s="1585"/>
      <c r="W612" s="1585"/>
      <c r="X612" s="1585"/>
      <c r="Y612" s="1585"/>
      <c r="Z612" s="1585">
        <v>3001.0499999999997</v>
      </c>
      <c r="AA612" s="1585"/>
      <c r="AB612" s="1585"/>
      <c r="AC612" s="1585"/>
      <c r="AD612" s="1601">
        <f t="shared" si="69"/>
        <v>3001.0499999999997</v>
      </c>
      <c r="AE612" s="1790">
        <v>0</v>
      </c>
      <c r="AF612" s="1792"/>
    </row>
    <row r="613" spans="1:32" s="1602" customFormat="1" ht="26.1" customHeight="1">
      <c r="A613" s="2918"/>
      <c r="B613" s="2919"/>
      <c r="C613" s="2920"/>
      <c r="D613" s="2917"/>
      <c r="E613" s="1603" t="s">
        <v>2497</v>
      </c>
      <c r="F613" s="1583"/>
      <c r="G613" s="1583"/>
      <c r="H613" s="1583"/>
      <c r="I613" s="1583"/>
      <c r="J613" s="1583"/>
      <c r="K613" s="1583"/>
      <c r="L613" s="1583"/>
      <c r="M613" s="1583"/>
      <c r="N613" s="1583"/>
      <c r="O613" s="1583"/>
      <c r="P613" s="1583"/>
      <c r="Q613" s="1583"/>
      <c r="R613" s="1600"/>
      <c r="S613" s="1600"/>
      <c r="T613" s="1585"/>
      <c r="U613" s="1585"/>
      <c r="V613" s="1585"/>
      <c r="W613" s="1618"/>
      <c r="X613" s="1585"/>
      <c r="Y613" s="1585"/>
      <c r="Z613" s="1585"/>
      <c r="AA613" s="1585"/>
      <c r="AB613" s="1585"/>
      <c r="AC613" s="1585"/>
      <c r="AD613" s="1601">
        <f t="shared" si="69"/>
        <v>0</v>
      </c>
      <c r="AE613" s="1790">
        <v>0</v>
      </c>
      <c r="AF613" s="1792"/>
    </row>
    <row r="614" spans="1:32" s="1602" customFormat="1" ht="26.1" customHeight="1">
      <c r="A614" s="2918" t="s">
        <v>1605</v>
      </c>
      <c r="B614" s="2919" t="s">
        <v>1986</v>
      </c>
      <c r="C614" s="2920" t="s">
        <v>52</v>
      </c>
      <c r="D614" s="2917">
        <v>2719.85</v>
      </c>
      <c r="E614" s="1598" t="s">
        <v>2496</v>
      </c>
      <c r="F614" s="1583"/>
      <c r="G614" s="1583"/>
      <c r="H614" s="1583"/>
      <c r="I614" s="1583"/>
      <c r="J614" s="1583"/>
      <c r="K614" s="1583"/>
      <c r="L614" s="1583"/>
      <c r="M614" s="1583"/>
      <c r="N614" s="1583"/>
      <c r="O614" s="1583"/>
      <c r="P614" s="1583"/>
      <c r="Q614" s="1583"/>
      <c r="R614" s="1600"/>
      <c r="S614" s="1600"/>
      <c r="T614" s="1585"/>
      <c r="U614" s="1585"/>
      <c r="V614" s="1585"/>
      <c r="W614" s="1585">
        <v>2719.85</v>
      </c>
      <c r="X614" s="1585"/>
      <c r="Y614" s="1585"/>
      <c r="Z614" s="1585"/>
      <c r="AA614" s="1585"/>
      <c r="AB614" s="1585"/>
      <c r="AC614" s="1585"/>
      <c r="AD614" s="1601">
        <f t="shared" si="69"/>
        <v>2719.85</v>
      </c>
      <c r="AE614" s="1790">
        <v>2719.85</v>
      </c>
      <c r="AF614" s="1792"/>
    </row>
    <row r="615" spans="1:32" s="1602" customFormat="1" ht="26.1" customHeight="1">
      <c r="A615" s="2918"/>
      <c r="B615" s="2919"/>
      <c r="C615" s="2920"/>
      <c r="D615" s="2917"/>
      <c r="E615" s="1603" t="s">
        <v>2497</v>
      </c>
      <c r="F615" s="1583"/>
      <c r="G615" s="1583"/>
      <c r="H615" s="1583"/>
      <c r="I615" s="1583"/>
      <c r="J615" s="1583"/>
      <c r="K615" s="1583"/>
      <c r="L615" s="1583"/>
      <c r="M615" s="1583"/>
      <c r="N615" s="1583"/>
      <c r="O615" s="1583"/>
      <c r="P615" s="1583"/>
      <c r="Q615" s="1583"/>
      <c r="R615" s="1600"/>
      <c r="S615" s="1600"/>
      <c r="T615" s="1585"/>
      <c r="U615" s="1585"/>
      <c r="V615" s="1585"/>
      <c r="W615" s="1604">
        <v>2719.85</v>
      </c>
      <c r="X615" s="1585"/>
      <c r="Y615" s="1585"/>
      <c r="Z615" s="1585"/>
      <c r="AA615" s="1585"/>
      <c r="AB615" s="1585"/>
      <c r="AC615" s="1585"/>
      <c r="AD615" s="1601">
        <f t="shared" si="69"/>
        <v>2719.85</v>
      </c>
      <c r="AE615" s="1790">
        <v>2719.85</v>
      </c>
      <c r="AF615" s="1792"/>
    </row>
    <row r="616" spans="1:32" s="1602" customFormat="1" ht="26.1" customHeight="1">
      <c r="A616" s="2918" t="s">
        <v>1606</v>
      </c>
      <c r="B616" s="2919" t="s">
        <v>2074</v>
      </c>
      <c r="C616" s="2920" t="s">
        <v>52</v>
      </c>
      <c r="D616" s="2917">
        <v>2310.3000000000002</v>
      </c>
      <c r="E616" s="1598" t="s">
        <v>2496</v>
      </c>
      <c r="F616" s="1583"/>
      <c r="G616" s="1583"/>
      <c r="H616" s="1583"/>
      <c r="I616" s="1583"/>
      <c r="J616" s="1583"/>
      <c r="K616" s="1583"/>
      <c r="L616" s="1583"/>
      <c r="M616" s="1583"/>
      <c r="N616" s="1583"/>
      <c r="O616" s="1583"/>
      <c r="P616" s="1583"/>
      <c r="Q616" s="1583"/>
      <c r="R616" s="1600"/>
      <c r="S616" s="1600"/>
      <c r="T616" s="1585"/>
      <c r="U616" s="1585"/>
      <c r="V616" s="1585"/>
      <c r="W616" s="1585"/>
      <c r="X616" s="1585"/>
      <c r="Y616" s="1585"/>
      <c r="Z616" s="1585">
        <v>2310.3000000000002</v>
      </c>
      <c r="AA616" s="1585"/>
      <c r="AB616" s="1585"/>
      <c r="AC616" s="1585"/>
      <c r="AD616" s="1601">
        <f t="shared" si="69"/>
        <v>2310.3000000000002</v>
      </c>
      <c r="AE616" s="1790">
        <v>0</v>
      </c>
      <c r="AF616" s="1792"/>
    </row>
    <row r="617" spans="1:32" s="1602" customFormat="1" ht="26.1" customHeight="1">
      <c r="A617" s="2918"/>
      <c r="B617" s="2919"/>
      <c r="C617" s="2920"/>
      <c r="D617" s="2917"/>
      <c r="E617" s="1603" t="s">
        <v>2497</v>
      </c>
      <c r="F617" s="1583"/>
      <c r="G617" s="1583"/>
      <c r="H617" s="1583"/>
      <c r="I617" s="1583"/>
      <c r="J617" s="1583"/>
      <c r="K617" s="1583"/>
      <c r="L617" s="1583"/>
      <c r="M617" s="1583"/>
      <c r="N617" s="1583"/>
      <c r="O617" s="1583"/>
      <c r="P617" s="1583"/>
      <c r="Q617" s="1583"/>
      <c r="R617" s="1600"/>
      <c r="S617" s="1600"/>
      <c r="T617" s="1585"/>
      <c r="U617" s="1585"/>
      <c r="V617" s="1585"/>
      <c r="W617" s="1618"/>
      <c r="X617" s="1585"/>
      <c r="Y617" s="1585"/>
      <c r="Z617" s="1585"/>
      <c r="AA617" s="1585"/>
      <c r="AB617" s="1585"/>
      <c r="AC617" s="1585"/>
      <c r="AD617" s="1601">
        <f t="shared" si="69"/>
        <v>0</v>
      </c>
      <c r="AE617" s="1790">
        <v>0</v>
      </c>
      <c r="AF617" s="1792"/>
    </row>
    <row r="618" spans="1:32" s="1602" customFormat="1" ht="26.1" customHeight="1">
      <c r="A618" s="1594" t="s">
        <v>1607</v>
      </c>
      <c r="B618" s="1609" t="s">
        <v>2086</v>
      </c>
      <c r="C618" s="1596"/>
      <c r="D618" s="1597"/>
      <c r="E618" s="1600"/>
      <c r="F618" s="1583"/>
      <c r="G618" s="1583"/>
      <c r="H618" s="1583"/>
      <c r="I618" s="1583"/>
      <c r="J618" s="1583"/>
      <c r="K618" s="1583"/>
      <c r="L618" s="1583"/>
      <c r="M618" s="1583"/>
      <c r="N618" s="1583"/>
      <c r="O618" s="1583"/>
      <c r="P618" s="1583"/>
      <c r="Q618" s="1583"/>
      <c r="R618" s="1600"/>
      <c r="S618" s="1600"/>
      <c r="T618" s="1585"/>
      <c r="U618" s="1585"/>
      <c r="V618" s="1585"/>
      <c r="W618" s="1585"/>
      <c r="X618" s="1585"/>
      <c r="Y618" s="1585"/>
      <c r="Z618" s="1585"/>
      <c r="AA618" s="1585"/>
      <c r="AB618" s="1585"/>
      <c r="AC618" s="1585"/>
      <c r="AD618" s="1601">
        <f t="shared" si="69"/>
        <v>0</v>
      </c>
      <c r="AE618" s="1790">
        <v>0</v>
      </c>
      <c r="AF618" s="1792"/>
    </row>
    <row r="619" spans="1:32" s="1602" customFormat="1" ht="26.1" customHeight="1">
      <c r="A619" s="2918" t="s">
        <v>1608</v>
      </c>
      <c r="B619" s="2919" t="s">
        <v>2087</v>
      </c>
      <c r="C619" s="2920" t="s">
        <v>51</v>
      </c>
      <c r="D619" s="2917">
        <v>4619.7000000000007</v>
      </c>
      <c r="E619" s="1598" t="s">
        <v>2496</v>
      </c>
      <c r="F619" s="1583"/>
      <c r="G619" s="1583"/>
      <c r="H619" s="1583"/>
      <c r="I619" s="1583"/>
      <c r="J619" s="1583"/>
      <c r="K619" s="1583"/>
      <c r="L619" s="1583"/>
      <c r="M619" s="1583"/>
      <c r="N619" s="1583"/>
      <c r="O619" s="1583"/>
      <c r="P619" s="1583"/>
      <c r="Q619" s="1583"/>
      <c r="R619" s="1600"/>
      <c r="S619" s="1600"/>
      <c r="T619" s="1585"/>
      <c r="U619" s="1585"/>
      <c r="V619" s="1585"/>
      <c r="W619" s="1585">
        <v>4619.7000000000007</v>
      </c>
      <c r="X619" s="1585"/>
      <c r="Y619" s="1585"/>
      <c r="Z619" s="1585"/>
      <c r="AA619" s="1585"/>
      <c r="AB619" s="1585"/>
      <c r="AC619" s="1585"/>
      <c r="AD619" s="1601">
        <f t="shared" si="69"/>
        <v>4619.7000000000007</v>
      </c>
      <c r="AE619" s="1790">
        <v>4619.7000000000007</v>
      </c>
      <c r="AF619" s="1792"/>
    </row>
    <row r="620" spans="1:32" s="1602" customFormat="1" ht="26.1" customHeight="1">
      <c r="A620" s="2918"/>
      <c r="B620" s="2919"/>
      <c r="C620" s="2920"/>
      <c r="D620" s="2917"/>
      <c r="E620" s="1603" t="s">
        <v>2497</v>
      </c>
      <c r="F620" s="1583"/>
      <c r="G620" s="1583"/>
      <c r="H620" s="1583"/>
      <c r="I620" s="1583"/>
      <c r="J620" s="1583"/>
      <c r="K620" s="1583"/>
      <c r="L620" s="1583"/>
      <c r="M620" s="1583"/>
      <c r="N620" s="1583"/>
      <c r="O620" s="1583"/>
      <c r="P620" s="1583"/>
      <c r="Q620" s="1583"/>
      <c r="R620" s="1600"/>
      <c r="S620" s="1600"/>
      <c r="T620" s="1585"/>
      <c r="U620" s="1585"/>
      <c r="V620" s="1585"/>
      <c r="W620" s="1604">
        <v>4619.7</v>
      </c>
      <c r="X620" s="1585"/>
      <c r="Y620" s="1585"/>
      <c r="Z620" s="1585"/>
      <c r="AA620" s="1585"/>
      <c r="AB620" s="1585"/>
      <c r="AC620" s="1585"/>
      <c r="AD620" s="1601">
        <f t="shared" si="69"/>
        <v>4619.7</v>
      </c>
      <c r="AE620" s="1790">
        <v>4619.7</v>
      </c>
      <c r="AF620" s="1792"/>
    </row>
    <row r="621" spans="1:32" s="1602" customFormat="1" ht="26.1" customHeight="1">
      <c r="A621" s="2918" t="s">
        <v>1609</v>
      </c>
      <c r="B621" s="2919" t="s">
        <v>2088</v>
      </c>
      <c r="C621" s="2920" t="s">
        <v>52</v>
      </c>
      <c r="D621" s="2917">
        <v>1308.3</v>
      </c>
      <c r="E621" s="1598" t="s">
        <v>2496</v>
      </c>
      <c r="F621" s="1583"/>
      <c r="G621" s="1583"/>
      <c r="H621" s="1583"/>
      <c r="I621" s="1583"/>
      <c r="J621" s="1583"/>
      <c r="K621" s="1583"/>
      <c r="L621" s="1583"/>
      <c r="M621" s="1583"/>
      <c r="N621" s="1583"/>
      <c r="O621" s="1583"/>
      <c r="P621" s="1583"/>
      <c r="Q621" s="1583"/>
      <c r="R621" s="1600"/>
      <c r="S621" s="1600"/>
      <c r="T621" s="1585"/>
      <c r="U621" s="1585"/>
      <c r="V621" s="1585"/>
      <c r="W621" s="1585">
        <v>479.71</v>
      </c>
      <c r="X621" s="1585">
        <v>828.59</v>
      </c>
      <c r="Y621" s="1585"/>
      <c r="Z621" s="1585"/>
      <c r="AA621" s="1585"/>
      <c r="AB621" s="1585"/>
      <c r="AC621" s="1585"/>
      <c r="AD621" s="1601">
        <f t="shared" si="69"/>
        <v>1308.3</v>
      </c>
      <c r="AE621" s="1790">
        <v>1308.3</v>
      </c>
      <c r="AF621" s="1792"/>
    </row>
    <row r="622" spans="1:32" s="1602" customFormat="1" ht="26.1" customHeight="1">
      <c r="A622" s="2918"/>
      <c r="B622" s="2919"/>
      <c r="C622" s="2920"/>
      <c r="D622" s="2917"/>
      <c r="E622" s="1603" t="s">
        <v>2497</v>
      </c>
      <c r="F622" s="1583"/>
      <c r="G622" s="1583"/>
      <c r="H622" s="1583"/>
      <c r="I622" s="1583"/>
      <c r="J622" s="1583"/>
      <c r="K622" s="1583"/>
      <c r="L622" s="1583"/>
      <c r="M622" s="1583"/>
      <c r="N622" s="1583"/>
      <c r="O622" s="1583"/>
      <c r="P622" s="1583"/>
      <c r="Q622" s="1583"/>
      <c r="R622" s="1600"/>
      <c r="S622" s="1600"/>
      <c r="T622" s="1585"/>
      <c r="U622" s="1585"/>
      <c r="V622" s="1585"/>
      <c r="W622" s="1604">
        <v>479.71</v>
      </c>
      <c r="X622" s="1592">
        <v>828.59</v>
      </c>
      <c r="Y622" s="1585"/>
      <c r="Z622" s="1585"/>
      <c r="AA622" s="1585"/>
      <c r="AB622" s="1585"/>
      <c r="AC622" s="1585"/>
      <c r="AD622" s="1601">
        <f t="shared" si="69"/>
        <v>1308.3</v>
      </c>
      <c r="AE622" s="1790">
        <v>1308.3</v>
      </c>
      <c r="AF622" s="1792"/>
    </row>
    <row r="623" spans="1:32" s="1602" customFormat="1" ht="26.1" customHeight="1">
      <c r="A623" s="2918" t="s">
        <v>1610</v>
      </c>
      <c r="B623" s="2919" t="s">
        <v>2089</v>
      </c>
      <c r="C623" s="2920" t="s">
        <v>52</v>
      </c>
      <c r="D623" s="2917">
        <v>676.69</v>
      </c>
      <c r="E623" s="1598" t="s">
        <v>2496</v>
      </c>
      <c r="F623" s="1583"/>
      <c r="G623" s="1583"/>
      <c r="H623" s="1583"/>
      <c r="I623" s="1583"/>
      <c r="J623" s="1583"/>
      <c r="K623" s="1583"/>
      <c r="L623" s="1583"/>
      <c r="M623" s="1583"/>
      <c r="N623" s="1583"/>
      <c r="O623" s="1583"/>
      <c r="P623" s="1583"/>
      <c r="Q623" s="1583"/>
      <c r="R623" s="1600"/>
      <c r="S623" s="1600"/>
      <c r="T623" s="1585"/>
      <c r="U623" s="1585"/>
      <c r="V623" s="1585"/>
      <c r="W623" s="1585"/>
      <c r="X623" s="1585">
        <v>676.69</v>
      </c>
      <c r="Y623" s="1585"/>
      <c r="Z623" s="1585"/>
      <c r="AA623" s="1585"/>
      <c r="AB623" s="1585"/>
      <c r="AC623" s="1585"/>
      <c r="AD623" s="1601">
        <f t="shared" si="69"/>
        <v>676.69</v>
      </c>
      <c r="AE623" s="1790">
        <v>676.69</v>
      </c>
      <c r="AF623" s="1792"/>
    </row>
    <row r="624" spans="1:32" s="1602" customFormat="1" ht="26.1" customHeight="1">
      <c r="A624" s="2918"/>
      <c r="B624" s="2919"/>
      <c r="C624" s="2920"/>
      <c r="D624" s="2917"/>
      <c r="E624" s="1603" t="s">
        <v>2497</v>
      </c>
      <c r="F624" s="1583"/>
      <c r="G624" s="1583"/>
      <c r="H624" s="1583"/>
      <c r="I624" s="1583"/>
      <c r="J624" s="1583"/>
      <c r="K624" s="1583"/>
      <c r="L624" s="1583"/>
      <c r="M624" s="1583"/>
      <c r="N624" s="1583"/>
      <c r="O624" s="1583"/>
      <c r="P624" s="1583"/>
      <c r="Q624" s="1583"/>
      <c r="R624" s="1600"/>
      <c r="S624" s="1600"/>
      <c r="T624" s="1585"/>
      <c r="U624" s="1585"/>
      <c r="V624" s="1585"/>
      <c r="W624" s="1618"/>
      <c r="X624" s="1592">
        <v>676.69</v>
      </c>
      <c r="Y624" s="1585"/>
      <c r="Z624" s="1585"/>
      <c r="AA624" s="1585"/>
      <c r="AB624" s="1585"/>
      <c r="AC624" s="1585"/>
      <c r="AD624" s="1601">
        <f t="shared" si="69"/>
        <v>676.69</v>
      </c>
      <c r="AE624" s="1790">
        <v>676.69</v>
      </c>
      <c r="AF624" s="1792"/>
    </row>
    <row r="625" spans="1:32" s="1602" customFormat="1" ht="26.1" customHeight="1">
      <c r="A625" s="2918" t="s">
        <v>1611</v>
      </c>
      <c r="B625" s="2919" t="s">
        <v>2090</v>
      </c>
      <c r="C625" s="2920" t="s">
        <v>51</v>
      </c>
      <c r="D625" s="2917">
        <v>47558.44</v>
      </c>
      <c r="E625" s="1598" t="s">
        <v>2496</v>
      </c>
      <c r="F625" s="1583"/>
      <c r="G625" s="1583"/>
      <c r="H625" s="1583"/>
      <c r="I625" s="1583"/>
      <c r="J625" s="1583"/>
      <c r="K625" s="1583"/>
      <c r="L625" s="1583"/>
      <c r="M625" s="1583"/>
      <c r="N625" s="1583"/>
      <c r="O625" s="1583"/>
      <c r="P625" s="1583"/>
      <c r="Q625" s="1583"/>
      <c r="R625" s="1600"/>
      <c r="S625" s="1600"/>
      <c r="T625" s="1585"/>
      <c r="U625" s="1585"/>
      <c r="V625" s="1585"/>
      <c r="W625" s="1585">
        <v>26111.7</v>
      </c>
      <c r="X625" s="1585">
        <v>21446.74</v>
      </c>
      <c r="Y625" s="1585"/>
      <c r="Z625" s="1585"/>
      <c r="AA625" s="1585"/>
      <c r="AB625" s="1585"/>
      <c r="AC625" s="1585"/>
      <c r="AD625" s="1601">
        <f t="shared" si="69"/>
        <v>47558.44</v>
      </c>
      <c r="AE625" s="1790">
        <v>47558.44</v>
      </c>
      <c r="AF625" s="1792"/>
    </row>
    <row r="626" spans="1:32" s="1602" customFormat="1" ht="26.1" customHeight="1">
      <c r="A626" s="2918"/>
      <c r="B626" s="2919"/>
      <c r="C626" s="2920"/>
      <c r="D626" s="2917"/>
      <c r="E626" s="1603" t="s">
        <v>2497</v>
      </c>
      <c r="F626" s="1583"/>
      <c r="G626" s="1583"/>
      <c r="H626" s="1583"/>
      <c r="I626" s="1583"/>
      <c r="J626" s="1583"/>
      <c r="K626" s="1583"/>
      <c r="L626" s="1583"/>
      <c r="M626" s="1583"/>
      <c r="N626" s="1583"/>
      <c r="O626" s="1583"/>
      <c r="P626" s="1583"/>
      <c r="Q626" s="1583"/>
      <c r="R626" s="1600"/>
      <c r="S626" s="1600"/>
      <c r="T626" s="1585"/>
      <c r="U626" s="1585"/>
      <c r="V626" s="1585"/>
      <c r="W626" s="1604">
        <v>26111.7</v>
      </c>
      <c r="X626" s="1592">
        <v>21446.74</v>
      </c>
      <c r="Y626" s="1585"/>
      <c r="Z626" s="1585"/>
      <c r="AA626" s="1585"/>
      <c r="AB626" s="1585"/>
      <c r="AC626" s="1585"/>
      <c r="AD626" s="1601">
        <f t="shared" si="69"/>
        <v>47558.44</v>
      </c>
      <c r="AE626" s="1790">
        <v>47558.44</v>
      </c>
      <c r="AF626" s="1792"/>
    </row>
    <row r="627" spans="1:32" s="1602" customFormat="1" ht="26.1" customHeight="1">
      <c r="A627" s="2918" t="s">
        <v>1612</v>
      </c>
      <c r="B627" s="2919" t="s">
        <v>2091</v>
      </c>
      <c r="C627" s="2920" t="s">
        <v>52</v>
      </c>
      <c r="D627" s="2917">
        <v>12123.58</v>
      </c>
      <c r="E627" s="1598" t="s">
        <v>2496</v>
      </c>
      <c r="F627" s="1583"/>
      <c r="G627" s="1583"/>
      <c r="H627" s="1583"/>
      <c r="I627" s="1583"/>
      <c r="J627" s="1583"/>
      <c r="K627" s="1583"/>
      <c r="L627" s="1583"/>
      <c r="M627" s="1583"/>
      <c r="N627" s="1583"/>
      <c r="O627" s="1583"/>
      <c r="P627" s="1583"/>
      <c r="Q627" s="1583"/>
      <c r="R627" s="1600"/>
      <c r="S627" s="1600"/>
      <c r="T627" s="1585"/>
      <c r="U627" s="1585"/>
      <c r="V627" s="1585"/>
      <c r="W627" s="1585">
        <v>3924.9</v>
      </c>
      <c r="X627" s="1585">
        <v>8198.68</v>
      </c>
      <c r="Y627" s="1585"/>
      <c r="Z627" s="1585"/>
      <c r="AA627" s="1585"/>
      <c r="AB627" s="1585"/>
      <c r="AC627" s="1585"/>
      <c r="AD627" s="1601">
        <f t="shared" si="69"/>
        <v>12123.58</v>
      </c>
      <c r="AE627" s="1790">
        <v>12123.58</v>
      </c>
      <c r="AF627" s="1792"/>
    </row>
    <row r="628" spans="1:32" s="1602" customFormat="1" ht="26.1" customHeight="1">
      <c r="A628" s="2918"/>
      <c r="B628" s="2919"/>
      <c r="C628" s="2920"/>
      <c r="D628" s="2917"/>
      <c r="E628" s="1603" t="s">
        <v>2497</v>
      </c>
      <c r="F628" s="1583"/>
      <c r="G628" s="1583"/>
      <c r="H628" s="1583"/>
      <c r="I628" s="1583"/>
      <c r="J628" s="1583"/>
      <c r="K628" s="1583"/>
      <c r="L628" s="1583"/>
      <c r="M628" s="1583"/>
      <c r="N628" s="1583"/>
      <c r="O628" s="1583"/>
      <c r="P628" s="1583"/>
      <c r="Q628" s="1583"/>
      <c r="R628" s="1600"/>
      <c r="S628" s="1600"/>
      <c r="T628" s="1585"/>
      <c r="U628" s="1585"/>
      <c r="V628" s="1585"/>
      <c r="W628" s="1604">
        <v>3924.9</v>
      </c>
      <c r="X628" s="1592">
        <v>8198.68</v>
      </c>
      <c r="Y628" s="1585"/>
      <c r="Z628" s="1585"/>
      <c r="AA628" s="1585"/>
      <c r="AB628" s="1585"/>
      <c r="AC628" s="1585"/>
      <c r="AD628" s="1601">
        <f t="shared" si="69"/>
        <v>12123.58</v>
      </c>
      <c r="AE628" s="1790">
        <v>12123.58</v>
      </c>
      <c r="AF628" s="1792"/>
    </row>
    <row r="629" spans="1:32" s="1602" customFormat="1" ht="26.1" customHeight="1">
      <c r="A629" s="2918" t="s">
        <v>1613</v>
      </c>
      <c r="B629" s="2919" t="s">
        <v>2092</v>
      </c>
      <c r="C629" s="2920" t="s">
        <v>52</v>
      </c>
      <c r="D629" s="2917">
        <v>3242.7999999999997</v>
      </c>
      <c r="E629" s="1598" t="s">
        <v>2496</v>
      </c>
      <c r="F629" s="1583"/>
      <c r="G629" s="1583"/>
      <c r="H629" s="1583"/>
      <c r="I629" s="1583"/>
      <c r="J629" s="1583"/>
      <c r="K629" s="1583"/>
      <c r="L629" s="1583"/>
      <c r="M629" s="1583"/>
      <c r="N629" s="1583"/>
      <c r="O629" s="1583"/>
      <c r="P629" s="1583"/>
      <c r="Q629" s="1583"/>
      <c r="R629" s="1600"/>
      <c r="S629" s="1600"/>
      <c r="T629" s="1585"/>
      <c r="U629" s="1585"/>
      <c r="V629" s="1585"/>
      <c r="W629" s="1585"/>
      <c r="X629" s="1585">
        <v>3242.8</v>
      </c>
      <c r="Y629" s="1585"/>
      <c r="Z629" s="1585"/>
      <c r="AA629" s="1585"/>
      <c r="AB629" s="1585"/>
      <c r="AC629" s="1585"/>
      <c r="AD629" s="1601">
        <f t="shared" si="69"/>
        <v>3242.8</v>
      </c>
      <c r="AE629" s="1790">
        <v>3242.8</v>
      </c>
      <c r="AF629" s="1792"/>
    </row>
    <row r="630" spans="1:32" s="1602" customFormat="1" ht="26.1" customHeight="1">
      <c r="A630" s="2918"/>
      <c r="B630" s="2919"/>
      <c r="C630" s="2920"/>
      <c r="D630" s="2917"/>
      <c r="E630" s="1603" t="s">
        <v>2497</v>
      </c>
      <c r="F630" s="1583"/>
      <c r="G630" s="1583"/>
      <c r="H630" s="1583"/>
      <c r="I630" s="1583"/>
      <c r="J630" s="1583"/>
      <c r="K630" s="1583"/>
      <c r="L630" s="1583"/>
      <c r="M630" s="1583"/>
      <c r="N630" s="1583"/>
      <c r="O630" s="1583"/>
      <c r="P630" s="1583"/>
      <c r="Q630" s="1583"/>
      <c r="R630" s="1600"/>
      <c r="S630" s="1600"/>
      <c r="T630" s="1585"/>
      <c r="U630" s="1585"/>
      <c r="V630" s="1585"/>
      <c r="W630" s="1618"/>
      <c r="X630" s="1592">
        <v>3242.8</v>
      </c>
      <c r="Y630" s="1585"/>
      <c r="Z630" s="1585"/>
      <c r="AA630" s="1585"/>
      <c r="AB630" s="1585"/>
      <c r="AC630" s="1585"/>
      <c r="AD630" s="1601">
        <f t="shared" si="69"/>
        <v>3242.8</v>
      </c>
      <c r="AE630" s="1790">
        <v>3242.8</v>
      </c>
      <c r="AF630" s="1792"/>
    </row>
    <row r="631" spans="1:32" s="1602" customFormat="1" ht="26.1" customHeight="1">
      <c r="A631" s="2918" t="s">
        <v>1614</v>
      </c>
      <c r="B631" s="2919" t="s">
        <v>2073</v>
      </c>
      <c r="C631" s="2920" t="s">
        <v>51</v>
      </c>
      <c r="D631" s="2917">
        <v>237.12</v>
      </c>
      <c r="E631" s="1598" t="s">
        <v>2496</v>
      </c>
      <c r="F631" s="1583"/>
      <c r="G631" s="1583"/>
      <c r="H631" s="1583"/>
      <c r="I631" s="1583"/>
      <c r="J631" s="1583"/>
      <c r="K631" s="1583"/>
      <c r="L631" s="1583"/>
      <c r="M631" s="1583"/>
      <c r="N631" s="1583"/>
      <c r="O631" s="1583"/>
      <c r="P631" s="1583"/>
      <c r="Q631" s="1583"/>
      <c r="R631" s="1600"/>
      <c r="S631" s="1600"/>
      <c r="T631" s="1585"/>
      <c r="U631" s="1585"/>
      <c r="V631" s="1585"/>
      <c r="W631" s="1585"/>
      <c r="X631" s="1585"/>
      <c r="Y631" s="1585"/>
      <c r="Z631" s="1585">
        <v>237.12</v>
      </c>
      <c r="AA631" s="1585"/>
      <c r="AB631" s="1585"/>
      <c r="AC631" s="1585"/>
      <c r="AD631" s="1601">
        <f t="shared" si="69"/>
        <v>237.12</v>
      </c>
      <c r="AE631" s="1790">
        <v>0</v>
      </c>
      <c r="AF631" s="1792"/>
    </row>
    <row r="632" spans="1:32" s="1602" customFormat="1" ht="26.1" customHeight="1">
      <c r="A632" s="2918"/>
      <c r="B632" s="2919"/>
      <c r="C632" s="2920"/>
      <c r="D632" s="2917"/>
      <c r="E632" s="1603" t="s">
        <v>2497</v>
      </c>
      <c r="F632" s="1583"/>
      <c r="G632" s="1583"/>
      <c r="H632" s="1583"/>
      <c r="I632" s="1583"/>
      <c r="J632" s="1583"/>
      <c r="K632" s="1583"/>
      <c r="L632" s="1583"/>
      <c r="M632" s="1583"/>
      <c r="N632" s="1583"/>
      <c r="O632" s="1583"/>
      <c r="P632" s="1583"/>
      <c r="Q632" s="1583"/>
      <c r="R632" s="1600"/>
      <c r="S632" s="1600"/>
      <c r="T632" s="1585"/>
      <c r="U632" s="1585"/>
      <c r="V632" s="1585"/>
      <c r="W632" s="1618"/>
      <c r="X632" s="1585"/>
      <c r="Y632" s="1585"/>
      <c r="Z632" s="1585"/>
      <c r="AA632" s="1585"/>
      <c r="AB632" s="1585"/>
      <c r="AC632" s="1585"/>
      <c r="AD632" s="1601">
        <f t="shared" si="69"/>
        <v>0</v>
      </c>
      <c r="AE632" s="1790">
        <v>0</v>
      </c>
      <c r="AF632" s="1792"/>
    </row>
    <row r="633" spans="1:32" s="1602" customFormat="1" ht="26.1" customHeight="1">
      <c r="A633" s="2918" t="s">
        <v>1615</v>
      </c>
      <c r="B633" s="2919" t="s">
        <v>2093</v>
      </c>
      <c r="C633" s="2920" t="s">
        <v>52</v>
      </c>
      <c r="D633" s="2917">
        <v>38.840000000000003</v>
      </c>
      <c r="E633" s="1598" t="s">
        <v>2496</v>
      </c>
      <c r="F633" s="1583"/>
      <c r="G633" s="1583"/>
      <c r="H633" s="1583"/>
      <c r="I633" s="1583"/>
      <c r="J633" s="1583"/>
      <c r="K633" s="1583"/>
      <c r="L633" s="1583"/>
      <c r="M633" s="1583"/>
      <c r="N633" s="1583"/>
      <c r="O633" s="1583"/>
      <c r="P633" s="1583"/>
      <c r="Q633" s="1583"/>
      <c r="R633" s="1600"/>
      <c r="S633" s="1600"/>
      <c r="T633" s="1585"/>
      <c r="U633" s="1585"/>
      <c r="V633" s="1585"/>
      <c r="W633" s="1585"/>
      <c r="X633" s="1585"/>
      <c r="Y633" s="1585"/>
      <c r="Z633" s="1585">
        <v>38.840000000000003</v>
      </c>
      <c r="AA633" s="1585"/>
      <c r="AB633" s="1585"/>
      <c r="AC633" s="1585"/>
      <c r="AD633" s="1601">
        <f t="shared" si="69"/>
        <v>38.840000000000003</v>
      </c>
      <c r="AE633" s="1790">
        <v>0</v>
      </c>
      <c r="AF633" s="1792"/>
    </row>
    <row r="634" spans="1:32" s="1602" customFormat="1" ht="26.1" customHeight="1">
      <c r="A634" s="2918"/>
      <c r="B634" s="2919"/>
      <c r="C634" s="2920"/>
      <c r="D634" s="2917"/>
      <c r="E634" s="1603" t="s">
        <v>2497</v>
      </c>
      <c r="F634" s="1583"/>
      <c r="G634" s="1583"/>
      <c r="H634" s="1583"/>
      <c r="I634" s="1583"/>
      <c r="J634" s="1583"/>
      <c r="K634" s="1583"/>
      <c r="L634" s="1583"/>
      <c r="M634" s="1583"/>
      <c r="N634" s="1583"/>
      <c r="O634" s="1583"/>
      <c r="P634" s="1583"/>
      <c r="Q634" s="1583"/>
      <c r="R634" s="1600"/>
      <c r="S634" s="1600"/>
      <c r="T634" s="1585"/>
      <c r="U634" s="1585"/>
      <c r="V634" s="1585"/>
      <c r="W634" s="1585"/>
      <c r="X634" s="1585"/>
      <c r="Y634" s="1585"/>
      <c r="Z634" s="1585"/>
      <c r="AA634" s="1585"/>
      <c r="AB634" s="1585"/>
      <c r="AC634" s="1585"/>
      <c r="AD634" s="1601">
        <f t="shared" si="69"/>
        <v>0</v>
      </c>
      <c r="AE634" s="1790">
        <v>0</v>
      </c>
      <c r="AF634" s="1792"/>
    </row>
    <row r="635" spans="1:32" s="1602" customFormat="1" ht="26.1" customHeight="1">
      <c r="A635" s="1594" t="s">
        <v>1616</v>
      </c>
      <c r="B635" s="1609" t="s">
        <v>1987</v>
      </c>
      <c r="C635" s="1596"/>
      <c r="D635" s="1597"/>
      <c r="E635" s="1617"/>
      <c r="F635" s="1583"/>
      <c r="G635" s="1583"/>
      <c r="H635" s="1583"/>
      <c r="I635" s="1583"/>
      <c r="J635" s="1583"/>
      <c r="K635" s="1583"/>
      <c r="L635" s="1583"/>
      <c r="M635" s="1583"/>
      <c r="N635" s="1583"/>
      <c r="O635" s="1583"/>
      <c r="P635" s="1583"/>
      <c r="Q635" s="1583"/>
      <c r="R635" s="1600"/>
      <c r="S635" s="1600"/>
      <c r="T635" s="1585"/>
      <c r="U635" s="1585"/>
      <c r="V635" s="1585"/>
      <c r="W635" s="1585"/>
      <c r="X635" s="1585"/>
      <c r="Y635" s="1585"/>
      <c r="Z635" s="1585"/>
      <c r="AA635" s="1585"/>
      <c r="AB635" s="1585"/>
      <c r="AC635" s="1585"/>
      <c r="AD635" s="1601">
        <f t="shared" si="69"/>
        <v>0</v>
      </c>
      <c r="AE635" s="1790">
        <v>0</v>
      </c>
      <c r="AF635" s="1792"/>
    </row>
    <row r="636" spans="1:32" s="1602" customFormat="1" ht="26.1" customHeight="1">
      <c r="A636" s="2918" t="s">
        <v>1619</v>
      </c>
      <c r="B636" s="2919" t="s">
        <v>1989</v>
      </c>
      <c r="C636" s="2920" t="s">
        <v>52</v>
      </c>
      <c r="D636" s="2917">
        <v>4836.6000000000004</v>
      </c>
      <c r="E636" s="1598" t="s">
        <v>2496</v>
      </c>
      <c r="F636" s="1583"/>
      <c r="G636" s="1583"/>
      <c r="H636" s="1583"/>
      <c r="I636" s="1583"/>
      <c r="J636" s="1583"/>
      <c r="K636" s="1583"/>
      <c r="L636" s="1583"/>
      <c r="M636" s="1583"/>
      <c r="N636" s="1583"/>
      <c r="O636" s="1583"/>
      <c r="P636" s="1583"/>
      <c r="Q636" s="1583"/>
      <c r="R636" s="1600"/>
      <c r="S636" s="1600"/>
      <c r="T636" s="1585"/>
      <c r="U636" s="1585"/>
      <c r="V636" s="1585"/>
      <c r="W636" s="1585"/>
      <c r="X636" s="1585"/>
      <c r="Y636" s="1585"/>
      <c r="Z636" s="1585"/>
      <c r="AA636" s="1585"/>
      <c r="AB636" s="1585"/>
      <c r="AC636" s="1585">
        <v>4836.6000000000004</v>
      </c>
      <c r="AD636" s="1601">
        <f t="shared" si="69"/>
        <v>4836.6000000000004</v>
      </c>
      <c r="AE636" s="1790">
        <v>0</v>
      </c>
      <c r="AF636" s="1792"/>
    </row>
    <row r="637" spans="1:32" s="1602" customFormat="1" ht="26.1" customHeight="1">
      <c r="A637" s="2918"/>
      <c r="B637" s="2919"/>
      <c r="C637" s="2920"/>
      <c r="D637" s="2917"/>
      <c r="E637" s="1603" t="s">
        <v>2497</v>
      </c>
      <c r="F637" s="1583"/>
      <c r="G637" s="1583"/>
      <c r="H637" s="1583"/>
      <c r="I637" s="1583"/>
      <c r="J637" s="1583"/>
      <c r="K637" s="1583"/>
      <c r="L637" s="1583"/>
      <c r="M637" s="1583"/>
      <c r="N637" s="1583"/>
      <c r="O637" s="1583"/>
      <c r="P637" s="1583"/>
      <c r="Q637" s="1583"/>
      <c r="R637" s="1600"/>
      <c r="S637" s="1600"/>
      <c r="T637" s="1585"/>
      <c r="U637" s="1585"/>
      <c r="V637" s="1585"/>
      <c r="W637" s="1585"/>
      <c r="X637" s="1585"/>
      <c r="Y637" s="1585"/>
      <c r="Z637" s="1585"/>
      <c r="AA637" s="1585"/>
      <c r="AB637" s="1585"/>
      <c r="AC637" s="1585"/>
      <c r="AD637" s="1601">
        <f t="shared" si="69"/>
        <v>0</v>
      </c>
      <c r="AE637" s="1790">
        <v>0</v>
      </c>
      <c r="AF637" s="1792"/>
    </row>
    <row r="638" spans="1:32" s="1602" customFormat="1" ht="26.1" customHeight="1">
      <c r="A638" s="1594" t="s">
        <v>1620</v>
      </c>
      <c r="B638" s="1609" t="s">
        <v>2037</v>
      </c>
      <c r="C638" s="1596"/>
      <c r="D638" s="1597"/>
      <c r="E638" s="1600"/>
      <c r="F638" s="1583"/>
      <c r="G638" s="1583"/>
      <c r="H638" s="1583"/>
      <c r="I638" s="1583"/>
      <c r="J638" s="1583"/>
      <c r="K638" s="1583"/>
      <c r="L638" s="1583"/>
      <c r="M638" s="1583"/>
      <c r="N638" s="1583"/>
      <c r="O638" s="1583"/>
      <c r="P638" s="1583"/>
      <c r="Q638" s="1583"/>
      <c r="R638" s="1600"/>
      <c r="S638" s="1600"/>
      <c r="T638" s="1585"/>
      <c r="U638" s="1585"/>
      <c r="V638" s="1585"/>
      <c r="W638" s="1585"/>
      <c r="X638" s="1585"/>
      <c r="Y638" s="1585"/>
      <c r="Z638" s="1585"/>
      <c r="AA638" s="1585"/>
      <c r="AB638" s="1585"/>
      <c r="AC638" s="1585"/>
      <c r="AD638" s="1601">
        <f t="shared" si="69"/>
        <v>0</v>
      </c>
      <c r="AE638" s="1790">
        <v>0</v>
      </c>
      <c r="AF638" s="1792"/>
    </row>
    <row r="639" spans="1:32" s="1602" customFormat="1" ht="26.1" customHeight="1">
      <c r="A639" s="2918" t="s">
        <v>1621</v>
      </c>
      <c r="B639" s="2919" t="s">
        <v>2094</v>
      </c>
      <c r="C639" s="2920" t="s">
        <v>1145</v>
      </c>
      <c r="D639" s="2917">
        <v>2405.8200000000002</v>
      </c>
      <c r="E639" s="1598" t="s">
        <v>2496</v>
      </c>
      <c r="F639" s="1583"/>
      <c r="G639" s="1583"/>
      <c r="H639" s="1583"/>
      <c r="I639" s="1583"/>
      <c r="J639" s="1583"/>
      <c r="K639" s="1583"/>
      <c r="L639" s="1583"/>
      <c r="M639" s="1583"/>
      <c r="N639" s="1583"/>
      <c r="O639" s="1583"/>
      <c r="P639" s="1583"/>
      <c r="Q639" s="1583"/>
      <c r="R639" s="1600"/>
      <c r="S639" s="1600"/>
      <c r="T639" s="1585"/>
      <c r="U639" s="1585"/>
      <c r="V639" s="1585"/>
      <c r="W639" s="1585"/>
      <c r="X639" s="1585"/>
      <c r="Y639" s="1585"/>
      <c r="Z639" s="1585"/>
      <c r="AA639" s="1585"/>
      <c r="AB639" s="1585"/>
      <c r="AC639" s="1585">
        <v>2405.8200000000002</v>
      </c>
      <c r="AD639" s="1601">
        <f t="shared" si="69"/>
        <v>2405.8200000000002</v>
      </c>
      <c r="AE639" s="1790">
        <v>0</v>
      </c>
      <c r="AF639" s="1792"/>
    </row>
    <row r="640" spans="1:32" s="1602" customFormat="1" ht="26.1" customHeight="1">
      <c r="A640" s="2918"/>
      <c r="B640" s="2919"/>
      <c r="C640" s="2920"/>
      <c r="D640" s="2917"/>
      <c r="E640" s="1603" t="s">
        <v>2497</v>
      </c>
      <c r="F640" s="1583"/>
      <c r="G640" s="1583"/>
      <c r="H640" s="1583"/>
      <c r="I640" s="1583"/>
      <c r="J640" s="1583"/>
      <c r="K640" s="1583"/>
      <c r="L640" s="1583"/>
      <c r="M640" s="1583"/>
      <c r="N640" s="1583"/>
      <c r="O640" s="1583"/>
      <c r="P640" s="1583"/>
      <c r="Q640" s="1583"/>
      <c r="R640" s="1600"/>
      <c r="S640" s="1600"/>
      <c r="T640" s="1585"/>
      <c r="U640" s="1585"/>
      <c r="V640" s="1618"/>
      <c r="W640" s="1585"/>
      <c r="X640" s="1585"/>
      <c r="Y640" s="1585"/>
      <c r="Z640" s="1585"/>
      <c r="AA640" s="1585"/>
      <c r="AB640" s="1585"/>
      <c r="AC640" s="1585"/>
      <c r="AD640" s="1601">
        <f t="shared" si="69"/>
        <v>0</v>
      </c>
      <c r="AE640" s="1790">
        <v>0</v>
      </c>
      <c r="AF640" s="1792"/>
    </row>
    <row r="641" spans="1:32" s="1602" customFormat="1" ht="26.1" customHeight="1">
      <c r="A641" s="2918" t="s">
        <v>1622</v>
      </c>
      <c r="B641" s="2919" t="s">
        <v>2095</v>
      </c>
      <c r="C641" s="2920" t="s">
        <v>1145</v>
      </c>
      <c r="D641" s="2917">
        <v>7079.0399999999991</v>
      </c>
      <c r="E641" s="1598" t="s">
        <v>2496</v>
      </c>
      <c r="F641" s="1583"/>
      <c r="G641" s="1583"/>
      <c r="H641" s="1583"/>
      <c r="I641" s="1583"/>
      <c r="J641" s="1583"/>
      <c r="K641" s="1583"/>
      <c r="L641" s="1583"/>
      <c r="M641" s="1583"/>
      <c r="N641" s="1583"/>
      <c r="O641" s="1583"/>
      <c r="P641" s="1583"/>
      <c r="Q641" s="1583"/>
      <c r="R641" s="1600"/>
      <c r="S641" s="1600"/>
      <c r="T641" s="1585"/>
      <c r="U641" s="1585"/>
      <c r="V641" s="1585"/>
      <c r="W641" s="1585"/>
      <c r="X641" s="1585"/>
      <c r="Y641" s="1585"/>
      <c r="Z641" s="1585"/>
      <c r="AA641" s="1585"/>
      <c r="AB641" s="1585"/>
      <c r="AC641" s="1585">
        <v>7079.0399999999991</v>
      </c>
      <c r="AD641" s="1601">
        <f t="shared" si="69"/>
        <v>7079.0399999999991</v>
      </c>
      <c r="AE641" s="1790">
        <v>0</v>
      </c>
      <c r="AF641" s="1792"/>
    </row>
    <row r="642" spans="1:32" s="1602" customFormat="1" ht="26.1" customHeight="1">
      <c r="A642" s="2918"/>
      <c r="B642" s="2919"/>
      <c r="C642" s="2920"/>
      <c r="D642" s="2917"/>
      <c r="E642" s="1603" t="s">
        <v>2497</v>
      </c>
      <c r="F642" s="1583"/>
      <c r="G642" s="1583"/>
      <c r="H642" s="1583"/>
      <c r="I642" s="1583"/>
      <c r="J642" s="1583"/>
      <c r="K642" s="1583"/>
      <c r="L642" s="1583"/>
      <c r="M642" s="1583"/>
      <c r="N642" s="1583"/>
      <c r="O642" s="1583"/>
      <c r="P642" s="1583"/>
      <c r="Q642" s="1583"/>
      <c r="R642" s="1600"/>
      <c r="S642" s="1600"/>
      <c r="T642" s="1585"/>
      <c r="U642" s="1585"/>
      <c r="V642" s="1618"/>
      <c r="W642" s="1585"/>
      <c r="X642" s="1585"/>
      <c r="Y642" s="1585"/>
      <c r="Z642" s="1585"/>
      <c r="AA642" s="1585"/>
      <c r="AB642" s="1585"/>
      <c r="AC642" s="1585"/>
      <c r="AD642" s="1601">
        <f t="shared" si="69"/>
        <v>0</v>
      </c>
      <c r="AE642" s="1790">
        <v>0</v>
      </c>
      <c r="AF642" s="1792"/>
    </row>
    <row r="643" spans="1:32" s="1602" customFormat="1" ht="26.1" customHeight="1">
      <c r="A643" s="2918" t="s">
        <v>1623</v>
      </c>
      <c r="B643" s="2919" t="s">
        <v>2096</v>
      </c>
      <c r="C643" s="2920" t="s">
        <v>1145</v>
      </c>
      <c r="D643" s="2917">
        <v>2606.66</v>
      </c>
      <c r="E643" s="1598" t="s">
        <v>2496</v>
      </c>
      <c r="F643" s="1583"/>
      <c r="G643" s="1583"/>
      <c r="H643" s="1583"/>
      <c r="I643" s="1583"/>
      <c r="J643" s="1583"/>
      <c r="K643" s="1583"/>
      <c r="L643" s="1583"/>
      <c r="M643" s="1583"/>
      <c r="N643" s="1583"/>
      <c r="O643" s="1583"/>
      <c r="P643" s="1583"/>
      <c r="Q643" s="1583"/>
      <c r="R643" s="1600"/>
      <c r="S643" s="1600"/>
      <c r="T643" s="1585"/>
      <c r="U643" s="1585"/>
      <c r="V643" s="1585"/>
      <c r="W643" s="1585"/>
      <c r="X643" s="1585"/>
      <c r="Y643" s="1585"/>
      <c r="Z643" s="1585"/>
      <c r="AA643" s="1585"/>
      <c r="AB643" s="1585"/>
      <c r="AC643" s="1585">
        <v>2606.66</v>
      </c>
      <c r="AD643" s="1601">
        <f t="shared" si="69"/>
        <v>2606.66</v>
      </c>
      <c r="AE643" s="1790">
        <v>0</v>
      </c>
      <c r="AF643" s="1792"/>
    </row>
    <row r="644" spans="1:32" s="1602" customFormat="1" ht="26.1" customHeight="1">
      <c r="A644" s="2918"/>
      <c r="B644" s="2919"/>
      <c r="C644" s="2920"/>
      <c r="D644" s="2917"/>
      <c r="E644" s="1603" t="s">
        <v>2497</v>
      </c>
      <c r="F644" s="1583"/>
      <c r="G644" s="1583"/>
      <c r="H644" s="1583"/>
      <c r="I644" s="1583"/>
      <c r="J644" s="1583"/>
      <c r="K644" s="1583"/>
      <c r="L644" s="1583"/>
      <c r="M644" s="1583"/>
      <c r="N644" s="1583"/>
      <c r="O644" s="1583"/>
      <c r="P644" s="1583"/>
      <c r="Q644" s="1583"/>
      <c r="R644" s="1600"/>
      <c r="S644" s="1600"/>
      <c r="T644" s="1585"/>
      <c r="U644" s="1585"/>
      <c r="V644" s="1585"/>
      <c r="W644" s="1585"/>
      <c r="X644" s="1585"/>
      <c r="Y644" s="1585"/>
      <c r="Z644" s="1585"/>
      <c r="AA644" s="1585"/>
      <c r="AB644" s="1585"/>
      <c r="AC644" s="1585"/>
      <c r="AD644" s="1601">
        <f t="shared" si="69"/>
        <v>0</v>
      </c>
      <c r="AE644" s="1790">
        <v>0</v>
      </c>
      <c r="AF644" s="1792"/>
    </row>
    <row r="645" spans="1:32" s="1602" customFormat="1" ht="26.1" customHeight="1">
      <c r="A645" s="1594" t="s">
        <v>1624</v>
      </c>
      <c r="B645" s="1609" t="s">
        <v>2097</v>
      </c>
      <c r="C645" s="1596"/>
      <c r="D645" s="1597"/>
      <c r="E645" s="1600"/>
      <c r="F645" s="1583"/>
      <c r="G645" s="1583"/>
      <c r="H645" s="1583"/>
      <c r="I645" s="1583"/>
      <c r="J645" s="1583"/>
      <c r="K645" s="1583"/>
      <c r="L645" s="1583"/>
      <c r="M645" s="1583"/>
      <c r="N645" s="1583"/>
      <c r="O645" s="1583"/>
      <c r="P645" s="1583"/>
      <c r="Q645" s="1583"/>
      <c r="R645" s="1600"/>
      <c r="S645" s="1600"/>
      <c r="T645" s="1585"/>
      <c r="U645" s="1585"/>
      <c r="V645" s="1585"/>
      <c r="W645" s="1585"/>
      <c r="X645" s="1585"/>
      <c r="Y645" s="1585"/>
      <c r="Z645" s="1585"/>
      <c r="AA645" s="1585"/>
      <c r="AB645" s="1585"/>
      <c r="AC645" s="1585"/>
      <c r="AD645" s="1601">
        <f t="shared" si="69"/>
        <v>0</v>
      </c>
      <c r="AE645" s="1790">
        <v>0</v>
      </c>
      <c r="AF645" s="1792"/>
    </row>
    <row r="646" spans="1:32" s="1602" customFormat="1" ht="26.1" customHeight="1">
      <c r="A646" s="2918" t="s">
        <v>1625</v>
      </c>
      <c r="B646" s="2919" t="s">
        <v>2098</v>
      </c>
      <c r="C646" s="2920" t="s">
        <v>1145</v>
      </c>
      <c r="D646" s="2917">
        <v>615.6</v>
      </c>
      <c r="E646" s="1598" t="s">
        <v>2496</v>
      </c>
      <c r="F646" s="1583"/>
      <c r="G646" s="1583"/>
      <c r="H646" s="1583"/>
      <c r="I646" s="1583"/>
      <c r="J646" s="1583"/>
      <c r="K646" s="1583"/>
      <c r="L646" s="1583"/>
      <c r="M646" s="1583"/>
      <c r="N646" s="1583"/>
      <c r="O646" s="1583"/>
      <c r="P646" s="1583"/>
      <c r="Q646" s="1583"/>
      <c r="R646" s="1600"/>
      <c r="S646" s="1600"/>
      <c r="T646" s="1585"/>
      <c r="U646" s="1585"/>
      <c r="V646" s="1585"/>
      <c r="W646" s="1585"/>
      <c r="X646" s="1585"/>
      <c r="Y646" s="1585"/>
      <c r="Z646" s="1585">
        <v>615.6</v>
      </c>
      <c r="AA646" s="1585"/>
      <c r="AB646" s="1585"/>
      <c r="AC646" s="1585"/>
      <c r="AD646" s="1601">
        <f t="shared" si="69"/>
        <v>615.6</v>
      </c>
      <c r="AE646" s="1790">
        <v>0</v>
      </c>
      <c r="AF646" s="1792"/>
    </row>
    <row r="647" spans="1:32" s="1602" customFormat="1" ht="26.1" customHeight="1">
      <c r="A647" s="2918"/>
      <c r="B647" s="2919"/>
      <c r="C647" s="2920"/>
      <c r="D647" s="2917"/>
      <c r="E647" s="1603" t="s">
        <v>2497</v>
      </c>
      <c r="F647" s="1583"/>
      <c r="G647" s="1583"/>
      <c r="H647" s="1583"/>
      <c r="I647" s="1583"/>
      <c r="J647" s="1583"/>
      <c r="K647" s="1583"/>
      <c r="L647" s="1583"/>
      <c r="M647" s="1583"/>
      <c r="N647" s="1583"/>
      <c r="O647" s="1583"/>
      <c r="P647" s="1583"/>
      <c r="Q647" s="1583"/>
      <c r="R647" s="1600"/>
      <c r="S647" s="1600"/>
      <c r="T647" s="1585"/>
      <c r="U647" s="1585"/>
      <c r="V647" s="1585"/>
      <c r="W647" s="1585"/>
      <c r="X647" s="1618"/>
      <c r="Y647" s="1585"/>
      <c r="Z647" s="1585"/>
      <c r="AA647" s="1585"/>
      <c r="AB647" s="1585"/>
      <c r="AC647" s="1585"/>
      <c r="AD647" s="1601">
        <f t="shared" si="69"/>
        <v>0</v>
      </c>
      <c r="AE647" s="1790">
        <v>0</v>
      </c>
      <c r="AF647" s="1792"/>
    </row>
    <row r="648" spans="1:32" s="1602" customFormat="1" ht="26.1" customHeight="1">
      <c r="A648" s="2918" t="s">
        <v>1626</v>
      </c>
      <c r="B648" s="2919" t="s">
        <v>2099</v>
      </c>
      <c r="C648" s="2920" t="s">
        <v>1145</v>
      </c>
      <c r="D648" s="2917">
        <v>5960.5</v>
      </c>
      <c r="E648" s="1598" t="s">
        <v>2496</v>
      </c>
      <c r="F648" s="1583"/>
      <c r="G648" s="1583"/>
      <c r="H648" s="1583"/>
      <c r="I648" s="1583"/>
      <c r="J648" s="1583"/>
      <c r="K648" s="1583"/>
      <c r="L648" s="1583"/>
      <c r="M648" s="1583"/>
      <c r="N648" s="1583"/>
      <c r="O648" s="1583"/>
      <c r="P648" s="1583"/>
      <c r="Q648" s="1583"/>
      <c r="R648" s="1600"/>
      <c r="S648" s="1600"/>
      <c r="T648" s="1585"/>
      <c r="U648" s="1585"/>
      <c r="V648" s="1585"/>
      <c r="W648" s="1585"/>
      <c r="X648" s="1585"/>
      <c r="Y648" s="1585"/>
      <c r="Z648" s="1585">
        <v>5960.5</v>
      </c>
      <c r="AA648" s="1585"/>
      <c r="AB648" s="1585"/>
      <c r="AC648" s="1585"/>
      <c r="AD648" s="1601">
        <f t="shared" si="69"/>
        <v>5960.5</v>
      </c>
      <c r="AE648" s="1790">
        <v>0</v>
      </c>
      <c r="AF648" s="1792"/>
    </row>
    <row r="649" spans="1:32" s="1602" customFormat="1" ht="26.1" customHeight="1">
      <c r="A649" s="2918"/>
      <c r="B649" s="2919"/>
      <c r="C649" s="2920"/>
      <c r="D649" s="2917"/>
      <c r="E649" s="1603" t="s">
        <v>2497</v>
      </c>
      <c r="F649" s="1583"/>
      <c r="G649" s="1583"/>
      <c r="H649" s="1583"/>
      <c r="I649" s="1583"/>
      <c r="J649" s="1583"/>
      <c r="K649" s="1583"/>
      <c r="L649" s="1583"/>
      <c r="M649" s="1583"/>
      <c r="N649" s="1583"/>
      <c r="O649" s="1583"/>
      <c r="P649" s="1583"/>
      <c r="Q649" s="1583"/>
      <c r="R649" s="1600"/>
      <c r="S649" s="1600"/>
      <c r="T649" s="1585"/>
      <c r="U649" s="1585"/>
      <c r="V649" s="1585"/>
      <c r="W649" s="1585"/>
      <c r="X649" s="1618"/>
      <c r="Y649" s="1585"/>
      <c r="Z649" s="1585"/>
      <c r="AA649" s="1585"/>
      <c r="AB649" s="1585"/>
      <c r="AC649" s="1585"/>
      <c r="AD649" s="1601">
        <f t="shared" si="69"/>
        <v>0</v>
      </c>
      <c r="AE649" s="1790">
        <v>0</v>
      </c>
      <c r="AF649" s="1792"/>
    </row>
    <row r="650" spans="1:32" s="1602" customFormat="1" ht="26.1" customHeight="1">
      <c r="A650" s="2918" t="s">
        <v>1627</v>
      </c>
      <c r="B650" s="2919" t="s">
        <v>2100</v>
      </c>
      <c r="C650" s="2920" t="s">
        <v>1145</v>
      </c>
      <c r="D650" s="2917">
        <v>183.18</v>
      </c>
      <c r="E650" s="1598" t="s">
        <v>2496</v>
      </c>
      <c r="F650" s="1583"/>
      <c r="G650" s="1583"/>
      <c r="H650" s="1583"/>
      <c r="I650" s="1583"/>
      <c r="J650" s="1583"/>
      <c r="K650" s="1583"/>
      <c r="L650" s="1583"/>
      <c r="M650" s="1583"/>
      <c r="N650" s="1583"/>
      <c r="O650" s="1583"/>
      <c r="P650" s="1583"/>
      <c r="Q650" s="1583"/>
      <c r="R650" s="1600"/>
      <c r="S650" s="1600"/>
      <c r="T650" s="1585"/>
      <c r="U650" s="1585"/>
      <c r="V650" s="1585"/>
      <c r="W650" s="1585"/>
      <c r="X650" s="1585"/>
      <c r="Y650" s="1585"/>
      <c r="Z650" s="1585">
        <v>183.18</v>
      </c>
      <c r="AA650" s="1585"/>
      <c r="AB650" s="1585"/>
      <c r="AC650" s="1585"/>
      <c r="AD650" s="1601">
        <f t="shared" si="69"/>
        <v>183.18</v>
      </c>
      <c r="AE650" s="1790">
        <v>0</v>
      </c>
      <c r="AF650" s="1792"/>
    </row>
    <row r="651" spans="1:32" s="1602" customFormat="1" ht="26.1" customHeight="1">
      <c r="A651" s="2918"/>
      <c r="B651" s="2919"/>
      <c r="C651" s="2920"/>
      <c r="D651" s="2917"/>
      <c r="E651" s="1603" t="s">
        <v>2497</v>
      </c>
      <c r="F651" s="1583"/>
      <c r="G651" s="1583"/>
      <c r="H651" s="1583"/>
      <c r="I651" s="1583"/>
      <c r="J651" s="1583"/>
      <c r="K651" s="1583"/>
      <c r="L651" s="1583"/>
      <c r="M651" s="1583"/>
      <c r="N651" s="1583"/>
      <c r="O651" s="1583"/>
      <c r="P651" s="1583"/>
      <c r="Q651" s="1583"/>
      <c r="R651" s="1600"/>
      <c r="S651" s="1600"/>
      <c r="T651" s="1585"/>
      <c r="U651" s="1585"/>
      <c r="V651" s="1585"/>
      <c r="W651" s="1585"/>
      <c r="X651" s="1618"/>
      <c r="Y651" s="1585"/>
      <c r="Z651" s="1585"/>
      <c r="AA651" s="1585"/>
      <c r="AB651" s="1585"/>
      <c r="AC651" s="1585"/>
      <c r="AD651" s="1601">
        <f t="shared" si="69"/>
        <v>0</v>
      </c>
      <c r="AE651" s="1790">
        <v>0</v>
      </c>
      <c r="AF651" s="1792"/>
    </row>
    <row r="652" spans="1:32" s="1602" customFormat="1" ht="26.1" customHeight="1">
      <c r="A652" s="2918" t="s">
        <v>1628</v>
      </c>
      <c r="B652" s="2919" t="s">
        <v>2101</v>
      </c>
      <c r="C652" s="2920" t="s">
        <v>1145</v>
      </c>
      <c r="D652" s="2917">
        <v>15499.300000000001</v>
      </c>
      <c r="E652" s="1598" t="s">
        <v>2496</v>
      </c>
      <c r="F652" s="1583"/>
      <c r="G652" s="1583"/>
      <c r="H652" s="1583"/>
      <c r="I652" s="1583"/>
      <c r="J652" s="1583"/>
      <c r="K652" s="1583"/>
      <c r="L652" s="1583"/>
      <c r="M652" s="1583"/>
      <c r="N652" s="1583"/>
      <c r="O652" s="1583"/>
      <c r="P652" s="1583"/>
      <c r="Q652" s="1583"/>
      <c r="R652" s="1600"/>
      <c r="S652" s="1600"/>
      <c r="T652" s="1585"/>
      <c r="U652" s="1585"/>
      <c r="V652" s="1585"/>
      <c r="W652" s="1585"/>
      <c r="X652" s="1585"/>
      <c r="Y652" s="1585"/>
      <c r="Z652" s="1585">
        <v>15499.300000000001</v>
      </c>
      <c r="AA652" s="1585"/>
      <c r="AB652" s="1585"/>
      <c r="AC652" s="1585"/>
      <c r="AD652" s="1601">
        <f t="shared" si="69"/>
        <v>15499.300000000001</v>
      </c>
      <c r="AE652" s="1790">
        <v>0</v>
      </c>
      <c r="AF652" s="1792"/>
    </row>
    <row r="653" spans="1:32" s="1602" customFormat="1" ht="26.1" customHeight="1">
      <c r="A653" s="2918"/>
      <c r="B653" s="2919"/>
      <c r="C653" s="2920"/>
      <c r="D653" s="2917"/>
      <c r="E653" s="1603" t="s">
        <v>2497</v>
      </c>
      <c r="F653" s="1583"/>
      <c r="G653" s="1583"/>
      <c r="H653" s="1583"/>
      <c r="I653" s="1583"/>
      <c r="J653" s="1583"/>
      <c r="K653" s="1583"/>
      <c r="L653" s="1583"/>
      <c r="M653" s="1583"/>
      <c r="N653" s="1583"/>
      <c r="O653" s="1583"/>
      <c r="P653" s="1583"/>
      <c r="Q653" s="1583"/>
      <c r="R653" s="1600"/>
      <c r="S653" s="1600"/>
      <c r="T653" s="1585"/>
      <c r="U653" s="1585"/>
      <c r="V653" s="1585"/>
      <c r="W653" s="1585"/>
      <c r="X653" s="1585"/>
      <c r="Y653" s="1585"/>
      <c r="Z653" s="1585"/>
      <c r="AA653" s="1585"/>
      <c r="AB653" s="1585"/>
      <c r="AC653" s="1585"/>
      <c r="AD653" s="1601">
        <f t="shared" si="69"/>
        <v>0</v>
      </c>
      <c r="AE653" s="1790">
        <v>0</v>
      </c>
      <c r="AF653" s="1792"/>
    </row>
    <row r="654" spans="1:32" s="1602" customFormat="1" ht="26.1" customHeight="1">
      <c r="A654" s="1594" t="s">
        <v>1632</v>
      </c>
      <c r="B654" s="1609" t="s">
        <v>2027</v>
      </c>
      <c r="C654" s="1591"/>
      <c r="D654" s="1597"/>
      <c r="E654" s="1617"/>
      <c r="F654" s="1583"/>
      <c r="G654" s="1583"/>
      <c r="H654" s="1583"/>
      <c r="I654" s="1583"/>
      <c r="J654" s="1583"/>
      <c r="K654" s="1583"/>
      <c r="L654" s="1583"/>
      <c r="M654" s="1583"/>
      <c r="N654" s="1583"/>
      <c r="O654" s="1583"/>
      <c r="P654" s="1583"/>
      <c r="Q654" s="1583"/>
      <c r="R654" s="1600"/>
      <c r="S654" s="1600"/>
      <c r="T654" s="1585"/>
      <c r="U654" s="1585"/>
      <c r="V654" s="1585"/>
      <c r="W654" s="1585"/>
      <c r="X654" s="1585"/>
      <c r="Y654" s="1585"/>
      <c r="Z654" s="1585"/>
      <c r="AA654" s="1585"/>
      <c r="AB654" s="1585"/>
      <c r="AC654" s="1585"/>
      <c r="AD654" s="1601">
        <f t="shared" si="69"/>
        <v>0</v>
      </c>
      <c r="AE654" s="1790">
        <v>0</v>
      </c>
      <c r="AF654" s="1792"/>
    </row>
    <row r="655" spans="1:32" s="1602" customFormat="1" ht="26.1" customHeight="1">
      <c r="A655" s="2918" t="s">
        <v>1633</v>
      </c>
      <c r="B655" s="2919" t="s">
        <v>2105</v>
      </c>
      <c r="C655" s="2920" t="s">
        <v>52</v>
      </c>
      <c r="D655" s="2917">
        <v>225.5</v>
      </c>
      <c r="E655" s="1598" t="s">
        <v>2496</v>
      </c>
      <c r="F655" s="1583"/>
      <c r="G655" s="1583"/>
      <c r="H655" s="1583"/>
      <c r="I655" s="1583"/>
      <c r="J655" s="1583"/>
      <c r="K655" s="1583"/>
      <c r="L655" s="1583"/>
      <c r="M655" s="1583"/>
      <c r="N655" s="1583"/>
      <c r="O655" s="1583"/>
      <c r="P655" s="1583"/>
      <c r="Q655" s="1583"/>
      <c r="R655" s="1600"/>
      <c r="S655" s="1600"/>
      <c r="T655" s="1585"/>
      <c r="U655" s="1585"/>
      <c r="V655" s="1585"/>
      <c r="W655" s="1585"/>
      <c r="X655" s="1585"/>
      <c r="Y655" s="1585"/>
      <c r="Z655" s="1585"/>
      <c r="AA655" s="1585"/>
      <c r="AB655" s="1585"/>
      <c r="AC655" s="1585">
        <v>225.5</v>
      </c>
      <c r="AD655" s="1601">
        <f t="shared" si="69"/>
        <v>225.5</v>
      </c>
      <c r="AE655" s="1790">
        <v>0</v>
      </c>
      <c r="AF655" s="1792"/>
    </row>
    <row r="656" spans="1:32" s="1602" customFormat="1" ht="26.1" customHeight="1">
      <c r="A656" s="2918"/>
      <c r="B656" s="2919"/>
      <c r="C656" s="2920"/>
      <c r="D656" s="2917"/>
      <c r="E656" s="1603" t="s">
        <v>2497</v>
      </c>
      <c r="F656" s="1583"/>
      <c r="G656" s="1583"/>
      <c r="H656" s="1583"/>
      <c r="I656" s="1583"/>
      <c r="J656" s="1583"/>
      <c r="K656" s="1583"/>
      <c r="L656" s="1583"/>
      <c r="M656" s="1583"/>
      <c r="N656" s="1583"/>
      <c r="O656" s="1583"/>
      <c r="P656" s="1583"/>
      <c r="Q656" s="1583"/>
      <c r="R656" s="1600"/>
      <c r="S656" s="1600"/>
      <c r="T656" s="1585"/>
      <c r="U656" s="1585"/>
      <c r="V656" s="1618"/>
      <c r="W656" s="1585"/>
      <c r="X656" s="1585"/>
      <c r="Y656" s="1585"/>
      <c r="Z656" s="1585"/>
      <c r="AA656" s="1585"/>
      <c r="AB656" s="1585"/>
      <c r="AC656" s="1585"/>
      <c r="AD656" s="1601">
        <f t="shared" si="69"/>
        <v>0</v>
      </c>
      <c r="AE656" s="1790">
        <v>0</v>
      </c>
      <c r="AF656" s="1792"/>
    </row>
    <row r="657" spans="1:32" s="1602" customFormat="1" ht="26.1" customHeight="1">
      <c r="A657" s="2918" t="s">
        <v>1634</v>
      </c>
      <c r="B657" s="2919" t="s">
        <v>2106</v>
      </c>
      <c r="C657" s="2920" t="s">
        <v>52</v>
      </c>
      <c r="D657" s="2917">
        <v>1297.8</v>
      </c>
      <c r="E657" s="1598" t="s">
        <v>2496</v>
      </c>
      <c r="F657" s="1583"/>
      <c r="G657" s="1583"/>
      <c r="H657" s="1583"/>
      <c r="I657" s="1583"/>
      <c r="J657" s="1583"/>
      <c r="K657" s="1583"/>
      <c r="L657" s="1583"/>
      <c r="M657" s="1583"/>
      <c r="N657" s="1583"/>
      <c r="O657" s="1583"/>
      <c r="P657" s="1583"/>
      <c r="Q657" s="1583"/>
      <c r="R657" s="1600"/>
      <c r="S657" s="1600"/>
      <c r="T657" s="1585"/>
      <c r="U657" s="1585"/>
      <c r="V657" s="1585"/>
      <c r="W657" s="1585"/>
      <c r="X657" s="1585"/>
      <c r="Y657" s="1585"/>
      <c r="Z657" s="1585"/>
      <c r="AA657" s="1585"/>
      <c r="AB657" s="1585"/>
      <c r="AC657" s="1585">
        <v>1297.8</v>
      </c>
      <c r="AD657" s="1601">
        <f t="shared" ref="AD657:AD720" si="70">SUM(F657:AC657)</f>
        <v>1297.8</v>
      </c>
      <c r="AE657" s="1790">
        <v>0</v>
      </c>
      <c r="AF657" s="1792"/>
    </row>
    <row r="658" spans="1:32" s="1602" customFormat="1" ht="26.1" customHeight="1">
      <c r="A658" s="2918"/>
      <c r="B658" s="2919"/>
      <c r="C658" s="2920"/>
      <c r="D658" s="2917"/>
      <c r="E658" s="1603" t="s">
        <v>2497</v>
      </c>
      <c r="F658" s="1583"/>
      <c r="G658" s="1583"/>
      <c r="H658" s="1583"/>
      <c r="I658" s="1583"/>
      <c r="J658" s="1583"/>
      <c r="K658" s="1583"/>
      <c r="L658" s="1583"/>
      <c r="M658" s="1583"/>
      <c r="N658" s="1583"/>
      <c r="O658" s="1583"/>
      <c r="P658" s="1583"/>
      <c r="Q658" s="1583"/>
      <c r="R658" s="1600"/>
      <c r="S658" s="1600"/>
      <c r="T658" s="1585"/>
      <c r="U658" s="1585"/>
      <c r="V658" s="1618"/>
      <c r="W658" s="1585"/>
      <c r="X658" s="1585"/>
      <c r="Y658" s="1585"/>
      <c r="Z658" s="1585"/>
      <c r="AA658" s="1585"/>
      <c r="AB658" s="1585"/>
      <c r="AC658" s="1585"/>
      <c r="AD658" s="1601">
        <f t="shared" si="70"/>
        <v>0</v>
      </c>
      <c r="AE658" s="1790">
        <v>0</v>
      </c>
      <c r="AF658" s="1792"/>
    </row>
    <row r="659" spans="1:32" s="1602" customFormat="1" ht="26.1" customHeight="1">
      <c r="A659" s="2918" t="s">
        <v>1635</v>
      </c>
      <c r="B659" s="2919" t="s">
        <v>2107</v>
      </c>
      <c r="C659" s="2920" t="s">
        <v>52</v>
      </c>
      <c r="D659" s="2917">
        <v>3540</v>
      </c>
      <c r="E659" s="1598" t="s">
        <v>2496</v>
      </c>
      <c r="F659" s="1583"/>
      <c r="G659" s="1583"/>
      <c r="H659" s="1583"/>
      <c r="I659" s="1583"/>
      <c r="J659" s="1583"/>
      <c r="K659" s="1583"/>
      <c r="L659" s="1583"/>
      <c r="M659" s="1583"/>
      <c r="N659" s="1583"/>
      <c r="O659" s="1583"/>
      <c r="P659" s="1583"/>
      <c r="Q659" s="1583"/>
      <c r="R659" s="1600"/>
      <c r="S659" s="1600"/>
      <c r="T659" s="1585"/>
      <c r="U659" s="1585"/>
      <c r="V659" s="1585"/>
      <c r="W659" s="1585"/>
      <c r="X659" s="1585"/>
      <c r="Y659" s="1585"/>
      <c r="Z659" s="1585"/>
      <c r="AA659" s="1585"/>
      <c r="AB659" s="1585"/>
      <c r="AC659" s="1585">
        <v>3540</v>
      </c>
      <c r="AD659" s="1601">
        <f t="shared" si="70"/>
        <v>3540</v>
      </c>
      <c r="AE659" s="1790">
        <v>0</v>
      </c>
      <c r="AF659" s="1792"/>
    </row>
    <row r="660" spans="1:32" s="1602" customFormat="1" ht="26.1" customHeight="1">
      <c r="A660" s="2918"/>
      <c r="B660" s="2919"/>
      <c r="C660" s="2920"/>
      <c r="D660" s="2917"/>
      <c r="E660" s="1603" t="s">
        <v>2497</v>
      </c>
      <c r="F660" s="1583"/>
      <c r="G660" s="1583"/>
      <c r="H660" s="1583"/>
      <c r="I660" s="1583"/>
      <c r="J660" s="1583"/>
      <c r="K660" s="1583"/>
      <c r="L660" s="1583"/>
      <c r="M660" s="1583"/>
      <c r="N660" s="1583"/>
      <c r="O660" s="1583"/>
      <c r="P660" s="1583"/>
      <c r="Q660" s="1583"/>
      <c r="R660" s="1600"/>
      <c r="S660" s="1600"/>
      <c r="T660" s="1585"/>
      <c r="U660" s="1585"/>
      <c r="V660" s="1618"/>
      <c r="W660" s="1585"/>
      <c r="X660" s="1585"/>
      <c r="Y660" s="1585"/>
      <c r="Z660" s="1585"/>
      <c r="AA660" s="1585"/>
      <c r="AB660" s="1585"/>
      <c r="AC660" s="1585"/>
      <c r="AD660" s="1601">
        <f t="shared" si="70"/>
        <v>0</v>
      </c>
      <c r="AE660" s="1790">
        <v>0</v>
      </c>
      <c r="AF660" s="1792"/>
    </row>
    <row r="661" spans="1:32" s="1602" customFormat="1" ht="26.1" customHeight="1">
      <c r="A661" s="2918" t="s">
        <v>1636</v>
      </c>
      <c r="B661" s="2919" t="s">
        <v>2108</v>
      </c>
      <c r="C661" s="2920" t="s">
        <v>52</v>
      </c>
      <c r="D661" s="2917">
        <v>6808.92</v>
      </c>
      <c r="E661" s="1598" t="s">
        <v>2496</v>
      </c>
      <c r="F661" s="1583"/>
      <c r="G661" s="1583"/>
      <c r="H661" s="1583"/>
      <c r="I661" s="1583"/>
      <c r="J661" s="1583"/>
      <c r="K661" s="1583"/>
      <c r="L661" s="1583"/>
      <c r="M661" s="1583"/>
      <c r="N661" s="1583"/>
      <c r="O661" s="1583"/>
      <c r="P661" s="1583"/>
      <c r="Q661" s="1583"/>
      <c r="R661" s="1600"/>
      <c r="S661" s="1600"/>
      <c r="T661" s="1585"/>
      <c r="U661" s="1585"/>
      <c r="V661" s="1585"/>
      <c r="W661" s="1585"/>
      <c r="X661" s="1585"/>
      <c r="Y661" s="1585"/>
      <c r="Z661" s="1585"/>
      <c r="AA661" s="1585"/>
      <c r="AB661" s="1585"/>
      <c r="AC661" s="1585">
        <v>6808.92</v>
      </c>
      <c r="AD661" s="1601">
        <f t="shared" si="70"/>
        <v>6808.92</v>
      </c>
      <c r="AE661" s="1790">
        <v>0</v>
      </c>
      <c r="AF661" s="1792"/>
    </row>
    <row r="662" spans="1:32" s="1602" customFormat="1" ht="26.1" customHeight="1">
      <c r="A662" s="2918"/>
      <c r="B662" s="2919"/>
      <c r="C662" s="2920"/>
      <c r="D662" s="2917"/>
      <c r="E662" s="1603" t="s">
        <v>2497</v>
      </c>
      <c r="F662" s="1583"/>
      <c r="G662" s="1583"/>
      <c r="H662" s="1583"/>
      <c r="I662" s="1583"/>
      <c r="J662" s="1583"/>
      <c r="K662" s="1583"/>
      <c r="L662" s="1583"/>
      <c r="M662" s="1583"/>
      <c r="N662" s="1583"/>
      <c r="O662" s="1583"/>
      <c r="P662" s="1583"/>
      <c r="Q662" s="1583"/>
      <c r="R662" s="1600"/>
      <c r="S662" s="1600"/>
      <c r="T662" s="1585"/>
      <c r="U662" s="1585"/>
      <c r="V662" s="1618"/>
      <c r="W662" s="1585"/>
      <c r="X662" s="1585"/>
      <c r="Y662" s="1585"/>
      <c r="Z662" s="1585"/>
      <c r="AA662" s="1585"/>
      <c r="AB662" s="1585"/>
      <c r="AC662" s="1585"/>
      <c r="AD662" s="1601">
        <f t="shared" si="70"/>
        <v>0</v>
      </c>
      <c r="AE662" s="1790">
        <v>0</v>
      </c>
      <c r="AF662" s="1792"/>
    </row>
    <row r="663" spans="1:32" s="1602" customFormat="1" ht="26.1" customHeight="1">
      <c r="A663" s="2918" t="s">
        <v>1637</v>
      </c>
      <c r="B663" s="2919" t="s">
        <v>2109</v>
      </c>
      <c r="C663" s="2920" t="s">
        <v>52</v>
      </c>
      <c r="D663" s="2917">
        <v>8875</v>
      </c>
      <c r="E663" s="1598" t="s">
        <v>2496</v>
      </c>
      <c r="F663" s="1583"/>
      <c r="G663" s="1583"/>
      <c r="H663" s="1583"/>
      <c r="I663" s="1583"/>
      <c r="J663" s="1583"/>
      <c r="K663" s="1583"/>
      <c r="L663" s="1583"/>
      <c r="M663" s="1583"/>
      <c r="N663" s="1583"/>
      <c r="O663" s="1583"/>
      <c r="P663" s="1583"/>
      <c r="Q663" s="1583"/>
      <c r="R663" s="1600"/>
      <c r="S663" s="1600"/>
      <c r="T663" s="1585"/>
      <c r="U663" s="1585"/>
      <c r="V663" s="1585"/>
      <c r="W663" s="1585"/>
      <c r="X663" s="1585"/>
      <c r="Y663" s="1585"/>
      <c r="Z663" s="1585"/>
      <c r="AA663" s="1585"/>
      <c r="AB663" s="1585"/>
      <c r="AC663" s="1585">
        <v>8875</v>
      </c>
      <c r="AD663" s="1601">
        <f t="shared" si="70"/>
        <v>8875</v>
      </c>
      <c r="AE663" s="1790">
        <v>0</v>
      </c>
      <c r="AF663" s="1792"/>
    </row>
    <row r="664" spans="1:32" s="1602" customFormat="1" ht="26.1" customHeight="1">
      <c r="A664" s="2918"/>
      <c r="B664" s="2919"/>
      <c r="C664" s="2920"/>
      <c r="D664" s="2917"/>
      <c r="E664" s="1603" t="s">
        <v>2497</v>
      </c>
      <c r="F664" s="1583"/>
      <c r="G664" s="1583"/>
      <c r="H664" s="1583"/>
      <c r="I664" s="1583"/>
      <c r="J664" s="1583"/>
      <c r="K664" s="1583"/>
      <c r="L664" s="1583"/>
      <c r="M664" s="1583"/>
      <c r="N664" s="1583"/>
      <c r="O664" s="1583"/>
      <c r="P664" s="1583"/>
      <c r="Q664" s="1583"/>
      <c r="R664" s="1600"/>
      <c r="S664" s="1600"/>
      <c r="T664" s="1585"/>
      <c r="U664" s="1585"/>
      <c r="V664" s="1618"/>
      <c r="W664" s="1585"/>
      <c r="X664" s="1585"/>
      <c r="Y664" s="1585"/>
      <c r="Z664" s="1585"/>
      <c r="AA664" s="1585"/>
      <c r="AB664" s="1585"/>
      <c r="AC664" s="1585"/>
      <c r="AD664" s="1601">
        <f t="shared" si="70"/>
        <v>0</v>
      </c>
      <c r="AE664" s="1790">
        <v>0</v>
      </c>
      <c r="AF664" s="1792"/>
    </row>
    <row r="665" spans="1:32" s="1602" customFormat="1" ht="26.1" customHeight="1">
      <c r="A665" s="2918" t="s">
        <v>1638</v>
      </c>
      <c r="B665" s="2919" t="s">
        <v>2028</v>
      </c>
      <c r="C665" s="2920" t="s">
        <v>52</v>
      </c>
      <c r="D665" s="2917">
        <v>12935.16</v>
      </c>
      <c r="E665" s="1598" t="s">
        <v>2496</v>
      </c>
      <c r="F665" s="1583"/>
      <c r="G665" s="1583"/>
      <c r="H665" s="1583"/>
      <c r="I665" s="1583"/>
      <c r="J665" s="1583"/>
      <c r="K665" s="1583"/>
      <c r="L665" s="1583"/>
      <c r="M665" s="1583"/>
      <c r="N665" s="1583"/>
      <c r="O665" s="1583"/>
      <c r="P665" s="1583"/>
      <c r="Q665" s="1583"/>
      <c r="R665" s="1600"/>
      <c r="S665" s="1600"/>
      <c r="T665" s="1585"/>
      <c r="U665" s="1585"/>
      <c r="V665" s="1585"/>
      <c r="W665" s="1585"/>
      <c r="X665" s="1585"/>
      <c r="Y665" s="1585"/>
      <c r="Z665" s="1585"/>
      <c r="AA665" s="1585"/>
      <c r="AB665" s="1585"/>
      <c r="AC665" s="1585">
        <v>12935.16</v>
      </c>
      <c r="AD665" s="1601">
        <f t="shared" si="70"/>
        <v>12935.16</v>
      </c>
      <c r="AE665" s="1790">
        <v>0</v>
      </c>
      <c r="AF665" s="1792"/>
    </row>
    <row r="666" spans="1:32" s="1602" customFormat="1" ht="26.1" customHeight="1">
      <c r="A666" s="2918"/>
      <c r="B666" s="2919"/>
      <c r="C666" s="2920"/>
      <c r="D666" s="2917"/>
      <c r="E666" s="1603" t="s">
        <v>2497</v>
      </c>
      <c r="F666" s="1583"/>
      <c r="G666" s="1583"/>
      <c r="H666" s="1583"/>
      <c r="I666" s="1583"/>
      <c r="J666" s="1583"/>
      <c r="K666" s="1583"/>
      <c r="L666" s="1583"/>
      <c r="M666" s="1583"/>
      <c r="N666" s="1583"/>
      <c r="O666" s="1583"/>
      <c r="P666" s="1583"/>
      <c r="Q666" s="1583"/>
      <c r="R666" s="1600"/>
      <c r="S666" s="1600"/>
      <c r="T666" s="1585"/>
      <c r="U666" s="1585"/>
      <c r="V666" s="1618"/>
      <c r="W666" s="1585"/>
      <c r="X666" s="1585"/>
      <c r="Y666" s="1585"/>
      <c r="Z666" s="1585"/>
      <c r="AA666" s="1585"/>
      <c r="AB666" s="1585"/>
      <c r="AC666" s="1585"/>
      <c r="AD666" s="1601">
        <f t="shared" si="70"/>
        <v>0</v>
      </c>
      <c r="AE666" s="1790">
        <v>0</v>
      </c>
      <c r="AF666" s="1792"/>
    </row>
    <row r="667" spans="1:32" s="1602" customFormat="1" ht="26.1" customHeight="1">
      <c r="A667" s="2918" t="s">
        <v>1639</v>
      </c>
      <c r="B667" s="2919" t="s">
        <v>2110</v>
      </c>
      <c r="C667" s="2920" t="s">
        <v>52</v>
      </c>
      <c r="D667" s="2917">
        <v>14364</v>
      </c>
      <c r="E667" s="1598" t="s">
        <v>2496</v>
      </c>
      <c r="F667" s="1583"/>
      <c r="G667" s="1583"/>
      <c r="H667" s="1583"/>
      <c r="I667" s="1583"/>
      <c r="J667" s="1583"/>
      <c r="K667" s="1583"/>
      <c r="L667" s="1583"/>
      <c r="M667" s="1583"/>
      <c r="N667" s="1583"/>
      <c r="O667" s="1583"/>
      <c r="P667" s="1583"/>
      <c r="Q667" s="1583"/>
      <c r="R667" s="1600"/>
      <c r="S667" s="1600"/>
      <c r="T667" s="1585"/>
      <c r="U667" s="1585"/>
      <c r="V667" s="1585"/>
      <c r="W667" s="1585"/>
      <c r="X667" s="1585"/>
      <c r="Y667" s="1585"/>
      <c r="Z667" s="1585"/>
      <c r="AA667" s="1585"/>
      <c r="AB667" s="1585"/>
      <c r="AC667" s="1585">
        <v>14364</v>
      </c>
      <c r="AD667" s="1601">
        <f t="shared" si="70"/>
        <v>14364</v>
      </c>
      <c r="AE667" s="1790">
        <v>0</v>
      </c>
      <c r="AF667" s="1792"/>
    </row>
    <row r="668" spans="1:32" s="1602" customFormat="1" ht="26.1" customHeight="1">
      <c r="A668" s="2918"/>
      <c r="B668" s="2919"/>
      <c r="C668" s="2920"/>
      <c r="D668" s="2917"/>
      <c r="E668" s="1603" t="s">
        <v>2497</v>
      </c>
      <c r="F668" s="1583"/>
      <c r="G668" s="1583"/>
      <c r="H668" s="1583"/>
      <c r="I668" s="1583"/>
      <c r="J668" s="1583"/>
      <c r="K668" s="1583"/>
      <c r="L668" s="1583"/>
      <c r="M668" s="1583"/>
      <c r="N668" s="1583"/>
      <c r="O668" s="1583"/>
      <c r="P668" s="1583"/>
      <c r="Q668" s="1583"/>
      <c r="R668" s="1600"/>
      <c r="S668" s="1600"/>
      <c r="T668" s="1585"/>
      <c r="U668" s="1585"/>
      <c r="V668" s="1618"/>
      <c r="W668" s="1585"/>
      <c r="X668" s="1585"/>
      <c r="Y668" s="1585"/>
      <c r="Z668" s="1585"/>
      <c r="AA668" s="1585"/>
      <c r="AB668" s="1585"/>
      <c r="AC668" s="1585"/>
      <c r="AD668" s="1601">
        <f t="shared" si="70"/>
        <v>0</v>
      </c>
      <c r="AE668" s="1790">
        <v>0</v>
      </c>
      <c r="AF668" s="1792"/>
    </row>
    <row r="669" spans="1:32" s="1602" customFormat="1" ht="26.1" customHeight="1">
      <c r="A669" s="2918" t="s">
        <v>1640</v>
      </c>
      <c r="B669" s="2919" t="s">
        <v>2111</v>
      </c>
      <c r="C669" s="2920" t="s">
        <v>52</v>
      </c>
      <c r="D669" s="2917">
        <v>6285.36</v>
      </c>
      <c r="E669" s="1598" t="s">
        <v>2496</v>
      </c>
      <c r="F669" s="1583"/>
      <c r="G669" s="1583"/>
      <c r="H669" s="1583"/>
      <c r="I669" s="1583"/>
      <c r="J669" s="1583"/>
      <c r="K669" s="1583"/>
      <c r="L669" s="1583"/>
      <c r="M669" s="1583"/>
      <c r="N669" s="1583"/>
      <c r="O669" s="1583"/>
      <c r="P669" s="1583"/>
      <c r="Q669" s="1583"/>
      <c r="R669" s="1600"/>
      <c r="S669" s="1600"/>
      <c r="T669" s="1585"/>
      <c r="U669" s="1585"/>
      <c r="V669" s="1585"/>
      <c r="W669" s="1585"/>
      <c r="X669" s="1585"/>
      <c r="Y669" s="1585"/>
      <c r="Z669" s="1585"/>
      <c r="AA669" s="1585"/>
      <c r="AB669" s="1585"/>
      <c r="AC669" s="1585">
        <v>6285.36</v>
      </c>
      <c r="AD669" s="1601">
        <f t="shared" si="70"/>
        <v>6285.36</v>
      </c>
      <c r="AE669" s="1790">
        <v>0</v>
      </c>
      <c r="AF669" s="1792"/>
    </row>
    <row r="670" spans="1:32" s="1602" customFormat="1" ht="26.1" customHeight="1">
      <c r="A670" s="2918"/>
      <c r="B670" s="2919"/>
      <c r="C670" s="2920"/>
      <c r="D670" s="2917"/>
      <c r="E670" s="1603" t="s">
        <v>2497</v>
      </c>
      <c r="F670" s="1583"/>
      <c r="G670" s="1583"/>
      <c r="H670" s="1583"/>
      <c r="I670" s="1583"/>
      <c r="J670" s="1583"/>
      <c r="K670" s="1583"/>
      <c r="L670" s="1583"/>
      <c r="M670" s="1583"/>
      <c r="N670" s="1583"/>
      <c r="O670" s="1583"/>
      <c r="P670" s="1583"/>
      <c r="Q670" s="1583"/>
      <c r="R670" s="1600"/>
      <c r="S670" s="1600"/>
      <c r="T670" s="1585"/>
      <c r="U670" s="1585"/>
      <c r="V670" s="1618"/>
      <c r="W670" s="1585"/>
      <c r="X670" s="1585"/>
      <c r="Y670" s="1585"/>
      <c r="Z670" s="1585"/>
      <c r="AA670" s="1585"/>
      <c r="AB670" s="1585"/>
      <c r="AC670" s="1585"/>
      <c r="AD670" s="1601">
        <f t="shared" si="70"/>
        <v>0</v>
      </c>
      <c r="AE670" s="1790">
        <v>0</v>
      </c>
      <c r="AF670" s="1792"/>
    </row>
    <row r="671" spans="1:32" s="1602" customFormat="1" ht="26.1" customHeight="1">
      <c r="A671" s="2918" t="s">
        <v>1641</v>
      </c>
      <c r="B671" s="2919" t="s">
        <v>2112</v>
      </c>
      <c r="C671" s="2920" t="s">
        <v>52</v>
      </c>
      <c r="D671" s="2917">
        <v>725.49032</v>
      </c>
      <c r="E671" s="1598" t="s">
        <v>2496</v>
      </c>
      <c r="F671" s="1583"/>
      <c r="G671" s="1583"/>
      <c r="H671" s="1583"/>
      <c r="I671" s="1583"/>
      <c r="J671" s="1605"/>
      <c r="K671" s="1605"/>
      <c r="L671" s="1605"/>
      <c r="M671" s="1605"/>
      <c r="N671" s="1605"/>
      <c r="O671" s="1605"/>
      <c r="P671" s="1605"/>
      <c r="Q671" s="1583"/>
      <c r="R671" s="1600"/>
      <c r="S671" s="1600"/>
      <c r="T671" s="1585"/>
      <c r="U671" s="1585"/>
      <c r="V671" s="1585"/>
      <c r="W671" s="1585"/>
      <c r="X671" s="1585"/>
      <c r="Y671" s="1585"/>
      <c r="Z671" s="1585"/>
      <c r="AA671" s="1585"/>
      <c r="AB671" s="1585"/>
      <c r="AC671" s="1585">
        <v>725.49</v>
      </c>
      <c r="AD671" s="1601">
        <f t="shared" si="70"/>
        <v>725.49</v>
      </c>
      <c r="AE671" s="1790">
        <v>0</v>
      </c>
      <c r="AF671" s="1792"/>
    </row>
    <row r="672" spans="1:32" s="1602" customFormat="1" ht="26.1" customHeight="1">
      <c r="A672" s="2918"/>
      <c r="B672" s="2919"/>
      <c r="C672" s="2920"/>
      <c r="D672" s="2917"/>
      <c r="E672" s="1603" t="s">
        <v>2497</v>
      </c>
      <c r="F672" s="1583"/>
      <c r="G672" s="1583"/>
      <c r="H672" s="1583"/>
      <c r="I672" s="1583"/>
      <c r="J672" s="1605"/>
      <c r="K672" s="1605"/>
      <c r="L672" s="1605"/>
      <c r="M672" s="1605"/>
      <c r="N672" s="1605"/>
      <c r="O672" s="1605"/>
      <c r="P672" s="1605"/>
      <c r="Q672" s="1583"/>
      <c r="R672" s="1600"/>
      <c r="S672" s="1600"/>
      <c r="T672" s="1585"/>
      <c r="U672" s="1585"/>
      <c r="V672" s="1618"/>
      <c r="W672" s="1585"/>
      <c r="X672" s="1585"/>
      <c r="Y672" s="1585"/>
      <c r="Z672" s="1585"/>
      <c r="AA672" s="1585"/>
      <c r="AB672" s="1585"/>
      <c r="AC672" s="1585"/>
      <c r="AD672" s="1601">
        <f t="shared" si="70"/>
        <v>0</v>
      </c>
      <c r="AE672" s="1790">
        <v>0</v>
      </c>
      <c r="AF672" s="1792"/>
    </row>
    <row r="673" spans="1:32" s="1602" customFormat="1" ht="26.1" customHeight="1">
      <c r="A673" s="2918" t="s">
        <v>1642</v>
      </c>
      <c r="B673" s="2919" t="s">
        <v>2113</v>
      </c>
      <c r="C673" s="2920" t="s">
        <v>52</v>
      </c>
      <c r="D673" s="2917">
        <v>13094.550000000001</v>
      </c>
      <c r="E673" s="1598" t="s">
        <v>2496</v>
      </c>
      <c r="F673" s="1583"/>
      <c r="G673" s="1583"/>
      <c r="H673" s="1583"/>
      <c r="I673" s="1583"/>
      <c r="J673" s="1583"/>
      <c r="K673" s="1583"/>
      <c r="L673" s="1583"/>
      <c r="M673" s="1583"/>
      <c r="N673" s="1583"/>
      <c r="O673" s="1583"/>
      <c r="P673" s="1583"/>
      <c r="Q673" s="1583"/>
      <c r="R673" s="1600"/>
      <c r="S673" s="1600"/>
      <c r="T673" s="1585"/>
      <c r="U673" s="1585"/>
      <c r="V673" s="1585"/>
      <c r="W673" s="1585"/>
      <c r="X673" s="1585"/>
      <c r="Y673" s="1585"/>
      <c r="Z673" s="1585"/>
      <c r="AA673" s="1585"/>
      <c r="AB673" s="1585"/>
      <c r="AC673" s="1585">
        <v>13094.55</v>
      </c>
      <c r="AD673" s="1601">
        <f t="shared" si="70"/>
        <v>13094.55</v>
      </c>
      <c r="AE673" s="1790">
        <v>0</v>
      </c>
      <c r="AF673" s="1792"/>
    </row>
    <row r="674" spans="1:32" s="1602" customFormat="1" ht="26.1" customHeight="1">
      <c r="A674" s="2918"/>
      <c r="B674" s="2919"/>
      <c r="C674" s="2920"/>
      <c r="D674" s="2917"/>
      <c r="E674" s="1603" t="s">
        <v>2497</v>
      </c>
      <c r="F674" s="1583"/>
      <c r="G674" s="1583"/>
      <c r="H674" s="1583"/>
      <c r="I674" s="1583"/>
      <c r="J674" s="1583"/>
      <c r="K674" s="1583"/>
      <c r="L674" s="1583"/>
      <c r="M674" s="1583"/>
      <c r="N674" s="1583"/>
      <c r="O674" s="1583"/>
      <c r="P674" s="1583"/>
      <c r="Q674" s="1583"/>
      <c r="R674" s="1600"/>
      <c r="S674" s="1600"/>
      <c r="T674" s="1585"/>
      <c r="U674" s="1585"/>
      <c r="V674" s="1618"/>
      <c r="W674" s="1585"/>
      <c r="X674" s="1585"/>
      <c r="Y674" s="1585"/>
      <c r="Z674" s="1585"/>
      <c r="AA674" s="1585"/>
      <c r="AB674" s="1585"/>
      <c r="AC674" s="1585"/>
      <c r="AD674" s="1601">
        <f t="shared" si="70"/>
        <v>0</v>
      </c>
      <c r="AE674" s="1790">
        <v>0</v>
      </c>
      <c r="AF674" s="1792"/>
    </row>
    <row r="675" spans="1:32" s="1602" customFormat="1" ht="26.1" customHeight="1">
      <c r="A675" s="2918" t="s">
        <v>1643</v>
      </c>
      <c r="B675" s="2919" t="s">
        <v>2114</v>
      </c>
      <c r="C675" s="2920" t="s">
        <v>52</v>
      </c>
      <c r="D675" s="2917">
        <v>727.46</v>
      </c>
      <c r="E675" s="1598" t="s">
        <v>2496</v>
      </c>
      <c r="F675" s="1583"/>
      <c r="G675" s="1583"/>
      <c r="H675" s="1583"/>
      <c r="I675" s="1583"/>
      <c r="J675" s="1583"/>
      <c r="K675" s="1583"/>
      <c r="L675" s="1583"/>
      <c r="M675" s="1583"/>
      <c r="N675" s="1583"/>
      <c r="O675" s="1583"/>
      <c r="P675" s="1583"/>
      <c r="Q675" s="1583"/>
      <c r="R675" s="1600"/>
      <c r="S675" s="1600"/>
      <c r="T675" s="1585"/>
      <c r="U675" s="1585"/>
      <c r="V675" s="1585"/>
      <c r="W675" s="1585"/>
      <c r="X675" s="1585"/>
      <c r="Y675" s="1585"/>
      <c r="Z675" s="1585"/>
      <c r="AA675" s="1585"/>
      <c r="AB675" s="1585"/>
      <c r="AC675" s="1585">
        <v>727.46</v>
      </c>
      <c r="AD675" s="1601">
        <f t="shared" si="70"/>
        <v>727.46</v>
      </c>
      <c r="AE675" s="1790">
        <v>0</v>
      </c>
      <c r="AF675" s="1792"/>
    </row>
    <row r="676" spans="1:32" s="1602" customFormat="1" ht="26.1" customHeight="1">
      <c r="A676" s="2918"/>
      <c r="B676" s="2919"/>
      <c r="C676" s="2920"/>
      <c r="D676" s="2917"/>
      <c r="E676" s="1603" t="s">
        <v>2497</v>
      </c>
      <c r="F676" s="1583"/>
      <c r="G676" s="1583"/>
      <c r="H676" s="1583"/>
      <c r="I676" s="1583"/>
      <c r="J676" s="1583"/>
      <c r="K676" s="1583"/>
      <c r="L676" s="1583"/>
      <c r="M676" s="1583"/>
      <c r="N676" s="1583"/>
      <c r="O676" s="1583"/>
      <c r="P676" s="1583"/>
      <c r="Q676" s="1583"/>
      <c r="R676" s="1600"/>
      <c r="S676" s="1600"/>
      <c r="T676" s="1585"/>
      <c r="U676" s="1585"/>
      <c r="V676" s="1618"/>
      <c r="W676" s="1585"/>
      <c r="X676" s="1585"/>
      <c r="Y676" s="1585"/>
      <c r="Z676" s="1585"/>
      <c r="AA676" s="1585"/>
      <c r="AB676" s="1585"/>
      <c r="AC676" s="1585"/>
      <c r="AD676" s="1601">
        <f t="shared" si="70"/>
        <v>0</v>
      </c>
      <c r="AE676" s="1790">
        <v>0</v>
      </c>
      <c r="AF676" s="1792"/>
    </row>
    <row r="677" spans="1:32" s="1602" customFormat="1" ht="25.5" customHeight="1">
      <c r="A677" s="2918" t="s">
        <v>1644</v>
      </c>
      <c r="B677" s="2919" t="s">
        <v>2115</v>
      </c>
      <c r="C677" s="2920" t="s">
        <v>52</v>
      </c>
      <c r="D677" s="2917">
        <v>3142.56</v>
      </c>
      <c r="E677" s="1598" t="s">
        <v>2496</v>
      </c>
      <c r="F677" s="1583"/>
      <c r="G677" s="1583"/>
      <c r="H677" s="1583"/>
      <c r="I677" s="1583"/>
      <c r="J677" s="1583"/>
      <c r="K677" s="1583"/>
      <c r="L677" s="1583"/>
      <c r="M677" s="1583"/>
      <c r="N677" s="1583"/>
      <c r="O677" s="1583"/>
      <c r="P677" s="1583"/>
      <c r="Q677" s="1583"/>
      <c r="R677" s="1600"/>
      <c r="S677" s="1600"/>
      <c r="T677" s="1585"/>
      <c r="U677" s="1585"/>
      <c r="V677" s="1585"/>
      <c r="W677" s="1585"/>
      <c r="X677" s="1585"/>
      <c r="Y677" s="1585"/>
      <c r="Z677" s="1585"/>
      <c r="AA677" s="1585"/>
      <c r="AB677" s="1585"/>
      <c r="AC677" s="1585">
        <v>3142.56</v>
      </c>
      <c r="AD677" s="1601">
        <f t="shared" si="70"/>
        <v>3142.56</v>
      </c>
      <c r="AE677" s="1790">
        <v>0</v>
      </c>
      <c r="AF677" s="1792"/>
    </row>
    <row r="678" spans="1:32" s="1602" customFormat="1" ht="25.5" customHeight="1">
      <c r="A678" s="2918"/>
      <c r="B678" s="2919"/>
      <c r="C678" s="2920"/>
      <c r="D678" s="2917"/>
      <c r="E678" s="1603" t="s">
        <v>2497</v>
      </c>
      <c r="F678" s="1583"/>
      <c r="G678" s="1583"/>
      <c r="H678" s="1583"/>
      <c r="I678" s="1583"/>
      <c r="J678" s="1583"/>
      <c r="K678" s="1583"/>
      <c r="L678" s="1583"/>
      <c r="M678" s="1583"/>
      <c r="N678" s="1583"/>
      <c r="O678" s="1583"/>
      <c r="P678" s="1583"/>
      <c r="Q678" s="1583"/>
      <c r="R678" s="1600"/>
      <c r="S678" s="1600"/>
      <c r="T678" s="1585"/>
      <c r="U678" s="1585"/>
      <c r="V678" s="1585"/>
      <c r="W678" s="1585"/>
      <c r="X678" s="1585"/>
      <c r="Y678" s="1585"/>
      <c r="Z678" s="1585"/>
      <c r="AA678" s="1585"/>
      <c r="AB678" s="1585"/>
      <c r="AC678" s="1585"/>
      <c r="AD678" s="1601">
        <f t="shared" si="70"/>
        <v>0</v>
      </c>
      <c r="AE678" s="1790">
        <v>0</v>
      </c>
      <c r="AF678" s="1792"/>
    </row>
    <row r="679" spans="1:32" s="1602" customFormat="1" ht="26.1" customHeight="1">
      <c r="A679" s="1594" t="s">
        <v>1645</v>
      </c>
      <c r="B679" s="1609" t="s">
        <v>2116</v>
      </c>
      <c r="C679" s="1596"/>
      <c r="D679" s="1597"/>
      <c r="E679" s="1617"/>
      <c r="F679" s="1583"/>
      <c r="G679" s="1583"/>
      <c r="H679" s="1583"/>
      <c r="I679" s="1583"/>
      <c r="J679" s="1583"/>
      <c r="K679" s="1583"/>
      <c r="L679" s="1583"/>
      <c r="M679" s="1583"/>
      <c r="N679" s="1583"/>
      <c r="O679" s="1583"/>
      <c r="P679" s="1583"/>
      <c r="Q679" s="1583"/>
      <c r="R679" s="1600"/>
      <c r="S679" s="1600"/>
      <c r="T679" s="1585"/>
      <c r="U679" s="1585"/>
      <c r="V679" s="1585"/>
      <c r="W679" s="1585"/>
      <c r="X679" s="1585"/>
      <c r="Y679" s="1585"/>
      <c r="Z679" s="1585"/>
      <c r="AA679" s="1585"/>
      <c r="AB679" s="1585"/>
      <c r="AC679" s="1585"/>
      <c r="AD679" s="1601">
        <f t="shared" si="70"/>
        <v>0</v>
      </c>
      <c r="AE679" s="1790">
        <v>0</v>
      </c>
      <c r="AF679" s="1792"/>
    </row>
    <row r="680" spans="1:32" s="1602" customFormat="1" ht="26.1" customHeight="1">
      <c r="A680" s="2918" t="s">
        <v>1646</v>
      </c>
      <c r="B680" s="2919" t="s">
        <v>2117</v>
      </c>
      <c r="C680" s="2920" t="s">
        <v>268</v>
      </c>
      <c r="D680" s="2917">
        <v>14587.02</v>
      </c>
      <c r="E680" s="1598" t="s">
        <v>2496</v>
      </c>
      <c r="F680" s="1583"/>
      <c r="G680" s="1583"/>
      <c r="H680" s="1583"/>
      <c r="I680" s="1583"/>
      <c r="J680" s="1583"/>
      <c r="K680" s="1583"/>
      <c r="L680" s="1583"/>
      <c r="M680" s="1583"/>
      <c r="N680" s="1583"/>
      <c r="O680" s="1583"/>
      <c r="P680" s="1583"/>
      <c r="Q680" s="1583"/>
      <c r="R680" s="1600"/>
      <c r="S680" s="1600"/>
      <c r="T680" s="1585"/>
      <c r="U680" s="1585"/>
      <c r="V680" s="1585"/>
      <c r="W680" s="1585"/>
      <c r="X680" s="1585"/>
      <c r="Y680" s="1585"/>
      <c r="Z680" s="1585"/>
      <c r="AA680" s="1585">
        <v>14587.02</v>
      </c>
      <c r="AB680" s="1585"/>
      <c r="AC680" s="1585"/>
      <c r="AD680" s="1601">
        <f t="shared" si="70"/>
        <v>14587.02</v>
      </c>
      <c r="AE680" s="1790">
        <v>0</v>
      </c>
      <c r="AF680" s="1792"/>
    </row>
    <row r="681" spans="1:32" s="1602" customFormat="1" ht="26.1" customHeight="1">
      <c r="A681" s="2918"/>
      <c r="B681" s="2919"/>
      <c r="C681" s="2920"/>
      <c r="D681" s="2917"/>
      <c r="E681" s="1603" t="s">
        <v>2497</v>
      </c>
      <c r="F681" s="1583"/>
      <c r="G681" s="1583"/>
      <c r="H681" s="1583"/>
      <c r="I681" s="1583"/>
      <c r="J681" s="1583"/>
      <c r="K681" s="1583"/>
      <c r="L681" s="1583"/>
      <c r="M681" s="1583"/>
      <c r="N681" s="1583"/>
      <c r="O681" s="1583"/>
      <c r="P681" s="1583"/>
      <c r="Q681" s="1583"/>
      <c r="R681" s="1600"/>
      <c r="S681" s="1600"/>
      <c r="T681" s="1585"/>
      <c r="U681" s="1585"/>
      <c r="V681" s="1585"/>
      <c r="W681" s="1585"/>
      <c r="X681" s="1585"/>
      <c r="Y681" s="1585"/>
      <c r="Z681" s="1585"/>
      <c r="AA681" s="1585"/>
      <c r="AB681" s="1585"/>
      <c r="AC681" s="1585"/>
      <c r="AD681" s="1601">
        <f t="shared" si="70"/>
        <v>0</v>
      </c>
      <c r="AE681" s="1790">
        <v>0</v>
      </c>
      <c r="AF681" s="1792"/>
    </row>
    <row r="682" spans="1:32" s="1602" customFormat="1" ht="26.1" customHeight="1">
      <c r="A682" s="2918" t="s">
        <v>1647</v>
      </c>
      <c r="B682" s="2919" t="s">
        <v>2118</v>
      </c>
      <c r="C682" s="2920" t="s">
        <v>52</v>
      </c>
      <c r="D682" s="2917">
        <v>14587.02</v>
      </c>
      <c r="E682" s="1598" t="s">
        <v>2496</v>
      </c>
      <c r="F682" s="1583"/>
      <c r="G682" s="1583"/>
      <c r="H682" s="1583"/>
      <c r="I682" s="1583"/>
      <c r="J682" s="1605"/>
      <c r="K682" s="1605"/>
      <c r="L682" s="1583"/>
      <c r="M682" s="1605"/>
      <c r="N682" s="1605"/>
      <c r="O682" s="1583"/>
      <c r="P682" s="1583"/>
      <c r="Q682" s="1583"/>
      <c r="R682" s="1600"/>
      <c r="S682" s="1600"/>
      <c r="T682" s="1585"/>
      <c r="U682" s="1585"/>
      <c r="V682" s="1585"/>
      <c r="W682" s="1585"/>
      <c r="X682" s="1585"/>
      <c r="Y682" s="1585"/>
      <c r="Z682" s="1585"/>
      <c r="AA682" s="1585">
        <v>14587.02</v>
      </c>
      <c r="AB682" s="1585"/>
      <c r="AC682" s="1585"/>
      <c r="AD682" s="1601">
        <f t="shared" si="70"/>
        <v>14587.02</v>
      </c>
      <c r="AE682" s="1790">
        <v>0</v>
      </c>
      <c r="AF682" s="1792"/>
    </row>
    <row r="683" spans="1:32" s="1602" customFormat="1" ht="26.1" customHeight="1">
      <c r="A683" s="2918"/>
      <c r="B683" s="2919"/>
      <c r="C683" s="2920"/>
      <c r="D683" s="2917"/>
      <c r="E683" s="1603" t="s">
        <v>2497</v>
      </c>
      <c r="F683" s="1583"/>
      <c r="G683" s="1583"/>
      <c r="H683" s="1583"/>
      <c r="I683" s="1583"/>
      <c r="J683" s="1605"/>
      <c r="K683" s="1605"/>
      <c r="L683" s="1583"/>
      <c r="M683" s="1605"/>
      <c r="N683" s="1605"/>
      <c r="O683" s="1583"/>
      <c r="P683" s="1583"/>
      <c r="Q683" s="1583"/>
      <c r="R683" s="1600"/>
      <c r="S683" s="1600"/>
      <c r="T683" s="1585"/>
      <c r="U683" s="1585"/>
      <c r="V683" s="1585"/>
      <c r="W683" s="1585"/>
      <c r="X683" s="1585"/>
      <c r="Y683" s="1585"/>
      <c r="Z683" s="1585"/>
      <c r="AA683" s="1585"/>
      <c r="AB683" s="1585"/>
      <c r="AC683" s="1585"/>
      <c r="AD683" s="1601">
        <f t="shared" si="70"/>
        <v>0</v>
      </c>
      <c r="AE683" s="1790">
        <v>0</v>
      </c>
      <c r="AF683" s="1792"/>
    </row>
    <row r="684" spans="1:32" s="1602" customFormat="1" ht="26.1" customHeight="1">
      <c r="A684" s="2918" t="s">
        <v>1648</v>
      </c>
      <c r="B684" s="2919" t="s">
        <v>2119</v>
      </c>
      <c r="C684" s="2920" t="s">
        <v>52</v>
      </c>
      <c r="D684" s="2917">
        <v>4412.16</v>
      </c>
      <c r="E684" s="1598" t="s">
        <v>2496</v>
      </c>
      <c r="F684" s="1583"/>
      <c r="G684" s="1583"/>
      <c r="H684" s="1583"/>
      <c r="I684" s="1583"/>
      <c r="J684" s="1583"/>
      <c r="K684" s="1583"/>
      <c r="L684" s="1583"/>
      <c r="M684" s="1583"/>
      <c r="N684" s="1583"/>
      <c r="O684" s="1583"/>
      <c r="P684" s="1583"/>
      <c r="Q684" s="1583"/>
      <c r="R684" s="1600"/>
      <c r="S684" s="1600"/>
      <c r="T684" s="1585"/>
      <c r="U684" s="1585"/>
      <c r="V684" s="1585"/>
      <c r="W684" s="1585"/>
      <c r="X684" s="1585"/>
      <c r="Y684" s="1585"/>
      <c r="Z684" s="1585"/>
      <c r="AA684" s="1585">
        <v>4412.16</v>
      </c>
      <c r="AB684" s="1585"/>
      <c r="AC684" s="1585"/>
      <c r="AD684" s="1601">
        <f t="shared" si="70"/>
        <v>4412.16</v>
      </c>
      <c r="AE684" s="1790">
        <v>0</v>
      </c>
      <c r="AF684" s="1792"/>
    </row>
    <row r="685" spans="1:32" s="1602" customFormat="1" ht="26.1" customHeight="1">
      <c r="A685" s="2918"/>
      <c r="B685" s="2919"/>
      <c r="C685" s="2920"/>
      <c r="D685" s="2917"/>
      <c r="E685" s="1603" t="s">
        <v>2497</v>
      </c>
      <c r="F685" s="1583"/>
      <c r="G685" s="1583"/>
      <c r="H685" s="1583"/>
      <c r="I685" s="1583"/>
      <c r="J685" s="1583"/>
      <c r="K685" s="1583"/>
      <c r="L685" s="1583"/>
      <c r="M685" s="1583"/>
      <c r="N685" s="1583"/>
      <c r="O685" s="1583"/>
      <c r="P685" s="1583"/>
      <c r="Q685" s="1583"/>
      <c r="R685" s="1600"/>
      <c r="S685" s="1600"/>
      <c r="T685" s="1585"/>
      <c r="U685" s="1585"/>
      <c r="V685" s="1585"/>
      <c r="W685" s="1585"/>
      <c r="X685" s="1585"/>
      <c r="Y685" s="1585"/>
      <c r="Z685" s="1585"/>
      <c r="AA685" s="1585"/>
      <c r="AB685" s="1585"/>
      <c r="AC685" s="1585"/>
      <c r="AD685" s="1601">
        <f t="shared" si="70"/>
        <v>0</v>
      </c>
      <c r="AE685" s="1790">
        <v>0</v>
      </c>
      <c r="AF685" s="1792"/>
    </row>
    <row r="686" spans="1:32" s="1602" customFormat="1" ht="26.1" customHeight="1">
      <c r="A686" s="2918" t="s">
        <v>1649</v>
      </c>
      <c r="B686" s="2919" t="s">
        <v>2120</v>
      </c>
      <c r="C686" s="2920" t="s">
        <v>52</v>
      </c>
      <c r="D686" s="2917">
        <v>2963.52</v>
      </c>
      <c r="E686" s="1598" t="s">
        <v>2496</v>
      </c>
      <c r="F686" s="1583"/>
      <c r="G686" s="1583"/>
      <c r="H686" s="1583"/>
      <c r="I686" s="1583"/>
      <c r="J686" s="1583"/>
      <c r="K686" s="1605"/>
      <c r="L686" s="1583"/>
      <c r="M686" s="1583"/>
      <c r="N686" s="1583"/>
      <c r="O686" s="1583"/>
      <c r="P686" s="1583"/>
      <c r="Q686" s="1583"/>
      <c r="R686" s="1600"/>
      <c r="S686" s="1600"/>
      <c r="T686" s="1585"/>
      <c r="U686" s="1585"/>
      <c r="V686" s="1585"/>
      <c r="W686" s="1585"/>
      <c r="X686" s="1585"/>
      <c r="Y686" s="1585"/>
      <c r="Z686" s="1585"/>
      <c r="AA686" s="1585">
        <v>2963.52</v>
      </c>
      <c r="AB686" s="1585"/>
      <c r="AC686" s="1585"/>
      <c r="AD686" s="1601">
        <f t="shared" si="70"/>
        <v>2963.52</v>
      </c>
      <c r="AE686" s="1790">
        <v>0</v>
      </c>
      <c r="AF686" s="1792"/>
    </row>
    <row r="687" spans="1:32" s="1602" customFormat="1" ht="26.1" customHeight="1">
      <c r="A687" s="2918"/>
      <c r="B687" s="2919"/>
      <c r="C687" s="2920"/>
      <c r="D687" s="2917"/>
      <c r="E687" s="1603" t="s">
        <v>2497</v>
      </c>
      <c r="F687" s="1583"/>
      <c r="G687" s="1583"/>
      <c r="H687" s="1583"/>
      <c r="I687" s="1583"/>
      <c r="J687" s="1583"/>
      <c r="K687" s="1605"/>
      <c r="L687" s="1583"/>
      <c r="M687" s="1583"/>
      <c r="N687" s="1583"/>
      <c r="O687" s="1583"/>
      <c r="P687" s="1583"/>
      <c r="Q687" s="1583"/>
      <c r="R687" s="1600"/>
      <c r="S687" s="1600"/>
      <c r="T687" s="1585"/>
      <c r="U687" s="1585"/>
      <c r="V687" s="1585"/>
      <c r="W687" s="1585"/>
      <c r="X687" s="1585"/>
      <c r="Y687" s="1585"/>
      <c r="Z687" s="1585"/>
      <c r="AA687" s="1585"/>
      <c r="AB687" s="1585"/>
      <c r="AC687" s="1585"/>
      <c r="AD687" s="1601">
        <f t="shared" si="70"/>
        <v>0</v>
      </c>
      <c r="AE687" s="1790">
        <v>0</v>
      </c>
      <c r="AF687" s="1792"/>
    </row>
    <row r="688" spans="1:32" s="1602" customFormat="1" ht="26.1" customHeight="1">
      <c r="A688" s="2918" t="s">
        <v>1650</v>
      </c>
      <c r="B688" s="2919" t="s">
        <v>2121</v>
      </c>
      <c r="C688" s="2920" t="s">
        <v>52</v>
      </c>
      <c r="D688" s="2917">
        <v>16525.34</v>
      </c>
      <c r="E688" s="1598" t="s">
        <v>2496</v>
      </c>
      <c r="F688" s="1583"/>
      <c r="G688" s="1583"/>
      <c r="H688" s="1583"/>
      <c r="I688" s="1583"/>
      <c r="J688" s="1583"/>
      <c r="K688" s="1583"/>
      <c r="L688" s="1583"/>
      <c r="M688" s="1583"/>
      <c r="N688" s="1583"/>
      <c r="O688" s="1583"/>
      <c r="P688" s="1583"/>
      <c r="Q688" s="1583"/>
      <c r="R688" s="1600"/>
      <c r="S688" s="1600"/>
      <c r="T688" s="1585"/>
      <c r="U688" s="1585"/>
      <c r="V688" s="1585"/>
      <c r="W688" s="1585"/>
      <c r="X688" s="1585"/>
      <c r="Y688" s="1585"/>
      <c r="Z688" s="1585"/>
      <c r="AA688" s="1585">
        <v>16525.34</v>
      </c>
      <c r="AB688" s="1585"/>
      <c r="AC688" s="1585"/>
      <c r="AD688" s="1601">
        <f t="shared" si="70"/>
        <v>16525.34</v>
      </c>
      <c r="AE688" s="1790">
        <v>0</v>
      </c>
      <c r="AF688" s="1792"/>
    </row>
    <row r="689" spans="1:32" s="1602" customFormat="1" ht="26.1" customHeight="1">
      <c r="A689" s="2918"/>
      <c r="B689" s="2919"/>
      <c r="C689" s="2920"/>
      <c r="D689" s="2917"/>
      <c r="E689" s="1603" t="s">
        <v>2497</v>
      </c>
      <c r="F689" s="1583"/>
      <c r="G689" s="1583"/>
      <c r="H689" s="1583"/>
      <c r="I689" s="1583"/>
      <c r="J689" s="1583"/>
      <c r="K689" s="1583"/>
      <c r="L689" s="1583"/>
      <c r="M689" s="1583"/>
      <c r="N689" s="1583"/>
      <c r="O689" s="1583"/>
      <c r="P689" s="1583"/>
      <c r="Q689" s="1583"/>
      <c r="R689" s="1600"/>
      <c r="S689" s="1600"/>
      <c r="T689" s="1585"/>
      <c r="U689" s="1585"/>
      <c r="V689" s="1585"/>
      <c r="W689" s="1585"/>
      <c r="X689" s="1585"/>
      <c r="Y689" s="1585"/>
      <c r="Z689" s="1585"/>
      <c r="AA689" s="1585"/>
      <c r="AB689" s="1585"/>
      <c r="AC689" s="1585"/>
      <c r="AD689" s="1601">
        <f t="shared" si="70"/>
        <v>0</v>
      </c>
      <c r="AE689" s="1790">
        <v>0</v>
      </c>
      <c r="AF689" s="1792"/>
    </row>
    <row r="690" spans="1:32" s="1602" customFormat="1" ht="26.1" customHeight="1">
      <c r="A690" s="1594">
        <v>7</v>
      </c>
      <c r="B690" s="1614" t="s">
        <v>2122</v>
      </c>
      <c r="C690" s="1626"/>
      <c r="D690" s="1597"/>
      <c r="E690" s="1600"/>
      <c r="F690" s="1583"/>
      <c r="G690" s="1583"/>
      <c r="H690" s="1583"/>
      <c r="I690" s="1583"/>
      <c r="J690" s="1583"/>
      <c r="K690" s="1583"/>
      <c r="L690" s="1583"/>
      <c r="M690" s="1583"/>
      <c r="N690" s="1583"/>
      <c r="O690" s="1583"/>
      <c r="P690" s="1583"/>
      <c r="Q690" s="1583"/>
      <c r="R690" s="1600"/>
      <c r="S690" s="1600"/>
      <c r="T690" s="1585"/>
      <c r="U690" s="1585"/>
      <c r="V690" s="1585"/>
      <c r="W690" s="1585"/>
      <c r="X690" s="1585"/>
      <c r="Y690" s="1585"/>
      <c r="Z690" s="1585"/>
      <c r="AA690" s="1585"/>
      <c r="AB690" s="1585"/>
      <c r="AC690" s="1585"/>
      <c r="AD690" s="1601">
        <f t="shared" si="70"/>
        <v>0</v>
      </c>
      <c r="AE690" s="1790">
        <v>0</v>
      </c>
      <c r="AF690" s="1792"/>
    </row>
    <row r="691" spans="1:32" s="1602" customFormat="1" ht="26.1" customHeight="1">
      <c r="A691" s="1594">
        <v>7.1</v>
      </c>
      <c r="B691" s="1614" t="s">
        <v>2123</v>
      </c>
      <c r="C691" s="1596"/>
      <c r="D691" s="1597"/>
      <c r="E691" s="1600"/>
      <c r="F691" s="1583"/>
      <c r="G691" s="1583"/>
      <c r="H691" s="1583"/>
      <c r="I691" s="1583"/>
      <c r="J691" s="1583"/>
      <c r="K691" s="1605"/>
      <c r="L691" s="1583"/>
      <c r="M691" s="1583"/>
      <c r="N691" s="1583"/>
      <c r="O691" s="1583"/>
      <c r="P691" s="1583"/>
      <c r="Q691" s="1583"/>
      <c r="R691" s="1600"/>
      <c r="S691" s="1600"/>
      <c r="T691" s="1585"/>
      <c r="U691" s="1585"/>
      <c r="V691" s="1585"/>
      <c r="W691" s="1585"/>
      <c r="X691" s="1585"/>
      <c r="Y691" s="1585"/>
      <c r="Z691" s="1585"/>
      <c r="AA691" s="1585"/>
      <c r="AB691" s="1585"/>
      <c r="AC691" s="1585"/>
      <c r="AD691" s="1601">
        <f t="shared" si="70"/>
        <v>0</v>
      </c>
      <c r="AE691" s="1790">
        <v>0</v>
      </c>
      <c r="AF691" s="1792"/>
    </row>
    <row r="692" spans="1:32" s="1602" customFormat="1" ht="26.1" customHeight="1">
      <c r="A692" s="2918" t="s">
        <v>1651</v>
      </c>
      <c r="B692" s="2919" t="s">
        <v>2124</v>
      </c>
      <c r="C692" s="2920" t="s">
        <v>52</v>
      </c>
      <c r="D692" s="2917">
        <v>63000</v>
      </c>
      <c r="E692" s="1598" t="s">
        <v>2496</v>
      </c>
      <c r="F692" s="1583"/>
      <c r="G692" s="1583"/>
      <c r="H692" s="1583"/>
      <c r="I692" s="1583"/>
      <c r="J692" s="1583"/>
      <c r="K692" s="1583"/>
      <c r="L692" s="1583"/>
      <c r="M692" s="1583"/>
      <c r="N692" s="1583"/>
      <c r="O692" s="1583"/>
      <c r="P692" s="1583"/>
      <c r="Q692" s="1583"/>
      <c r="R692" s="1600"/>
      <c r="S692" s="1600"/>
      <c r="T692" s="1585"/>
      <c r="U692" s="1585"/>
      <c r="V692" s="1585"/>
      <c r="W692" s="1585"/>
      <c r="X692" s="1585"/>
      <c r="Y692" s="1585"/>
      <c r="Z692" s="1585"/>
      <c r="AA692" s="1585"/>
      <c r="AB692" s="1585"/>
      <c r="AC692" s="1585">
        <v>63000</v>
      </c>
      <c r="AD692" s="1601">
        <f t="shared" si="70"/>
        <v>63000</v>
      </c>
      <c r="AE692" s="1790">
        <v>0</v>
      </c>
      <c r="AF692" s="1792"/>
    </row>
    <row r="693" spans="1:32" s="1602" customFormat="1" ht="26.1" customHeight="1">
      <c r="A693" s="2918"/>
      <c r="B693" s="2919"/>
      <c r="C693" s="2920"/>
      <c r="D693" s="2917"/>
      <c r="E693" s="1603" t="s">
        <v>2497</v>
      </c>
      <c r="F693" s="1583"/>
      <c r="G693" s="1583"/>
      <c r="H693" s="1583"/>
      <c r="I693" s="1583"/>
      <c r="J693" s="1583"/>
      <c r="K693" s="1583"/>
      <c r="L693" s="1583"/>
      <c r="M693" s="1583"/>
      <c r="N693" s="1583"/>
      <c r="O693" s="1583"/>
      <c r="P693" s="1583"/>
      <c r="Q693" s="1583"/>
      <c r="R693" s="1600"/>
      <c r="S693" s="1600"/>
      <c r="T693" s="1585"/>
      <c r="U693" s="1585"/>
      <c r="V693" s="1585"/>
      <c r="W693" s="1585"/>
      <c r="X693" s="1585"/>
      <c r="Y693" s="1618"/>
      <c r="Z693" s="1585"/>
      <c r="AA693" s="1585"/>
      <c r="AB693" s="1585"/>
      <c r="AC693" s="1585"/>
      <c r="AD693" s="1601">
        <f t="shared" si="70"/>
        <v>0</v>
      </c>
      <c r="AE693" s="1790">
        <v>0</v>
      </c>
      <c r="AF693" s="1792"/>
    </row>
    <row r="694" spans="1:32" s="1602" customFormat="1" ht="26.1" customHeight="1">
      <c r="A694" s="2918" t="s">
        <v>1652</v>
      </c>
      <c r="B694" s="2919" t="s">
        <v>2125</v>
      </c>
      <c r="C694" s="2920" t="s">
        <v>52</v>
      </c>
      <c r="D694" s="2917">
        <v>182400</v>
      </c>
      <c r="E694" s="1598" t="s">
        <v>2496</v>
      </c>
      <c r="F694" s="1583"/>
      <c r="G694" s="1583"/>
      <c r="H694" s="1583"/>
      <c r="I694" s="1583"/>
      <c r="J694" s="1583"/>
      <c r="K694" s="1583"/>
      <c r="L694" s="1583"/>
      <c r="M694" s="1583"/>
      <c r="N694" s="1583"/>
      <c r="O694" s="1583"/>
      <c r="P694" s="1583"/>
      <c r="Q694" s="1583"/>
      <c r="R694" s="1600"/>
      <c r="S694" s="1600"/>
      <c r="T694" s="1585"/>
      <c r="U694" s="1585"/>
      <c r="V694" s="1585"/>
      <c r="W694" s="1585"/>
      <c r="X694" s="1585"/>
      <c r="Y694" s="1585"/>
      <c r="Z694" s="1585"/>
      <c r="AA694" s="1585"/>
      <c r="AB694" s="1585"/>
      <c r="AC694" s="1585">
        <v>182400</v>
      </c>
      <c r="AD694" s="1601">
        <f t="shared" si="70"/>
        <v>182400</v>
      </c>
      <c r="AE694" s="1790">
        <v>0</v>
      </c>
      <c r="AF694" s="1792"/>
    </row>
    <row r="695" spans="1:32" s="1602" customFormat="1" ht="26.1" customHeight="1">
      <c r="A695" s="2918"/>
      <c r="B695" s="2919"/>
      <c r="C695" s="2920"/>
      <c r="D695" s="2917"/>
      <c r="E695" s="1603" t="s">
        <v>2497</v>
      </c>
      <c r="F695" s="1583"/>
      <c r="G695" s="1583"/>
      <c r="H695" s="1583"/>
      <c r="I695" s="1583"/>
      <c r="J695" s="1583"/>
      <c r="K695" s="1583"/>
      <c r="L695" s="1583"/>
      <c r="M695" s="1583"/>
      <c r="N695" s="1583"/>
      <c r="O695" s="1583"/>
      <c r="P695" s="1583"/>
      <c r="Q695" s="1583"/>
      <c r="R695" s="1600"/>
      <c r="S695" s="1600"/>
      <c r="T695" s="1585"/>
      <c r="U695" s="1585"/>
      <c r="V695" s="1585"/>
      <c r="W695" s="1585"/>
      <c r="X695" s="1585"/>
      <c r="Y695" s="1618"/>
      <c r="Z695" s="1585"/>
      <c r="AA695" s="1585"/>
      <c r="AB695" s="1585"/>
      <c r="AC695" s="1585"/>
      <c r="AD695" s="1601">
        <f t="shared" si="70"/>
        <v>0</v>
      </c>
      <c r="AE695" s="1790">
        <v>0</v>
      </c>
      <c r="AF695" s="1792"/>
    </row>
    <row r="696" spans="1:32" s="1602" customFormat="1" ht="26.1" customHeight="1">
      <c r="A696" s="2918" t="s">
        <v>1653</v>
      </c>
      <c r="B696" s="2919" t="s">
        <v>2126</v>
      </c>
      <c r="C696" s="2920" t="s">
        <v>52</v>
      </c>
      <c r="D696" s="2917">
        <v>34300</v>
      </c>
      <c r="E696" s="1598" t="s">
        <v>2496</v>
      </c>
      <c r="F696" s="1583"/>
      <c r="G696" s="1583"/>
      <c r="H696" s="1583"/>
      <c r="I696" s="1583"/>
      <c r="J696" s="1583"/>
      <c r="K696" s="1583"/>
      <c r="L696" s="1583"/>
      <c r="M696" s="1583"/>
      <c r="N696" s="1583"/>
      <c r="O696" s="1583"/>
      <c r="P696" s="1583"/>
      <c r="Q696" s="1583"/>
      <c r="R696" s="1600"/>
      <c r="S696" s="1600"/>
      <c r="T696" s="1585"/>
      <c r="U696" s="1585"/>
      <c r="V696" s="1585"/>
      <c r="W696" s="1585"/>
      <c r="X696" s="1585"/>
      <c r="Y696" s="1585"/>
      <c r="Z696" s="1585"/>
      <c r="AA696" s="1585"/>
      <c r="AB696" s="1585"/>
      <c r="AC696" s="1585">
        <v>34300</v>
      </c>
      <c r="AD696" s="1601">
        <f t="shared" si="70"/>
        <v>34300</v>
      </c>
      <c r="AE696" s="1790">
        <v>0</v>
      </c>
      <c r="AF696" s="1792"/>
    </row>
    <row r="697" spans="1:32" s="1602" customFormat="1" ht="26.1" customHeight="1">
      <c r="A697" s="2918"/>
      <c r="B697" s="2919"/>
      <c r="C697" s="2920"/>
      <c r="D697" s="2917"/>
      <c r="E697" s="1603" t="s">
        <v>2497</v>
      </c>
      <c r="F697" s="1583"/>
      <c r="G697" s="1583"/>
      <c r="H697" s="1583"/>
      <c r="I697" s="1583"/>
      <c r="J697" s="1583"/>
      <c r="K697" s="1583"/>
      <c r="L697" s="1583"/>
      <c r="M697" s="1583"/>
      <c r="N697" s="1583"/>
      <c r="O697" s="1583"/>
      <c r="P697" s="1583"/>
      <c r="Q697" s="1583"/>
      <c r="R697" s="1600"/>
      <c r="S697" s="1600"/>
      <c r="T697" s="1585"/>
      <c r="U697" s="1585"/>
      <c r="V697" s="1585"/>
      <c r="W697" s="1585"/>
      <c r="X697" s="1585"/>
      <c r="Y697" s="1618"/>
      <c r="Z697" s="1585"/>
      <c r="AA697" s="1585"/>
      <c r="AB697" s="1585"/>
      <c r="AC697" s="1585"/>
      <c r="AD697" s="1601">
        <f t="shared" si="70"/>
        <v>0</v>
      </c>
      <c r="AE697" s="1790">
        <v>0</v>
      </c>
      <c r="AF697" s="1792"/>
    </row>
    <row r="698" spans="1:32" s="1602" customFormat="1" ht="26.1" customHeight="1">
      <c r="A698" s="2918" t="s">
        <v>1654</v>
      </c>
      <c r="B698" s="2919" t="s">
        <v>2127</v>
      </c>
      <c r="C698" s="2920" t="s">
        <v>52</v>
      </c>
      <c r="D698" s="2917">
        <v>4980</v>
      </c>
      <c r="E698" s="1598" t="s">
        <v>2496</v>
      </c>
      <c r="F698" s="1583"/>
      <c r="G698" s="1583"/>
      <c r="H698" s="1583"/>
      <c r="I698" s="1583"/>
      <c r="J698" s="1583"/>
      <c r="K698" s="1583"/>
      <c r="L698" s="1583"/>
      <c r="M698" s="1583"/>
      <c r="N698" s="1583"/>
      <c r="O698" s="1583"/>
      <c r="P698" s="1583"/>
      <c r="Q698" s="1583"/>
      <c r="R698" s="1600"/>
      <c r="S698" s="1600"/>
      <c r="T698" s="1585"/>
      <c r="U698" s="1585"/>
      <c r="V698" s="1585"/>
      <c r="W698" s="1585"/>
      <c r="X698" s="1585"/>
      <c r="Y698" s="1585"/>
      <c r="Z698" s="1585"/>
      <c r="AA698" s="1585"/>
      <c r="AB698" s="1585"/>
      <c r="AC698" s="1585">
        <v>4980</v>
      </c>
      <c r="AD698" s="1601">
        <f t="shared" si="70"/>
        <v>4980</v>
      </c>
      <c r="AE698" s="1790">
        <v>0</v>
      </c>
      <c r="AF698" s="1792"/>
    </row>
    <row r="699" spans="1:32" s="1602" customFormat="1" ht="26.1" customHeight="1">
      <c r="A699" s="2918"/>
      <c r="B699" s="2919"/>
      <c r="C699" s="2920"/>
      <c r="D699" s="2917"/>
      <c r="E699" s="1603" t="s">
        <v>2497</v>
      </c>
      <c r="F699" s="1583"/>
      <c r="G699" s="1583"/>
      <c r="H699" s="1583"/>
      <c r="I699" s="1583"/>
      <c r="J699" s="1583"/>
      <c r="K699" s="1583"/>
      <c r="L699" s="1583"/>
      <c r="M699" s="1583"/>
      <c r="N699" s="1583"/>
      <c r="O699" s="1583"/>
      <c r="P699" s="1583"/>
      <c r="Q699" s="1583"/>
      <c r="R699" s="1600"/>
      <c r="S699" s="1600"/>
      <c r="T699" s="1585"/>
      <c r="U699" s="1585"/>
      <c r="V699" s="1585"/>
      <c r="W699" s="1585"/>
      <c r="X699" s="1585"/>
      <c r="Y699" s="1618"/>
      <c r="Z699" s="1585"/>
      <c r="AA699" s="1585"/>
      <c r="AB699" s="1585"/>
      <c r="AC699" s="1585"/>
      <c r="AD699" s="1601">
        <f t="shared" si="70"/>
        <v>0</v>
      </c>
      <c r="AE699" s="1790">
        <v>0</v>
      </c>
      <c r="AF699" s="1792"/>
    </row>
    <row r="700" spans="1:32" s="1602" customFormat="1" ht="26.1" customHeight="1">
      <c r="A700" s="2918" t="s">
        <v>1655</v>
      </c>
      <c r="B700" s="2919" t="s">
        <v>2128</v>
      </c>
      <c r="C700" s="2920" t="s">
        <v>52</v>
      </c>
      <c r="D700" s="2917">
        <v>4200</v>
      </c>
      <c r="E700" s="1598" t="s">
        <v>2496</v>
      </c>
      <c r="F700" s="1583"/>
      <c r="G700" s="1583"/>
      <c r="H700" s="1583"/>
      <c r="I700" s="1583"/>
      <c r="J700" s="1583"/>
      <c r="K700" s="1583"/>
      <c r="L700" s="1583"/>
      <c r="M700" s="1583"/>
      <c r="N700" s="1583"/>
      <c r="O700" s="1583"/>
      <c r="P700" s="1583"/>
      <c r="Q700" s="1583"/>
      <c r="R700" s="1600"/>
      <c r="S700" s="1600"/>
      <c r="T700" s="1585"/>
      <c r="U700" s="1585"/>
      <c r="V700" s="1585"/>
      <c r="W700" s="1585"/>
      <c r="X700" s="1585"/>
      <c r="Y700" s="1585"/>
      <c r="Z700" s="1585"/>
      <c r="AA700" s="1585"/>
      <c r="AB700" s="1585"/>
      <c r="AC700" s="1585">
        <v>4200</v>
      </c>
      <c r="AD700" s="1601">
        <f t="shared" si="70"/>
        <v>4200</v>
      </c>
      <c r="AE700" s="1790">
        <v>0</v>
      </c>
      <c r="AF700" s="1792"/>
    </row>
    <row r="701" spans="1:32" s="1602" customFormat="1" ht="26.1" customHeight="1">
      <c r="A701" s="2918"/>
      <c r="B701" s="2919"/>
      <c r="C701" s="2920"/>
      <c r="D701" s="2917"/>
      <c r="E701" s="1603" t="s">
        <v>2497</v>
      </c>
      <c r="F701" s="1583"/>
      <c r="G701" s="1583"/>
      <c r="H701" s="1583"/>
      <c r="I701" s="1583"/>
      <c r="J701" s="1583"/>
      <c r="K701" s="1583"/>
      <c r="L701" s="1583"/>
      <c r="M701" s="1583"/>
      <c r="N701" s="1583"/>
      <c r="O701" s="1583"/>
      <c r="P701" s="1583"/>
      <c r="Q701" s="1583"/>
      <c r="R701" s="1600"/>
      <c r="S701" s="1600"/>
      <c r="T701" s="1585"/>
      <c r="U701" s="1585"/>
      <c r="V701" s="1585"/>
      <c r="W701" s="1585"/>
      <c r="X701" s="1585"/>
      <c r="Y701" s="1618"/>
      <c r="Z701" s="1585"/>
      <c r="AA701" s="1585"/>
      <c r="AB701" s="1585"/>
      <c r="AC701" s="1585"/>
      <c r="AD701" s="1601">
        <f t="shared" si="70"/>
        <v>0</v>
      </c>
      <c r="AE701" s="1790">
        <v>0</v>
      </c>
      <c r="AF701" s="1792"/>
    </row>
    <row r="702" spans="1:32" s="1602" customFormat="1" ht="26.1" customHeight="1">
      <c r="A702" s="2918" t="s">
        <v>1656</v>
      </c>
      <c r="B702" s="2919" t="s">
        <v>2129</v>
      </c>
      <c r="C702" s="2920" t="s">
        <v>52</v>
      </c>
      <c r="D702" s="2917">
        <v>71700</v>
      </c>
      <c r="E702" s="1598" t="s">
        <v>2496</v>
      </c>
      <c r="F702" s="1583"/>
      <c r="G702" s="1583"/>
      <c r="H702" s="1583"/>
      <c r="I702" s="1583"/>
      <c r="J702" s="1583"/>
      <c r="K702" s="1583"/>
      <c r="L702" s="1583"/>
      <c r="M702" s="1583"/>
      <c r="N702" s="1583"/>
      <c r="O702" s="1583"/>
      <c r="P702" s="1583"/>
      <c r="Q702" s="1583"/>
      <c r="R702" s="1600"/>
      <c r="S702" s="1600"/>
      <c r="T702" s="1585"/>
      <c r="U702" s="1585"/>
      <c r="V702" s="1585"/>
      <c r="W702" s="1585"/>
      <c r="X702" s="1585"/>
      <c r="Y702" s="1585"/>
      <c r="Z702" s="1585"/>
      <c r="AA702" s="1585"/>
      <c r="AB702" s="1585"/>
      <c r="AC702" s="1585">
        <v>71700</v>
      </c>
      <c r="AD702" s="1601">
        <f t="shared" si="70"/>
        <v>71700</v>
      </c>
      <c r="AE702" s="1790">
        <v>0</v>
      </c>
      <c r="AF702" s="1792"/>
    </row>
    <row r="703" spans="1:32" s="1602" customFormat="1" ht="26.1" customHeight="1">
      <c r="A703" s="2918"/>
      <c r="B703" s="2919"/>
      <c r="C703" s="2920"/>
      <c r="D703" s="2917"/>
      <c r="E703" s="1603" t="s">
        <v>2497</v>
      </c>
      <c r="F703" s="1583"/>
      <c r="G703" s="1583"/>
      <c r="H703" s="1583"/>
      <c r="I703" s="1583"/>
      <c r="J703" s="1583"/>
      <c r="K703" s="1583"/>
      <c r="L703" s="1583"/>
      <c r="M703" s="1583"/>
      <c r="N703" s="1583"/>
      <c r="O703" s="1583"/>
      <c r="P703" s="1583"/>
      <c r="Q703" s="1583"/>
      <c r="R703" s="1600"/>
      <c r="S703" s="1600"/>
      <c r="T703" s="1585"/>
      <c r="U703" s="1585"/>
      <c r="V703" s="1585"/>
      <c r="W703" s="1585"/>
      <c r="X703" s="1585"/>
      <c r="Y703" s="1618"/>
      <c r="Z703" s="1585"/>
      <c r="AA703" s="1585"/>
      <c r="AB703" s="1585"/>
      <c r="AC703" s="1585"/>
      <c r="AD703" s="1601">
        <f t="shared" si="70"/>
        <v>0</v>
      </c>
      <c r="AE703" s="1790">
        <v>0</v>
      </c>
      <c r="AF703" s="1792"/>
    </row>
    <row r="704" spans="1:32" s="1602" customFormat="1" ht="26.1" customHeight="1">
      <c r="A704" s="2918" t="s">
        <v>1657</v>
      </c>
      <c r="B704" s="2919" t="s">
        <v>2130</v>
      </c>
      <c r="C704" s="2920" t="s">
        <v>52</v>
      </c>
      <c r="D704" s="2917">
        <v>157450</v>
      </c>
      <c r="E704" s="1598" t="s">
        <v>2496</v>
      </c>
      <c r="F704" s="1583"/>
      <c r="G704" s="1583"/>
      <c r="H704" s="1583"/>
      <c r="I704" s="1583"/>
      <c r="J704" s="1583"/>
      <c r="K704" s="1583"/>
      <c r="L704" s="1583"/>
      <c r="M704" s="1583"/>
      <c r="N704" s="1583"/>
      <c r="O704" s="1583"/>
      <c r="P704" s="1583"/>
      <c r="Q704" s="1583"/>
      <c r="R704" s="1600"/>
      <c r="S704" s="1600"/>
      <c r="T704" s="1585"/>
      <c r="U704" s="1585"/>
      <c r="V704" s="1585"/>
      <c r="W704" s="1585"/>
      <c r="X704" s="1585"/>
      <c r="Y704" s="1585"/>
      <c r="Z704" s="1585"/>
      <c r="AA704" s="1585"/>
      <c r="AB704" s="1585"/>
      <c r="AC704" s="1585">
        <v>157450</v>
      </c>
      <c r="AD704" s="1601">
        <f t="shared" si="70"/>
        <v>157450</v>
      </c>
      <c r="AE704" s="1790">
        <v>0</v>
      </c>
      <c r="AF704" s="1792"/>
    </row>
    <row r="705" spans="1:32" s="1602" customFormat="1" ht="26.1" customHeight="1">
      <c r="A705" s="2918"/>
      <c r="B705" s="2919"/>
      <c r="C705" s="2920"/>
      <c r="D705" s="2917"/>
      <c r="E705" s="1603" t="s">
        <v>2497</v>
      </c>
      <c r="F705" s="1583"/>
      <c r="G705" s="1583"/>
      <c r="H705" s="1583"/>
      <c r="I705" s="1583"/>
      <c r="J705" s="1583"/>
      <c r="K705" s="1583"/>
      <c r="L705" s="1583"/>
      <c r="M705" s="1583"/>
      <c r="N705" s="1583"/>
      <c r="O705" s="1583"/>
      <c r="P705" s="1583"/>
      <c r="Q705" s="1583"/>
      <c r="R705" s="1600"/>
      <c r="S705" s="1600"/>
      <c r="T705" s="1585"/>
      <c r="U705" s="1585"/>
      <c r="V705" s="1585"/>
      <c r="W705" s="1585"/>
      <c r="X705" s="1585"/>
      <c r="Y705" s="1618"/>
      <c r="Z705" s="1585"/>
      <c r="AA705" s="1585"/>
      <c r="AB705" s="1585"/>
      <c r="AC705" s="1585"/>
      <c r="AD705" s="1601">
        <f t="shared" si="70"/>
        <v>0</v>
      </c>
      <c r="AE705" s="1790">
        <v>0</v>
      </c>
      <c r="AF705" s="1792"/>
    </row>
    <row r="706" spans="1:32" s="1602" customFormat="1" ht="26.1" customHeight="1">
      <c r="A706" s="2918" t="s">
        <v>1658</v>
      </c>
      <c r="B706" s="2919" t="s">
        <v>2131</v>
      </c>
      <c r="C706" s="2920" t="s">
        <v>52</v>
      </c>
      <c r="D706" s="2917">
        <v>437760</v>
      </c>
      <c r="E706" s="1598" t="s">
        <v>2496</v>
      </c>
      <c r="F706" s="1583"/>
      <c r="G706" s="1583"/>
      <c r="H706" s="1583"/>
      <c r="I706" s="1583"/>
      <c r="J706" s="1583"/>
      <c r="K706" s="1583"/>
      <c r="L706" s="1583"/>
      <c r="M706" s="1583"/>
      <c r="N706" s="1583"/>
      <c r="O706" s="1583"/>
      <c r="P706" s="1583"/>
      <c r="Q706" s="1583"/>
      <c r="R706" s="1600"/>
      <c r="S706" s="1600"/>
      <c r="T706" s="1585"/>
      <c r="U706" s="1585"/>
      <c r="V706" s="1585"/>
      <c r="W706" s="1585"/>
      <c r="X706" s="1585"/>
      <c r="Y706" s="1585"/>
      <c r="Z706" s="1585"/>
      <c r="AA706" s="1585"/>
      <c r="AB706" s="1585"/>
      <c r="AC706" s="1585">
        <v>437760</v>
      </c>
      <c r="AD706" s="1601">
        <f t="shared" si="70"/>
        <v>437760</v>
      </c>
      <c r="AE706" s="1790">
        <v>0</v>
      </c>
      <c r="AF706" s="1792"/>
    </row>
    <row r="707" spans="1:32" s="1602" customFormat="1" ht="26.1" customHeight="1">
      <c r="A707" s="2918"/>
      <c r="B707" s="2919"/>
      <c r="C707" s="2920"/>
      <c r="D707" s="2917"/>
      <c r="E707" s="1603" t="s">
        <v>2497</v>
      </c>
      <c r="F707" s="1583"/>
      <c r="G707" s="1583"/>
      <c r="H707" s="1583"/>
      <c r="I707" s="1583"/>
      <c r="J707" s="1583"/>
      <c r="K707" s="1583"/>
      <c r="L707" s="1583"/>
      <c r="M707" s="1583"/>
      <c r="N707" s="1583"/>
      <c r="O707" s="1583"/>
      <c r="P707" s="1583"/>
      <c r="Q707" s="1583"/>
      <c r="R707" s="1600"/>
      <c r="S707" s="1600"/>
      <c r="T707" s="1585"/>
      <c r="U707" s="1585"/>
      <c r="V707" s="1585"/>
      <c r="W707" s="1585"/>
      <c r="X707" s="1585"/>
      <c r="Y707" s="1618"/>
      <c r="Z707" s="1585"/>
      <c r="AA707" s="1585"/>
      <c r="AB707" s="1585"/>
      <c r="AC707" s="1585"/>
      <c r="AD707" s="1601">
        <f t="shared" si="70"/>
        <v>0</v>
      </c>
      <c r="AE707" s="1790">
        <v>0</v>
      </c>
      <c r="AF707" s="1792"/>
    </row>
    <row r="708" spans="1:32" s="1602" customFormat="1" ht="26.1" customHeight="1">
      <c r="A708" s="2918" t="s">
        <v>1659</v>
      </c>
      <c r="B708" s="2919" t="s">
        <v>2132</v>
      </c>
      <c r="C708" s="2920" t="s">
        <v>52</v>
      </c>
      <c r="D708" s="2917">
        <v>3600</v>
      </c>
      <c r="E708" s="1598" t="s">
        <v>2496</v>
      </c>
      <c r="F708" s="1583"/>
      <c r="G708" s="1583"/>
      <c r="H708" s="1583"/>
      <c r="I708" s="1583"/>
      <c r="J708" s="1583"/>
      <c r="K708" s="1583"/>
      <c r="L708" s="1583"/>
      <c r="M708" s="1583"/>
      <c r="N708" s="1583"/>
      <c r="O708" s="1583"/>
      <c r="P708" s="1583"/>
      <c r="Q708" s="1583"/>
      <c r="R708" s="1600"/>
      <c r="S708" s="1600"/>
      <c r="T708" s="1585"/>
      <c r="U708" s="1585"/>
      <c r="V708" s="1585"/>
      <c r="W708" s="1585"/>
      <c r="X708" s="1585"/>
      <c r="Y708" s="1585"/>
      <c r="Z708" s="1585"/>
      <c r="AA708" s="1585"/>
      <c r="AB708" s="1585"/>
      <c r="AC708" s="1585">
        <v>3600</v>
      </c>
      <c r="AD708" s="1601">
        <f t="shared" si="70"/>
        <v>3600</v>
      </c>
      <c r="AE708" s="1790">
        <v>0</v>
      </c>
      <c r="AF708" s="1792"/>
    </row>
    <row r="709" spans="1:32" s="1602" customFormat="1" ht="26.1" customHeight="1">
      <c r="A709" s="2918"/>
      <c r="B709" s="2919"/>
      <c r="C709" s="2920"/>
      <c r="D709" s="2917"/>
      <c r="E709" s="1603" t="s">
        <v>2497</v>
      </c>
      <c r="F709" s="1583"/>
      <c r="G709" s="1583"/>
      <c r="H709" s="1583"/>
      <c r="I709" s="1583"/>
      <c r="J709" s="1583"/>
      <c r="K709" s="1583"/>
      <c r="L709" s="1583"/>
      <c r="M709" s="1583"/>
      <c r="N709" s="1583"/>
      <c r="O709" s="1583"/>
      <c r="P709" s="1583"/>
      <c r="Q709" s="1583"/>
      <c r="R709" s="1600"/>
      <c r="S709" s="1600"/>
      <c r="T709" s="1585"/>
      <c r="U709" s="1585"/>
      <c r="V709" s="1585"/>
      <c r="W709" s="1585"/>
      <c r="X709" s="1585"/>
      <c r="Y709" s="1618"/>
      <c r="Z709" s="1585"/>
      <c r="AA709" s="1585"/>
      <c r="AB709" s="1585"/>
      <c r="AC709" s="1585"/>
      <c r="AD709" s="1601">
        <f t="shared" si="70"/>
        <v>0</v>
      </c>
      <c r="AE709" s="1790">
        <v>0</v>
      </c>
      <c r="AF709" s="1792"/>
    </row>
    <row r="710" spans="1:32" s="1602" customFormat="1" ht="26.1" customHeight="1">
      <c r="A710" s="2918" t="s">
        <v>1660</v>
      </c>
      <c r="B710" s="2919" t="s">
        <v>2133</v>
      </c>
      <c r="C710" s="2920" t="s">
        <v>52</v>
      </c>
      <c r="D710" s="2917">
        <v>4500</v>
      </c>
      <c r="E710" s="1598" t="s">
        <v>2496</v>
      </c>
      <c r="F710" s="1583"/>
      <c r="G710" s="1583"/>
      <c r="H710" s="1583"/>
      <c r="I710" s="1583"/>
      <c r="J710" s="1583"/>
      <c r="K710" s="1583"/>
      <c r="L710" s="1583"/>
      <c r="M710" s="1583"/>
      <c r="N710" s="1583"/>
      <c r="O710" s="1583"/>
      <c r="P710" s="1583"/>
      <c r="Q710" s="1583"/>
      <c r="R710" s="1600"/>
      <c r="S710" s="1600"/>
      <c r="T710" s="1585"/>
      <c r="U710" s="1585"/>
      <c r="V710" s="1585"/>
      <c r="W710" s="1585"/>
      <c r="X710" s="1585"/>
      <c r="Y710" s="1585"/>
      <c r="Z710" s="1585"/>
      <c r="AA710" s="1585"/>
      <c r="AB710" s="1585"/>
      <c r="AC710" s="1585">
        <v>4500</v>
      </c>
      <c r="AD710" s="1601">
        <f t="shared" si="70"/>
        <v>4500</v>
      </c>
      <c r="AE710" s="1790">
        <v>0</v>
      </c>
      <c r="AF710" s="1792"/>
    </row>
    <row r="711" spans="1:32" s="1602" customFormat="1" ht="26.1" customHeight="1">
      <c r="A711" s="2918"/>
      <c r="B711" s="2919"/>
      <c r="C711" s="2920"/>
      <c r="D711" s="2917"/>
      <c r="E711" s="1603" t="s">
        <v>2497</v>
      </c>
      <c r="F711" s="1583"/>
      <c r="G711" s="1583"/>
      <c r="H711" s="1583"/>
      <c r="I711" s="1583"/>
      <c r="J711" s="1583"/>
      <c r="K711" s="1583"/>
      <c r="L711" s="1583"/>
      <c r="M711" s="1583"/>
      <c r="N711" s="1583"/>
      <c r="O711" s="1583"/>
      <c r="P711" s="1583"/>
      <c r="Q711" s="1583"/>
      <c r="R711" s="1600"/>
      <c r="S711" s="1600"/>
      <c r="T711" s="1585"/>
      <c r="U711" s="1585"/>
      <c r="V711" s="1585"/>
      <c r="W711" s="1585"/>
      <c r="X711" s="1585"/>
      <c r="Y711" s="1585"/>
      <c r="Z711" s="1585"/>
      <c r="AA711" s="1585"/>
      <c r="AB711" s="1585"/>
      <c r="AC711" s="1585"/>
      <c r="AD711" s="1601">
        <f t="shared" si="70"/>
        <v>0</v>
      </c>
      <c r="AE711" s="1790">
        <v>0</v>
      </c>
      <c r="AF711" s="1792"/>
    </row>
    <row r="712" spans="1:32" s="1602" customFormat="1" ht="26.1" customHeight="1">
      <c r="A712" s="1594">
        <v>7.2</v>
      </c>
      <c r="B712" s="1614" t="s">
        <v>2134</v>
      </c>
      <c r="C712" s="1596"/>
      <c r="D712" s="1597"/>
      <c r="E712" s="1600"/>
      <c r="F712" s="1583"/>
      <c r="G712" s="1583"/>
      <c r="H712" s="1583"/>
      <c r="I712" s="1583"/>
      <c r="J712" s="1583"/>
      <c r="K712" s="1583"/>
      <c r="L712" s="1583"/>
      <c r="M712" s="1583"/>
      <c r="N712" s="1583"/>
      <c r="O712" s="1583"/>
      <c r="P712" s="1583"/>
      <c r="Q712" s="1583"/>
      <c r="R712" s="1600"/>
      <c r="S712" s="1600"/>
      <c r="T712" s="1585"/>
      <c r="U712" s="1585"/>
      <c r="V712" s="1585"/>
      <c r="W712" s="1585"/>
      <c r="X712" s="1585"/>
      <c r="Y712" s="1585"/>
      <c r="Z712" s="1585"/>
      <c r="AA712" s="1585"/>
      <c r="AB712" s="1585"/>
      <c r="AC712" s="1585"/>
      <c r="AD712" s="1601">
        <f t="shared" si="70"/>
        <v>0</v>
      </c>
      <c r="AE712" s="1790">
        <v>0</v>
      </c>
      <c r="AF712" s="1792"/>
    </row>
    <row r="713" spans="1:32" s="1602" customFormat="1" ht="26.1" customHeight="1">
      <c r="A713" s="2918" t="s">
        <v>1661</v>
      </c>
      <c r="B713" s="2919" t="s">
        <v>2135</v>
      </c>
      <c r="C713" s="2920" t="s">
        <v>52</v>
      </c>
      <c r="D713" s="2917">
        <v>7000</v>
      </c>
      <c r="E713" s="1598" t="s">
        <v>2496</v>
      </c>
      <c r="F713" s="1583"/>
      <c r="G713" s="1583"/>
      <c r="H713" s="1583"/>
      <c r="I713" s="1583"/>
      <c r="J713" s="1583"/>
      <c r="K713" s="1583"/>
      <c r="L713" s="1583"/>
      <c r="M713" s="1583"/>
      <c r="N713" s="1583"/>
      <c r="O713" s="1583"/>
      <c r="P713" s="1583"/>
      <c r="Q713" s="1583"/>
      <c r="R713" s="1600"/>
      <c r="S713" s="1600"/>
      <c r="T713" s="1585"/>
      <c r="U713" s="1585"/>
      <c r="V713" s="1585"/>
      <c r="W713" s="1585"/>
      <c r="X713" s="1585"/>
      <c r="Y713" s="1585"/>
      <c r="Z713" s="1585"/>
      <c r="AA713" s="1585"/>
      <c r="AB713" s="1585"/>
      <c r="AC713" s="1585">
        <v>7000</v>
      </c>
      <c r="AD713" s="1601">
        <f t="shared" si="70"/>
        <v>7000</v>
      </c>
      <c r="AE713" s="1790">
        <v>0</v>
      </c>
      <c r="AF713" s="1792"/>
    </row>
    <row r="714" spans="1:32" s="1602" customFormat="1" ht="26.1" customHeight="1">
      <c r="A714" s="2918"/>
      <c r="B714" s="2919"/>
      <c r="C714" s="2920"/>
      <c r="D714" s="2917"/>
      <c r="E714" s="1603" t="s">
        <v>2497</v>
      </c>
      <c r="F714" s="1583"/>
      <c r="G714" s="1583"/>
      <c r="H714" s="1583"/>
      <c r="I714" s="1583"/>
      <c r="J714" s="1583"/>
      <c r="K714" s="1583"/>
      <c r="L714" s="1583"/>
      <c r="M714" s="1583"/>
      <c r="N714" s="1583"/>
      <c r="O714" s="1583"/>
      <c r="P714" s="1583"/>
      <c r="Q714" s="1583"/>
      <c r="R714" s="1600"/>
      <c r="S714" s="1600"/>
      <c r="T714" s="1585"/>
      <c r="U714" s="1585"/>
      <c r="V714" s="1585"/>
      <c r="W714" s="1585"/>
      <c r="X714" s="1585"/>
      <c r="Y714" s="1585"/>
      <c r="Z714" s="1618"/>
      <c r="AA714" s="1618"/>
      <c r="AB714" s="1618"/>
      <c r="AC714" s="1618"/>
      <c r="AD714" s="1601">
        <f t="shared" si="70"/>
        <v>0</v>
      </c>
      <c r="AE714" s="1790">
        <v>0</v>
      </c>
      <c r="AF714" s="1792"/>
    </row>
    <row r="715" spans="1:32" s="1602" customFormat="1" ht="26.1" customHeight="1">
      <c r="A715" s="2918" t="s">
        <v>1662</v>
      </c>
      <c r="B715" s="2919" t="s">
        <v>2136</v>
      </c>
      <c r="C715" s="2920" t="s">
        <v>52</v>
      </c>
      <c r="D715" s="2917">
        <v>29750</v>
      </c>
      <c r="E715" s="1598" t="s">
        <v>2496</v>
      </c>
      <c r="F715" s="1583"/>
      <c r="G715" s="1583"/>
      <c r="H715" s="1583"/>
      <c r="I715" s="1583"/>
      <c r="J715" s="1583"/>
      <c r="K715" s="1583"/>
      <c r="L715" s="1583"/>
      <c r="M715" s="1583"/>
      <c r="N715" s="1583"/>
      <c r="O715" s="1583"/>
      <c r="P715" s="1583"/>
      <c r="Q715" s="1583"/>
      <c r="R715" s="1600"/>
      <c r="S715" s="1600"/>
      <c r="T715" s="1585"/>
      <c r="U715" s="1585"/>
      <c r="V715" s="1585"/>
      <c r="W715" s="1585"/>
      <c r="X715" s="1585"/>
      <c r="Y715" s="1585"/>
      <c r="Z715" s="1585"/>
      <c r="AA715" s="1585"/>
      <c r="AB715" s="1585"/>
      <c r="AC715" s="1585">
        <v>29750</v>
      </c>
      <c r="AD715" s="1601">
        <f t="shared" si="70"/>
        <v>29750</v>
      </c>
      <c r="AE715" s="1790">
        <v>0</v>
      </c>
      <c r="AF715" s="1792"/>
    </row>
    <row r="716" spans="1:32" s="1602" customFormat="1" ht="26.1" customHeight="1">
      <c r="A716" s="2918"/>
      <c r="B716" s="2919"/>
      <c r="C716" s="2920"/>
      <c r="D716" s="2917"/>
      <c r="E716" s="1603" t="s">
        <v>2497</v>
      </c>
      <c r="F716" s="1583"/>
      <c r="G716" s="1583"/>
      <c r="H716" s="1583"/>
      <c r="I716" s="1583"/>
      <c r="J716" s="1583"/>
      <c r="K716" s="1583"/>
      <c r="L716" s="1583"/>
      <c r="M716" s="1583"/>
      <c r="N716" s="1583"/>
      <c r="O716" s="1583"/>
      <c r="P716" s="1583"/>
      <c r="Q716" s="1583"/>
      <c r="R716" s="1600"/>
      <c r="S716" s="1600"/>
      <c r="T716" s="1585"/>
      <c r="U716" s="1585"/>
      <c r="V716" s="1585"/>
      <c r="W716" s="1585"/>
      <c r="X716" s="1585"/>
      <c r="Y716" s="1585"/>
      <c r="Z716" s="1618"/>
      <c r="AA716" s="1618"/>
      <c r="AB716" s="1618"/>
      <c r="AC716" s="1618"/>
      <c r="AD716" s="1601">
        <f t="shared" si="70"/>
        <v>0</v>
      </c>
      <c r="AE716" s="1790">
        <v>0</v>
      </c>
      <c r="AF716" s="1792"/>
    </row>
    <row r="717" spans="1:32" s="1602" customFormat="1" ht="26.1" customHeight="1">
      <c r="A717" s="2918" t="s">
        <v>1663</v>
      </c>
      <c r="B717" s="2919" t="s">
        <v>2137</v>
      </c>
      <c r="C717" s="2920" t="s">
        <v>52</v>
      </c>
      <c r="D717" s="2917">
        <v>7000</v>
      </c>
      <c r="E717" s="1598" t="s">
        <v>2496</v>
      </c>
      <c r="F717" s="1583"/>
      <c r="G717" s="1583"/>
      <c r="H717" s="1583"/>
      <c r="I717" s="1583"/>
      <c r="J717" s="1583"/>
      <c r="K717" s="1583"/>
      <c r="L717" s="1583"/>
      <c r="M717" s="1583"/>
      <c r="N717" s="1583"/>
      <c r="O717" s="1583"/>
      <c r="P717" s="1583"/>
      <c r="Q717" s="1583"/>
      <c r="R717" s="1600"/>
      <c r="S717" s="1600"/>
      <c r="T717" s="1585"/>
      <c r="U717" s="1585"/>
      <c r="V717" s="1585"/>
      <c r="W717" s="1585"/>
      <c r="X717" s="1585"/>
      <c r="Y717" s="1585"/>
      <c r="Z717" s="1585"/>
      <c r="AA717" s="1585"/>
      <c r="AB717" s="1585"/>
      <c r="AC717" s="1585">
        <v>7000</v>
      </c>
      <c r="AD717" s="1601">
        <f t="shared" si="70"/>
        <v>7000</v>
      </c>
      <c r="AE717" s="1790">
        <v>0</v>
      </c>
      <c r="AF717" s="1792"/>
    </row>
    <row r="718" spans="1:32" s="1602" customFormat="1" ht="26.1" customHeight="1">
      <c r="A718" s="2918"/>
      <c r="B718" s="2919"/>
      <c r="C718" s="2920"/>
      <c r="D718" s="2917"/>
      <c r="E718" s="1603" t="s">
        <v>2497</v>
      </c>
      <c r="F718" s="1583"/>
      <c r="G718" s="1583"/>
      <c r="H718" s="1583"/>
      <c r="I718" s="1583"/>
      <c r="J718" s="1583"/>
      <c r="K718" s="1583"/>
      <c r="L718" s="1583"/>
      <c r="M718" s="1583"/>
      <c r="N718" s="1583"/>
      <c r="O718" s="1583"/>
      <c r="P718" s="1583"/>
      <c r="Q718" s="1583"/>
      <c r="R718" s="1600"/>
      <c r="S718" s="1600"/>
      <c r="T718" s="1585"/>
      <c r="U718" s="1585"/>
      <c r="V718" s="1585"/>
      <c r="W718" s="1585"/>
      <c r="X718" s="1585"/>
      <c r="Y718" s="1585"/>
      <c r="Z718" s="1618"/>
      <c r="AA718" s="1618"/>
      <c r="AB718" s="1618"/>
      <c r="AC718" s="1618"/>
      <c r="AD718" s="1601">
        <f t="shared" si="70"/>
        <v>0</v>
      </c>
      <c r="AE718" s="1790">
        <v>0</v>
      </c>
      <c r="AF718" s="1792"/>
    </row>
    <row r="719" spans="1:32" s="1602" customFormat="1" ht="26.1" customHeight="1">
      <c r="A719" s="2918" t="s">
        <v>1664</v>
      </c>
      <c r="B719" s="2919" t="s">
        <v>2138</v>
      </c>
      <c r="C719" s="2920" t="s">
        <v>52</v>
      </c>
      <c r="D719" s="2917">
        <v>81830</v>
      </c>
      <c r="E719" s="1598" t="s">
        <v>2496</v>
      </c>
      <c r="F719" s="1583"/>
      <c r="G719" s="1583"/>
      <c r="H719" s="1583"/>
      <c r="I719" s="1583"/>
      <c r="J719" s="1583"/>
      <c r="K719" s="1583"/>
      <c r="L719" s="1583"/>
      <c r="M719" s="1583"/>
      <c r="N719" s="1583"/>
      <c r="O719" s="1583"/>
      <c r="P719" s="1583"/>
      <c r="Q719" s="1583"/>
      <c r="R719" s="1600"/>
      <c r="S719" s="1600"/>
      <c r="T719" s="1585"/>
      <c r="U719" s="1585"/>
      <c r="V719" s="1585"/>
      <c r="W719" s="1585"/>
      <c r="X719" s="1585"/>
      <c r="Y719" s="1585"/>
      <c r="Z719" s="1585"/>
      <c r="AA719" s="1585"/>
      <c r="AB719" s="1585"/>
      <c r="AC719" s="1585">
        <v>81830</v>
      </c>
      <c r="AD719" s="1601">
        <f t="shared" si="70"/>
        <v>81830</v>
      </c>
      <c r="AE719" s="1790">
        <v>0</v>
      </c>
      <c r="AF719" s="1792"/>
    </row>
    <row r="720" spans="1:32" s="1602" customFormat="1" ht="26.1" customHeight="1">
      <c r="A720" s="2918"/>
      <c r="B720" s="2919"/>
      <c r="C720" s="2920"/>
      <c r="D720" s="2917"/>
      <c r="E720" s="1603" t="s">
        <v>2497</v>
      </c>
      <c r="F720" s="1583"/>
      <c r="G720" s="1583"/>
      <c r="H720" s="1583"/>
      <c r="I720" s="1583"/>
      <c r="J720" s="1583"/>
      <c r="K720" s="1583"/>
      <c r="L720" s="1583"/>
      <c r="M720" s="1583"/>
      <c r="N720" s="1583"/>
      <c r="O720" s="1583"/>
      <c r="P720" s="1583"/>
      <c r="Q720" s="1583"/>
      <c r="R720" s="1600"/>
      <c r="S720" s="1600"/>
      <c r="T720" s="1585"/>
      <c r="U720" s="1585"/>
      <c r="V720" s="1585"/>
      <c r="W720" s="1585"/>
      <c r="X720" s="1585"/>
      <c r="Y720" s="1585"/>
      <c r="Z720" s="1618"/>
      <c r="AA720" s="1618"/>
      <c r="AB720" s="1618"/>
      <c r="AC720" s="1618"/>
      <c r="AD720" s="1601">
        <f t="shared" si="70"/>
        <v>0</v>
      </c>
      <c r="AE720" s="1790">
        <v>0</v>
      </c>
      <c r="AF720" s="1792"/>
    </row>
    <row r="721" spans="1:32" s="1602" customFormat="1" ht="26.1" customHeight="1">
      <c r="A721" s="2918" t="s">
        <v>1665</v>
      </c>
      <c r="B721" s="2919" t="s">
        <v>2139</v>
      </c>
      <c r="C721" s="2920" t="s">
        <v>52</v>
      </c>
      <c r="D721" s="2917">
        <v>98400</v>
      </c>
      <c r="E721" s="1598" t="s">
        <v>2496</v>
      </c>
      <c r="F721" s="1583"/>
      <c r="G721" s="1583"/>
      <c r="H721" s="1583"/>
      <c r="I721" s="1583"/>
      <c r="J721" s="1583"/>
      <c r="K721" s="1583"/>
      <c r="L721" s="1583"/>
      <c r="M721" s="1583"/>
      <c r="N721" s="1583"/>
      <c r="O721" s="1583"/>
      <c r="P721" s="1583"/>
      <c r="Q721" s="1583"/>
      <c r="R721" s="1600"/>
      <c r="S721" s="1600"/>
      <c r="T721" s="1585"/>
      <c r="U721" s="1585"/>
      <c r="V721" s="1585"/>
      <c r="W721" s="1585"/>
      <c r="X721" s="1585"/>
      <c r="Y721" s="1585"/>
      <c r="Z721" s="1585"/>
      <c r="AA721" s="1585"/>
      <c r="AB721" s="1585"/>
      <c r="AC721" s="1585">
        <v>98400</v>
      </c>
      <c r="AD721" s="1601">
        <f t="shared" ref="AD721:AD784" si="71">SUM(F721:AC721)</f>
        <v>98400</v>
      </c>
      <c r="AE721" s="1790">
        <v>0</v>
      </c>
      <c r="AF721" s="1792"/>
    </row>
    <row r="722" spans="1:32" s="1602" customFormat="1" ht="26.1" customHeight="1">
      <c r="A722" s="2918"/>
      <c r="B722" s="2919"/>
      <c r="C722" s="2920"/>
      <c r="D722" s="2917"/>
      <c r="E722" s="1603" t="s">
        <v>2497</v>
      </c>
      <c r="F722" s="1583"/>
      <c r="G722" s="1583"/>
      <c r="H722" s="1583"/>
      <c r="I722" s="1583"/>
      <c r="J722" s="1583"/>
      <c r="K722" s="1583"/>
      <c r="L722" s="1583"/>
      <c r="M722" s="1583"/>
      <c r="N722" s="1583"/>
      <c r="O722" s="1583"/>
      <c r="P722" s="1583"/>
      <c r="Q722" s="1583"/>
      <c r="R722" s="1600"/>
      <c r="S722" s="1600"/>
      <c r="T722" s="1585"/>
      <c r="U722" s="1585"/>
      <c r="V722" s="1585"/>
      <c r="W722" s="1585"/>
      <c r="X722" s="1585"/>
      <c r="Y722" s="1585"/>
      <c r="Z722" s="1618"/>
      <c r="AA722" s="1618"/>
      <c r="AB722" s="1618"/>
      <c r="AC722" s="1618"/>
      <c r="AD722" s="1601">
        <f t="shared" si="71"/>
        <v>0</v>
      </c>
      <c r="AE722" s="1790">
        <v>0</v>
      </c>
      <c r="AF722" s="1792"/>
    </row>
    <row r="723" spans="1:32" s="1602" customFormat="1" ht="26.1" customHeight="1">
      <c r="A723" s="2918" t="s">
        <v>1666</v>
      </c>
      <c r="B723" s="2919" t="s">
        <v>2140</v>
      </c>
      <c r="C723" s="2920" t="s">
        <v>52</v>
      </c>
      <c r="D723" s="2917">
        <v>35150</v>
      </c>
      <c r="E723" s="1598" t="s">
        <v>2496</v>
      </c>
      <c r="F723" s="1583"/>
      <c r="G723" s="1583"/>
      <c r="H723" s="1583"/>
      <c r="I723" s="1583"/>
      <c r="J723" s="1583"/>
      <c r="K723" s="1583"/>
      <c r="L723" s="1583"/>
      <c r="M723" s="1583"/>
      <c r="N723" s="1583"/>
      <c r="O723" s="1583"/>
      <c r="P723" s="1583"/>
      <c r="Q723" s="1583"/>
      <c r="R723" s="1600"/>
      <c r="S723" s="1600"/>
      <c r="T723" s="1585"/>
      <c r="U723" s="1585"/>
      <c r="V723" s="1585"/>
      <c r="W723" s="1585"/>
      <c r="X723" s="1585"/>
      <c r="Y723" s="1585"/>
      <c r="Z723" s="1585"/>
      <c r="AA723" s="1585"/>
      <c r="AB723" s="1585"/>
      <c r="AC723" s="1585">
        <v>35150</v>
      </c>
      <c r="AD723" s="1601">
        <f t="shared" si="71"/>
        <v>35150</v>
      </c>
      <c r="AE723" s="1790">
        <v>0</v>
      </c>
      <c r="AF723" s="1792"/>
    </row>
    <row r="724" spans="1:32" s="1602" customFormat="1" ht="26.1" customHeight="1">
      <c r="A724" s="2918"/>
      <c r="B724" s="2919"/>
      <c r="C724" s="2920"/>
      <c r="D724" s="2917"/>
      <c r="E724" s="1603" t="s">
        <v>2497</v>
      </c>
      <c r="F724" s="1583"/>
      <c r="G724" s="1583"/>
      <c r="H724" s="1583"/>
      <c r="I724" s="1583"/>
      <c r="J724" s="1583"/>
      <c r="K724" s="1583"/>
      <c r="L724" s="1583"/>
      <c r="M724" s="1583"/>
      <c r="N724" s="1583"/>
      <c r="O724" s="1583"/>
      <c r="P724" s="1583"/>
      <c r="Q724" s="1583"/>
      <c r="R724" s="1600"/>
      <c r="S724" s="1600"/>
      <c r="T724" s="1585"/>
      <c r="U724" s="1585"/>
      <c r="V724" s="1585"/>
      <c r="W724" s="1585"/>
      <c r="X724" s="1585"/>
      <c r="Y724" s="1585"/>
      <c r="Z724" s="1618"/>
      <c r="AA724" s="1618"/>
      <c r="AB724" s="1618"/>
      <c r="AC724" s="1618"/>
      <c r="AD724" s="1601">
        <f t="shared" si="71"/>
        <v>0</v>
      </c>
      <c r="AE724" s="1790">
        <v>0</v>
      </c>
      <c r="AF724" s="1792"/>
    </row>
    <row r="725" spans="1:32" s="1602" customFormat="1" ht="26.1" customHeight="1">
      <c r="A725" s="2918" t="s">
        <v>1667</v>
      </c>
      <c r="B725" s="2919" t="s">
        <v>2141</v>
      </c>
      <c r="C725" s="2920" t="s">
        <v>52</v>
      </c>
      <c r="D725" s="2917">
        <v>29520</v>
      </c>
      <c r="E725" s="1598" t="s">
        <v>2496</v>
      </c>
      <c r="F725" s="1583"/>
      <c r="G725" s="1583"/>
      <c r="H725" s="1583"/>
      <c r="I725" s="1583"/>
      <c r="J725" s="1583"/>
      <c r="K725" s="1583"/>
      <c r="L725" s="1583"/>
      <c r="M725" s="1583"/>
      <c r="N725" s="1583"/>
      <c r="O725" s="1583"/>
      <c r="P725" s="1583"/>
      <c r="Q725" s="1583"/>
      <c r="R725" s="1600"/>
      <c r="S725" s="1600"/>
      <c r="T725" s="1585"/>
      <c r="U725" s="1585"/>
      <c r="V725" s="1585"/>
      <c r="W725" s="1585"/>
      <c r="X725" s="1585"/>
      <c r="Y725" s="1585"/>
      <c r="Z725" s="1585"/>
      <c r="AA725" s="1585"/>
      <c r="AB725" s="1585"/>
      <c r="AC725" s="1585">
        <v>29520</v>
      </c>
      <c r="AD725" s="1601">
        <f t="shared" si="71"/>
        <v>29520</v>
      </c>
      <c r="AE725" s="1790">
        <v>0</v>
      </c>
      <c r="AF725" s="1792"/>
    </row>
    <row r="726" spans="1:32" s="1602" customFormat="1" ht="26.1" customHeight="1">
      <c r="A726" s="2918"/>
      <c r="B726" s="2919"/>
      <c r="C726" s="2920"/>
      <c r="D726" s="2917"/>
      <c r="E726" s="1603" t="s">
        <v>2497</v>
      </c>
      <c r="F726" s="1583"/>
      <c r="G726" s="1583"/>
      <c r="H726" s="1583"/>
      <c r="I726" s="1583"/>
      <c r="J726" s="1583"/>
      <c r="K726" s="1583"/>
      <c r="L726" s="1583"/>
      <c r="M726" s="1583"/>
      <c r="N726" s="1583"/>
      <c r="O726" s="1583"/>
      <c r="P726" s="1583"/>
      <c r="Q726" s="1583"/>
      <c r="R726" s="1600"/>
      <c r="S726" s="1600"/>
      <c r="T726" s="1585"/>
      <c r="U726" s="1585"/>
      <c r="V726" s="1585"/>
      <c r="W726" s="1585"/>
      <c r="X726" s="1585"/>
      <c r="Y726" s="1585"/>
      <c r="Z726" s="1618"/>
      <c r="AA726" s="1618"/>
      <c r="AB726" s="1618"/>
      <c r="AC726" s="1618"/>
      <c r="AD726" s="1601">
        <f t="shared" si="71"/>
        <v>0</v>
      </c>
      <c r="AE726" s="1790">
        <v>0</v>
      </c>
      <c r="AF726" s="1792"/>
    </row>
    <row r="727" spans="1:32" s="1602" customFormat="1" ht="26.1" customHeight="1">
      <c r="A727" s="2918" t="s">
        <v>1668</v>
      </c>
      <c r="B727" s="2919" t="s">
        <v>2142</v>
      </c>
      <c r="C727" s="2920" t="s">
        <v>52</v>
      </c>
      <c r="D727" s="2917">
        <v>8550</v>
      </c>
      <c r="E727" s="1598" t="s">
        <v>2496</v>
      </c>
      <c r="F727" s="1583"/>
      <c r="G727" s="1583"/>
      <c r="H727" s="1583"/>
      <c r="I727" s="1583"/>
      <c r="J727" s="1583"/>
      <c r="K727" s="1583"/>
      <c r="L727" s="1583"/>
      <c r="M727" s="1583"/>
      <c r="N727" s="1583"/>
      <c r="O727" s="1583"/>
      <c r="P727" s="1583"/>
      <c r="Q727" s="1583"/>
      <c r="R727" s="1600"/>
      <c r="S727" s="1600"/>
      <c r="T727" s="1585"/>
      <c r="U727" s="1585"/>
      <c r="V727" s="1585"/>
      <c r="W727" s="1585"/>
      <c r="X727" s="1585"/>
      <c r="Y727" s="1585"/>
      <c r="Z727" s="1585"/>
      <c r="AA727" s="1585"/>
      <c r="AB727" s="1585"/>
      <c r="AC727" s="1585">
        <v>8550</v>
      </c>
      <c r="AD727" s="1601">
        <f t="shared" si="71"/>
        <v>8550</v>
      </c>
      <c r="AE727" s="1790">
        <v>0</v>
      </c>
      <c r="AF727" s="1792"/>
    </row>
    <row r="728" spans="1:32" s="1602" customFormat="1" ht="26.1" customHeight="1">
      <c r="A728" s="2918"/>
      <c r="B728" s="2919"/>
      <c r="C728" s="2920"/>
      <c r="D728" s="2917"/>
      <c r="E728" s="1603" t="s">
        <v>2497</v>
      </c>
      <c r="F728" s="1583"/>
      <c r="G728" s="1583"/>
      <c r="H728" s="1583"/>
      <c r="I728" s="1583"/>
      <c r="J728" s="1583"/>
      <c r="K728" s="1583"/>
      <c r="L728" s="1583"/>
      <c r="M728" s="1583"/>
      <c r="N728" s="1583"/>
      <c r="O728" s="1583"/>
      <c r="P728" s="1583"/>
      <c r="Q728" s="1583"/>
      <c r="R728" s="1600"/>
      <c r="S728" s="1600"/>
      <c r="T728" s="1585"/>
      <c r="U728" s="1585"/>
      <c r="V728" s="1585"/>
      <c r="W728" s="1585"/>
      <c r="X728" s="1585"/>
      <c r="Y728" s="1585"/>
      <c r="Z728" s="1618"/>
      <c r="AA728" s="1618"/>
      <c r="AB728" s="1618"/>
      <c r="AC728" s="1618"/>
      <c r="AD728" s="1601">
        <f t="shared" si="71"/>
        <v>0</v>
      </c>
      <c r="AE728" s="1790">
        <v>0</v>
      </c>
      <c r="AF728" s="1792"/>
    </row>
    <row r="729" spans="1:32" s="1602" customFormat="1" ht="26.1" customHeight="1">
      <c r="A729" s="2918" t="s">
        <v>1669</v>
      </c>
      <c r="B729" s="2919" t="s">
        <v>2143</v>
      </c>
      <c r="C729" s="2920" t="s">
        <v>52</v>
      </c>
      <c r="D729" s="2917">
        <v>12000</v>
      </c>
      <c r="E729" s="1598" t="s">
        <v>2496</v>
      </c>
      <c r="F729" s="1583"/>
      <c r="G729" s="1583"/>
      <c r="H729" s="1583"/>
      <c r="I729" s="1583"/>
      <c r="J729" s="1583"/>
      <c r="K729" s="1583"/>
      <c r="L729" s="1583"/>
      <c r="M729" s="1583"/>
      <c r="N729" s="1583"/>
      <c r="O729" s="1583"/>
      <c r="P729" s="1583"/>
      <c r="Q729" s="1583"/>
      <c r="R729" s="1600"/>
      <c r="S729" s="1600"/>
      <c r="T729" s="1585"/>
      <c r="U729" s="1585"/>
      <c r="V729" s="1585"/>
      <c r="W729" s="1585"/>
      <c r="X729" s="1585"/>
      <c r="Y729" s="1585"/>
      <c r="Z729" s="1585"/>
      <c r="AA729" s="1585"/>
      <c r="AB729" s="1585"/>
      <c r="AC729" s="1585">
        <v>12000</v>
      </c>
      <c r="AD729" s="1601">
        <f t="shared" si="71"/>
        <v>12000</v>
      </c>
      <c r="AE729" s="1790">
        <v>0</v>
      </c>
      <c r="AF729" s="1792"/>
    </row>
    <row r="730" spans="1:32" s="1602" customFormat="1" ht="26.1" customHeight="1">
      <c r="A730" s="2918"/>
      <c r="B730" s="2919"/>
      <c r="C730" s="2920"/>
      <c r="D730" s="2917"/>
      <c r="E730" s="1603" t="s">
        <v>2497</v>
      </c>
      <c r="F730" s="1583"/>
      <c r="G730" s="1583"/>
      <c r="H730" s="1583"/>
      <c r="I730" s="1583"/>
      <c r="J730" s="1583"/>
      <c r="K730" s="1583"/>
      <c r="L730" s="1583"/>
      <c r="M730" s="1583"/>
      <c r="N730" s="1583"/>
      <c r="O730" s="1583"/>
      <c r="P730" s="1583"/>
      <c r="Q730" s="1583"/>
      <c r="R730" s="1600"/>
      <c r="S730" s="1600"/>
      <c r="T730" s="1585"/>
      <c r="U730" s="1585"/>
      <c r="V730" s="1585"/>
      <c r="W730" s="1585"/>
      <c r="X730" s="1585"/>
      <c r="Y730" s="1585"/>
      <c r="Z730" s="1618"/>
      <c r="AA730" s="1618"/>
      <c r="AB730" s="1618"/>
      <c r="AC730" s="1618"/>
      <c r="AD730" s="1601">
        <f t="shared" si="71"/>
        <v>0</v>
      </c>
      <c r="AE730" s="1790">
        <v>0</v>
      </c>
      <c r="AF730" s="1792"/>
    </row>
    <row r="731" spans="1:32" s="1602" customFormat="1" ht="26.1" customHeight="1">
      <c r="A731" s="2918" t="s">
        <v>1670</v>
      </c>
      <c r="B731" s="2919" t="s">
        <v>2144</v>
      </c>
      <c r="C731" s="2920" t="s">
        <v>52</v>
      </c>
      <c r="D731" s="2917">
        <v>8000</v>
      </c>
      <c r="E731" s="1598" t="s">
        <v>2496</v>
      </c>
      <c r="F731" s="1583"/>
      <c r="G731" s="1583"/>
      <c r="H731" s="1583"/>
      <c r="I731" s="1583"/>
      <c r="J731" s="1583"/>
      <c r="K731" s="1583"/>
      <c r="L731" s="1583"/>
      <c r="M731" s="1583"/>
      <c r="N731" s="1583"/>
      <c r="O731" s="1583"/>
      <c r="P731" s="1583"/>
      <c r="Q731" s="1583"/>
      <c r="R731" s="1600"/>
      <c r="S731" s="1600"/>
      <c r="T731" s="1585"/>
      <c r="U731" s="1585"/>
      <c r="V731" s="1585"/>
      <c r="W731" s="1585"/>
      <c r="X731" s="1585"/>
      <c r="Y731" s="1585"/>
      <c r="Z731" s="1585"/>
      <c r="AA731" s="1585"/>
      <c r="AB731" s="1585"/>
      <c r="AC731" s="1585">
        <v>8000</v>
      </c>
      <c r="AD731" s="1601">
        <f t="shared" si="71"/>
        <v>8000</v>
      </c>
      <c r="AE731" s="1790">
        <v>0</v>
      </c>
      <c r="AF731" s="1792"/>
    </row>
    <row r="732" spans="1:32" ht="27.75" customHeight="1">
      <c r="A732" s="2918"/>
      <c r="B732" s="2919"/>
      <c r="C732" s="2920"/>
      <c r="D732" s="2917"/>
      <c r="E732" s="1603" t="s">
        <v>2497</v>
      </c>
      <c r="F732" s="1583"/>
      <c r="G732" s="1583"/>
      <c r="H732" s="1583"/>
      <c r="I732" s="1583"/>
      <c r="J732" s="1583"/>
      <c r="K732" s="1583"/>
      <c r="L732" s="1583"/>
      <c r="M732" s="1583"/>
      <c r="N732" s="1583"/>
      <c r="O732" s="1583"/>
      <c r="P732" s="1583"/>
      <c r="Q732" s="1583"/>
      <c r="R732" s="1583"/>
      <c r="S732" s="1583"/>
      <c r="T732" s="1585"/>
      <c r="U732" s="1585"/>
      <c r="V732" s="1585"/>
      <c r="W732" s="1585"/>
      <c r="X732" s="1585"/>
      <c r="Y732" s="1585"/>
      <c r="Z732" s="1585"/>
      <c r="AA732" s="1585"/>
      <c r="AB732" s="1585"/>
      <c r="AC732" s="1585"/>
      <c r="AD732" s="1601">
        <f t="shared" si="71"/>
        <v>0</v>
      </c>
      <c r="AE732" s="1790">
        <v>0</v>
      </c>
      <c r="AF732" s="1792"/>
    </row>
    <row r="733" spans="1:32" ht="27.75" hidden="1" customHeight="1">
      <c r="A733" s="1594"/>
      <c r="B733" s="1595"/>
      <c r="C733" s="1596"/>
      <c r="D733" s="1597">
        <v>-29829.569469988299</v>
      </c>
      <c r="E733" s="1603"/>
      <c r="F733" s="1583"/>
      <c r="G733" s="1583"/>
      <c r="H733" s="1583"/>
      <c r="I733" s="1583"/>
      <c r="J733" s="1583"/>
      <c r="K733" s="1583"/>
      <c r="L733" s="1583"/>
      <c r="M733" s="1583"/>
      <c r="N733" s="1583"/>
      <c r="O733" s="1583"/>
      <c r="P733" s="1583"/>
      <c r="Q733" s="1583"/>
      <c r="R733" s="1583"/>
      <c r="S733" s="1583"/>
      <c r="T733" s="1585"/>
      <c r="U733" s="1585"/>
      <c r="V733" s="1585"/>
      <c r="W733" s="1585"/>
      <c r="X733" s="1585"/>
      <c r="Y733" s="1585"/>
      <c r="Z733" s="1585"/>
      <c r="AA733" s="1585"/>
      <c r="AB733" s="1585"/>
      <c r="AC733" s="1585"/>
      <c r="AD733" s="1601">
        <f t="shared" si="71"/>
        <v>0</v>
      </c>
      <c r="AE733" s="1790">
        <v>0</v>
      </c>
      <c r="AF733" s="1792"/>
    </row>
    <row r="734" spans="1:32" ht="27.75" customHeight="1">
      <c r="A734" s="1594"/>
      <c r="B734" s="1614" t="s">
        <v>2507</v>
      </c>
      <c r="C734" s="1596"/>
      <c r="D734" s="1597"/>
      <c r="E734" s="1593"/>
      <c r="F734" s="1583"/>
      <c r="G734" s="1583"/>
      <c r="H734" s="1583"/>
      <c r="I734" s="1583"/>
      <c r="J734" s="1583"/>
      <c r="K734" s="1583"/>
      <c r="L734" s="1583"/>
      <c r="M734" s="1583"/>
      <c r="N734" s="1583"/>
      <c r="O734" s="1583"/>
      <c r="P734" s="1583"/>
      <c r="Q734" s="1583"/>
      <c r="R734" s="1583"/>
      <c r="S734" s="1583"/>
      <c r="T734" s="1585"/>
      <c r="U734" s="1585"/>
      <c r="V734" s="1585"/>
      <c r="W734" s="1585"/>
      <c r="X734" s="1585"/>
      <c r="Y734" s="1585"/>
      <c r="Z734" s="1585"/>
      <c r="AA734" s="1585"/>
      <c r="AB734" s="1585"/>
      <c r="AC734" s="1585"/>
      <c r="AD734" s="1601">
        <f t="shared" si="71"/>
        <v>0</v>
      </c>
      <c r="AE734" s="1790">
        <v>0</v>
      </c>
      <c r="AF734" s="1792"/>
    </row>
    <row r="735" spans="1:32" ht="27.75" customHeight="1">
      <c r="A735" s="1594"/>
      <c r="B735" s="1627" t="s">
        <v>2302</v>
      </c>
      <c r="C735" s="1596"/>
      <c r="D735" s="1628"/>
      <c r="E735" s="1583"/>
      <c r="F735" s="1583"/>
      <c r="G735" s="1583"/>
      <c r="H735" s="1583"/>
      <c r="I735" s="1583"/>
      <c r="J735" s="1583"/>
      <c r="K735" s="1583"/>
      <c r="L735" s="1583"/>
      <c r="M735" s="1583"/>
      <c r="N735" s="1583"/>
      <c r="O735" s="1583"/>
      <c r="P735" s="1583"/>
      <c r="Q735" s="1583"/>
      <c r="R735" s="1583"/>
      <c r="S735" s="1583"/>
      <c r="T735" s="1585"/>
      <c r="U735" s="1585"/>
      <c r="V735" s="1585"/>
      <c r="W735" s="1585"/>
      <c r="X735" s="1585"/>
      <c r="Y735" s="1585"/>
      <c r="Z735" s="1585"/>
      <c r="AA735" s="1585"/>
      <c r="AB735" s="1585"/>
      <c r="AC735" s="1585"/>
      <c r="AD735" s="1601">
        <f t="shared" si="71"/>
        <v>0</v>
      </c>
      <c r="AE735" s="1790">
        <v>0</v>
      </c>
      <c r="AF735" s="1792"/>
    </row>
    <row r="736" spans="1:32" ht="27.75" customHeight="1">
      <c r="A736" s="1594">
        <v>1</v>
      </c>
      <c r="B736" s="1609" t="s">
        <v>1736</v>
      </c>
      <c r="C736" s="1596"/>
      <c r="D736" s="1597"/>
      <c r="E736" s="1583"/>
      <c r="F736" s="1583"/>
      <c r="G736" s="1583"/>
      <c r="H736" s="1583"/>
      <c r="I736" s="1583"/>
      <c r="J736" s="1583"/>
      <c r="K736" s="1583"/>
      <c r="L736" s="1583"/>
      <c r="M736" s="1583"/>
      <c r="N736" s="1583"/>
      <c r="O736" s="1583"/>
      <c r="P736" s="1583"/>
      <c r="Q736" s="1583"/>
      <c r="R736" s="1583"/>
      <c r="S736" s="1583"/>
      <c r="T736" s="1585"/>
      <c r="U736" s="1585"/>
      <c r="V736" s="1585"/>
      <c r="W736" s="1585"/>
      <c r="X736" s="1585"/>
      <c r="Y736" s="1585"/>
      <c r="Z736" s="1585"/>
      <c r="AA736" s="1585"/>
      <c r="AB736" s="1585"/>
      <c r="AC736" s="1585"/>
      <c r="AD736" s="1601">
        <f t="shared" si="71"/>
        <v>0</v>
      </c>
      <c r="AE736" s="1790">
        <v>0</v>
      </c>
      <c r="AF736" s="1792"/>
    </row>
    <row r="737" spans="1:35" ht="27.75" customHeight="1">
      <c r="A737" s="1594">
        <v>1.1000000000000001</v>
      </c>
      <c r="B737" s="1629" t="s">
        <v>2263</v>
      </c>
      <c r="C737" s="1591"/>
      <c r="D737" s="1597"/>
      <c r="E737" s="1593"/>
      <c r="F737" s="1583"/>
      <c r="G737" s="1583"/>
      <c r="H737" s="1583"/>
      <c r="I737" s="1583"/>
      <c r="J737" s="1583"/>
      <c r="K737" s="1583"/>
      <c r="L737" s="1583"/>
      <c r="M737" s="1583"/>
      <c r="N737" s="1583"/>
      <c r="O737" s="1583"/>
      <c r="P737" s="1583"/>
      <c r="Q737" s="1583"/>
      <c r="R737" s="1583"/>
      <c r="S737" s="1583"/>
      <c r="T737" s="1585"/>
      <c r="U737" s="1585"/>
      <c r="V737" s="1585"/>
      <c r="W737" s="1585"/>
      <c r="X737" s="1585"/>
      <c r="Y737" s="1585"/>
      <c r="Z737" s="1585"/>
      <c r="AA737" s="1585"/>
      <c r="AB737" s="1585"/>
      <c r="AC737" s="1585"/>
      <c r="AD737" s="1601">
        <f t="shared" si="71"/>
        <v>0</v>
      </c>
      <c r="AE737" s="1790">
        <v>0</v>
      </c>
      <c r="AF737" s="1792"/>
    </row>
    <row r="738" spans="1:35" ht="27.75" customHeight="1">
      <c r="A738" s="2918" t="s">
        <v>1189</v>
      </c>
      <c r="B738" s="2919" t="s">
        <v>2264</v>
      </c>
      <c r="C738" s="2920" t="s">
        <v>52</v>
      </c>
      <c r="D738" s="2917">
        <v>5228.8</v>
      </c>
      <c r="E738" s="1598" t="s">
        <v>2496</v>
      </c>
      <c r="F738" s="1583"/>
      <c r="G738" s="1583"/>
      <c r="H738" s="1583"/>
      <c r="I738" s="1583"/>
      <c r="J738" s="1583"/>
      <c r="K738" s="1583"/>
      <c r="L738" s="1583"/>
      <c r="M738" s="1583"/>
      <c r="N738" s="1583"/>
      <c r="O738" s="1583"/>
      <c r="P738" s="1583"/>
      <c r="Q738" s="1583"/>
      <c r="R738" s="1583"/>
      <c r="S738" s="1583"/>
      <c r="T738" s="1585"/>
      <c r="U738" s="1585"/>
      <c r="V738" s="1585"/>
      <c r="W738" s="1585"/>
      <c r="X738" s="1585"/>
      <c r="Y738" s="1585"/>
      <c r="Z738" s="1585"/>
      <c r="AA738" s="1585"/>
      <c r="AB738" s="1585"/>
      <c r="AC738" s="1585">
        <v>5228.8</v>
      </c>
      <c r="AD738" s="1601">
        <f t="shared" si="71"/>
        <v>5228.8</v>
      </c>
      <c r="AE738" s="1790">
        <v>0</v>
      </c>
      <c r="AF738" s="1792"/>
    </row>
    <row r="739" spans="1:35" ht="27.75" customHeight="1">
      <c r="A739" s="2918"/>
      <c r="B739" s="2919"/>
      <c r="C739" s="2920"/>
      <c r="D739" s="2917"/>
      <c r="E739" s="1603" t="s">
        <v>2497</v>
      </c>
      <c r="F739" s="1583"/>
      <c r="G739" s="1583"/>
      <c r="H739" s="1583"/>
      <c r="I739" s="1583"/>
      <c r="J739" s="1583"/>
      <c r="K739" s="1583"/>
      <c r="L739" s="1583"/>
      <c r="M739" s="1583"/>
      <c r="N739" s="1583"/>
      <c r="O739" s="1583"/>
      <c r="P739" s="1583"/>
      <c r="Q739" s="1583"/>
      <c r="R739" s="1583"/>
      <c r="S739" s="1583"/>
      <c r="T739" s="1585"/>
      <c r="U739" s="1585"/>
      <c r="V739" s="1585"/>
      <c r="W739" s="1630"/>
      <c r="X739" s="1585"/>
      <c r="Y739" s="1585"/>
      <c r="Z739" s="1585"/>
      <c r="AA739" s="1585"/>
      <c r="AB739" s="1585"/>
      <c r="AC739" s="1585"/>
      <c r="AD739" s="1601">
        <f t="shared" si="71"/>
        <v>0</v>
      </c>
      <c r="AE739" s="1790">
        <v>0</v>
      </c>
      <c r="AF739" s="1792"/>
    </row>
    <row r="740" spans="1:35" ht="27.75" customHeight="1">
      <c r="A740" s="2918" t="s">
        <v>1194</v>
      </c>
      <c r="B740" s="2919" t="s">
        <v>2265</v>
      </c>
      <c r="C740" s="2920" t="s">
        <v>49</v>
      </c>
      <c r="D740" s="2917">
        <v>19629.000000000004</v>
      </c>
      <c r="E740" s="1598" t="s">
        <v>2496</v>
      </c>
      <c r="F740" s="1583"/>
      <c r="G740" s="1583"/>
      <c r="H740" s="1583"/>
      <c r="I740" s="1583"/>
      <c r="J740" s="1583"/>
      <c r="K740" s="1583"/>
      <c r="L740" s="1583"/>
      <c r="M740" s="1583"/>
      <c r="N740" s="1583"/>
      <c r="O740" s="1583"/>
      <c r="P740" s="1583"/>
      <c r="Q740" s="1583"/>
      <c r="R740" s="1583"/>
      <c r="S740" s="1583"/>
      <c r="T740" s="1585"/>
      <c r="U740" s="1585"/>
      <c r="V740" s="1585"/>
      <c r="W740" s="1585"/>
      <c r="X740" s="1585"/>
      <c r="Y740" s="1585"/>
      <c r="Z740" s="1585"/>
      <c r="AA740" s="1585"/>
      <c r="AB740" s="1585"/>
      <c r="AC740" s="1585">
        <v>19629.000000000004</v>
      </c>
      <c r="AD740" s="1601">
        <f t="shared" si="71"/>
        <v>19629.000000000004</v>
      </c>
      <c r="AE740" s="1790">
        <v>0</v>
      </c>
      <c r="AF740" s="1792"/>
    </row>
    <row r="741" spans="1:35" ht="27.75" customHeight="1">
      <c r="A741" s="2918"/>
      <c r="B741" s="2919"/>
      <c r="C741" s="2920"/>
      <c r="D741" s="2917"/>
      <c r="E741" s="1603" t="s">
        <v>2497</v>
      </c>
      <c r="F741" s="1583"/>
      <c r="G741" s="1583"/>
      <c r="H741" s="1583"/>
      <c r="I741" s="1583"/>
      <c r="J741" s="1583"/>
      <c r="K741" s="1583"/>
      <c r="L741" s="1583"/>
      <c r="M741" s="1583"/>
      <c r="N741" s="1583"/>
      <c r="O741" s="1583"/>
      <c r="P741" s="1583"/>
      <c r="Q741" s="1583"/>
      <c r="R741" s="1583"/>
      <c r="S741" s="1583"/>
      <c r="T741" s="1585"/>
      <c r="U741" s="1585"/>
      <c r="V741" s="1585"/>
      <c r="W741" s="1630"/>
      <c r="X741" s="1585"/>
      <c r="Y741" s="1585"/>
      <c r="Z741" s="1585"/>
      <c r="AA741" s="1585"/>
      <c r="AB741" s="1585"/>
      <c r="AC741" s="1585"/>
      <c r="AD741" s="1601">
        <f t="shared" si="71"/>
        <v>0</v>
      </c>
      <c r="AE741" s="1790">
        <v>0</v>
      </c>
      <c r="AF741" s="1792"/>
    </row>
    <row r="742" spans="1:35" ht="27.75" customHeight="1">
      <c r="A742" s="2918" t="s">
        <v>1197</v>
      </c>
      <c r="B742" s="2919" t="s">
        <v>2266</v>
      </c>
      <c r="C742" s="2920" t="s">
        <v>49</v>
      </c>
      <c r="D742" s="2917">
        <v>9216</v>
      </c>
      <c r="E742" s="1598" t="s">
        <v>2496</v>
      </c>
      <c r="F742" s="1583"/>
      <c r="G742" s="1583"/>
      <c r="H742" s="1583"/>
      <c r="I742" s="1583"/>
      <c r="J742" s="1583"/>
      <c r="K742" s="1583"/>
      <c r="L742" s="1583"/>
      <c r="M742" s="1583"/>
      <c r="N742" s="1583"/>
      <c r="O742" s="1583"/>
      <c r="P742" s="1583"/>
      <c r="Q742" s="1583"/>
      <c r="R742" s="1583"/>
      <c r="S742" s="1583"/>
      <c r="T742" s="1585"/>
      <c r="U742" s="1585"/>
      <c r="V742" s="1585"/>
      <c r="W742" s="1585"/>
      <c r="X742" s="1585"/>
      <c r="Y742" s="1585"/>
      <c r="Z742" s="1585"/>
      <c r="AA742" s="1585"/>
      <c r="AB742" s="1585"/>
      <c r="AC742" s="1585">
        <v>9216</v>
      </c>
      <c r="AD742" s="1601">
        <f t="shared" si="71"/>
        <v>9216</v>
      </c>
      <c r="AE742" s="1790">
        <v>0</v>
      </c>
      <c r="AF742" s="1792"/>
    </row>
    <row r="743" spans="1:35" ht="27.75" customHeight="1">
      <c r="A743" s="2918"/>
      <c r="B743" s="2919"/>
      <c r="C743" s="2920"/>
      <c r="D743" s="2917"/>
      <c r="E743" s="1603" t="s">
        <v>2497</v>
      </c>
      <c r="F743" s="1583"/>
      <c r="G743" s="1583"/>
      <c r="H743" s="1583"/>
      <c r="I743" s="1583"/>
      <c r="J743" s="1583"/>
      <c r="K743" s="1583"/>
      <c r="L743" s="1583"/>
      <c r="M743" s="1583"/>
      <c r="N743" s="1583"/>
      <c r="O743" s="1583"/>
      <c r="P743" s="1583"/>
      <c r="Q743" s="1583"/>
      <c r="R743" s="1583"/>
      <c r="S743" s="1583"/>
      <c r="T743" s="1585"/>
      <c r="U743" s="1585"/>
      <c r="V743" s="1585"/>
      <c r="W743" s="1630"/>
      <c r="X743" s="1585"/>
      <c r="Y743" s="1585"/>
      <c r="Z743" s="1585"/>
      <c r="AA743" s="1585"/>
      <c r="AB743" s="1585"/>
      <c r="AC743" s="1585"/>
      <c r="AD743" s="1601">
        <f t="shared" si="71"/>
        <v>0</v>
      </c>
      <c r="AE743" s="1790">
        <v>0</v>
      </c>
      <c r="AF743" s="1792"/>
    </row>
    <row r="744" spans="1:35" ht="27.75" customHeight="1">
      <c r="A744" s="2918" t="s">
        <v>1199</v>
      </c>
      <c r="B744" s="2919" t="s">
        <v>2267</v>
      </c>
      <c r="C744" s="2920" t="s">
        <v>49</v>
      </c>
      <c r="D744" s="2917">
        <v>26662.399999999998</v>
      </c>
      <c r="E744" s="1598" t="s">
        <v>2496</v>
      </c>
      <c r="F744" s="1583"/>
      <c r="G744" s="1583"/>
      <c r="H744" s="1583"/>
      <c r="I744" s="1583"/>
      <c r="J744" s="1583"/>
      <c r="K744" s="1583"/>
      <c r="L744" s="1583"/>
      <c r="M744" s="1583"/>
      <c r="N744" s="1583"/>
      <c r="O744" s="1583"/>
      <c r="P744" s="1583"/>
      <c r="Q744" s="1583"/>
      <c r="R744" s="1583"/>
      <c r="S744" s="1583"/>
      <c r="T744" s="1585"/>
      <c r="U744" s="1585"/>
      <c r="V744" s="1585"/>
      <c r="W744" s="1585"/>
      <c r="X744" s="1585"/>
      <c r="Y744" s="1585"/>
      <c r="Z744" s="1585"/>
      <c r="AA744" s="1585"/>
      <c r="AB744" s="1585"/>
      <c r="AC744" s="1585">
        <v>26662.399999999998</v>
      </c>
      <c r="AD744" s="1601">
        <f t="shared" si="71"/>
        <v>26662.399999999998</v>
      </c>
      <c r="AE744" s="1790">
        <v>0</v>
      </c>
      <c r="AF744" s="1792"/>
    </row>
    <row r="745" spans="1:35" ht="27.75" customHeight="1">
      <c r="A745" s="2918"/>
      <c r="B745" s="2919"/>
      <c r="C745" s="2920"/>
      <c r="D745" s="2917"/>
      <c r="E745" s="1603" t="s">
        <v>2497</v>
      </c>
      <c r="F745" s="1583"/>
      <c r="G745" s="1583"/>
      <c r="H745" s="1583"/>
      <c r="I745" s="1583"/>
      <c r="J745" s="1583"/>
      <c r="K745" s="1583"/>
      <c r="L745" s="1583"/>
      <c r="M745" s="1583"/>
      <c r="N745" s="1583"/>
      <c r="O745" s="1583"/>
      <c r="P745" s="1583"/>
      <c r="Q745" s="1583"/>
      <c r="R745" s="1583"/>
      <c r="S745" s="1583"/>
      <c r="T745" s="1585"/>
      <c r="U745" s="1585"/>
      <c r="V745" s="1585"/>
      <c r="W745" s="1630"/>
      <c r="X745" s="1585"/>
      <c r="Y745" s="1585"/>
      <c r="Z745" s="1585"/>
      <c r="AA745" s="1585"/>
      <c r="AB745" s="1585"/>
      <c r="AC745" s="1585"/>
      <c r="AD745" s="1601">
        <f t="shared" si="71"/>
        <v>0</v>
      </c>
      <c r="AE745" s="1790">
        <v>0</v>
      </c>
      <c r="AF745" s="1792"/>
    </row>
    <row r="746" spans="1:35" ht="27.75" customHeight="1">
      <c r="A746" s="2918" t="s">
        <v>1201</v>
      </c>
      <c r="B746" s="2919" t="s">
        <v>2268</v>
      </c>
      <c r="C746" s="2920" t="s">
        <v>49</v>
      </c>
      <c r="D746" s="2917">
        <v>7260.4</v>
      </c>
      <c r="E746" s="1598" t="s">
        <v>2496</v>
      </c>
      <c r="F746" s="1583"/>
      <c r="G746" s="1583"/>
      <c r="H746" s="1583"/>
      <c r="I746" s="1583"/>
      <c r="J746" s="1583"/>
      <c r="K746" s="1583"/>
      <c r="L746" s="1583"/>
      <c r="M746" s="1583"/>
      <c r="N746" s="1583"/>
      <c r="O746" s="1583"/>
      <c r="P746" s="1583"/>
      <c r="Q746" s="1583"/>
      <c r="R746" s="1583"/>
      <c r="S746" s="1583"/>
      <c r="T746" s="1585"/>
      <c r="U746" s="1585"/>
      <c r="V746" s="1585"/>
      <c r="W746" s="1585"/>
      <c r="X746" s="1585"/>
      <c r="Y746" s="1585"/>
      <c r="Z746" s="1585"/>
      <c r="AA746" s="1585"/>
      <c r="AB746" s="1585"/>
      <c r="AC746" s="1585">
        <v>7260.4</v>
      </c>
      <c r="AD746" s="1601">
        <f t="shared" si="71"/>
        <v>7260.4</v>
      </c>
      <c r="AE746" s="1790">
        <v>0</v>
      </c>
      <c r="AF746" s="1792"/>
    </row>
    <row r="747" spans="1:35" ht="27.75" customHeight="1">
      <c r="A747" s="2918"/>
      <c r="B747" s="2919"/>
      <c r="C747" s="2920"/>
      <c r="D747" s="2917"/>
      <c r="E747" s="1603" t="s">
        <v>2497</v>
      </c>
      <c r="F747" s="1583"/>
      <c r="G747" s="1583"/>
      <c r="H747" s="1583"/>
      <c r="I747" s="1583"/>
      <c r="J747" s="1583"/>
      <c r="K747" s="1583"/>
      <c r="L747" s="1583"/>
      <c r="M747" s="1583"/>
      <c r="N747" s="1583"/>
      <c r="O747" s="1583"/>
      <c r="P747" s="1583"/>
      <c r="Q747" s="1583"/>
      <c r="R747" s="1583"/>
      <c r="S747" s="1583"/>
      <c r="T747" s="1585"/>
      <c r="U747" s="1585"/>
      <c r="V747" s="1585"/>
      <c r="W747" s="1630"/>
      <c r="X747" s="1585"/>
      <c r="Y747" s="1585"/>
      <c r="Z747" s="1585"/>
      <c r="AA747" s="1585"/>
      <c r="AB747" s="1585"/>
      <c r="AC747" s="1585"/>
      <c r="AD747" s="1601">
        <f t="shared" si="71"/>
        <v>0</v>
      </c>
      <c r="AE747" s="1790">
        <v>0</v>
      </c>
      <c r="AF747" s="1792"/>
    </row>
    <row r="748" spans="1:35" ht="27.75" customHeight="1">
      <c r="A748" s="2918" t="s">
        <v>2291</v>
      </c>
      <c r="B748" s="2919" t="s">
        <v>2269</v>
      </c>
      <c r="C748" s="2920" t="s">
        <v>49</v>
      </c>
      <c r="D748" s="2917">
        <v>13370.000000000002</v>
      </c>
      <c r="E748" s="1598" t="s">
        <v>2496</v>
      </c>
      <c r="F748" s="1583"/>
      <c r="G748" s="1583"/>
      <c r="H748" s="1583"/>
      <c r="I748" s="1583"/>
      <c r="J748" s="1583"/>
      <c r="K748" s="1583"/>
      <c r="L748" s="1583"/>
      <c r="M748" s="1583"/>
      <c r="N748" s="1583"/>
      <c r="O748" s="1583"/>
      <c r="P748" s="1583"/>
      <c r="Q748" s="1583"/>
      <c r="R748" s="1583"/>
      <c r="S748" s="1583"/>
      <c r="T748" s="1585"/>
      <c r="U748" s="1585"/>
      <c r="V748" s="1585"/>
      <c r="W748" s="1585"/>
      <c r="X748" s="1585"/>
      <c r="Y748" s="1585"/>
      <c r="Z748" s="1585"/>
      <c r="AA748" s="1585"/>
      <c r="AB748" s="1585"/>
      <c r="AC748" s="1585">
        <v>13370.000000000002</v>
      </c>
      <c r="AD748" s="1601">
        <f t="shared" si="71"/>
        <v>13370.000000000002</v>
      </c>
      <c r="AE748" s="1790">
        <v>0</v>
      </c>
      <c r="AF748" s="1792"/>
    </row>
    <row r="749" spans="1:35" ht="27.75" customHeight="1">
      <c r="A749" s="2918"/>
      <c r="B749" s="2919"/>
      <c r="C749" s="2920"/>
      <c r="D749" s="2917"/>
      <c r="E749" s="1603" t="s">
        <v>2497</v>
      </c>
      <c r="F749" s="1583"/>
      <c r="G749" s="1583"/>
      <c r="H749" s="1583"/>
      <c r="I749" s="1583"/>
      <c r="J749" s="1583"/>
      <c r="K749" s="1583"/>
      <c r="L749" s="1583"/>
      <c r="M749" s="1583"/>
      <c r="N749" s="1583"/>
      <c r="O749" s="1583"/>
      <c r="P749" s="1583"/>
      <c r="Q749" s="1583"/>
      <c r="R749" s="1583"/>
      <c r="S749" s="1583"/>
      <c r="T749" s="1585"/>
      <c r="U749" s="1585"/>
      <c r="V749" s="1585"/>
      <c r="W749" s="1585"/>
      <c r="X749" s="1585"/>
      <c r="Y749" s="1585"/>
      <c r="Z749" s="1585"/>
      <c r="AA749" s="1585"/>
      <c r="AB749" s="1585"/>
      <c r="AC749" s="1585"/>
      <c r="AD749" s="1601">
        <f t="shared" si="71"/>
        <v>0</v>
      </c>
      <c r="AE749" s="1790">
        <v>0</v>
      </c>
      <c r="AF749" s="1792"/>
    </row>
    <row r="750" spans="1:35" ht="27.75" customHeight="1">
      <c r="A750" s="2918" t="s">
        <v>2292</v>
      </c>
      <c r="B750" s="2919" t="s">
        <v>2270</v>
      </c>
      <c r="C750" s="2920" t="s">
        <v>49</v>
      </c>
      <c r="D750" s="2917">
        <v>27765</v>
      </c>
      <c r="E750" s="1598" t="s">
        <v>2496</v>
      </c>
      <c r="F750" s="1583"/>
      <c r="G750" s="1583"/>
      <c r="H750" s="1583"/>
      <c r="I750" s="1583"/>
      <c r="J750" s="1583"/>
      <c r="K750" s="1583"/>
      <c r="L750" s="1583"/>
      <c r="M750" s="1583"/>
      <c r="N750" s="1583"/>
      <c r="O750" s="1583"/>
      <c r="P750" s="1583"/>
      <c r="Q750" s="1583"/>
      <c r="R750" s="1583"/>
      <c r="S750" s="1583"/>
      <c r="T750" s="1585"/>
      <c r="U750" s="1585"/>
      <c r="V750" s="1585"/>
      <c r="W750" s="1585"/>
      <c r="X750" s="1585"/>
      <c r="Y750" s="1585"/>
      <c r="Z750" s="1585"/>
      <c r="AA750" s="1585"/>
      <c r="AB750" s="1585">
        <v>27765</v>
      </c>
      <c r="AC750" s="1585"/>
      <c r="AD750" s="1601">
        <f t="shared" si="71"/>
        <v>27765</v>
      </c>
      <c r="AE750" s="1790">
        <v>0</v>
      </c>
      <c r="AF750" s="1792"/>
    </row>
    <row r="751" spans="1:35" ht="27.75" customHeight="1">
      <c r="A751" s="2918"/>
      <c r="B751" s="2919"/>
      <c r="C751" s="2920"/>
      <c r="D751" s="2917"/>
      <c r="E751" s="1603" t="s">
        <v>2497</v>
      </c>
      <c r="F751" s="1583"/>
      <c r="G751" s="1583"/>
      <c r="H751" s="1583"/>
      <c r="I751" s="1583"/>
      <c r="J751" s="1583"/>
      <c r="K751" s="1583"/>
      <c r="L751" s="1583"/>
      <c r="M751" s="1583"/>
      <c r="N751" s="1583"/>
      <c r="O751" s="1583"/>
      <c r="P751" s="1583"/>
      <c r="Q751" s="1583"/>
      <c r="R751" s="1583"/>
      <c r="S751" s="1583"/>
      <c r="T751" s="1585"/>
      <c r="U751" s="1585"/>
      <c r="V751" s="1585"/>
      <c r="W751" s="1630"/>
      <c r="X751" s="1585"/>
      <c r="Y751" s="1585"/>
      <c r="Z751" s="1585"/>
      <c r="AA751" s="1585"/>
      <c r="AB751" s="1585"/>
      <c r="AC751" s="1585"/>
      <c r="AD751" s="1601">
        <f t="shared" si="71"/>
        <v>0</v>
      </c>
      <c r="AE751" s="1790">
        <v>0</v>
      </c>
      <c r="AF751" s="1792"/>
    </row>
    <row r="752" spans="1:35" ht="27.75" customHeight="1">
      <c r="A752" s="2918" t="s">
        <v>2293</v>
      </c>
      <c r="B752" s="2919" t="s">
        <v>2271</v>
      </c>
      <c r="C752" s="2920" t="s">
        <v>49</v>
      </c>
      <c r="D752" s="2917">
        <v>138010.5</v>
      </c>
      <c r="E752" s="1598" t="s">
        <v>2496</v>
      </c>
      <c r="F752" s="1583"/>
      <c r="G752" s="1583"/>
      <c r="H752" s="1583"/>
      <c r="I752" s="1583"/>
      <c r="J752" s="1583"/>
      <c r="K752" s="1583"/>
      <c r="L752" s="1583"/>
      <c r="M752" s="1583"/>
      <c r="N752" s="1583"/>
      <c r="O752" s="1583"/>
      <c r="P752" s="1583"/>
      <c r="Q752" s="1583"/>
      <c r="R752" s="1583"/>
      <c r="S752" s="1583"/>
      <c r="T752" s="1585"/>
      <c r="U752" s="1585"/>
      <c r="V752" s="1585"/>
      <c r="W752" s="1585"/>
      <c r="X752" s="1585"/>
      <c r="Y752" s="1585"/>
      <c r="Z752" s="1585"/>
      <c r="AA752" s="1585"/>
      <c r="AB752" s="1585">
        <v>94010.5</v>
      </c>
      <c r="AC752" s="1585">
        <v>44000</v>
      </c>
      <c r="AD752" s="1601">
        <f t="shared" si="71"/>
        <v>138010.5</v>
      </c>
      <c r="AE752" s="1790">
        <v>0</v>
      </c>
      <c r="AF752" s="1792"/>
      <c r="AG752" s="1560">
        <v>69005.25</v>
      </c>
      <c r="AI752" s="1560">
        <v>138010.5</v>
      </c>
    </row>
    <row r="753" spans="1:35" ht="27.75" customHeight="1">
      <c r="A753" s="2918"/>
      <c r="B753" s="2919"/>
      <c r="C753" s="2920"/>
      <c r="D753" s="2917"/>
      <c r="E753" s="1603" t="s">
        <v>2497</v>
      </c>
      <c r="F753" s="1583"/>
      <c r="G753" s="1583"/>
      <c r="H753" s="1583"/>
      <c r="I753" s="1583"/>
      <c r="J753" s="1583"/>
      <c r="K753" s="1583"/>
      <c r="L753" s="1583"/>
      <c r="M753" s="1583"/>
      <c r="N753" s="1583"/>
      <c r="O753" s="1583"/>
      <c r="P753" s="1583"/>
      <c r="Q753" s="1583"/>
      <c r="R753" s="1583"/>
      <c r="S753" s="1583"/>
      <c r="T753" s="1585"/>
      <c r="U753" s="1585"/>
      <c r="V753" s="1585"/>
      <c r="W753" s="1630"/>
      <c r="X753" s="1585"/>
      <c r="Y753" s="1585"/>
      <c r="Z753" s="1585"/>
      <c r="AA753" s="1585"/>
      <c r="AB753" s="1585"/>
      <c r="AC753" s="1585"/>
      <c r="AD753" s="1601">
        <f t="shared" si="71"/>
        <v>0</v>
      </c>
      <c r="AE753" s="1790">
        <v>0</v>
      </c>
      <c r="AF753" s="1792"/>
      <c r="AG753" s="1560">
        <f>AG752-20000</f>
        <v>49005.25</v>
      </c>
      <c r="AI753" s="1560">
        <f>AI752-44000</f>
        <v>94010.5</v>
      </c>
    </row>
    <row r="754" spans="1:35" ht="27.75" customHeight="1">
      <c r="A754" s="2918" t="s">
        <v>2294</v>
      </c>
      <c r="B754" s="2919" t="s">
        <v>2272</v>
      </c>
      <c r="C754" s="2920" t="s">
        <v>49</v>
      </c>
      <c r="D754" s="2917">
        <v>65371.500000000007</v>
      </c>
      <c r="E754" s="1598" t="s">
        <v>2496</v>
      </c>
      <c r="F754" s="1583"/>
      <c r="G754" s="1583"/>
      <c r="H754" s="1583"/>
      <c r="I754" s="1583"/>
      <c r="J754" s="1583"/>
      <c r="K754" s="1583"/>
      <c r="L754" s="1583"/>
      <c r="M754" s="1583"/>
      <c r="N754" s="1583"/>
      <c r="O754" s="1583"/>
      <c r="P754" s="1583"/>
      <c r="Q754" s="1583"/>
      <c r="R754" s="1583"/>
      <c r="S754" s="1583"/>
      <c r="T754" s="1585"/>
      <c r="U754" s="1585"/>
      <c r="V754" s="1585"/>
      <c r="W754" s="1585"/>
      <c r="X754" s="1585"/>
      <c r="Y754" s="1585"/>
      <c r="Z754" s="1585"/>
      <c r="AA754" s="1585"/>
      <c r="AB754" s="1585">
        <v>65371.5</v>
      </c>
      <c r="AC754" s="1585"/>
      <c r="AD754" s="1601">
        <f t="shared" si="71"/>
        <v>65371.5</v>
      </c>
      <c r="AE754" s="1790">
        <v>0</v>
      </c>
      <c r="AF754" s="1792">
        <v>653.71500000000003</v>
      </c>
      <c r="AG754" s="1560">
        <v>65371.5</v>
      </c>
    </row>
    <row r="755" spans="1:35" ht="27.75" customHeight="1">
      <c r="A755" s="2918"/>
      <c r="B755" s="2919"/>
      <c r="C755" s="2920"/>
      <c r="D755" s="2917"/>
      <c r="E755" s="1603" t="s">
        <v>2497</v>
      </c>
      <c r="F755" s="1583"/>
      <c r="G755" s="1583"/>
      <c r="H755" s="1583"/>
      <c r="I755" s="1583"/>
      <c r="J755" s="1583"/>
      <c r="K755" s="1583"/>
      <c r="L755" s="1583"/>
      <c r="M755" s="1583"/>
      <c r="N755" s="1583"/>
      <c r="O755" s="1583"/>
      <c r="P755" s="1583"/>
      <c r="Q755" s="1583"/>
      <c r="R755" s="1583"/>
      <c r="S755" s="1583"/>
      <c r="T755" s="1585"/>
      <c r="U755" s="1585"/>
      <c r="V755" s="1585"/>
      <c r="W755" s="1585"/>
      <c r="X755" s="1585"/>
      <c r="Y755" s="1585"/>
      <c r="Z755" s="1585"/>
      <c r="AA755" s="1585"/>
      <c r="AB755" s="1585"/>
      <c r="AC755" s="1585"/>
      <c r="AD755" s="1601">
        <f t="shared" si="71"/>
        <v>0</v>
      </c>
      <c r="AE755" s="1790">
        <v>0</v>
      </c>
      <c r="AF755" s="1792"/>
      <c r="AG755" s="1560">
        <f>AG754/2</f>
        <v>32685.75</v>
      </c>
    </row>
    <row r="756" spans="1:35" ht="27.75" customHeight="1">
      <c r="A756" s="1594">
        <v>1.2</v>
      </c>
      <c r="B756" s="1629" t="s">
        <v>2273</v>
      </c>
      <c r="C756" s="1596"/>
      <c r="D756" s="1592"/>
      <c r="E756" s="1593"/>
      <c r="F756" s="1583"/>
      <c r="G756" s="1583"/>
      <c r="H756" s="1583"/>
      <c r="I756" s="1583"/>
      <c r="J756" s="1583"/>
      <c r="K756" s="1583"/>
      <c r="L756" s="1583"/>
      <c r="M756" s="1583"/>
      <c r="N756" s="1583"/>
      <c r="O756" s="1583"/>
      <c r="P756" s="1583"/>
      <c r="Q756" s="1583"/>
      <c r="R756" s="1583"/>
      <c r="S756" s="1583"/>
      <c r="T756" s="1585"/>
      <c r="U756" s="1585"/>
      <c r="V756" s="1585"/>
      <c r="W756" s="1585"/>
      <c r="X756" s="1585"/>
      <c r="Y756" s="1585"/>
      <c r="Z756" s="1585"/>
      <c r="AA756" s="1585"/>
      <c r="AB756" s="1585"/>
      <c r="AC756" s="1585"/>
      <c r="AD756" s="1601">
        <f t="shared" si="71"/>
        <v>0</v>
      </c>
      <c r="AE756" s="1790">
        <v>0</v>
      </c>
      <c r="AF756" s="1792"/>
      <c r="AI756" s="1560">
        <v>118010.5</v>
      </c>
    </row>
    <row r="757" spans="1:35" ht="27.75" customHeight="1">
      <c r="A757" s="2918" t="s">
        <v>1204</v>
      </c>
      <c r="B757" s="2919" t="s">
        <v>2274</v>
      </c>
      <c r="C757" s="2920" t="s">
        <v>49</v>
      </c>
      <c r="D757" s="2917">
        <v>2960.9999999999995</v>
      </c>
      <c r="E757" s="1598" t="s">
        <v>2496</v>
      </c>
      <c r="F757" s="1583"/>
      <c r="G757" s="1583"/>
      <c r="H757" s="1583"/>
      <c r="I757" s="1583"/>
      <c r="J757" s="1583"/>
      <c r="K757" s="1583"/>
      <c r="L757" s="1583"/>
      <c r="M757" s="1583"/>
      <c r="N757" s="1583"/>
      <c r="O757" s="1583"/>
      <c r="P757" s="1583"/>
      <c r="Q757" s="1583"/>
      <c r="R757" s="1583"/>
      <c r="S757" s="1583"/>
      <c r="T757" s="1585"/>
      <c r="U757" s="1585"/>
      <c r="V757" s="1585"/>
      <c r="W757" s="1585"/>
      <c r="X757" s="1585"/>
      <c r="Y757" s="1585"/>
      <c r="Z757" s="1585"/>
      <c r="AA757" s="1585"/>
      <c r="AB757" s="1585">
        <v>2960.9999999999995</v>
      </c>
      <c r="AC757" s="1585"/>
      <c r="AD757" s="1601">
        <f t="shared" si="71"/>
        <v>2960.9999999999995</v>
      </c>
      <c r="AE757" s="1790">
        <v>0</v>
      </c>
      <c r="AF757" s="1792"/>
      <c r="AI757" s="1560">
        <f>AI756-20000</f>
        <v>98010.5</v>
      </c>
    </row>
    <row r="758" spans="1:35" ht="27.75" customHeight="1">
      <c r="A758" s="2918"/>
      <c r="B758" s="2919"/>
      <c r="C758" s="2920"/>
      <c r="D758" s="2917"/>
      <c r="E758" s="1603" t="s">
        <v>2497</v>
      </c>
      <c r="F758" s="1583"/>
      <c r="G758" s="1583"/>
      <c r="H758" s="1583"/>
      <c r="I758" s="1583"/>
      <c r="J758" s="1583"/>
      <c r="K758" s="1583"/>
      <c r="L758" s="1583"/>
      <c r="M758" s="1583"/>
      <c r="N758" s="1583"/>
      <c r="O758" s="1583"/>
      <c r="P758" s="1583"/>
      <c r="Q758" s="1583"/>
      <c r="R758" s="1583"/>
      <c r="S758" s="1583"/>
      <c r="T758" s="1585"/>
      <c r="U758" s="1585"/>
      <c r="V758" s="1585"/>
      <c r="W758" s="1585"/>
      <c r="X758" s="1630"/>
      <c r="Y758" s="1585"/>
      <c r="Z758" s="1585"/>
      <c r="AA758" s="1585"/>
      <c r="AB758" s="1585"/>
      <c r="AC758" s="1585"/>
      <c r="AD758" s="1601">
        <f t="shared" si="71"/>
        <v>0</v>
      </c>
      <c r="AE758" s="1790">
        <v>0</v>
      </c>
      <c r="AF758" s="1792"/>
    </row>
    <row r="759" spans="1:35" ht="27.75" customHeight="1">
      <c r="A759" s="2918" t="s">
        <v>1205</v>
      </c>
      <c r="B759" s="2919" t="s">
        <v>2275</v>
      </c>
      <c r="C759" s="2920" t="s">
        <v>49</v>
      </c>
      <c r="D759" s="2917">
        <v>5747.4</v>
      </c>
      <c r="E759" s="1598" t="s">
        <v>2496</v>
      </c>
      <c r="F759" s="1583"/>
      <c r="G759" s="1583"/>
      <c r="H759" s="1583"/>
      <c r="I759" s="1583"/>
      <c r="J759" s="1583"/>
      <c r="K759" s="1583"/>
      <c r="L759" s="1583"/>
      <c r="M759" s="1583"/>
      <c r="N759" s="1583"/>
      <c r="O759" s="1583"/>
      <c r="P759" s="1583"/>
      <c r="Q759" s="1583"/>
      <c r="R759" s="1583"/>
      <c r="S759" s="1583"/>
      <c r="T759" s="1585"/>
      <c r="U759" s="1585"/>
      <c r="V759" s="1585"/>
      <c r="W759" s="1585"/>
      <c r="X759" s="1585"/>
      <c r="Y759" s="1585"/>
      <c r="Z759" s="1585"/>
      <c r="AA759" s="1585"/>
      <c r="AB759" s="1585">
        <v>5747.4</v>
      </c>
      <c r="AC759" s="1585"/>
      <c r="AD759" s="1601">
        <f t="shared" si="71"/>
        <v>5747.4</v>
      </c>
      <c r="AE759" s="1790">
        <v>0</v>
      </c>
      <c r="AF759" s="1792"/>
    </row>
    <row r="760" spans="1:35" ht="27.75" customHeight="1">
      <c r="A760" s="2918"/>
      <c r="B760" s="2919"/>
      <c r="C760" s="2920"/>
      <c r="D760" s="2917"/>
      <c r="E760" s="1603" t="s">
        <v>2497</v>
      </c>
      <c r="F760" s="1583"/>
      <c r="G760" s="1583"/>
      <c r="H760" s="1583"/>
      <c r="I760" s="1583"/>
      <c r="J760" s="1583"/>
      <c r="K760" s="1583"/>
      <c r="L760" s="1583"/>
      <c r="M760" s="1583"/>
      <c r="N760" s="1583"/>
      <c r="O760" s="1583"/>
      <c r="P760" s="1583"/>
      <c r="Q760" s="1583"/>
      <c r="R760" s="1583"/>
      <c r="S760" s="1583"/>
      <c r="T760" s="1585"/>
      <c r="U760" s="1585"/>
      <c r="V760" s="1585"/>
      <c r="W760" s="1585"/>
      <c r="X760" s="1585"/>
      <c r="Y760" s="1585"/>
      <c r="Z760" s="1585"/>
      <c r="AA760" s="1585"/>
      <c r="AB760" s="1585"/>
      <c r="AC760" s="1585"/>
      <c r="AD760" s="1601">
        <f t="shared" si="71"/>
        <v>0</v>
      </c>
      <c r="AE760" s="1790">
        <v>0</v>
      </c>
      <c r="AF760" s="1792"/>
    </row>
    <row r="761" spans="1:35" ht="27.75" customHeight="1">
      <c r="A761" s="1594">
        <v>1.3</v>
      </c>
      <c r="B761" s="1629" t="s">
        <v>2276</v>
      </c>
      <c r="C761" s="1591"/>
      <c r="D761" s="1597"/>
      <c r="E761" s="1583"/>
      <c r="F761" s="1583"/>
      <c r="G761" s="1583"/>
      <c r="H761" s="1583"/>
      <c r="I761" s="1583"/>
      <c r="J761" s="1583"/>
      <c r="K761" s="1583"/>
      <c r="L761" s="1583"/>
      <c r="M761" s="1583"/>
      <c r="N761" s="1583"/>
      <c r="O761" s="1583"/>
      <c r="P761" s="1583"/>
      <c r="Q761" s="1583"/>
      <c r="R761" s="1583"/>
      <c r="S761" s="1583"/>
      <c r="T761" s="1585"/>
      <c r="U761" s="1585"/>
      <c r="V761" s="1585"/>
      <c r="W761" s="1585"/>
      <c r="X761" s="1585"/>
      <c r="Y761" s="1585"/>
      <c r="Z761" s="1585"/>
      <c r="AA761" s="1585"/>
      <c r="AB761" s="1585"/>
      <c r="AC761" s="1585"/>
      <c r="AD761" s="1601">
        <f t="shared" si="71"/>
        <v>0</v>
      </c>
      <c r="AE761" s="1790">
        <v>0</v>
      </c>
      <c r="AF761" s="1792"/>
    </row>
    <row r="762" spans="1:35" ht="27.75" customHeight="1">
      <c r="A762" s="2918" t="s">
        <v>2209</v>
      </c>
      <c r="B762" s="2919" t="s">
        <v>2277</v>
      </c>
      <c r="C762" s="2920" t="s">
        <v>49</v>
      </c>
      <c r="D762" s="2917">
        <v>8561</v>
      </c>
      <c r="E762" s="1598" t="s">
        <v>2496</v>
      </c>
      <c r="F762" s="1583"/>
      <c r="G762" s="1583"/>
      <c r="H762" s="1583"/>
      <c r="I762" s="1583"/>
      <c r="J762" s="1583"/>
      <c r="K762" s="1583"/>
      <c r="L762" s="1583"/>
      <c r="M762" s="1583"/>
      <c r="N762" s="1583"/>
      <c r="O762" s="1583"/>
      <c r="P762" s="1583"/>
      <c r="Q762" s="1583"/>
      <c r="R762" s="1583"/>
      <c r="S762" s="1583"/>
      <c r="T762" s="1585"/>
      <c r="U762" s="1585"/>
      <c r="V762" s="1585"/>
      <c r="W762" s="1585"/>
      <c r="X762" s="1585"/>
      <c r="Y762" s="1585"/>
      <c r="Z762" s="1585"/>
      <c r="AA762" s="1585"/>
      <c r="AB762" s="1585">
        <v>8561</v>
      </c>
      <c r="AC762" s="1585"/>
      <c r="AD762" s="1601">
        <f t="shared" si="71"/>
        <v>8561</v>
      </c>
      <c r="AE762" s="1790">
        <v>0</v>
      </c>
      <c r="AF762" s="1792"/>
    </row>
    <row r="763" spans="1:35" ht="27.75" customHeight="1">
      <c r="A763" s="2918"/>
      <c r="B763" s="2919"/>
      <c r="C763" s="2920"/>
      <c r="D763" s="2917"/>
      <c r="E763" s="1603" t="s">
        <v>2497</v>
      </c>
      <c r="F763" s="1583"/>
      <c r="G763" s="1583"/>
      <c r="H763" s="1583"/>
      <c r="I763" s="1583"/>
      <c r="J763" s="1583"/>
      <c r="K763" s="1583"/>
      <c r="L763" s="1583"/>
      <c r="M763" s="1583"/>
      <c r="N763" s="1583"/>
      <c r="O763" s="1583"/>
      <c r="P763" s="1583"/>
      <c r="Q763" s="1583"/>
      <c r="R763" s="1583"/>
      <c r="S763" s="1583"/>
      <c r="T763" s="1585"/>
      <c r="U763" s="1585"/>
      <c r="V763" s="1585"/>
      <c r="W763" s="1585"/>
      <c r="X763" s="1630"/>
      <c r="Y763" s="1585"/>
      <c r="Z763" s="1585"/>
      <c r="AA763" s="1585"/>
      <c r="AB763" s="1585"/>
      <c r="AC763" s="1585"/>
      <c r="AD763" s="1601">
        <f t="shared" si="71"/>
        <v>0</v>
      </c>
      <c r="AE763" s="1790">
        <v>0</v>
      </c>
      <c r="AF763" s="1792"/>
    </row>
    <row r="764" spans="1:35" ht="27.75" customHeight="1">
      <c r="A764" s="2918" t="s">
        <v>2210</v>
      </c>
      <c r="B764" s="2919" t="s">
        <v>2278</v>
      </c>
      <c r="C764" s="2920" t="s">
        <v>49</v>
      </c>
      <c r="D764" s="2917">
        <v>7140.2</v>
      </c>
      <c r="E764" s="1598" t="s">
        <v>2496</v>
      </c>
      <c r="F764" s="1583"/>
      <c r="G764" s="1583"/>
      <c r="H764" s="1583"/>
      <c r="I764" s="1583"/>
      <c r="J764" s="1583"/>
      <c r="K764" s="1583"/>
      <c r="L764" s="1583"/>
      <c r="M764" s="1583"/>
      <c r="N764" s="1583"/>
      <c r="O764" s="1583"/>
      <c r="P764" s="1583"/>
      <c r="Q764" s="1583"/>
      <c r="R764" s="1583"/>
      <c r="S764" s="1583"/>
      <c r="T764" s="1585"/>
      <c r="U764" s="1585"/>
      <c r="V764" s="1585"/>
      <c r="W764" s="1585"/>
      <c r="X764" s="1585"/>
      <c r="Y764" s="1585"/>
      <c r="Z764" s="1585"/>
      <c r="AA764" s="1585"/>
      <c r="AB764" s="1585">
        <v>7140.2</v>
      </c>
      <c r="AC764" s="1585"/>
      <c r="AD764" s="1601">
        <f t="shared" si="71"/>
        <v>7140.2</v>
      </c>
      <c r="AE764" s="1790">
        <v>0</v>
      </c>
      <c r="AF764" s="1792"/>
    </row>
    <row r="765" spans="1:35" ht="27.75" customHeight="1">
      <c r="A765" s="2918"/>
      <c r="B765" s="2919"/>
      <c r="C765" s="2920"/>
      <c r="D765" s="2917"/>
      <c r="E765" s="1603" t="s">
        <v>2497</v>
      </c>
      <c r="F765" s="1583"/>
      <c r="G765" s="1583"/>
      <c r="H765" s="1583"/>
      <c r="I765" s="1583"/>
      <c r="J765" s="1583"/>
      <c r="K765" s="1583"/>
      <c r="L765" s="1583"/>
      <c r="M765" s="1583"/>
      <c r="N765" s="1583"/>
      <c r="O765" s="1583"/>
      <c r="P765" s="1583"/>
      <c r="Q765" s="1583"/>
      <c r="R765" s="1583"/>
      <c r="S765" s="1583"/>
      <c r="T765" s="1585"/>
      <c r="U765" s="1585"/>
      <c r="V765" s="1585"/>
      <c r="W765" s="1585"/>
      <c r="X765" s="1585"/>
      <c r="Y765" s="1585"/>
      <c r="Z765" s="1585"/>
      <c r="AA765" s="1585"/>
      <c r="AB765" s="1585"/>
      <c r="AC765" s="1585"/>
      <c r="AD765" s="1601">
        <f t="shared" si="71"/>
        <v>0</v>
      </c>
      <c r="AE765" s="1790">
        <v>0</v>
      </c>
      <c r="AF765" s="1792"/>
    </row>
    <row r="766" spans="1:35" ht="27.75" customHeight="1">
      <c r="A766" s="1594">
        <v>1.4</v>
      </c>
      <c r="B766" s="1629" t="s">
        <v>2279</v>
      </c>
      <c r="C766" s="1596"/>
      <c r="D766" s="1597"/>
      <c r="E766" s="1593"/>
      <c r="F766" s="1583"/>
      <c r="G766" s="1583"/>
      <c r="H766" s="1583"/>
      <c r="I766" s="1583"/>
      <c r="J766" s="1583"/>
      <c r="K766" s="1583"/>
      <c r="L766" s="1583"/>
      <c r="M766" s="1583"/>
      <c r="N766" s="1583"/>
      <c r="O766" s="1583"/>
      <c r="P766" s="1583"/>
      <c r="Q766" s="1583"/>
      <c r="R766" s="1583"/>
      <c r="S766" s="1583"/>
      <c r="T766" s="1585"/>
      <c r="U766" s="1585"/>
      <c r="V766" s="1585"/>
      <c r="W766" s="1585"/>
      <c r="X766" s="1585"/>
      <c r="Y766" s="1585"/>
      <c r="Z766" s="1585"/>
      <c r="AA766" s="1585"/>
      <c r="AB766" s="1585"/>
      <c r="AC766" s="1585"/>
      <c r="AD766" s="1601">
        <f t="shared" si="71"/>
        <v>0</v>
      </c>
      <c r="AE766" s="1790">
        <v>0</v>
      </c>
      <c r="AF766" s="1792"/>
    </row>
    <row r="767" spans="1:35" ht="27.75" customHeight="1">
      <c r="A767" s="2918" t="s">
        <v>2295</v>
      </c>
      <c r="B767" s="2919" t="s">
        <v>2280</v>
      </c>
      <c r="C767" s="2920" t="s">
        <v>49</v>
      </c>
      <c r="D767" s="2917">
        <v>12117</v>
      </c>
      <c r="E767" s="1598" t="s">
        <v>2496</v>
      </c>
      <c r="F767" s="1583"/>
      <c r="G767" s="1583"/>
      <c r="H767" s="1583"/>
      <c r="I767" s="1583"/>
      <c r="J767" s="1583"/>
      <c r="K767" s="1583"/>
      <c r="L767" s="1583"/>
      <c r="M767" s="1583"/>
      <c r="N767" s="1583"/>
      <c r="O767" s="1583"/>
      <c r="P767" s="1583"/>
      <c r="Q767" s="1583"/>
      <c r="R767" s="1583"/>
      <c r="S767" s="1583"/>
      <c r="T767" s="1585"/>
      <c r="U767" s="1585"/>
      <c r="V767" s="1585"/>
      <c r="W767" s="1585"/>
      <c r="X767" s="1585"/>
      <c r="Y767" s="1585"/>
      <c r="Z767" s="1585"/>
      <c r="AA767" s="1585"/>
      <c r="AB767" s="1585"/>
      <c r="AC767" s="1585">
        <v>12117</v>
      </c>
      <c r="AD767" s="1601">
        <f t="shared" si="71"/>
        <v>12117</v>
      </c>
      <c r="AE767" s="1790">
        <v>0</v>
      </c>
      <c r="AF767" s="1792"/>
    </row>
    <row r="768" spans="1:35" ht="27.75" customHeight="1">
      <c r="A768" s="2918"/>
      <c r="B768" s="2919"/>
      <c r="C768" s="2920"/>
      <c r="D768" s="2917"/>
      <c r="E768" s="1603" t="s">
        <v>2497</v>
      </c>
      <c r="F768" s="1583"/>
      <c r="G768" s="1583"/>
      <c r="H768" s="1583"/>
      <c r="I768" s="1583"/>
      <c r="J768" s="1583"/>
      <c r="K768" s="1583"/>
      <c r="L768" s="1583"/>
      <c r="M768" s="1583"/>
      <c r="N768" s="1583"/>
      <c r="O768" s="1583"/>
      <c r="P768" s="1583"/>
      <c r="Q768" s="1583"/>
      <c r="R768" s="1583"/>
      <c r="S768" s="1583"/>
      <c r="T768" s="1585"/>
      <c r="U768" s="1585"/>
      <c r="V768" s="1585"/>
      <c r="W768" s="1585"/>
      <c r="X768" s="1585"/>
      <c r="Y768" s="1585"/>
      <c r="Z768" s="1585"/>
      <c r="AA768" s="1585"/>
      <c r="AB768" s="1585"/>
      <c r="AC768" s="1585"/>
      <c r="AD768" s="1601">
        <f t="shared" si="71"/>
        <v>0</v>
      </c>
      <c r="AE768" s="1790">
        <v>0</v>
      </c>
      <c r="AF768" s="1792"/>
    </row>
    <row r="769" spans="1:34" ht="27.75" customHeight="1">
      <c r="A769" s="1594">
        <v>1.5</v>
      </c>
      <c r="B769" s="1629" t="s">
        <v>2281</v>
      </c>
      <c r="C769" s="1596"/>
      <c r="D769" s="1597"/>
      <c r="E769" s="1583"/>
      <c r="F769" s="1583"/>
      <c r="G769" s="1583"/>
      <c r="H769" s="1583"/>
      <c r="I769" s="1583"/>
      <c r="J769" s="1583"/>
      <c r="K769" s="1583"/>
      <c r="L769" s="1583"/>
      <c r="M769" s="1583"/>
      <c r="N769" s="1583"/>
      <c r="O769" s="1583"/>
      <c r="P769" s="1583"/>
      <c r="Q769" s="1583"/>
      <c r="R769" s="1583"/>
      <c r="S769" s="1583"/>
      <c r="T769" s="1585"/>
      <c r="U769" s="1585"/>
      <c r="V769" s="1585"/>
      <c r="W769" s="1585"/>
      <c r="X769" s="1585"/>
      <c r="Y769" s="1585"/>
      <c r="Z769" s="1585"/>
      <c r="AA769" s="1585"/>
      <c r="AB769" s="1585"/>
      <c r="AC769" s="1585"/>
      <c r="AD769" s="1601">
        <f t="shared" si="71"/>
        <v>0</v>
      </c>
      <c r="AE769" s="1790">
        <v>0</v>
      </c>
      <c r="AF769" s="1792"/>
    </row>
    <row r="770" spans="1:34" ht="27.75" customHeight="1">
      <c r="A770" s="2918" t="s">
        <v>2296</v>
      </c>
      <c r="B770" s="2919" t="s">
        <v>2282</v>
      </c>
      <c r="C770" s="2920" t="s">
        <v>51</v>
      </c>
      <c r="D770" s="2917">
        <v>313565</v>
      </c>
      <c r="E770" s="1598" t="s">
        <v>2496</v>
      </c>
      <c r="F770" s="1583"/>
      <c r="G770" s="1583"/>
      <c r="H770" s="1583"/>
      <c r="I770" s="1583"/>
      <c r="J770" s="1583"/>
      <c r="K770" s="1583"/>
      <c r="L770" s="1583"/>
      <c r="M770" s="1583"/>
      <c r="N770" s="1583"/>
      <c r="O770" s="1583"/>
      <c r="P770" s="1583"/>
      <c r="Q770" s="1583"/>
      <c r="R770" s="1583"/>
      <c r="S770" s="1583"/>
      <c r="T770" s="1585"/>
      <c r="U770" s="1585"/>
      <c r="V770" s="1585"/>
      <c r="X770" s="1585"/>
      <c r="Y770" s="1585"/>
      <c r="Z770" s="1585"/>
      <c r="AA770" s="1585"/>
      <c r="AB770" s="1585">
        <v>156782.5</v>
      </c>
      <c r="AC770" s="1585">
        <v>156782.5</v>
      </c>
      <c r="AD770" s="1601">
        <f t="shared" si="71"/>
        <v>313565</v>
      </c>
      <c r="AE770" s="1790">
        <v>0</v>
      </c>
      <c r="AF770" s="1792"/>
    </row>
    <row r="771" spans="1:34" ht="27.75" customHeight="1">
      <c r="A771" s="2918"/>
      <c r="B771" s="2919"/>
      <c r="C771" s="2920"/>
      <c r="D771" s="2917"/>
      <c r="E771" s="1603" t="s">
        <v>2497</v>
      </c>
      <c r="F771" s="1583"/>
      <c r="G771" s="1583"/>
      <c r="H771" s="1583"/>
      <c r="I771" s="1583"/>
      <c r="J771" s="1583"/>
      <c r="K771" s="1583"/>
      <c r="L771" s="1583"/>
      <c r="M771" s="1583"/>
      <c r="N771" s="1583"/>
      <c r="O771" s="1583"/>
      <c r="P771" s="1583"/>
      <c r="Q771" s="1583"/>
      <c r="R771" s="1583"/>
      <c r="S771" s="1583"/>
      <c r="T771" s="1585"/>
      <c r="U771" s="1585"/>
      <c r="V771" s="1585"/>
      <c r="W771" s="1630"/>
      <c r="X771" s="1585"/>
      <c r="Y771" s="1585"/>
      <c r="Z771" s="1585"/>
      <c r="AA771" s="1585"/>
      <c r="AB771" s="1585"/>
      <c r="AC771" s="1585"/>
      <c r="AD771" s="1601">
        <f t="shared" si="71"/>
        <v>0</v>
      </c>
      <c r="AE771" s="1790">
        <v>0</v>
      </c>
      <c r="AF771" s="1792"/>
    </row>
    <row r="772" spans="1:34" ht="27.75" customHeight="1">
      <c r="A772" s="2918" t="s">
        <v>2297</v>
      </c>
      <c r="B772" s="2919" t="s">
        <v>2283</v>
      </c>
      <c r="C772" s="2920" t="s">
        <v>49</v>
      </c>
      <c r="D772" s="2917">
        <v>59316.6</v>
      </c>
      <c r="E772" s="1598" t="s">
        <v>2496</v>
      </c>
      <c r="F772" s="1583"/>
      <c r="G772" s="1583"/>
      <c r="H772" s="1583"/>
      <c r="I772" s="1583"/>
      <c r="J772" s="1583"/>
      <c r="K772" s="1583"/>
      <c r="L772" s="1583"/>
      <c r="M772" s="1583"/>
      <c r="N772" s="1583"/>
      <c r="O772" s="1583"/>
      <c r="P772" s="1583"/>
      <c r="Q772" s="1583"/>
      <c r="R772" s="1583"/>
      <c r="S772" s="1583"/>
      <c r="T772" s="1585"/>
      <c r="U772" s="1585"/>
      <c r="V772" s="1585"/>
      <c r="X772" s="1585"/>
      <c r="Y772" s="1585"/>
      <c r="Z772" s="1585"/>
      <c r="AA772" s="1585"/>
      <c r="AB772" s="1585">
        <v>29658.3</v>
      </c>
      <c r="AC772" s="1585">
        <v>29658.3</v>
      </c>
      <c r="AD772" s="1601">
        <f t="shared" si="71"/>
        <v>59316.6</v>
      </c>
      <c r="AE772" s="1790">
        <v>0</v>
      </c>
      <c r="AF772" s="1792"/>
      <c r="AG772" s="1560">
        <v>59316.6</v>
      </c>
    </row>
    <row r="773" spans="1:34" ht="27.75" customHeight="1">
      <c r="A773" s="2918"/>
      <c r="B773" s="2919"/>
      <c r="C773" s="2920"/>
      <c r="D773" s="2917"/>
      <c r="E773" s="1603" t="s">
        <v>2497</v>
      </c>
      <c r="F773" s="1583"/>
      <c r="G773" s="1583"/>
      <c r="H773" s="1583"/>
      <c r="I773" s="1583"/>
      <c r="J773" s="1583"/>
      <c r="K773" s="1583"/>
      <c r="L773" s="1583"/>
      <c r="M773" s="1583"/>
      <c r="N773" s="1583"/>
      <c r="O773" s="1583"/>
      <c r="P773" s="1583"/>
      <c r="Q773" s="1583"/>
      <c r="R773" s="1583"/>
      <c r="S773" s="1583"/>
      <c r="T773" s="1585"/>
      <c r="U773" s="1585"/>
      <c r="V773" s="1585"/>
      <c r="W773" s="1630"/>
      <c r="X773" s="1585"/>
      <c r="Y773" s="1585"/>
      <c r="Z773" s="1585"/>
      <c r="AA773" s="1585"/>
      <c r="AB773" s="1585"/>
      <c r="AC773" s="1585"/>
      <c r="AD773" s="1601">
        <f t="shared" si="71"/>
        <v>0</v>
      </c>
      <c r="AE773" s="1790">
        <v>0</v>
      </c>
      <c r="AF773" s="1792"/>
      <c r="AH773" s="1560">
        <f>AG772/2</f>
        <v>29658.3</v>
      </c>
    </row>
    <row r="774" spans="1:34" ht="27.75" customHeight="1">
      <c r="A774" s="2918" t="s">
        <v>2298</v>
      </c>
      <c r="B774" s="2919" t="s">
        <v>2284</v>
      </c>
      <c r="C774" s="2920" t="s">
        <v>49</v>
      </c>
      <c r="D774" s="2917">
        <v>89045.599999999991</v>
      </c>
      <c r="E774" s="1598" t="s">
        <v>2496</v>
      </c>
      <c r="F774" s="1583"/>
      <c r="G774" s="1583"/>
      <c r="H774" s="1583"/>
      <c r="I774" s="1583"/>
      <c r="J774" s="1583"/>
      <c r="K774" s="1583"/>
      <c r="L774" s="1583"/>
      <c r="M774" s="1583"/>
      <c r="N774" s="1583"/>
      <c r="O774" s="1583"/>
      <c r="P774" s="1583"/>
      <c r="Q774" s="1583"/>
      <c r="R774" s="1583"/>
      <c r="S774" s="1583"/>
      <c r="T774" s="1585"/>
      <c r="U774" s="1585"/>
      <c r="V774" s="1585"/>
      <c r="X774" s="1585"/>
      <c r="Y774" s="1585"/>
      <c r="Z774" s="1585"/>
      <c r="AA774" s="1585"/>
      <c r="AB774" s="1585">
        <v>44522.8</v>
      </c>
      <c r="AC774" s="1585">
        <v>44522.8</v>
      </c>
      <c r="AD774" s="1601">
        <f t="shared" si="71"/>
        <v>89045.6</v>
      </c>
      <c r="AE774" s="1790">
        <v>0</v>
      </c>
      <c r="AF774" s="1792"/>
    </row>
    <row r="775" spans="1:34" ht="27.75" customHeight="1">
      <c r="A775" s="2918"/>
      <c r="B775" s="2919"/>
      <c r="C775" s="2920"/>
      <c r="D775" s="2917"/>
      <c r="E775" s="1603" t="s">
        <v>2497</v>
      </c>
      <c r="F775" s="1583"/>
      <c r="G775" s="1583"/>
      <c r="H775" s="1583"/>
      <c r="I775" s="1583"/>
      <c r="J775" s="1583"/>
      <c r="K775" s="1583"/>
      <c r="L775" s="1583"/>
      <c r="M775" s="1583"/>
      <c r="N775" s="1583"/>
      <c r="O775" s="1583"/>
      <c r="P775" s="1583"/>
      <c r="Q775" s="1583"/>
      <c r="R775" s="1583"/>
      <c r="S775" s="1583"/>
      <c r="T775" s="1585"/>
      <c r="U775" s="1585"/>
      <c r="V775" s="1585"/>
      <c r="W775" s="1585"/>
      <c r="X775" s="1585"/>
      <c r="Y775" s="1585"/>
      <c r="Z775" s="1585"/>
      <c r="AA775" s="1585"/>
      <c r="AB775" s="1585"/>
      <c r="AC775" s="1585"/>
      <c r="AD775" s="1601">
        <f t="shared" si="71"/>
        <v>0</v>
      </c>
      <c r="AE775" s="1790">
        <v>0</v>
      </c>
      <c r="AF775" s="1792"/>
    </row>
    <row r="776" spans="1:34" ht="27.75" customHeight="1">
      <c r="A776" s="2918" t="s">
        <v>2299</v>
      </c>
      <c r="B776" s="2919" t="s">
        <v>2285</v>
      </c>
      <c r="C776" s="2920" t="s">
        <v>49</v>
      </c>
      <c r="D776" s="2917">
        <v>11400</v>
      </c>
      <c r="E776" s="1598" t="s">
        <v>2496</v>
      </c>
      <c r="F776" s="1583"/>
      <c r="G776" s="1583"/>
      <c r="H776" s="1583"/>
      <c r="I776" s="1583"/>
      <c r="J776" s="1583"/>
      <c r="K776" s="1583"/>
      <c r="L776" s="1583"/>
      <c r="M776" s="1583"/>
      <c r="N776" s="1583"/>
      <c r="O776" s="1583"/>
      <c r="P776" s="1583"/>
      <c r="Q776" s="1583"/>
      <c r="R776" s="1583"/>
      <c r="S776" s="1583"/>
      <c r="T776" s="1585"/>
      <c r="U776" s="1585"/>
      <c r="V776" s="1585"/>
      <c r="W776" s="1585"/>
      <c r="X776" s="1585"/>
      <c r="Y776" s="1585"/>
      <c r="Z776" s="1585"/>
      <c r="AA776" s="1585"/>
      <c r="AB776" s="1585"/>
      <c r="AC776" s="1585">
        <v>11400</v>
      </c>
      <c r="AD776" s="1601">
        <f t="shared" si="71"/>
        <v>11400</v>
      </c>
      <c r="AE776" s="1790">
        <v>0</v>
      </c>
      <c r="AF776" s="1792"/>
      <c r="AG776" s="1560">
        <v>89045.6</v>
      </c>
    </row>
    <row r="777" spans="1:34" ht="27.75" customHeight="1">
      <c r="A777" s="2918"/>
      <c r="B777" s="2919"/>
      <c r="C777" s="2920"/>
      <c r="D777" s="2917"/>
      <c r="E777" s="1603" t="s">
        <v>2497</v>
      </c>
      <c r="F777" s="1583"/>
      <c r="G777" s="1583"/>
      <c r="H777" s="1583"/>
      <c r="I777" s="1583"/>
      <c r="J777" s="1583"/>
      <c r="K777" s="1583"/>
      <c r="L777" s="1583"/>
      <c r="M777" s="1583"/>
      <c r="N777" s="1583"/>
      <c r="O777" s="1583"/>
      <c r="P777" s="1583"/>
      <c r="Q777" s="1583"/>
      <c r="R777" s="1583"/>
      <c r="S777" s="1583"/>
      <c r="T777" s="1585"/>
      <c r="U777" s="1585"/>
      <c r="V777" s="1585"/>
      <c r="W777" s="1585"/>
      <c r="X777" s="1585"/>
      <c r="Y777" s="1585"/>
      <c r="Z777" s="1585"/>
      <c r="AA777" s="1585"/>
      <c r="AB777" s="1585"/>
      <c r="AC777" s="1585"/>
      <c r="AD777" s="1601">
        <f t="shared" si="71"/>
        <v>0</v>
      </c>
      <c r="AE777" s="1790">
        <v>0</v>
      </c>
      <c r="AF777" s="1792"/>
    </row>
    <row r="778" spans="1:34" ht="27.75" customHeight="1">
      <c r="A778" s="1594">
        <v>2</v>
      </c>
      <c r="B778" s="1609" t="s">
        <v>2300</v>
      </c>
      <c r="C778" s="1591"/>
      <c r="D778" s="1597"/>
      <c r="E778" s="1583"/>
      <c r="F778" s="1583"/>
      <c r="G778" s="1583"/>
      <c r="H778" s="1583"/>
      <c r="I778" s="1583"/>
      <c r="J778" s="1583"/>
      <c r="K778" s="1583"/>
      <c r="L778" s="1583"/>
      <c r="M778" s="1583"/>
      <c r="N778" s="1583"/>
      <c r="O778" s="1583"/>
      <c r="P778" s="1583"/>
      <c r="Q778" s="1583"/>
      <c r="R778" s="1583"/>
      <c r="S778" s="1583"/>
      <c r="T778" s="1585"/>
      <c r="U778" s="1585"/>
      <c r="V778" s="1585"/>
      <c r="W778" s="1585"/>
      <c r="X778" s="1585"/>
      <c r="Y778" s="1585"/>
      <c r="Z778" s="1585"/>
      <c r="AA778" s="1585"/>
      <c r="AB778" s="1585"/>
      <c r="AC778" s="1585"/>
      <c r="AD778" s="1601">
        <f t="shared" si="71"/>
        <v>0</v>
      </c>
      <c r="AE778" s="1790">
        <v>0</v>
      </c>
      <c r="AF778" s="1792"/>
    </row>
    <row r="779" spans="1:34" ht="27.75" customHeight="1">
      <c r="A779" s="2918">
        <v>2.1</v>
      </c>
      <c r="B779" s="2919" t="s">
        <v>2301</v>
      </c>
      <c r="C779" s="2920" t="s">
        <v>2146</v>
      </c>
      <c r="D779" s="2917">
        <v>430428</v>
      </c>
      <c r="E779" s="1598" t="s">
        <v>2496</v>
      </c>
      <c r="F779" s="1583"/>
      <c r="G779" s="1583"/>
      <c r="H779" s="1583"/>
      <c r="I779" s="1583"/>
      <c r="J779" s="1583"/>
      <c r="K779" s="1583"/>
      <c r="L779" s="1583"/>
      <c r="M779" s="1583"/>
      <c r="N779" s="1583"/>
      <c r="O779" s="1583"/>
      <c r="P779" s="1583"/>
      <c r="Q779" s="1583"/>
      <c r="R779" s="1583"/>
      <c r="S779" s="1583"/>
      <c r="T779" s="1585"/>
      <c r="U779" s="1585"/>
      <c r="V779" s="1585">
        <v>204453.3</v>
      </c>
      <c r="W779" s="1585">
        <v>204453.3</v>
      </c>
      <c r="X779" s="1585"/>
      <c r="Y779" s="1585"/>
      <c r="Z779" s="1585"/>
      <c r="AA779" s="1585"/>
      <c r="AB779" s="1585"/>
      <c r="AC779" s="1585">
        <v>21521.400000000023</v>
      </c>
      <c r="AD779" s="1601">
        <f t="shared" si="71"/>
        <v>430428</v>
      </c>
      <c r="AE779" s="1790">
        <v>408906.6</v>
      </c>
      <c r="AF779" s="1792"/>
    </row>
    <row r="780" spans="1:34" ht="27.75" customHeight="1">
      <c r="A780" s="2918"/>
      <c r="B780" s="2919"/>
      <c r="C780" s="2920"/>
      <c r="D780" s="2917"/>
      <c r="E780" s="1603" t="s">
        <v>2497</v>
      </c>
      <c r="F780" s="1583"/>
      <c r="G780" s="1583"/>
      <c r="H780" s="1583"/>
      <c r="I780" s="1583"/>
      <c r="J780" s="1583"/>
      <c r="K780" s="1583"/>
      <c r="L780" s="1583"/>
      <c r="M780" s="1583"/>
      <c r="N780" s="1583"/>
      <c r="O780" s="1583"/>
      <c r="P780" s="1583"/>
      <c r="Q780" s="1583"/>
      <c r="R780" s="1583"/>
      <c r="S780" s="1583"/>
      <c r="T780" s="1585"/>
      <c r="U780" s="1585"/>
      <c r="V780" s="1604">
        <v>204453.3</v>
      </c>
      <c r="W780" s="1604">
        <v>204453.3</v>
      </c>
      <c r="X780" s="1585"/>
      <c r="Y780" s="1585"/>
      <c r="Z780" s="1585"/>
      <c r="AA780" s="1585"/>
      <c r="AB780" s="1585"/>
      <c r="AC780" s="1585"/>
      <c r="AD780" s="1601">
        <f t="shared" si="71"/>
        <v>408906.6</v>
      </c>
      <c r="AE780" s="1790">
        <v>408906.6</v>
      </c>
      <c r="AF780" s="1792"/>
    </row>
    <row r="781" spans="1:34" ht="27.75" customHeight="1">
      <c r="A781" s="1594"/>
      <c r="B781" s="1614" t="s">
        <v>2508</v>
      </c>
      <c r="C781" s="1591"/>
      <c r="D781" s="1592"/>
      <c r="E781" s="1583"/>
      <c r="F781" s="1583"/>
      <c r="G781" s="1583"/>
      <c r="H781" s="1583"/>
      <c r="I781" s="1583"/>
      <c r="J781" s="1583"/>
      <c r="K781" s="1583"/>
      <c r="L781" s="1583"/>
      <c r="M781" s="1583"/>
      <c r="N781" s="1583"/>
      <c r="O781" s="1583"/>
      <c r="P781" s="1583"/>
      <c r="Q781" s="1583"/>
      <c r="R781" s="1583"/>
      <c r="S781" s="1583"/>
      <c r="T781" s="1585"/>
      <c r="U781" s="1585"/>
      <c r="V781" s="1585"/>
      <c r="W781" s="1585"/>
      <c r="X781" s="1585"/>
      <c r="Y781" s="1585"/>
      <c r="Z781" s="1585"/>
      <c r="AA781" s="1585"/>
      <c r="AB781" s="1585"/>
      <c r="AC781" s="1585"/>
      <c r="AD781" s="1601">
        <f t="shared" si="71"/>
        <v>0</v>
      </c>
      <c r="AE781" s="1790">
        <v>0</v>
      </c>
      <c r="AF781" s="1792"/>
    </row>
    <row r="782" spans="1:34" ht="27.75" customHeight="1">
      <c r="A782" s="1594"/>
      <c r="B782" s="1627" t="s">
        <v>2302</v>
      </c>
      <c r="C782" s="1591"/>
      <c r="D782" s="1631"/>
      <c r="E782" s="1583"/>
      <c r="F782" s="1583"/>
      <c r="G782" s="1583"/>
      <c r="H782" s="1583"/>
      <c r="I782" s="1583"/>
      <c r="J782" s="1583"/>
      <c r="K782" s="1583"/>
      <c r="L782" s="1583"/>
      <c r="M782" s="1583"/>
      <c r="N782" s="1583"/>
      <c r="O782" s="1583"/>
      <c r="P782" s="1583"/>
      <c r="Q782" s="1583"/>
      <c r="R782" s="1583"/>
      <c r="S782" s="1583"/>
      <c r="T782" s="1585"/>
      <c r="U782" s="1585"/>
      <c r="V782" s="1585"/>
      <c r="W782" s="1585"/>
      <c r="X782" s="1585"/>
      <c r="Y782" s="1585"/>
      <c r="Z782" s="1585"/>
      <c r="AA782" s="1585"/>
      <c r="AB782" s="1585"/>
      <c r="AC782" s="1585"/>
      <c r="AD782" s="1601">
        <f t="shared" si="71"/>
        <v>0</v>
      </c>
      <c r="AE782" s="1790">
        <v>0</v>
      </c>
      <c r="AF782" s="1792"/>
    </row>
    <row r="783" spans="1:34" ht="27.75" customHeight="1">
      <c r="A783" s="1594">
        <v>1</v>
      </c>
      <c r="B783" s="1595" t="s">
        <v>1671</v>
      </c>
      <c r="C783" s="1591"/>
      <c r="D783" s="1597"/>
      <c r="E783" s="1583"/>
      <c r="F783" s="1583"/>
      <c r="G783" s="1583"/>
      <c r="H783" s="1583"/>
      <c r="I783" s="1583"/>
      <c r="J783" s="1583"/>
      <c r="K783" s="1583"/>
      <c r="L783" s="1583"/>
      <c r="M783" s="1583"/>
      <c r="N783" s="1583"/>
      <c r="O783" s="1583"/>
      <c r="P783" s="1583"/>
      <c r="Q783" s="1583"/>
      <c r="R783" s="1583"/>
      <c r="S783" s="1583"/>
      <c r="T783" s="1585"/>
      <c r="U783" s="1585"/>
      <c r="V783" s="1585"/>
      <c r="W783" s="1585"/>
      <c r="X783" s="1585"/>
      <c r="Y783" s="1585"/>
      <c r="Z783" s="1585"/>
      <c r="AA783" s="1585"/>
      <c r="AB783" s="1585"/>
      <c r="AC783" s="1585"/>
      <c r="AD783" s="1601">
        <f t="shared" si="71"/>
        <v>0</v>
      </c>
      <c r="AE783" s="1790">
        <v>0</v>
      </c>
      <c r="AF783" s="1792"/>
    </row>
    <row r="784" spans="1:34" ht="27.75" customHeight="1">
      <c r="A784" s="1594">
        <v>1.1000000000000001</v>
      </c>
      <c r="B784" s="1595" t="s">
        <v>1672</v>
      </c>
      <c r="C784" s="1591"/>
      <c r="D784" s="1597"/>
      <c r="E784" s="1583"/>
      <c r="F784" s="1583"/>
      <c r="G784" s="1583"/>
      <c r="H784" s="1583"/>
      <c r="I784" s="1583"/>
      <c r="J784" s="1583"/>
      <c r="K784" s="1583"/>
      <c r="L784" s="1583"/>
      <c r="M784" s="1583"/>
      <c r="N784" s="1583"/>
      <c r="O784" s="1583"/>
      <c r="P784" s="1583"/>
      <c r="Q784" s="1583"/>
      <c r="R784" s="1583"/>
      <c r="S784" s="1583"/>
      <c r="T784" s="1585"/>
      <c r="U784" s="1585"/>
      <c r="V784" s="1585"/>
      <c r="W784" s="1585"/>
      <c r="X784" s="1585"/>
      <c r="Y784" s="1585"/>
      <c r="Z784" s="1585"/>
      <c r="AA784" s="1585"/>
      <c r="AB784" s="1585"/>
      <c r="AC784" s="1585"/>
      <c r="AD784" s="1601">
        <f t="shared" si="71"/>
        <v>0</v>
      </c>
      <c r="AE784" s="1790">
        <v>0</v>
      </c>
      <c r="AF784" s="1792"/>
    </row>
    <row r="785" spans="1:32" ht="27.75" customHeight="1">
      <c r="A785" s="1594" t="s">
        <v>1189</v>
      </c>
      <c r="B785" s="1595" t="s">
        <v>1673</v>
      </c>
      <c r="C785" s="1591"/>
      <c r="D785" s="1592"/>
      <c r="E785" s="1583"/>
      <c r="F785" s="1583"/>
      <c r="G785" s="1583"/>
      <c r="H785" s="1583"/>
      <c r="I785" s="1583"/>
      <c r="J785" s="1583"/>
      <c r="K785" s="1583"/>
      <c r="L785" s="1583"/>
      <c r="M785" s="1583"/>
      <c r="N785" s="1583"/>
      <c r="O785" s="1583"/>
      <c r="P785" s="1583"/>
      <c r="Q785" s="1583"/>
      <c r="R785" s="1583"/>
      <c r="S785" s="1583"/>
      <c r="T785" s="1585"/>
      <c r="U785" s="1585"/>
      <c r="V785" s="1585"/>
      <c r="W785" s="1585"/>
      <c r="X785" s="1585"/>
      <c r="Y785" s="1585"/>
      <c r="Z785" s="1585"/>
      <c r="AA785" s="1585"/>
      <c r="AB785" s="1585"/>
      <c r="AC785" s="1585"/>
      <c r="AD785" s="1601">
        <f t="shared" ref="AD785:AD848" si="72">SUM(F785:AC785)</f>
        <v>0</v>
      </c>
      <c r="AE785" s="1790">
        <v>0</v>
      </c>
      <c r="AF785" s="1792"/>
    </row>
    <row r="786" spans="1:32" ht="27.75" customHeight="1">
      <c r="A786" s="2918"/>
      <c r="B786" s="2919" t="s">
        <v>2326</v>
      </c>
      <c r="C786" s="2920" t="s">
        <v>53</v>
      </c>
      <c r="D786" s="2917">
        <v>14000</v>
      </c>
      <c r="E786" s="1598" t="s">
        <v>2496</v>
      </c>
      <c r="F786" s="1583"/>
      <c r="G786" s="1583"/>
      <c r="H786" s="1583"/>
      <c r="I786" s="1583"/>
      <c r="J786" s="1583"/>
      <c r="K786" s="1583"/>
      <c r="L786" s="1583"/>
      <c r="M786" s="1583"/>
      <c r="N786" s="1583"/>
      <c r="O786" s="1583"/>
      <c r="P786" s="1583"/>
      <c r="Q786" s="1585">
        <f t="shared" ref="Q786:S792" si="73">Q787</f>
        <v>11000</v>
      </c>
      <c r="R786" s="1583"/>
      <c r="S786" s="1585">
        <f t="shared" si="73"/>
        <v>2000</v>
      </c>
      <c r="T786" s="1585">
        <v>1000</v>
      </c>
      <c r="U786" s="1585"/>
      <c r="V786" s="1585"/>
      <c r="W786" s="1585"/>
      <c r="X786" s="1585"/>
      <c r="Y786" s="1585"/>
      <c r="Z786" s="1585"/>
      <c r="AA786" s="1585"/>
      <c r="AB786" s="1585"/>
      <c r="AC786" s="1585"/>
      <c r="AD786" s="1601">
        <f t="shared" si="72"/>
        <v>14000</v>
      </c>
      <c r="AE786" s="1790">
        <v>14000</v>
      </c>
      <c r="AF786" s="1792"/>
    </row>
    <row r="787" spans="1:32" ht="27.75" customHeight="1">
      <c r="A787" s="2918"/>
      <c r="B787" s="2919"/>
      <c r="C787" s="2920"/>
      <c r="D787" s="2917"/>
      <c r="E787" s="1603" t="s">
        <v>2497</v>
      </c>
      <c r="F787" s="1583"/>
      <c r="G787" s="1583"/>
      <c r="H787" s="1583"/>
      <c r="I787" s="1583"/>
      <c r="J787" s="1583"/>
      <c r="K787" s="1583"/>
      <c r="L787" s="1583"/>
      <c r="M787" s="1583"/>
      <c r="N787" s="1583"/>
      <c r="O787" s="1583"/>
      <c r="P787" s="1583"/>
      <c r="Q787" s="1604">
        <v>11000</v>
      </c>
      <c r="R787" s="1583"/>
      <c r="S787" s="1604">
        <v>2000</v>
      </c>
      <c r="T787" s="1604">
        <f>T786</f>
        <v>1000</v>
      </c>
      <c r="U787" s="1585"/>
      <c r="V787" s="1585"/>
      <c r="W787" s="1585"/>
      <c r="X787" s="1585"/>
      <c r="Y787" s="1585"/>
      <c r="Z787" s="1585"/>
      <c r="AA787" s="1585"/>
      <c r="AB787" s="1585"/>
      <c r="AC787" s="1585"/>
      <c r="AD787" s="1601">
        <f t="shared" si="72"/>
        <v>14000</v>
      </c>
      <c r="AE787" s="1790">
        <v>14000</v>
      </c>
      <c r="AF787" s="1792"/>
    </row>
    <row r="788" spans="1:32" ht="27.75" customHeight="1">
      <c r="A788" s="2918"/>
      <c r="B788" s="2919" t="s">
        <v>2327</v>
      </c>
      <c r="C788" s="2920" t="s">
        <v>52</v>
      </c>
      <c r="D788" s="2917">
        <v>5120.99</v>
      </c>
      <c r="E788" s="1598" t="s">
        <v>2496</v>
      </c>
      <c r="F788" s="1583"/>
      <c r="G788" s="1583"/>
      <c r="H788" s="1583"/>
      <c r="I788" s="1583"/>
      <c r="J788" s="1583"/>
      <c r="K788" s="1583"/>
      <c r="L788" s="1583"/>
      <c r="M788" s="1583"/>
      <c r="N788" s="1583"/>
      <c r="O788" s="1583"/>
      <c r="P788" s="1583"/>
      <c r="Q788" s="1585">
        <f t="shared" si="73"/>
        <v>5120.99</v>
      </c>
      <c r="R788" s="1583"/>
      <c r="S788" s="1583"/>
      <c r="T788" s="1585"/>
      <c r="U788" s="1585"/>
      <c r="V788" s="1585"/>
      <c r="W788" s="1585"/>
      <c r="X788" s="1585"/>
      <c r="Y788" s="1585"/>
      <c r="Z788" s="1585"/>
      <c r="AA788" s="1585"/>
      <c r="AB788" s="1585"/>
      <c r="AC788" s="1585"/>
      <c r="AD788" s="1601">
        <f t="shared" si="72"/>
        <v>5120.99</v>
      </c>
      <c r="AE788" s="1790">
        <v>5120.99</v>
      </c>
      <c r="AF788" s="1792"/>
    </row>
    <row r="789" spans="1:32" ht="27.75" customHeight="1">
      <c r="A789" s="2918"/>
      <c r="B789" s="2919"/>
      <c r="C789" s="2920"/>
      <c r="D789" s="2917"/>
      <c r="E789" s="1603" t="s">
        <v>2497</v>
      </c>
      <c r="F789" s="1583"/>
      <c r="G789" s="1583"/>
      <c r="H789" s="1583"/>
      <c r="I789" s="1583"/>
      <c r="J789" s="1583"/>
      <c r="K789" s="1583"/>
      <c r="L789" s="1583"/>
      <c r="M789" s="1583"/>
      <c r="N789" s="1583"/>
      <c r="O789" s="1583"/>
      <c r="P789" s="1583"/>
      <c r="Q789" s="1604">
        <v>5120.99</v>
      </c>
      <c r="R789" s="1583"/>
      <c r="S789" s="1583"/>
      <c r="T789" s="1585"/>
      <c r="U789" s="1585"/>
      <c r="V789" s="1585"/>
      <c r="W789" s="1585"/>
      <c r="X789" s="1585"/>
      <c r="Y789" s="1585"/>
      <c r="Z789" s="1585"/>
      <c r="AA789" s="1585"/>
      <c r="AB789" s="1585"/>
      <c r="AC789" s="1585"/>
      <c r="AD789" s="1601">
        <f t="shared" si="72"/>
        <v>5120.99</v>
      </c>
      <c r="AE789" s="1790">
        <v>5120.99</v>
      </c>
      <c r="AF789" s="1792"/>
    </row>
    <row r="790" spans="1:32" ht="27.75" customHeight="1">
      <c r="A790" s="2918"/>
      <c r="B790" s="2919" t="s">
        <v>2328</v>
      </c>
      <c r="C790" s="2920" t="s">
        <v>53</v>
      </c>
      <c r="D790" s="2917">
        <v>119000</v>
      </c>
      <c r="E790" s="1598" t="s">
        <v>2496</v>
      </c>
      <c r="F790" s="1583"/>
      <c r="G790" s="1583"/>
      <c r="H790" s="1583"/>
      <c r="I790" s="1583"/>
      <c r="J790" s="1583"/>
      <c r="K790" s="1583"/>
      <c r="L790" s="1583"/>
      <c r="M790" s="1583"/>
      <c r="N790" s="1583"/>
      <c r="O790" s="1583"/>
      <c r="P790" s="1583"/>
      <c r="Q790" s="1585">
        <f t="shared" si="73"/>
        <v>102000</v>
      </c>
      <c r="R790" s="1583"/>
      <c r="S790" s="1585">
        <f t="shared" si="73"/>
        <v>17000</v>
      </c>
      <c r="T790" s="1585"/>
      <c r="U790" s="1585"/>
      <c r="V790" s="1585"/>
      <c r="W790" s="1585"/>
      <c r="X790" s="1585"/>
      <c r="Y790" s="1585"/>
      <c r="Z790" s="1585"/>
      <c r="AA790" s="1585"/>
      <c r="AB790" s="1585"/>
      <c r="AC790" s="1585"/>
      <c r="AD790" s="1601">
        <f t="shared" si="72"/>
        <v>119000</v>
      </c>
      <c r="AE790" s="1790">
        <v>119000</v>
      </c>
      <c r="AF790" s="1792"/>
    </row>
    <row r="791" spans="1:32" ht="27.75" customHeight="1">
      <c r="A791" s="2918"/>
      <c r="B791" s="2919"/>
      <c r="C791" s="2920"/>
      <c r="D791" s="2917"/>
      <c r="E791" s="1603" t="s">
        <v>2497</v>
      </c>
      <c r="F791" s="1583"/>
      <c r="G791" s="1583"/>
      <c r="H791" s="1583"/>
      <c r="I791" s="1583"/>
      <c r="J791" s="1583"/>
      <c r="K791" s="1583"/>
      <c r="L791" s="1583"/>
      <c r="M791" s="1583"/>
      <c r="N791" s="1583"/>
      <c r="O791" s="1583"/>
      <c r="P791" s="1583"/>
      <c r="Q791" s="1604">
        <v>102000</v>
      </c>
      <c r="R791" s="1583"/>
      <c r="S791" s="1604">
        <v>17000</v>
      </c>
      <c r="T791" s="1585"/>
      <c r="U791" s="1585"/>
      <c r="V791" s="1585"/>
      <c r="W791" s="1585"/>
      <c r="X791" s="1585"/>
      <c r="Y791" s="1585"/>
      <c r="Z791" s="1585"/>
      <c r="AA791" s="1585"/>
      <c r="AB791" s="1585"/>
      <c r="AC791" s="1585"/>
      <c r="AD791" s="1601">
        <f t="shared" si="72"/>
        <v>119000</v>
      </c>
      <c r="AE791" s="1790">
        <v>119000</v>
      </c>
      <c r="AF791" s="1792"/>
    </row>
    <row r="792" spans="1:32" ht="27.75" customHeight="1">
      <c r="A792" s="2918"/>
      <c r="B792" s="2919" t="s">
        <v>2329</v>
      </c>
      <c r="C792" s="2920" t="s">
        <v>2147</v>
      </c>
      <c r="D792" s="2917">
        <v>8862</v>
      </c>
      <c r="E792" s="1598" t="s">
        <v>2496</v>
      </c>
      <c r="F792" s="1583"/>
      <c r="G792" s="1583"/>
      <c r="H792" s="1583"/>
      <c r="I792" s="1583"/>
      <c r="J792" s="1583"/>
      <c r="K792" s="1583"/>
      <c r="L792" s="1583"/>
      <c r="M792" s="1583"/>
      <c r="N792" s="1583"/>
      <c r="O792" s="1583"/>
      <c r="P792" s="1583"/>
      <c r="Q792" s="1585">
        <f t="shared" si="73"/>
        <v>8862</v>
      </c>
      <c r="R792" s="1583"/>
      <c r="S792" s="1583"/>
      <c r="T792" s="1585"/>
      <c r="U792" s="1585"/>
      <c r="V792" s="1585"/>
      <c r="W792" s="1585"/>
      <c r="X792" s="1585"/>
      <c r="Y792" s="1585"/>
      <c r="Z792" s="1585"/>
      <c r="AA792" s="1585"/>
      <c r="AB792" s="1585"/>
      <c r="AC792" s="1585"/>
      <c r="AD792" s="1601">
        <f t="shared" si="72"/>
        <v>8862</v>
      </c>
      <c r="AE792" s="1790">
        <v>8862</v>
      </c>
      <c r="AF792" s="1792"/>
    </row>
    <row r="793" spans="1:32" ht="27.75" customHeight="1">
      <c r="A793" s="2918"/>
      <c r="B793" s="2919"/>
      <c r="C793" s="2920"/>
      <c r="D793" s="2917"/>
      <c r="E793" s="1603" t="s">
        <v>2497</v>
      </c>
      <c r="F793" s="1583"/>
      <c r="G793" s="1583"/>
      <c r="H793" s="1583"/>
      <c r="I793" s="1583"/>
      <c r="J793" s="1583"/>
      <c r="K793" s="1583"/>
      <c r="L793" s="1583"/>
      <c r="M793" s="1583"/>
      <c r="N793" s="1583"/>
      <c r="O793" s="1583"/>
      <c r="P793" s="1583"/>
      <c r="Q793" s="1604">
        <v>8862</v>
      </c>
      <c r="R793" s="1583"/>
      <c r="S793" s="1583"/>
      <c r="T793" s="1585"/>
      <c r="U793" s="1585"/>
      <c r="V793" s="1585"/>
      <c r="W793" s="1585"/>
      <c r="X793" s="1585"/>
      <c r="Y793" s="1585"/>
      <c r="Z793" s="1585"/>
      <c r="AA793" s="1585"/>
      <c r="AB793" s="1585"/>
      <c r="AC793" s="1585"/>
      <c r="AD793" s="1601">
        <f t="shared" si="72"/>
        <v>8862</v>
      </c>
      <c r="AE793" s="1790">
        <v>8862</v>
      </c>
      <c r="AF793" s="1792"/>
    </row>
    <row r="794" spans="1:32" ht="27.75" customHeight="1">
      <c r="A794" s="1594" t="s">
        <v>1194</v>
      </c>
      <c r="B794" s="1609" t="s">
        <v>1678</v>
      </c>
      <c r="C794" s="1632"/>
      <c r="D794" s="1597" t="s">
        <v>0</v>
      </c>
      <c r="E794" s="1593"/>
      <c r="F794" s="1583"/>
      <c r="G794" s="1583"/>
      <c r="H794" s="1583"/>
      <c r="I794" s="1583"/>
      <c r="J794" s="1583"/>
      <c r="K794" s="1583"/>
      <c r="L794" s="1583"/>
      <c r="M794" s="1583"/>
      <c r="N794" s="1583"/>
      <c r="O794" s="1583"/>
      <c r="P794" s="1583"/>
      <c r="Q794" s="1583"/>
      <c r="R794" s="1583"/>
      <c r="S794" s="1583"/>
      <c r="T794" s="1585"/>
      <c r="U794" s="1585"/>
      <c r="V794" s="1585"/>
      <c r="W794" s="1585"/>
      <c r="X794" s="1585"/>
      <c r="Y794" s="1585"/>
      <c r="Z794" s="1585"/>
      <c r="AA794" s="1585"/>
      <c r="AB794" s="1585"/>
      <c r="AC794" s="1585"/>
      <c r="AD794" s="1601">
        <f t="shared" si="72"/>
        <v>0</v>
      </c>
      <c r="AE794" s="1790">
        <v>0</v>
      </c>
      <c r="AF794" s="1792"/>
    </row>
    <row r="795" spans="1:32" ht="27.75" customHeight="1">
      <c r="A795" s="2918"/>
      <c r="B795" s="2919" t="s">
        <v>2330</v>
      </c>
      <c r="C795" s="2920" t="s">
        <v>53</v>
      </c>
      <c r="D795" s="2917">
        <v>4900</v>
      </c>
      <c r="E795" s="1598" t="s">
        <v>2496</v>
      </c>
      <c r="F795" s="1583"/>
      <c r="G795" s="1583"/>
      <c r="H795" s="1583"/>
      <c r="I795" s="1583"/>
      <c r="J795" s="1583"/>
      <c r="K795" s="1583"/>
      <c r="L795" s="1583"/>
      <c r="M795" s="1583"/>
      <c r="N795" s="1583"/>
      <c r="O795" s="1583"/>
      <c r="P795" s="1583"/>
      <c r="Q795" s="1585">
        <f t="shared" ref="Q795:S797" si="74">Q796</f>
        <v>3850</v>
      </c>
      <c r="R795" s="1583"/>
      <c r="S795" s="1585">
        <f t="shared" si="74"/>
        <v>700</v>
      </c>
      <c r="T795" s="1585">
        <v>350</v>
      </c>
      <c r="U795" s="1585"/>
      <c r="V795" s="1585"/>
      <c r="W795" s="1585"/>
      <c r="X795" s="1585"/>
      <c r="Y795" s="1585"/>
      <c r="Z795" s="1585"/>
      <c r="AA795" s="1585"/>
      <c r="AB795" s="1585"/>
      <c r="AC795" s="1585"/>
      <c r="AD795" s="1601">
        <f t="shared" si="72"/>
        <v>4900</v>
      </c>
      <c r="AE795" s="1790">
        <v>4900</v>
      </c>
      <c r="AF795" s="1792"/>
    </row>
    <row r="796" spans="1:32" ht="27.75" customHeight="1">
      <c r="A796" s="2918"/>
      <c r="B796" s="2919"/>
      <c r="C796" s="2920"/>
      <c r="D796" s="2917"/>
      <c r="E796" s="1603" t="s">
        <v>2497</v>
      </c>
      <c r="F796" s="1583"/>
      <c r="G796" s="1583"/>
      <c r="H796" s="1583"/>
      <c r="I796" s="1583"/>
      <c r="J796" s="1583"/>
      <c r="K796" s="1583"/>
      <c r="L796" s="1583"/>
      <c r="M796" s="1583"/>
      <c r="N796" s="1583"/>
      <c r="O796" s="1583"/>
      <c r="P796" s="1583"/>
      <c r="Q796" s="1604">
        <v>3850</v>
      </c>
      <c r="R796" s="1583"/>
      <c r="S796" s="1604">
        <v>700</v>
      </c>
      <c r="T796" s="1604">
        <f>T795</f>
        <v>350</v>
      </c>
      <c r="U796" s="1585"/>
      <c r="V796" s="1585"/>
      <c r="W796" s="1585"/>
      <c r="X796" s="1585"/>
      <c r="Y796" s="1585"/>
      <c r="Z796" s="1585"/>
      <c r="AA796" s="1585"/>
      <c r="AB796" s="1585"/>
      <c r="AC796" s="1585"/>
      <c r="AD796" s="1601">
        <f t="shared" si="72"/>
        <v>4900</v>
      </c>
      <c r="AE796" s="1790">
        <v>4900</v>
      </c>
      <c r="AF796" s="1792"/>
    </row>
    <row r="797" spans="1:32" ht="27.75" customHeight="1">
      <c r="A797" s="2918"/>
      <c r="B797" s="2919" t="s">
        <v>2331</v>
      </c>
      <c r="C797" s="2920" t="s">
        <v>53</v>
      </c>
      <c r="D797" s="2917">
        <v>11200</v>
      </c>
      <c r="E797" s="1598" t="s">
        <v>2496</v>
      </c>
      <c r="F797" s="1583"/>
      <c r="G797" s="1583"/>
      <c r="H797" s="1583"/>
      <c r="I797" s="1583"/>
      <c r="J797" s="1583"/>
      <c r="K797" s="1583"/>
      <c r="L797" s="1583"/>
      <c r="M797" s="1583"/>
      <c r="N797" s="1583"/>
      <c r="O797" s="1583"/>
      <c r="P797" s="1583"/>
      <c r="Q797" s="1585">
        <f t="shared" ref="Q797" si="75">Q798</f>
        <v>8800</v>
      </c>
      <c r="R797" s="1583"/>
      <c r="S797" s="1585">
        <f t="shared" si="74"/>
        <v>1600</v>
      </c>
      <c r="T797" s="1585">
        <v>800</v>
      </c>
      <c r="U797" s="1585"/>
      <c r="V797" s="1585"/>
      <c r="W797" s="1585"/>
      <c r="X797" s="1585"/>
      <c r="Y797" s="1585"/>
      <c r="Z797" s="1585"/>
      <c r="AA797" s="1585"/>
      <c r="AB797" s="1585"/>
      <c r="AC797" s="1585"/>
      <c r="AD797" s="1601">
        <f t="shared" si="72"/>
        <v>11200</v>
      </c>
      <c r="AE797" s="1790">
        <v>11200</v>
      </c>
      <c r="AF797" s="1792"/>
    </row>
    <row r="798" spans="1:32" ht="27.75" customHeight="1">
      <c r="A798" s="2918"/>
      <c r="B798" s="2919"/>
      <c r="C798" s="2920"/>
      <c r="D798" s="2917"/>
      <c r="E798" s="1603" t="s">
        <v>2497</v>
      </c>
      <c r="F798" s="1583"/>
      <c r="G798" s="1583"/>
      <c r="H798" s="1583"/>
      <c r="I798" s="1583"/>
      <c r="J798" s="1583"/>
      <c r="K798" s="1583"/>
      <c r="L798" s="1583"/>
      <c r="M798" s="1583"/>
      <c r="N798" s="1583"/>
      <c r="O798" s="1583"/>
      <c r="P798" s="1583"/>
      <c r="Q798" s="1604">
        <v>8800</v>
      </c>
      <c r="R798" s="1583"/>
      <c r="S798" s="1604">
        <v>1600</v>
      </c>
      <c r="T798" s="1604">
        <f>T797</f>
        <v>800</v>
      </c>
      <c r="U798" s="1585"/>
      <c r="V798" s="1585"/>
      <c r="W798" s="1585"/>
      <c r="X798" s="1585"/>
      <c r="Y798" s="1585"/>
      <c r="Z798" s="1585"/>
      <c r="AA798" s="1585"/>
      <c r="AB798" s="1585"/>
      <c r="AC798" s="1585"/>
      <c r="AD798" s="1601">
        <f t="shared" si="72"/>
        <v>11200</v>
      </c>
      <c r="AE798" s="1790">
        <v>11200</v>
      </c>
      <c r="AF798" s="1792"/>
    </row>
    <row r="799" spans="1:32" ht="27.75" customHeight="1">
      <c r="A799" s="1594" t="s">
        <v>1197</v>
      </c>
      <c r="B799" s="1609" t="s">
        <v>1681</v>
      </c>
      <c r="C799" s="1632"/>
      <c r="D799" s="1597" t="s">
        <v>0</v>
      </c>
      <c r="E799" s="1583"/>
      <c r="F799" s="1583"/>
      <c r="G799" s="1583"/>
      <c r="H799" s="1583"/>
      <c r="I799" s="1583"/>
      <c r="J799" s="1583"/>
      <c r="K799" s="1583"/>
      <c r="L799" s="1583"/>
      <c r="M799" s="1583"/>
      <c r="N799" s="1583"/>
      <c r="O799" s="1583"/>
      <c r="P799" s="1583"/>
      <c r="Q799" s="1583"/>
      <c r="R799" s="1583"/>
      <c r="S799" s="1583"/>
      <c r="T799" s="1585"/>
      <c r="U799" s="1585"/>
      <c r="V799" s="1585"/>
      <c r="W799" s="1585"/>
      <c r="X799" s="1585"/>
      <c r="Y799" s="1585"/>
      <c r="Z799" s="1585"/>
      <c r="AA799" s="1585"/>
      <c r="AB799" s="1585"/>
      <c r="AC799" s="1585"/>
      <c r="AD799" s="1601">
        <f t="shared" si="72"/>
        <v>0</v>
      </c>
      <c r="AE799" s="1790">
        <v>0</v>
      </c>
      <c r="AF799" s="1792"/>
    </row>
    <row r="800" spans="1:32" ht="27.75" customHeight="1">
      <c r="A800" s="2918"/>
      <c r="B800" s="2919" t="s">
        <v>2332</v>
      </c>
      <c r="C800" s="2920" t="s">
        <v>2146</v>
      </c>
      <c r="D800" s="2917">
        <v>3500</v>
      </c>
      <c r="E800" s="1598" t="s">
        <v>2496</v>
      </c>
      <c r="F800" s="1583"/>
      <c r="G800" s="1583"/>
      <c r="H800" s="1583"/>
      <c r="I800" s="1583"/>
      <c r="J800" s="1583"/>
      <c r="K800" s="1583"/>
      <c r="L800" s="1583"/>
      <c r="M800" s="1583"/>
      <c r="N800" s="1583"/>
      <c r="O800" s="1583"/>
      <c r="P800" s="1583"/>
      <c r="Q800" s="1585">
        <f t="shared" ref="Q800" si="76">Q801</f>
        <v>3500</v>
      </c>
      <c r="R800" s="1583"/>
      <c r="S800" s="1583"/>
      <c r="T800" s="1585"/>
      <c r="U800" s="1585"/>
      <c r="V800" s="1585"/>
      <c r="W800" s="1585"/>
      <c r="X800" s="1585"/>
      <c r="Y800" s="1585"/>
      <c r="Z800" s="1585"/>
      <c r="AA800" s="1585"/>
      <c r="AB800" s="1585"/>
      <c r="AC800" s="1585"/>
      <c r="AD800" s="1601">
        <f t="shared" si="72"/>
        <v>3500</v>
      </c>
      <c r="AE800" s="1790">
        <v>3500</v>
      </c>
      <c r="AF800" s="1792"/>
    </row>
    <row r="801" spans="1:32" ht="27.75" customHeight="1">
      <c r="A801" s="2918"/>
      <c r="B801" s="2919"/>
      <c r="C801" s="2920"/>
      <c r="D801" s="2917"/>
      <c r="E801" s="1603" t="s">
        <v>2497</v>
      </c>
      <c r="F801" s="1583"/>
      <c r="G801" s="1583"/>
      <c r="H801" s="1583"/>
      <c r="I801" s="1583"/>
      <c r="J801" s="1583"/>
      <c r="K801" s="1583"/>
      <c r="L801" s="1583"/>
      <c r="M801" s="1583"/>
      <c r="N801" s="1583"/>
      <c r="O801" s="1583"/>
      <c r="P801" s="1583"/>
      <c r="Q801" s="1604">
        <v>3500</v>
      </c>
      <c r="R801" s="1583"/>
      <c r="S801" s="1583"/>
      <c r="T801" s="1585"/>
      <c r="U801" s="1585"/>
      <c r="V801" s="1585"/>
      <c r="W801" s="1585"/>
      <c r="X801" s="1585"/>
      <c r="Y801" s="1585"/>
      <c r="Z801" s="1585"/>
      <c r="AA801" s="1585"/>
      <c r="AB801" s="1585"/>
      <c r="AC801" s="1585"/>
      <c r="AD801" s="1601">
        <f t="shared" si="72"/>
        <v>3500</v>
      </c>
      <c r="AE801" s="1790">
        <v>3500</v>
      </c>
      <c r="AF801" s="1792"/>
    </row>
    <row r="802" spans="1:32" ht="27.75" customHeight="1">
      <c r="A802" s="1594" t="s">
        <v>1199</v>
      </c>
      <c r="B802" s="1609" t="s">
        <v>1683</v>
      </c>
      <c r="C802" s="1632"/>
      <c r="D802" s="1597" t="s">
        <v>0</v>
      </c>
      <c r="E802" s="1583"/>
      <c r="F802" s="1583"/>
      <c r="G802" s="1583"/>
      <c r="H802" s="1583"/>
      <c r="I802" s="1583"/>
      <c r="J802" s="1583"/>
      <c r="K802" s="1583"/>
      <c r="L802" s="1583"/>
      <c r="M802" s="1583"/>
      <c r="N802" s="1583"/>
      <c r="O802" s="1583"/>
      <c r="P802" s="1583"/>
      <c r="Q802" s="1583"/>
      <c r="R802" s="1583"/>
      <c r="S802" s="1583"/>
      <c r="T802" s="1585"/>
      <c r="U802" s="1585"/>
      <c r="V802" s="1585"/>
      <c r="W802" s="1585"/>
      <c r="X802" s="1585"/>
      <c r="Y802" s="1585"/>
      <c r="Z802" s="1585"/>
      <c r="AA802" s="1585"/>
      <c r="AB802" s="1585"/>
      <c r="AC802" s="1585"/>
      <c r="AD802" s="1601">
        <f t="shared" si="72"/>
        <v>0</v>
      </c>
      <c r="AE802" s="1790">
        <v>0</v>
      </c>
      <c r="AF802" s="1792"/>
    </row>
    <row r="803" spans="1:32" ht="27.75" customHeight="1">
      <c r="A803" s="2918"/>
      <c r="B803" s="2919" t="s">
        <v>2333</v>
      </c>
      <c r="C803" s="2920" t="s">
        <v>53</v>
      </c>
      <c r="D803" s="2917">
        <v>101378.4</v>
      </c>
      <c r="E803" s="1598" t="s">
        <v>2496</v>
      </c>
      <c r="F803" s="1583"/>
      <c r="G803" s="1583"/>
      <c r="H803" s="1583"/>
      <c r="I803" s="1583"/>
      <c r="J803" s="1583"/>
      <c r="K803" s="1583"/>
      <c r="L803" s="1583"/>
      <c r="M803" s="1583"/>
      <c r="N803" s="1583"/>
      <c r="O803" s="1583"/>
      <c r="P803" s="1583"/>
      <c r="Q803" s="1585">
        <f t="shared" ref="Q803" si="77">Q804</f>
        <v>63361.5</v>
      </c>
      <c r="R803" s="1583"/>
      <c r="S803" s="1585">
        <f t="shared" ref="S803:S806" si="78">S804</f>
        <v>6336.15</v>
      </c>
      <c r="T803" s="1585">
        <v>31680.75</v>
      </c>
      <c r="U803" s="1585"/>
      <c r="V803" s="1585"/>
      <c r="W803" s="1585"/>
      <c r="X803" s="1585"/>
      <c r="Y803" s="1585"/>
      <c r="Z803" s="1585"/>
      <c r="AA803" s="1585"/>
      <c r="AB803" s="1585"/>
      <c r="AC803" s="1585"/>
      <c r="AD803" s="1601">
        <f t="shared" si="72"/>
        <v>101378.4</v>
      </c>
      <c r="AE803" s="1790">
        <v>101378.4</v>
      </c>
      <c r="AF803" s="1792"/>
    </row>
    <row r="804" spans="1:32" ht="27.75" customHeight="1">
      <c r="A804" s="2918"/>
      <c r="B804" s="2919"/>
      <c r="C804" s="2920"/>
      <c r="D804" s="2917"/>
      <c r="E804" s="1603" t="s">
        <v>2497</v>
      </c>
      <c r="F804" s="1583"/>
      <c r="G804" s="1583"/>
      <c r="H804" s="1583"/>
      <c r="I804" s="1583"/>
      <c r="J804" s="1583"/>
      <c r="K804" s="1583"/>
      <c r="L804" s="1583"/>
      <c r="M804" s="1583"/>
      <c r="N804" s="1583"/>
      <c r="O804" s="1583"/>
      <c r="P804" s="1583"/>
      <c r="Q804" s="1604">
        <v>63361.5</v>
      </c>
      <c r="R804" s="1583"/>
      <c r="S804" s="1604">
        <v>6336.15</v>
      </c>
      <c r="T804" s="1604">
        <f>T803</f>
        <v>31680.75</v>
      </c>
      <c r="U804" s="1585"/>
      <c r="V804" s="1585"/>
      <c r="W804" s="1585"/>
      <c r="X804" s="1585"/>
      <c r="Y804" s="1585"/>
      <c r="Z804" s="1585"/>
      <c r="AA804" s="1585"/>
      <c r="AB804" s="1585"/>
      <c r="AC804" s="1585"/>
      <c r="AD804" s="1601">
        <f t="shared" si="72"/>
        <v>101378.4</v>
      </c>
      <c r="AE804" s="1790">
        <v>101378.4</v>
      </c>
      <c r="AF804" s="1792"/>
    </row>
    <row r="805" spans="1:32" ht="27.75" customHeight="1">
      <c r="A805" s="1594" t="s">
        <v>1201</v>
      </c>
      <c r="B805" s="1609" t="s">
        <v>1685</v>
      </c>
      <c r="C805" s="1632"/>
      <c r="D805" s="1597" t="s">
        <v>0</v>
      </c>
      <c r="E805" s="1583"/>
      <c r="F805" s="1583"/>
      <c r="G805" s="1583"/>
      <c r="H805" s="1583"/>
      <c r="I805" s="1583"/>
      <c r="J805" s="1583"/>
      <c r="K805" s="1583"/>
      <c r="L805" s="1583"/>
      <c r="M805" s="1583"/>
      <c r="N805" s="1583"/>
      <c r="O805" s="1583"/>
      <c r="P805" s="1583"/>
      <c r="Q805" s="1583"/>
      <c r="R805" s="1583"/>
      <c r="S805" s="1583"/>
      <c r="T805" s="1585"/>
      <c r="U805" s="1585"/>
      <c r="V805" s="1585"/>
      <c r="W805" s="1585"/>
      <c r="X805" s="1585"/>
      <c r="Y805" s="1585"/>
      <c r="Z805" s="1585"/>
      <c r="AA805" s="1585"/>
      <c r="AB805" s="1585"/>
      <c r="AC805" s="1585"/>
      <c r="AD805" s="1601">
        <f t="shared" si="72"/>
        <v>0</v>
      </c>
      <c r="AE805" s="1790">
        <v>0</v>
      </c>
      <c r="AF805" s="1792"/>
    </row>
    <row r="806" spans="1:32" ht="27.75" customHeight="1">
      <c r="A806" s="2918"/>
      <c r="B806" s="2919" t="s">
        <v>2334</v>
      </c>
      <c r="C806" s="2920" t="s">
        <v>2147</v>
      </c>
      <c r="D806" s="2917">
        <v>8937.6</v>
      </c>
      <c r="E806" s="1598" t="s">
        <v>2496</v>
      </c>
      <c r="F806" s="1583"/>
      <c r="G806" s="1583"/>
      <c r="H806" s="1583"/>
      <c r="I806" s="1583"/>
      <c r="J806" s="1583"/>
      <c r="K806" s="1583"/>
      <c r="L806" s="1583"/>
      <c r="M806" s="1583"/>
      <c r="N806" s="1583"/>
      <c r="O806" s="1583"/>
      <c r="P806" s="1583"/>
      <c r="Q806" s="1585">
        <f t="shared" ref="Q806" si="79">Q807</f>
        <v>8347.48</v>
      </c>
      <c r="R806" s="1583"/>
      <c r="S806" s="1585">
        <f t="shared" si="78"/>
        <v>590.12</v>
      </c>
      <c r="T806" s="1585"/>
      <c r="U806" s="1585"/>
      <c r="V806" s="1585"/>
      <c r="W806" s="1585"/>
      <c r="X806" s="1585"/>
      <c r="Y806" s="1585"/>
      <c r="Z806" s="1585"/>
      <c r="AA806" s="1585"/>
      <c r="AB806" s="1585"/>
      <c r="AC806" s="1585"/>
      <c r="AD806" s="1601">
        <f t="shared" si="72"/>
        <v>8937.6</v>
      </c>
      <c r="AE806" s="1790">
        <v>8937.6</v>
      </c>
      <c r="AF806" s="1792"/>
    </row>
    <row r="807" spans="1:32" ht="27.75" customHeight="1">
      <c r="A807" s="2918"/>
      <c r="B807" s="2919"/>
      <c r="C807" s="2920"/>
      <c r="D807" s="2917"/>
      <c r="E807" s="1603" t="s">
        <v>2497</v>
      </c>
      <c r="F807" s="1583"/>
      <c r="G807" s="1583"/>
      <c r="H807" s="1583"/>
      <c r="I807" s="1583"/>
      <c r="J807" s="1583"/>
      <c r="K807" s="1583"/>
      <c r="L807" s="1583"/>
      <c r="M807" s="1583"/>
      <c r="N807" s="1583"/>
      <c r="O807" s="1583"/>
      <c r="P807" s="1583"/>
      <c r="Q807" s="1604">
        <v>8347.48</v>
      </c>
      <c r="R807" s="1583"/>
      <c r="S807" s="1604">
        <v>590.12</v>
      </c>
      <c r="T807" s="1585"/>
      <c r="U807" s="1585"/>
      <c r="V807" s="1585"/>
      <c r="W807" s="1585"/>
      <c r="X807" s="1585"/>
      <c r="Y807" s="1585"/>
      <c r="Z807" s="1585"/>
      <c r="AA807" s="1585"/>
      <c r="AB807" s="1585"/>
      <c r="AC807" s="1585"/>
      <c r="AD807" s="1601">
        <f t="shared" si="72"/>
        <v>8937.6</v>
      </c>
      <c r="AE807" s="1790">
        <v>8937.6</v>
      </c>
      <c r="AF807" s="1792"/>
    </row>
    <row r="808" spans="1:32" ht="27.75" customHeight="1">
      <c r="A808" s="1594">
        <v>1.2</v>
      </c>
      <c r="B808" s="1629" t="s">
        <v>1688</v>
      </c>
      <c r="C808" s="1591"/>
      <c r="D808" s="1597" t="s">
        <v>0</v>
      </c>
      <c r="E808" s="1593"/>
      <c r="F808" s="1583"/>
      <c r="G808" s="1583"/>
      <c r="H808" s="1583"/>
      <c r="I808" s="1583"/>
      <c r="J808" s="1583"/>
      <c r="K808" s="1583"/>
      <c r="L808" s="1583"/>
      <c r="M808" s="1583"/>
      <c r="N808" s="1583"/>
      <c r="O808" s="1583"/>
      <c r="P808" s="1583"/>
      <c r="Q808" s="1583"/>
      <c r="R808" s="1583"/>
      <c r="S808" s="1583"/>
      <c r="T808" s="1585"/>
      <c r="U808" s="1585"/>
      <c r="V808" s="1585"/>
      <c r="W808" s="1585"/>
      <c r="X808" s="1585"/>
      <c r="Y808" s="1585"/>
      <c r="Z808" s="1585"/>
      <c r="AA808" s="1585"/>
      <c r="AB808" s="1585"/>
      <c r="AC808" s="1585"/>
      <c r="AD808" s="1601">
        <f t="shared" si="72"/>
        <v>0</v>
      </c>
      <c r="AE808" s="1790">
        <v>0</v>
      </c>
      <c r="AF808" s="1792"/>
    </row>
    <row r="809" spans="1:32" ht="27.75" customHeight="1">
      <c r="A809" s="2918"/>
      <c r="B809" s="2919" t="s">
        <v>2335</v>
      </c>
      <c r="C809" s="2920" t="s">
        <v>268</v>
      </c>
      <c r="D809" s="2917">
        <v>2280</v>
      </c>
      <c r="E809" s="1598" t="s">
        <v>2496</v>
      </c>
      <c r="F809" s="1583"/>
      <c r="G809" s="1583"/>
      <c r="H809" s="1583"/>
      <c r="I809" s="1583"/>
      <c r="J809" s="1583"/>
      <c r="K809" s="1583"/>
      <c r="L809" s="1583"/>
      <c r="M809" s="1583"/>
      <c r="N809" s="1583"/>
      <c r="O809" s="1583"/>
      <c r="P809" s="1583"/>
      <c r="Q809" s="1585">
        <f t="shared" ref="Q809" si="80">Q810</f>
        <v>2280</v>
      </c>
      <c r="R809" s="1583"/>
      <c r="S809" s="1583"/>
      <c r="T809" s="1585"/>
      <c r="U809" s="1585"/>
      <c r="V809" s="1585"/>
      <c r="W809" s="1585"/>
      <c r="X809" s="1585"/>
      <c r="Y809" s="1585"/>
      <c r="Z809" s="1585"/>
      <c r="AA809" s="1585"/>
      <c r="AB809" s="1585"/>
      <c r="AC809" s="1585"/>
      <c r="AD809" s="1601">
        <f t="shared" si="72"/>
        <v>2280</v>
      </c>
      <c r="AE809" s="1790">
        <v>2280</v>
      </c>
      <c r="AF809" s="1792"/>
    </row>
    <row r="810" spans="1:32" ht="27.75" customHeight="1">
      <c r="A810" s="2918"/>
      <c r="B810" s="2919"/>
      <c r="C810" s="2920"/>
      <c r="D810" s="2917"/>
      <c r="E810" s="1603" t="s">
        <v>2497</v>
      </c>
      <c r="F810" s="1583"/>
      <c r="G810" s="1583"/>
      <c r="H810" s="1583"/>
      <c r="I810" s="1583"/>
      <c r="J810" s="1583"/>
      <c r="K810" s="1583"/>
      <c r="L810" s="1583"/>
      <c r="M810" s="1583"/>
      <c r="N810" s="1583"/>
      <c r="O810" s="1583"/>
      <c r="P810" s="1583"/>
      <c r="Q810" s="1604">
        <v>2280</v>
      </c>
      <c r="R810" s="1583"/>
      <c r="S810" s="1583"/>
      <c r="T810" s="1585"/>
      <c r="U810" s="1585"/>
      <c r="V810" s="1585"/>
      <c r="W810" s="1585"/>
      <c r="X810" s="1585"/>
      <c r="Y810" s="1585"/>
      <c r="Z810" s="1585"/>
      <c r="AA810" s="1585"/>
      <c r="AB810" s="1585"/>
      <c r="AC810" s="1585"/>
      <c r="AD810" s="1601">
        <f t="shared" si="72"/>
        <v>2280</v>
      </c>
      <c r="AE810" s="1790">
        <v>2280</v>
      </c>
      <c r="AF810" s="1792"/>
    </row>
    <row r="811" spans="1:32" ht="27.75" customHeight="1">
      <c r="A811" s="2918"/>
      <c r="B811" s="2919" t="s">
        <v>2336</v>
      </c>
      <c r="C811" s="2920" t="s">
        <v>53</v>
      </c>
      <c r="D811" s="2917">
        <v>43400</v>
      </c>
      <c r="E811" s="1598" t="s">
        <v>2496</v>
      </c>
      <c r="F811" s="1583"/>
      <c r="G811" s="1583"/>
      <c r="H811" s="1583"/>
      <c r="I811" s="1583"/>
      <c r="J811" s="1583"/>
      <c r="K811" s="1583"/>
      <c r="L811" s="1583"/>
      <c r="M811" s="1583"/>
      <c r="N811" s="1583"/>
      <c r="O811" s="1583"/>
      <c r="P811" s="1583"/>
      <c r="Q811" s="1585">
        <f t="shared" ref="Q811" si="81">Q812</f>
        <v>34100</v>
      </c>
      <c r="R811" s="1583"/>
      <c r="S811" s="1585">
        <f t="shared" ref="S811" si="82">S812</f>
        <v>3100</v>
      </c>
      <c r="T811" s="1585">
        <v>6200</v>
      </c>
      <c r="U811" s="1585"/>
      <c r="V811" s="1585"/>
      <c r="W811" s="1585"/>
      <c r="X811" s="1585"/>
      <c r="Y811" s="1585"/>
      <c r="Z811" s="1585"/>
      <c r="AA811" s="1585"/>
      <c r="AB811" s="1585"/>
      <c r="AC811" s="1585"/>
      <c r="AD811" s="1601">
        <f t="shared" si="72"/>
        <v>43400</v>
      </c>
      <c r="AE811" s="1790">
        <v>43400</v>
      </c>
      <c r="AF811" s="1792"/>
    </row>
    <row r="812" spans="1:32" ht="27.75" customHeight="1">
      <c r="A812" s="2918"/>
      <c r="B812" s="2919"/>
      <c r="C812" s="2920"/>
      <c r="D812" s="2917"/>
      <c r="E812" s="1603" t="s">
        <v>2497</v>
      </c>
      <c r="F812" s="1583"/>
      <c r="G812" s="1583"/>
      <c r="H812" s="1583"/>
      <c r="I812" s="1583"/>
      <c r="J812" s="1583"/>
      <c r="K812" s="1583"/>
      <c r="L812" s="1583"/>
      <c r="M812" s="1583"/>
      <c r="N812" s="1583"/>
      <c r="O812" s="1583"/>
      <c r="P812" s="1583"/>
      <c r="Q812" s="1604">
        <v>34100</v>
      </c>
      <c r="R812" s="1583"/>
      <c r="S812" s="1604">
        <v>3100</v>
      </c>
      <c r="T812" s="1604">
        <f>T811</f>
        <v>6200</v>
      </c>
      <c r="U812" s="1585"/>
      <c r="V812" s="1585"/>
      <c r="W812" s="1585"/>
      <c r="X812" s="1585"/>
      <c r="Y812" s="1585"/>
      <c r="Z812" s="1585"/>
      <c r="AA812" s="1585"/>
      <c r="AB812" s="1585"/>
      <c r="AC812" s="1585"/>
      <c r="AD812" s="1601">
        <f t="shared" si="72"/>
        <v>43400</v>
      </c>
      <c r="AE812" s="1790">
        <v>43400</v>
      </c>
      <c r="AF812" s="1792"/>
    </row>
    <row r="813" spans="1:32" ht="27.75" customHeight="1">
      <c r="A813" s="2918"/>
      <c r="B813" s="2919" t="s">
        <v>2337</v>
      </c>
      <c r="C813" s="2920" t="s">
        <v>268</v>
      </c>
      <c r="D813" s="2917">
        <v>1005</v>
      </c>
      <c r="E813" s="1598" t="s">
        <v>2496</v>
      </c>
      <c r="F813" s="1583"/>
      <c r="G813" s="1583"/>
      <c r="H813" s="1583"/>
      <c r="I813" s="1583"/>
      <c r="J813" s="1583"/>
      <c r="K813" s="1583"/>
      <c r="L813" s="1583"/>
      <c r="M813" s="1583"/>
      <c r="N813" s="1583"/>
      <c r="O813" s="1583"/>
      <c r="P813" s="1583"/>
      <c r="Q813" s="1585">
        <f t="shared" ref="Q813" si="83">Q814</f>
        <v>1005</v>
      </c>
      <c r="R813" s="1583"/>
      <c r="S813" s="1583"/>
      <c r="T813" s="1585"/>
      <c r="U813" s="1585"/>
      <c r="V813" s="1585"/>
      <c r="W813" s="1585"/>
      <c r="X813" s="1585"/>
      <c r="Y813" s="1585"/>
      <c r="Z813" s="1585"/>
      <c r="AA813" s="1585"/>
      <c r="AB813" s="1585"/>
      <c r="AC813" s="1585"/>
      <c r="AD813" s="1601">
        <f t="shared" si="72"/>
        <v>1005</v>
      </c>
      <c r="AE813" s="1790">
        <v>1005</v>
      </c>
      <c r="AF813" s="1792"/>
    </row>
    <row r="814" spans="1:32" ht="27.75" customHeight="1">
      <c r="A814" s="2918"/>
      <c r="B814" s="2919"/>
      <c r="C814" s="2920"/>
      <c r="D814" s="2917"/>
      <c r="E814" s="1603" t="s">
        <v>2497</v>
      </c>
      <c r="F814" s="1583"/>
      <c r="G814" s="1583"/>
      <c r="H814" s="1583"/>
      <c r="I814" s="1583"/>
      <c r="J814" s="1583"/>
      <c r="K814" s="1583"/>
      <c r="L814" s="1583"/>
      <c r="M814" s="1583"/>
      <c r="N814" s="1583"/>
      <c r="O814" s="1583"/>
      <c r="P814" s="1583"/>
      <c r="Q814" s="1604">
        <v>1005</v>
      </c>
      <c r="R814" s="1583"/>
      <c r="S814" s="1583"/>
      <c r="T814" s="1585"/>
      <c r="U814" s="1585"/>
      <c r="V814" s="1585"/>
      <c r="W814" s="1585"/>
      <c r="X814" s="1585"/>
      <c r="Y814" s="1585"/>
      <c r="Z814" s="1585"/>
      <c r="AA814" s="1585"/>
      <c r="AB814" s="1585"/>
      <c r="AC814" s="1585"/>
      <c r="AD814" s="1601">
        <f t="shared" si="72"/>
        <v>1005</v>
      </c>
      <c r="AE814" s="1790">
        <v>1005</v>
      </c>
      <c r="AF814" s="1792"/>
    </row>
    <row r="815" spans="1:32" ht="27.75" customHeight="1">
      <c r="A815" s="1594">
        <v>2</v>
      </c>
      <c r="B815" s="1614" t="s">
        <v>1695</v>
      </c>
      <c r="C815" s="1632"/>
      <c r="D815" s="1597" t="s">
        <v>0</v>
      </c>
      <c r="E815" s="1583"/>
      <c r="F815" s="1583"/>
      <c r="G815" s="1583"/>
      <c r="H815" s="1583"/>
      <c r="I815" s="1583"/>
      <c r="J815" s="1583"/>
      <c r="K815" s="1583"/>
      <c r="L815" s="1583"/>
      <c r="M815" s="1583"/>
      <c r="N815" s="1583"/>
      <c r="O815" s="1583"/>
      <c r="P815" s="1583"/>
      <c r="Q815" s="1583"/>
      <c r="R815" s="1583"/>
      <c r="S815" s="1583"/>
      <c r="T815" s="1585"/>
      <c r="U815" s="1585"/>
      <c r="V815" s="1585"/>
      <c r="W815" s="1585"/>
      <c r="X815" s="1585"/>
      <c r="Y815" s="1585"/>
      <c r="Z815" s="1585"/>
      <c r="AA815" s="1585"/>
      <c r="AB815" s="1585"/>
      <c r="AC815" s="1585"/>
      <c r="AD815" s="1601">
        <f t="shared" si="72"/>
        <v>0</v>
      </c>
      <c r="AE815" s="1790">
        <v>0</v>
      </c>
      <c r="AF815" s="1792"/>
    </row>
    <row r="816" spans="1:32" ht="27.75" customHeight="1">
      <c r="A816" s="1594">
        <v>2.1</v>
      </c>
      <c r="B816" s="1629" t="s">
        <v>1696</v>
      </c>
      <c r="C816" s="1632"/>
      <c r="D816" s="1592" t="s">
        <v>0</v>
      </c>
      <c r="E816" s="1583"/>
      <c r="F816" s="1583"/>
      <c r="G816" s="1583"/>
      <c r="H816" s="1583"/>
      <c r="I816" s="1583"/>
      <c r="J816" s="1583"/>
      <c r="K816" s="1583"/>
      <c r="L816" s="1583"/>
      <c r="M816" s="1583"/>
      <c r="N816" s="1583"/>
      <c r="O816" s="1583"/>
      <c r="P816" s="1583"/>
      <c r="Q816" s="1583"/>
      <c r="R816" s="1583"/>
      <c r="S816" s="1583"/>
      <c r="T816" s="1585"/>
      <c r="U816" s="1585"/>
      <c r="V816" s="1585"/>
      <c r="W816" s="1585"/>
      <c r="X816" s="1585"/>
      <c r="Y816" s="1585"/>
      <c r="Z816" s="1585"/>
      <c r="AA816" s="1585"/>
      <c r="AB816" s="1585"/>
      <c r="AC816" s="1585"/>
      <c r="AD816" s="1601">
        <f t="shared" si="72"/>
        <v>0</v>
      </c>
      <c r="AE816" s="1790">
        <v>0</v>
      </c>
      <c r="AF816" s="1792"/>
    </row>
    <row r="817" spans="1:32" ht="27.75" customHeight="1">
      <c r="A817" s="1594" t="s">
        <v>1210</v>
      </c>
      <c r="B817" s="1609" t="s">
        <v>1697</v>
      </c>
      <c r="C817" s="1632"/>
      <c r="D817" s="1592" t="s">
        <v>0</v>
      </c>
      <c r="E817" s="1583"/>
      <c r="F817" s="1583"/>
      <c r="G817" s="1583"/>
      <c r="H817" s="1583"/>
      <c r="I817" s="1583"/>
      <c r="J817" s="1583"/>
      <c r="K817" s="1583"/>
      <c r="L817" s="1583"/>
      <c r="M817" s="1583"/>
      <c r="N817" s="1583"/>
      <c r="O817" s="1583"/>
      <c r="P817" s="1583"/>
      <c r="Q817" s="1583"/>
      <c r="R817" s="1583"/>
      <c r="S817" s="1583"/>
      <c r="T817" s="1585"/>
      <c r="U817" s="1585"/>
      <c r="V817" s="1585"/>
      <c r="W817" s="1585"/>
      <c r="X817" s="1585"/>
      <c r="Y817" s="1585"/>
      <c r="Z817" s="1585"/>
      <c r="AA817" s="1585"/>
      <c r="AB817" s="1585"/>
      <c r="AC817" s="1585"/>
      <c r="AD817" s="1601">
        <f t="shared" si="72"/>
        <v>0</v>
      </c>
      <c r="AE817" s="1790">
        <v>0</v>
      </c>
      <c r="AF817" s="1792"/>
    </row>
    <row r="818" spans="1:32" ht="27.75" customHeight="1">
      <c r="A818" s="2918"/>
      <c r="B818" s="2919" t="s">
        <v>2338</v>
      </c>
      <c r="C818" s="2920" t="s">
        <v>2148</v>
      </c>
      <c r="D818" s="2917">
        <v>4640.37</v>
      </c>
      <c r="E818" s="1598" t="s">
        <v>2496</v>
      </c>
      <c r="F818" s="1583"/>
      <c r="G818" s="1583"/>
      <c r="H818" s="1583"/>
      <c r="I818" s="1583"/>
      <c r="J818" s="1583"/>
      <c r="K818" s="1583"/>
      <c r="L818" s="1583"/>
      <c r="M818" s="1583"/>
      <c r="N818" s="1583"/>
      <c r="O818" s="1583"/>
      <c r="P818" s="1583"/>
      <c r="Q818" s="1583"/>
      <c r="R818" s="1583"/>
      <c r="S818" s="1583"/>
      <c r="T818" s="1585"/>
      <c r="U818" s="1585">
        <v>368.40100000000001</v>
      </c>
      <c r="V818" s="1585"/>
      <c r="W818" s="1585"/>
      <c r="X818" s="1585"/>
      <c r="Y818" s="1585"/>
      <c r="Z818" s="1585">
        <v>4271.9690000000001</v>
      </c>
      <c r="AA818" s="1585"/>
      <c r="AB818" s="1585"/>
      <c r="AC818" s="1585"/>
      <c r="AD818" s="1601">
        <f t="shared" si="72"/>
        <v>4640.37</v>
      </c>
      <c r="AE818" s="1790">
        <v>368.40100000000001</v>
      </c>
      <c r="AF818" s="1792"/>
    </row>
    <row r="819" spans="1:32" ht="27.75" customHeight="1">
      <c r="A819" s="2918"/>
      <c r="B819" s="2919"/>
      <c r="C819" s="2920"/>
      <c r="D819" s="2917"/>
      <c r="E819" s="1603" t="s">
        <v>2497</v>
      </c>
      <c r="F819" s="1583"/>
      <c r="G819" s="1583"/>
      <c r="H819" s="1583"/>
      <c r="I819" s="1583"/>
      <c r="J819" s="1583"/>
      <c r="K819" s="1583"/>
      <c r="L819" s="1583"/>
      <c r="M819" s="1583"/>
      <c r="N819" s="1583"/>
      <c r="O819" s="1583"/>
      <c r="P819" s="1583"/>
      <c r="Q819" s="1583"/>
      <c r="R819" s="1583"/>
      <c r="S819" s="1583"/>
      <c r="T819" s="1585"/>
      <c r="U819" s="1604">
        <v>368.40100000000001</v>
      </c>
      <c r="V819" s="1585"/>
      <c r="W819" s="1585"/>
      <c r="X819" s="1585"/>
      <c r="Y819" s="1585"/>
      <c r="Z819" s="1585"/>
      <c r="AA819" s="1585"/>
      <c r="AB819" s="1585"/>
      <c r="AC819" s="1585"/>
      <c r="AD819" s="1601">
        <f t="shared" si="72"/>
        <v>368.40100000000001</v>
      </c>
      <c r="AE819" s="1790">
        <v>368.40100000000001</v>
      </c>
      <c r="AF819" s="1792"/>
    </row>
    <row r="820" spans="1:32" ht="27.75" customHeight="1">
      <c r="A820" s="2918"/>
      <c r="B820" s="2919" t="s">
        <v>2339</v>
      </c>
      <c r="C820" s="2920" t="s">
        <v>1145</v>
      </c>
      <c r="D820" s="2917">
        <v>5142</v>
      </c>
      <c r="E820" s="1598" t="s">
        <v>2496</v>
      </c>
      <c r="F820" s="1583"/>
      <c r="G820" s="1583"/>
      <c r="H820" s="1583"/>
      <c r="I820" s="1583"/>
      <c r="J820" s="1583"/>
      <c r="K820" s="1583"/>
      <c r="L820" s="1583"/>
      <c r="M820" s="1583"/>
      <c r="N820" s="1583"/>
      <c r="O820" s="1583"/>
      <c r="P820" s="1583"/>
      <c r="Q820" s="1585">
        <f t="shared" ref="Q820" si="84">Q821</f>
        <v>5142</v>
      </c>
      <c r="R820" s="1583"/>
      <c r="S820" s="1583"/>
      <c r="T820" s="1585"/>
      <c r="U820" s="1585"/>
      <c r="V820" s="1585"/>
      <c r="W820" s="1585"/>
      <c r="X820" s="1585"/>
      <c r="Y820" s="1585"/>
      <c r="Z820" s="1585"/>
      <c r="AA820" s="1585"/>
      <c r="AB820" s="1585"/>
      <c r="AC820" s="1585"/>
      <c r="AD820" s="1601">
        <f t="shared" si="72"/>
        <v>5142</v>
      </c>
      <c r="AE820" s="1790">
        <v>5142</v>
      </c>
      <c r="AF820" s="1792"/>
    </row>
    <row r="821" spans="1:32" ht="27.75" customHeight="1">
      <c r="A821" s="2918"/>
      <c r="B821" s="2919"/>
      <c r="C821" s="2920"/>
      <c r="D821" s="2917"/>
      <c r="E821" s="1603" t="s">
        <v>2497</v>
      </c>
      <c r="F821" s="1583"/>
      <c r="G821" s="1583"/>
      <c r="H821" s="1583"/>
      <c r="I821" s="1583"/>
      <c r="J821" s="1583"/>
      <c r="K821" s="1583"/>
      <c r="L821" s="1583"/>
      <c r="M821" s="1583"/>
      <c r="N821" s="1583"/>
      <c r="O821" s="1583"/>
      <c r="P821" s="1583"/>
      <c r="Q821" s="1604">
        <v>5142</v>
      </c>
      <c r="R821" s="1583"/>
      <c r="S821" s="1583"/>
      <c r="T821" s="1585"/>
      <c r="U821" s="1585"/>
      <c r="V821" s="1585"/>
      <c r="W821" s="1585"/>
      <c r="X821" s="1585"/>
      <c r="Y821" s="1585"/>
      <c r="Z821" s="1585"/>
      <c r="AA821" s="1585"/>
      <c r="AB821" s="1585"/>
      <c r="AC821" s="1585"/>
      <c r="AD821" s="1601">
        <f t="shared" si="72"/>
        <v>5142</v>
      </c>
      <c r="AE821" s="1790">
        <v>5142</v>
      </c>
      <c r="AF821" s="1792"/>
    </row>
    <row r="822" spans="1:32" ht="27.75" customHeight="1">
      <c r="A822" s="1594" t="s">
        <v>1212</v>
      </c>
      <c r="B822" s="1609" t="s">
        <v>1699</v>
      </c>
      <c r="C822" s="1632"/>
      <c r="D822" s="1597" t="s">
        <v>0</v>
      </c>
      <c r="E822" s="1583"/>
      <c r="F822" s="1583"/>
      <c r="G822" s="1583"/>
      <c r="H822" s="1583"/>
      <c r="I822" s="1583"/>
      <c r="J822" s="1583"/>
      <c r="K822" s="1583"/>
      <c r="L822" s="1583"/>
      <c r="M822" s="1583"/>
      <c r="N822" s="1583"/>
      <c r="O822" s="1583"/>
      <c r="P822" s="1583"/>
      <c r="Q822" s="1583"/>
      <c r="R822" s="1583"/>
      <c r="S822" s="1583"/>
      <c r="T822" s="1585"/>
      <c r="U822" s="1585"/>
      <c r="V822" s="1585"/>
      <c r="W822" s="1585"/>
      <c r="X822" s="1585"/>
      <c r="Y822" s="1585"/>
      <c r="Z822" s="1585"/>
      <c r="AA822" s="1585"/>
      <c r="AB822" s="1585"/>
      <c r="AC822" s="1585"/>
      <c r="AD822" s="1601">
        <f t="shared" si="72"/>
        <v>0</v>
      </c>
      <c r="AE822" s="1790">
        <v>0</v>
      </c>
      <c r="AF822" s="1792"/>
    </row>
    <row r="823" spans="1:32" ht="27.75" customHeight="1">
      <c r="A823" s="2918"/>
      <c r="B823" s="2919" t="s">
        <v>2161</v>
      </c>
      <c r="C823" s="2920" t="s">
        <v>2148</v>
      </c>
      <c r="D823" s="2917">
        <v>3683.75</v>
      </c>
      <c r="E823" s="1598" t="s">
        <v>2496</v>
      </c>
      <c r="F823" s="1583"/>
      <c r="G823" s="1583"/>
      <c r="H823" s="1583"/>
      <c r="I823" s="1583"/>
      <c r="J823" s="1583"/>
      <c r="K823" s="1583"/>
      <c r="L823" s="1583"/>
      <c r="M823" s="1583"/>
      <c r="N823" s="1583"/>
      <c r="O823" s="1583"/>
      <c r="P823" s="1583"/>
      <c r="Q823" s="1583"/>
      <c r="R823" s="1583"/>
      <c r="S823" s="1583"/>
      <c r="T823" s="1585">
        <v>3683.75</v>
      </c>
      <c r="U823" s="1585"/>
      <c r="V823" s="1585"/>
      <c r="W823" s="1585"/>
      <c r="X823" s="1585"/>
      <c r="Y823" s="1585"/>
      <c r="Z823" s="1585"/>
      <c r="AA823" s="1585"/>
      <c r="AB823" s="1585"/>
      <c r="AC823" s="1585"/>
      <c r="AD823" s="1601">
        <f t="shared" si="72"/>
        <v>3683.75</v>
      </c>
      <c r="AE823" s="1790">
        <v>3683.75</v>
      </c>
      <c r="AF823" s="1792"/>
    </row>
    <row r="824" spans="1:32" ht="27.75" customHeight="1">
      <c r="A824" s="2918"/>
      <c r="B824" s="2919"/>
      <c r="C824" s="2920"/>
      <c r="D824" s="2917"/>
      <c r="E824" s="1603" t="s">
        <v>2497</v>
      </c>
      <c r="F824" s="1583"/>
      <c r="G824" s="1583"/>
      <c r="H824" s="1583"/>
      <c r="I824" s="1583"/>
      <c r="J824" s="1583"/>
      <c r="K824" s="1583"/>
      <c r="L824" s="1583"/>
      <c r="M824" s="1583"/>
      <c r="N824" s="1583"/>
      <c r="O824" s="1583"/>
      <c r="P824" s="1583"/>
      <c r="Q824" s="1583"/>
      <c r="R824" s="1583"/>
      <c r="S824" s="1583"/>
      <c r="T824" s="1604">
        <f>T823</f>
        <v>3683.75</v>
      </c>
      <c r="U824" s="1585"/>
      <c r="V824" s="1585"/>
      <c r="W824" s="1585"/>
      <c r="X824" s="1585"/>
      <c r="Y824" s="1585"/>
      <c r="Z824" s="1585"/>
      <c r="AA824" s="1585"/>
      <c r="AB824" s="1585"/>
      <c r="AC824" s="1585"/>
      <c r="AD824" s="1601">
        <f t="shared" si="72"/>
        <v>3683.75</v>
      </c>
      <c r="AE824" s="1790">
        <v>3683.75</v>
      </c>
      <c r="AF824" s="1792"/>
    </row>
    <row r="825" spans="1:32" ht="27.75" customHeight="1">
      <c r="A825" s="1594" t="s">
        <v>2340</v>
      </c>
      <c r="B825" s="1609" t="s">
        <v>2341</v>
      </c>
      <c r="C825" s="1632"/>
      <c r="D825" s="1597" t="s">
        <v>0</v>
      </c>
      <c r="E825" s="1583"/>
      <c r="F825" s="1583"/>
      <c r="G825" s="1583"/>
      <c r="H825" s="1583"/>
      <c r="I825" s="1583"/>
      <c r="J825" s="1583"/>
      <c r="K825" s="1583"/>
      <c r="L825" s="1583"/>
      <c r="M825" s="1583"/>
      <c r="N825" s="1583"/>
      <c r="O825" s="1583"/>
      <c r="P825" s="1583"/>
      <c r="Q825" s="1583"/>
      <c r="R825" s="1583"/>
      <c r="S825" s="1583"/>
      <c r="T825" s="1585"/>
      <c r="U825" s="1585"/>
      <c r="V825" s="1585"/>
      <c r="W825" s="1585"/>
      <c r="X825" s="1585"/>
      <c r="Y825" s="1585"/>
      <c r="Z825" s="1585"/>
      <c r="AA825" s="1585"/>
      <c r="AB825" s="1585"/>
      <c r="AC825" s="1585"/>
      <c r="AD825" s="1601">
        <f t="shared" si="72"/>
        <v>0</v>
      </c>
      <c r="AE825" s="1790">
        <v>0</v>
      </c>
      <c r="AF825" s="1792"/>
    </row>
    <row r="826" spans="1:32" ht="27.75" customHeight="1">
      <c r="A826" s="2918"/>
      <c r="B826" s="2919" t="s">
        <v>2155</v>
      </c>
      <c r="C826" s="2920" t="s">
        <v>2147</v>
      </c>
      <c r="D826" s="2917">
        <v>15680.66</v>
      </c>
      <c r="E826" s="1598" t="s">
        <v>2496</v>
      </c>
      <c r="F826" s="1583"/>
      <c r="G826" s="1583"/>
      <c r="H826" s="1583"/>
      <c r="I826" s="1583"/>
      <c r="J826" s="1583"/>
      <c r="K826" s="1583"/>
      <c r="L826" s="1583"/>
      <c r="M826" s="1583"/>
      <c r="N826" s="1583"/>
      <c r="O826" s="1583"/>
      <c r="P826" s="1583"/>
      <c r="Q826" s="1585">
        <f t="shared" ref="Q826" si="85">Q827</f>
        <v>14369.27</v>
      </c>
      <c r="R826" s="1583"/>
      <c r="S826" s="1583"/>
      <c r="T826" s="1585"/>
      <c r="U826" s="1585"/>
      <c r="V826" s="1585"/>
      <c r="W826" s="1585"/>
      <c r="X826" s="1585"/>
      <c r="Y826" s="1585"/>
      <c r="Z826" s="1585">
        <v>1311.3899999999994</v>
      </c>
      <c r="AA826" s="1585"/>
      <c r="AB826" s="1585"/>
      <c r="AC826" s="1585"/>
      <c r="AD826" s="1601">
        <f t="shared" si="72"/>
        <v>15680.66</v>
      </c>
      <c r="AE826" s="1790">
        <v>14369.27</v>
      </c>
      <c r="AF826" s="1792"/>
    </row>
    <row r="827" spans="1:32" ht="27.75" customHeight="1">
      <c r="A827" s="2918"/>
      <c r="B827" s="2919"/>
      <c r="C827" s="2920"/>
      <c r="D827" s="2917"/>
      <c r="E827" s="1603" t="s">
        <v>2497</v>
      </c>
      <c r="F827" s="1583"/>
      <c r="G827" s="1583"/>
      <c r="H827" s="1583"/>
      <c r="I827" s="1583"/>
      <c r="J827" s="1583"/>
      <c r="K827" s="1583"/>
      <c r="L827" s="1583"/>
      <c r="M827" s="1583"/>
      <c r="N827" s="1583"/>
      <c r="O827" s="1583"/>
      <c r="P827" s="1583"/>
      <c r="Q827" s="1604">
        <v>14369.27</v>
      </c>
      <c r="R827" s="1583"/>
      <c r="S827" s="1583"/>
      <c r="T827" s="1585"/>
      <c r="U827" s="1585"/>
      <c r="V827" s="1585"/>
      <c r="W827" s="1585"/>
      <c r="X827" s="1585"/>
      <c r="Y827" s="1585"/>
      <c r="Z827" s="1585"/>
      <c r="AA827" s="1585"/>
      <c r="AB827" s="1585"/>
      <c r="AC827" s="1585"/>
      <c r="AD827" s="1601">
        <f t="shared" si="72"/>
        <v>14369.27</v>
      </c>
      <c r="AE827" s="1790">
        <v>14369.27</v>
      </c>
      <c r="AF827" s="1792"/>
    </row>
    <row r="828" spans="1:32" ht="27.75" customHeight="1">
      <c r="A828" s="2918"/>
      <c r="B828" s="2919" t="s">
        <v>2156</v>
      </c>
      <c r="C828" s="2920" t="s">
        <v>2148</v>
      </c>
      <c r="D828" s="2917">
        <v>41644.15</v>
      </c>
      <c r="E828" s="1598" t="s">
        <v>2496</v>
      </c>
      <c r="F828" s="1583"/>
      <c r="G828" s="1583"/>
      <c r="H828" s="1583"/>
      <c r="I828" s="1583"/>
      <c r="J828" s="1583"/>
      <c r="K828" s="1583"/>
      <c r="L828" s="1583"/>
      <c r="M828" s="1583"/>
      <c r="N828" s="1583"/>
      <c r="O828" s="1583"/>
      <c r="P828" s="1583"/>
      <c r="Q828" s="1585">
        <f t="shared" ref="Q828" si="86">Q829</f>
        <v>41644.15</v>
      </c>
      <c r="R828" s="1583"/>
      <c r="S828" s="1583"/>
      <c r="T828" s="1585"/>
      <c r="U828" s="1585"/>
      <c r="V828" s="1585"/>
      <c r="W828" s="1585"/>
      <c r="X828" s="1585"/>
      <c r="Y828" s="1585"/>
      <c r="Z828" s="1585"/>
      <c r="AA828" s="1585"/>
      <c r="AB828" s="1585"/>
      <c r="AC828" s="1585"/>
      <c r="AD828" s="1601">
        <f t="shared" si="72"/>
        <v>41644.15</v>
      </c>
      <c r="AE828" s="1790">
        <v>41644.15</v>
      </c>
      <c r="AF828" s="1792"/>
    </row>
    <row r="829" spans="1:32" ht="27.75" customHeight="1">
      <c r="A829" s="2918"/>
      <c r="B829" s="2919"/>
      <c r="C829" s="2920"/>
      <c r="D829" s="2917"/>
      <c r="E829" s="1603" t="s">
        <v>2497</v>
      </c>
      <c r="F829" s="1583"/>
      <c r="G829" s="1583"/>
      <c r="H829" s="1583"/>
      <c r="I829" s="1583"/>
      <c r="J829" s="1583"/>
      <c r="K829" s="1583"/>
      <c r="L829" s="1583"/>
      <c r="M829" s="1583"/>
      <c r="N829" s="1583"/>
      <c r="O829" s="1583"/>
      <c r="P829" s="1583"/>
      <c r="Q829" s="1604">
        <v>41644.15</v>
      </c>
      <c r="R829" s="1583"/>
      <c r="S829" s="1583"/>
      <c r="T829" s="1585"/>
      <c r="U829" s="1585"/>
      <c r="V829" s="1585"/>
      <c r="W829" s="1585"/>
      <c r="X829" s="1585"/>
      <c r="Y829" s="1585"/>
      <c r="Z829" s="1585"/>
      <c r="AA829" s="1585"/>
      <c r="AB829" s="1585"/>
      <c r="AC829" s="1585"/>
      <c r="AD829" s="1601">
        <f t="shared" si="72"/>
        <v>41644.15</v>
      </c>
      <c r="AE829" s="1790">
        <v>41644.15</v>
      </c>
      <c r="AF829" s="1792"/>
    </row>
    <row r="830" spans="1:32" ht="27.75" customHeight="1">
      <c r="A830" s="2918"/>
      <c r="B830" s="2919" t="s">
        <v>2342</v>
      </c>
      <c r="C830" s="2920" t="s">
        <v>2148</v>
      </c>
      <c r="D830" s="2917">
        <v>1712.58</v>
      </c>
      <c r="E830" s="1598" t="s">
        <v>2496</v>
      </c>
      <c r="F830" s="1583"/>
      <c r="G830" s="1583"/>
      <c r="H830" s="1583"/>
      <c r="I830" s="1583"/>
      <c r="J830" s="1583"/>
      <c r="K830" s="1583"/>
      <c r="L830" s="1583"/>
      <c r="M830" s="1583"/>
      <c r="N830" s="1583"/>
      <c r="O830" s="1583"/>
      <c r="P830" s="1583"/>
      <c r="Q830" s="1583"/>
      <c r="R830" s="1583"/>
      <c r="S830" s="1583"/>
      <c r="T830" s="1585"/>
      <c r="U830" s="1585"/>
      <c r="V830" s="1585"/>
      <c r="W830" s="1585"/>
      <c r="X830" s="1585"/>
      <c r="Y830" s="1585"/>
      <c r="Z830" s="1585">
        <v>1712.58</v>
      </c>
      <c r="AA830" s="1585"/>
      <c r="AB830" s="1585"/>
      <c r="AC830" s="1585"/>
      <c r="AD830" s="1601">
        <f t="shared" si="72"/>
        <v>1712.58</v>
      </c>
      <c r="AE830" s="1790">
        <v>0</v>
      </c>
      <c r="AF830" s="1792"/>
    </row>
    <row r="831" spans="1:32" ht="27.75" customHeight="1">
      <c r="A831" s="2918"/>
      <c r="B831" s="2919"/>
      <c r="C831" s="2920"/>
      <c r="D831" s="2917"/>
      <c r="E831" s="1603" t="s">
        <v>2497</v>
      </c>
      <c r="F831" s="1583"/>
      <c r="G831" s="1583"/>
      <c r="H831" s="1583"/>
      <c r="I831" s="1583"/>
      <c r="J831" s="1583"/>
      <c r="K831" s="1583"/>
      <c r="L831" s="1583"/>
      <c r="M831" s="1583"/>
      <c r="N831" s="1583"/>
      <c r="O831" s="1583"/>
      <c r="P831" s="1583"/>
      <c r="Q831" s="1583"/>
      <c r="R831" s="1583"/>
      <c r="S831" s="1583"/>
      <c r="T831" s="1585"/>
      <c r="U831" s="1585"/>
      <c r="V831" s="1585"/>
      <c r="W831" s="1585"/>
      <c r="X831" s="1585"/>
      <c r="Y831" s="1585"/>
      <c r="Z831" s="1585"/>
      <c r="AA831" s="1585"/>
      <c r="AB831" s="1585"/>
      <c r="AC831" s="1585"/>
      <c r="AD831" s="1601">
        <f t="shared" si="72"/>
        <v>0</v>
      </c>
      <c r="AE831" s="1790">
        <v>0</v>
      </c>
      <c r="AF831" s="1792"/>
    </row>
    <row r="832" spans="1:32" ht="27.75" customHeight="1">
      <c r="A832" s="1594" t="s">
        <v>2343</v>
      </c>
      <c r="B832" s="1609" t="s">
        <v>2344</v>
      </c>
      <c r="C832" s="1632"/>
      <c r="D832" s="1592" t="s">
        <v>0</v>
      </c>
      <c r="E832" s="1583"/>
      <c r="F832" s="1583"/>
      <c r="G832" s="1583"/>
      <c r="H832" s="1583"/>
      <c r="I832" s="1583"/>
      <c r="J832" s="1583"/>
      <c r="K832" s="1583"/>
      <c r="L832" s="1583"/>
      <c r="M832" s="1583"/>
      <c r="N832" s="1583"/>
      <c r="O832" s="1583"/>
      <c r="P832" s="1583"/>
      <c r="Q832" s="1583"/>
      <c r="R832" s="1583"/>
      <c r="S832" s="1583"/>
      <c r="T832" s="1585"/>
      <c r="U832" s="1585"/>
      <c r="V832" s="1585"/>
      <c r="W832" s="1585"/>
      <c r="X832" s="1585"/>
      <c r="Y832" s="1585"/>
      <c r="Z832" s="1585"/>
      <c r="AA832" s="1585"/>
      <c r="AB832" s="1585"/>
      <c r="AC832" s="1585"/>
      <c r="AD832" s="1601">
        <f t="shared" si="72"/>
        <v>0</v>
      </c>
      <c r="AE832" s="1790">
        <v>0</v>
      </c>
      <c r="AF832" s="1792"/>
    </row>
    <row r="833" spans="1:32" ht="27.75" customHeight="1">
      <c r="A833" s="2918"/>
      <c r="B833" s="2919" t="s">
        <v>2158</v>
      </c>
      <c r="C833" s="2920" t="s">
        <v>2148</v>
      </c>
      <c r="D833" s="2917">
        <v>209133.37</v>
      </c>
      <c r="E833" s="1598" t="s">
        <v>2496</v>
      </c>
      <c r="F833" s="1583"/>
      <c r="G833" s="1583"/>
      <c r="H833" s="1583"/>
      <c r="I833" s="1583"/>
      <c r="J833" s="1583"/>
      <c r="K833" s="1583"/>
      <c r="L833" s="1583"/>
      <c r="M833" s="1583"/>
      <c r="N833" s="1583"/>
      <c r="O833" s="1583"/>
      <c r="P833" s="1583"/>
      <c r="Q833" s="1585">
        <f t="shared" ref="Q833:Q835" si="87">Q834</f>
        <v>116505.45</v>
      </c>
      <c r="R833" s="1583"/>
      <c r="S833" s="1583"/>
      <c r="T833" s="1585">
        <v>18659.55</v>
      </c>
      <c r="U833" s="1585">
        <v>73968.37</v>
      </c>
      <c r="V833" s="1585"/>
      <c r="W833" s="1585"/>
      <c r="X833" s="1585"/>
      <c r="Y833" s="1585"/>
      <c r="Z833" s="1585"/>
      <c r="AA833" s="1585"/>
      <c r="AB833" s="1585"/>
      <c r="AC833" s="1585"/>
      <c r="AD833" s="1601">
        <f t="shared" si="72"/>
        <v>209133.37</v>
      </c>
      <c r="AE833" s="1790">
        <v>209133.37</v>
      </c>
      <c r="AF833" s="1792"/>
    </row>
    <row r="834" spans="1:32" ht="27.75" customHeight="1">
      <c r="A834" s="2918"/>
      <c r="B834" s="2919"/>
      <c r="C834" s="2920"/>
      <c r="D834" s="2917"/>
      <c r="E834" s="1603" t="s">
        <v>2497</v>
      </c>
      <c r="F834" s="1583"/>
      <c r="G834" s="1583"/>
      <c r="H834" s="1583"/>
      <c r="I834" s="1583"/>
      <c r="J834" s="1583"/>
      <c r="K834" s="1583"/>
      <c r="L834" s="1583"/>
      <c r="M834" s="1583"/>
      <c r="N834" s="1583"/>
      <c r="O834" s="1583"/>
      <c r="P834" s="1583"/>
      <c r="Q834" s="1604">
        <v>116505.45</v>
      </c>
      <c r="R834" s="1583"/>
      <c r="S834" s="1583"/>
      <c r="T834" s="1604">
        <f>T833</f>
        <v>18659.55</v>
      </c>
      <c r="U834" s="1604">
        <v>73968.37</v>
      </c>
      <c r="V834" s="1585"/>
      <c r="W834" s="1585"/>
      <c r="X834" s="1585"/>
      <c r="Y834" s="1585"/>
      <c r="Z834" s="1585"/>
      <c r="AA834" s="1585"/>
      <c r="AB834" s="1585"/>
      <c r="AC834" s="1585"/>
      <c r="AD834" s="1601">
        <f t="shared" si="72"/>
        <v>209133.37</v>
      </c>
      <c r="AE834" s="1790">
        <v>209133.37</v>
      </c>
      <c r="AF834" s="1792"/>
    </row>
    <row r="835" spans="1:32" ht="27.75" customHeight="1">
      <c r="A835" s="2918"/>
      <c r="B835" s="2919" t="s">
        <v>2159</v>
      </c>
      <c r="C835" s="2920" t="s">
        <v>2148</v>
      </c>
      <c r="D835" s="2917">
        <v>93979.09</v>
      </c>
      <c r="E835" s="1598" t="s">
        <v>2496</v>
      </c>
      <c r="F835" s="1583"/>
      <c r="G835" s="1583"/>
      <c r="H835" s="1583"/>
      <c r="I835" s="1583"/>
      <c r="J835" s="1583"/>
      <c r="K835" s="1583"/>
      <c r="L835" s="1583"/>
      <c r="M835" s="1583"/>
      <c r="N835" s="1583"/>
      <c r="O835" s="1583"/>
      <c r="P835" s="1583"/>
      <c r="Q835" s="1585">
        <f t="shared" si="87"/>
        <v>85997.68</v>
      </c>
      <c r="R835" s="1583"/>
      <c r="S835" s="1583"/>
      <c r="T835" s="1585"/>
      <c r="U835" s="1585"/>
      <c r="V835" s="1585"/>
      <c r="W835" s="1585"/>
      <c r="X835" s="1585"/>
      <c r="Y835" s="1585"/>
      <c r="Z835" s="1585">
        <v>7981.4100000000035</v>
      </c>
      <c r="AA835" s="1585"/>
      <c r="AB835" s="1585"/>
      <c r="AC835" s="1585"/>
      <c r="AD835" s="1601">
        <f t="shared" si="72"/>
        <v>93979.09</v>
      </c>
      <c r="AE835" s="1790">
        <v>85997.68</v>
      </c>
      <c r="AF835" s="1792"/>
    </row>
    <row r="836" spans="1:32" ht="27.75" customHeight="1">
      <c r="A836" s="2918"/>
      <c r="B836" s="2919"/>
      <c r="C836" s="2920"/>
      <c r="D836" s="2917"/>
      <c r="E836" s="1603" t="s">
        <v>2497</v>
      </c>
      <c r="F836" s="1583"/>
      <c r="G836" s="1583"/>
      <c r="H836" s="1583"/>
      <c r="I836" s="1583"/>
      <c r="J836" s="1583"/>
      <c r="K836" s="1583"/>
      <c r="L836" s="1583"/>
      <c r="M836" s="1583"/>
      <c r="N836" s="1583"/>
      <c r="O836" s="1583"/>
      <c r="P836" s="1583"/>
      <c r="Q836" s="1604">
        <v>85997.68</v>
      </c>
      <c r="R836" s="1583"/>
      <c r="S836" s="1583"/>
      <c r="T836" s="1585"/>
      <c r="U836" s="1585"/>
      <c r="V836" s="1585"/>
      <c r="W836" s="1585"/>
      <c r="X836" s="1585"/>
      <c r="Y836" s="1585"/>
      <c r="Z836" s="1585"/>
      <c r="AA836" s="1585"/>
      <c r="AB836" s="1585"/>
      <c r="AC836" s="1585"/>
      <c r="AD836" s="1601">
        <f t="shared" si="72"/>
        <v>85997.68</v>
      </c>
      <c r="AE836" s="1790">
        <v>85997.68</v>
      </c>
      <c r="AF836" s="1792"/>
    </row>
    <row r="837" spans="1:32" ht="27.75" customHeight="1">
      <c r="A837" s="1594" t="s">
        <v>2345</v>
      </c>
      <c r="B837" s="1629" t="s">
        <v>2346</v>
      </c>
      <c r="C837" s="1632"/>
      <c r="D837" s="1597" t="s">
        <v>0</v>
      </c>
      <c r="E837" s="1593"/>
      <c r="F837" s="1583"/>
      <c r="G837" s="1583"/>
      <c r="H837" s="1583"/>
      <c r="I837" s="1583"/>
      <c r="J837" s="1583"/>
      <c r="K837" s="1583"/>
      <c r="L837" s="1583"/>
      <c r="M837" s="1583"/>
      <c r="N837" s="1583"/>
      <c r="O837" s="1583"/>
      <c r="P837" s="1583"/>
      <c r="Q837" s="1583"/>
      <c r="R837" s="1583"/>
      <c r="S837" s="1583"/>
      <c r="T837" s="1585"/>
      <c r="U837" s="1585"/>
      <c r="V837" s="1585"/>
      <c r="W837" s="1585"/>
      <c r="X837" s="1585"/>
      <c r="Y837" s="1585"/>
      <c r="Z837" s="1585"/>
      <c r="AA837" s="1585"/>
      <c r="AB837" s="1585"/>
      <c r="AC837" s="1585"/>
      <c r="AD837" s="1601">
        <f t="shared" si="72"/>
        <v>0</v>
      </c>
      <c r="AE837" s="1790">
        <v>0</v>
      </c>
      <c r="AF837" s="1792"/>
    </row>
    <row r="838" spans="1:32" ht="27.75" customHeight="1">
      <c r="A838" s="1594" t="s">
        <v>2347</v>
      </c>
      <c r="B838" s="1609" t="s">
        <v>2348</v>
      </c>
      <c r="C838" s="1632"/>
      <c r="D838" s="1597" t="s">
        <v>0</v>
      </c>
      <c r="E838" s="1583"/>
      <c r="F838" s="1583"/>
      <c r="G838" s="1583"/>
      <c r="H838" s="1583"/>
      <c r="I838" s="1583"/>
      <c r="J838" s="1583"/>
      <c r="K838" s="1583"/>
      <c r="L838" s="1583"/>
      <c r="M838" s="1583"/>
      <c r="N838" s="1583"/>
      <c r="O838" s="1583"/>
      <c r="P838" s="1583"/>
      <c r="Q838" s="1583"/>
      <c r="R838" s="1583"/>
      <c r="S838" s="1583"/>
      <c r="T838" s="1585"/>
      <c r="U838" s="1585"/>
      <c r="V838" s="1585"/>
      <c r="W838" s="1585"/>
      <c r="X838" s="1585"/>
      <c r="Y838" s="1585"/>
      <c r="Z838" s="1585"/>
      <c r="AA838" s="1585"/>
      <c r="AB838" s="1585"/>
      <c r="AC838" s="1585"/>
      <c r="AD838" s="1601">
        <f t="shared" si="72"/>
        <v>0</v>
      </c>
      <c r="AE838" s="1790">
        <v>0</v>
      </c>
      <c r="AF838" s="1792"/>
    </row>
    <row r="839" spans="1:32" ht="27.75" customHeight="1">
      <c r="A839" s="2918"/>
      <c r="B839" s="2919" t="s">
        <v>2349</v>
      </c>
      <c r="C839" s="2920" t="s">
        <v>2148</v>
      </c>
      <c r="D839" s="2917">
        <v>16301.28</v>
      </c>
      <c r="E839" s="1598" t="s">
        <v>2496</v>
      </c>
      <c r="F839" s="1583"/>
      <c r="G839" s="1583"/>
      <c r="H839" s="1583"/>
      <c r="I839" s="1583"/>
      <c r="J839" s="1583"/>
      <c r="K839" s="1583"/>
      <c r="L839" s="1583"/>
      <c r="M839" s="1583"/>
      <c r="N839" s="1583"/>
      <c r="O839" s="1583"/>
      <c r="P839" s="1583"/>
      <c r="Q839" s="1585">
        <f t="shared" ref="Q839" si="88">Q840</f>
        <v>16301.28</v>
      </c>
      <c r="R839" s="1583"/>
      <c r="S839" s="1583"/>
      <c r="T839" s="1585"/>
      <c r="U839" s="1585"/>
      <c r="V839" s="1585"/>
      <c r="W839" s="1585"/>
      <c r="X839" s="1585"/>
      <c r="Y839" s="1585"/>
      <c r="Z839" s="1585"/>
      <c r="AA839" s="1585"/>
      <c r="AB839" s="1585"/>
      <c r="AC839" s="1585"/>
      <c r="AD839" s="1601">
        <f t="shared" si="72"/>
        <v>16301.28</v>
      </c>
      <c r="AE839" s="1790">
        <v>16301.28</v>
      </c>
      <c r="AF839" s="1792"/>
    </row>
    <row r="840" spans="1:32" ht="27.75" customHeight="1">
      <c r="A840" s="2918"/>
      <c r="B840" s="2919"/>
      <c r="C840" s="2920"/>
      <c r="D840" s="2917"/>
      <c r="E840" s="1603" t="s">
        <v>2497</v>
      </c>
      <c r="F840" s="1583"/>
      <c r="G840" s="1583"/>
      <c r="H840" s="1583"/>
      <c r="I840" s="1583"/>
      <c r="J840" s="1583"/>
      <c r="K840" s="1583"/>
      <c r="L840" s="1583"/>
      <c r="M840" s="1583"/>
      <c r="N840" s="1583"/>
      <c r="O840" s="1583"/>
      <c r="P840" s="1583"/>
      <c r="Q840" s="1604">
        <v>16301.28</v>
      </c>
      <c r="R840" s="1583"/>
      <c r="S840" s="1583"/>
      <c r="T840" s="1585"/>
      <c r="U840" s="1585"/>
      <c r="V840" s="1585"/>
      <c r="W840" s="1585"/>
      <c r="X840" s="1585"/>
      <c r="Y840" s="1585"/>
      <c r="Z840" s="1585"/>
      <c r="AA840" s="1585"/>
      <c r="AB840" s="1585"/>
      <c r="AC840" s="1585"/>
      <c r="AD840" s="1601">
        <f t="shared" si="72"/>
        <v>16301.28</v>
      </c>
      <c r="AE840" s="1790">
        <v>16301.28</v>
      </c>
      <c r="AF840" s="1792"/>
    </row>
    <row r="841" spans="1:32" ht="27.75" customHeight="1">
      <c r="A841" s="2918"/>
      <c r="B841" s="2919" t="s">
        <v>2165</v>
      </c>
      <c r="C841" s="2920" t="s">
        <v>2147</v>
      </c>
      <c r="D841" s="2917">
        <v>1537.96</v>
      </c>
      <c r="E841" s="1598" t="s">
        <v>2496</v>
      </c>
      <c r="F841" s="1583"/>
      <c r="G841" s="1583"/>
      <c r="H841" s="1583"/>
      <c r="I841" s="1583"/>
      <c r="J841" s="1583"/>
      <c r="K841" s="1583"/>
      <c r="L841" s="1583"/>
      <c r="M841" s="1583"/>
      <c r="N841" s="1583"/>
      <c r="O841" s="1583"/>
      <c r="P841" s="1583"/>
      <c r="Q841" s="1585">
        <f t="shared" ref="Q841" si="89">Q842</f>
        <v>685.92</v>
      </c>
      <c r="R841" s="1583"/>
      <c r="S841" s="1583"/>
      <c r="T841" s="1585"/>
      <c r="U841" s="1585"/>
      <c r="V841" s="1585"/>
      <c r="W841" s="1585"/>
      <c r="X841" s="1585"/>
      <c r="Y841" s="1585"/>
      <c r="Z841" s="1585">
        <v>852.04000000000008</v>
      </c>
      <c r="AA841" s="1585"/>
      <c r="AB841" s="1585"/>
      <c r="AC841" s="1585"/>
      <c r="AD841" s="1601">
        <f t="shared" si="72"/>
        <v>1537.96</v>
      </c>
      <c r="AE841" s="1790">
        <v>685.92</v>
      </c>
      <c r="AF841" s="1792"/>
    </row>
    <row r="842" spans="1:32" ht="27.75" customHeight="1">
      <c r="A842" s="2918"/>
      <c r="B842" s="2919"/>
      <c r="C842" s="2920"/>
      <c r="D842" s="2917"/>
      <c r="E842" s="1603" t="s">
        <v>2497</v>
      </c>
      <c r="F842" s="1583"/>
      <c r="G842" s="1583"/>
      <c r="H842" s="1583"/>
      <c r="I842" s="1583"/>
      <c r="J842" s="1583"/>
      <c r="K842" s="1583"/>
      <c r="L842" s="1583"/>
      <c r="M842" s="1583"/>
      <c r="N842" s="1583"/>
      <c r="O842" s="1583"/>
      <c r="P842" s="1583"/>
      <c r="Q842" s="1604">
        <v>685.92</v>
      </c>
      <c r="R842" s="1583"/>
      <c r="S842" s="1583"/>
      <c r="T842" s="1585"/>
      <c r="U842" s="1585"/>
      <c r="V842" s="1585"/>
      <c r="W842" s="1585"/>
      <c r="X842" s="1585"/>
      <c r="Y842" s="1585"/>
      <c r="Z842" s="1585"/>
      <c r="AA842" s="1585"/>
      <c r="AB842" s="1585"/>
      <c r="AC842" s="1585"/>
      <c r="AD842" s="1601">
        <f t="shared" si="72"/>
        <v>685.92</v>
      </c>
      <c r="AE842" s="1790">
        <v>685.92</v>
      </c>
      <c r="AF842" s="1792"/>
    </row>
    <row r="843" spans="1:32" ht="27.75" customHeight="1">
      <c r="A843" s="1594" t="s">
        <v>2350</v>
      </c>
      <c r="B843" s="1609" t="s">
        <v>2351</v>
      </c>
      <c r="C843" s="1632"/>
      <c r="D843" s="1597" t="s">
        <v>0</v>
      </c>
      <c r="E843" s="1583"/>
      <c r="F843" s="1583"/>
      <c r="G843" s="1583"/>
      <c r="H843" s="1583"/>
      <c r="I843" s="1583"/>
      <c r="J843" s="1583"/>
      <c r="K843" s="1583"/>
      <c r="L843" s="1583"/>
      <c r="M843" s="1583"/>
      <c r="N843" s="1583"/>
      <c r="O843" s="1583"/>
      <c r="P843" s="1583"/>
      <c r="Q843" s="1583"/>
      <c r="R843" s="1583"/>
      <c r="S843" s="1583"/>
      <c r="T843" s="1585"/>
      <c r="U843" s="1585"/>
      <c r="V843" s="1585"/>
      <c r="W843" s="1585"/>
      <c r="X843" s="1585"/>
      <c r="Y843" s="1585"/>
      <c r="Z843" s="1585"/>
      <c r="AA843" s="1585"/>
      <c r="AB843" s="1585"/>
      <c r="AC843" s="1585"/>
      <c r="AD843" s="1601">
        <f t="shared" si="72"/>
        <v>0</v>
      </c>
      <c r="AE843" s="1790">
        <v>0</v>
      </c>
      <c r="AF843" s="1792"/>
    </row>
    <row r="844" spans="1:32" ht="27.75" customHeight="1">
      <c r="A844" s="2918"/>
      <c r="B844" s="2919" t="s">
        <v>2352</v>
      </c>
      <c r="C844" s="2920" t="s">
        <v>2148</v>
      </c>
      <c r="D844" s="2917">
        <v>18685.259999999998</v>
      </c>
      <c r="E844" s="1598" t="s">
        <v>2496</v>
      </c>
      <c r="F844" s="1583"/>
      <c r="G844" s="1583"/>
      <c r="H844" s="1583"/>
      <c r="I844" s="1583"/>
      <c r="J844" s="1583"/>
      <c r="K844" s="1583"/>
      <c r="L844" s="1583"/>
      <c r="M844" s="1583"/>
      <c r="N844" s="1583"/>
      <c r="O844" s="1583"/>
      <c r="P844" s="1583"/>
      <c r="Q844" s="1585">
        <f t="shared" ref="Q844" si="90">Q845</f>
        <v>9539.98</v>
      </c>
      <c r="R844" s="1583"/>
      <c r="S844" s="1583"/>
      <c r="T844" s="1585"/>
      <c r="U844" s="1585">
        <v>1686.7</v>
      </c>
      <c r="V844" s="1585">
        <v>1288.6400000000001</v>
      </c>
      <c r="W844" s="1585"/>
      <c r="X844" s="1585">
        <v>229.39</v>
      </c>
      <c r="Y844" s="1585"/>
      <c r="Z844" s="1585">
        <v>5940.5499999999993</v>
      </c>
      <c r="AA844" s="1585"/>
      <c r="AB844" s="1585"/>
      <c r="AC844" s="1585"/>
      <c r="AD844" s="1601">
        <f t="shared" si="72"/>
        <v>18685.259999999998</v>
      </c>
      <c r="AE844" s="1790">
        <v>12744.71</v>
      </c>
      <c r="AF844" s="1792"/>
    </row>
    <row r="845" spans="1:32" ht="27.75" customHeight="1">
      <c r="A845" s="2918"/>
      <c r="B845" s="2919"/>
      <c r="C845" s="2920"/>
      <c r="D845" s="2917"/>
      <c r="E845" s="1603" t="s">
        <v>2497</v>
      </c>
      <c r="F845" s="1583"/>
      <c r="G845" s="1583"/>
      <c r="H845" s="1583"/>
      <c r="I845" s="1583"/>
      <c r="J845" s="1583"/>
      <c r="K845" s="1583"/>
      <c r="L845" s="1583"/>
      <c r="M845" s="1583"/>
      <c r="N845" s="1583"/>
      <c r="O845" s="1583"/>
      <c r="P845" s="1583"/>
      <c r="Q845" s="1604">
        <v>9539.98</v>
      </c>
      <c r="R845" s="1583"/>
      <c r="S845" s="1583"/>
      <c r="T845" s="1585"/>
      <c r="U845" s="1604">
        <v>1686.7</v>
      </c>
      <c r="V845" s="1604">
        <v>1288.6400000000001</v>
      </c>
      <c r="W845" s="1585"/>
      <c r="X845" s="1592">
        <v>229.39</v>
      </c>
      <c r="Y845" s="1585"/>
      <c r="Z845" s="1585"/>
      <c r="AA845" s="1585"/>
      <c r="AB845" s="1585"/>
      <c r="AC845" s="1585"/>
      <c r="AD845" s="1601">
        <f t="shared" si="72"/>
        <v>12744.71</v>
      </c>
      <c r="AE845" s="1790">
        <v>12744.71</v>
      </c>
      <c r="AF845" s="1792"/>
    </row>
    <row r="846" spans="1:32" ht="27.75" customHeight="1">
      <c r="A846" s="1594" t="s">
        <v>2353</v>
      </c>
      <c r="B846" s="1609" t="s">
        <v>2354</v>
      </c>
      <c r="C846" s="1632"/>
      <c r="D846" s="1597" t="s">
        <v>0</v>
      </c>
      <c r="E846" s="1593"/>
      <c r="F846" s="1583"/>
      <c r="G846" s="1583"/>
      <c r="H846" s="1583"/>
      <c r="I846" s="1583"/>
      <c r="J846" s="1583"/>
      <c r="K846" s="1583"/>
      <c r="L846" s="1583"/>
      <c r="M846" s="1583"/>
      <c r="N846" s="1583"/>
      <c r="O846" s="1583"/>
      <c r="P846" s="1583"/>
      <c r="Q846" s="1583"/>
      <c r="R846" s="1583"/>
      <c r="S846" s="1583"/>
      <c r="T846" s="1585"/>
      <c r="U846" s="1585"/>
      <c r="V846" s="1585"/>
      <c r="W846" s="1585"/>
      <c r="X846" s="1585"/>
      <c r="Y846" s="1585"/>
      <c r="Z846" s="1585"/>
      <c r="AA846" s="1585"/>
      <c r="AB846" s="1585"/>
      <c r="AC846" s="1585"/>
      <c r="AD846" s="1601">
        <f t="shared" si="72"/>
        <v>0</v>
      </c>
      <c r="AE846" s="1790">
        <v>0</v>
      </c>
      <c r="AF846" s="1792"/>
    </row>
    <row r="847" spans="1:32" ht="27.75" customHeight="1">
      <c r="A847" s="2918"/>
      <c r="B847" s="2919" t="s">
        <v>2355</v>
      </c>
      <c r="C847" s="2920" t="s">
        <v>2148</v>
      </c>
      <c r="D847" s="2917">
        <v>10501.63</v>
      </c>
      <c r="E847" s="1598" t="s">
        <v>2496</v>
      </c>
      <c r="F847" s="1583"/>
      <c r="G847" s="1583"/>
      <c r="H847" s="1583"/>
      <c r="I847" s="1583"/>
      <c r="J847" s="1583"/>
      <c r="K847" s="1583"/>
      <c r="L847" s="1583"/>
      <c r="M847" s="1583"/>
      <c r="N847" s="1583"/>
      <c r="O847" s="1583"/>
      <c r="P847" s="1583"/>
      <c r="Q847" s="1585">
        <f t="shared" ref="Q847" si="91">Q848</f>
        <v>10501.63</v>
      </c>
      <c r="R847" s="1583"/>
      <c r="S847" s="1583"/>
      <c r="T847" s="1585"/>
      <c r="U847" s="1585"/>
      <c r="V847" s="1585"/>
      <c r="W847" s="1585"/>
      <c r="X847" s="1585"/>
      <c r="Y847" s="1585"/>
      <c r="Z847" s="1585"/>
      <c r="AA847" s="1585"/>
      <c r="AB847" s="1585"/>
      <c r="AC847" s="1585"/>
      <c r="AD847" s="1601">
        <f t="shared" si="72"/>
        <v>10501.63</v>
      </c>
      <c r="AE847" s="1790">
        <v>10501.63</v>
      </c>
      <c r="AF847" s="1792"/>
    </row>
    <row r="848" spans="1:32" ht="27.75" customHeight="1">
      <c r="A848" s="2918"/>
      <c r="B848" s="2919"/>
      <c r="C848" s="2920"/>
      <c r="D848" s="2917"/>
      <c r="E848" s="1603" t="s">
        <v>2497</v>
      </c>
      <c r="F848" s="1583"/>
      <c r="G848" s="1583"/>
      <c r="H848" s="1583"/>
      <c r="I848" s="1583"/>
      <c r="J848" s="1583"/>
      <c r="K848" s="1583"/>
      <c r="L848" s="1583"/>
      <c r="M848" s="1583"/>
      <c r="N848" s="1583"/>
      <c r="O848" s="1583"/>
      <c r="P848" s="1583"/>
      <c r="Q848" s="1604">
        <v>10501.63</v>
      </c>
      <c r="R848" s="1583"/>
      <c r="S848" s="1583"/>
      <c r="T848" s="1585"/>
      <c r="U848" s="1585"/>
      <c r="V848" s="1585"/>
      <c r="W848" s="1585"/>
      <c r="X848" s="1585"/>
      <c r="Y848" s="1585"/>
      <c r="Z848" s="1585"/>
      <c r="AA848" s="1585"/>
      <c r="AB848" s="1585"/>
      <c r="AC848" s="1585"/>
      <c r="AD848" s="1601">
        <f t="shared" si="72"/>
        <v>10501.63</v>
      </c>
      <c r="AE848" s="1790">
        <v>10501.63</v>
      </c>
      <c r="AF848" s="1792"/>
    </row>
    <row r="849" spans="1:32" ht="27.75" customHeight="1">
      <c r="A849" s="2918"/>
      <c r="B849" s="2919" t="s">
        <v>2356</v>
      </c>
      <c r="C849" s="2920" t="s">
        <v>2147</v>
      </c>
      <c r="D849" s="2917">
        <v>5448.49</v>
      </c>
      <c r="E849" s="1598" t="s">
        <v>2496</v>
      </c>
      <c r="F849" s="1583"/>
      <c r="G849" s="1583"/>
      <c r="H849" s="1583"/>
      <c r="I849" s="1583"/>
      <c r="J849" s="1583"/>
      <c r="K849" s="1583"/>
      <c r="L849" s="1583"/>
      <c r="M849" s="1583"/>
      <c r="N849" s="1583"/>
      <c r="O849" s="1583"/>
      <c r="P849" s="1583"/>
      <c r="Q849" s="1585">
        <f t="shared" ref="Q849" si="92">Q850</f>
        <v>5448.49</v>
      </c>
      <c r="R849" s="1583"/>
      <c r="S849" s="1583"/>
      <c r="T849" s="1585"/>
      <c r="U849" s="1585"/>
      <c r="V849" s="1585"/>
      <c r="W849" s="1585"/>
      <c r="X849" s="1585"/>
      <c r="Y849" s="1585"/>
      <c r="Z849" s="1585"/>
      <c r="AA849" s="1585"/>
      <c r="AB849" s="1585"/>
      <c r="AC849" s="1585"/>
      <c r="AD849" s="1601">
        <f t="shared" ref="AD849:AD912" si="93">SUM(F849:AC849)</f>
        <v>5448.49</v>
      </c>
      <c r="AE849" s="1790">
        <v>5448.49</v>
      </c>
      <c r="AF849" s="1792"/>
    </row>
    <row r="850" spans="1:32" ht="27.75" customHeight="1">
      <c r="A850" s="2918"/>
      <c r="B850" s="2919"/>
      <c r="C850" s="2920"/>
      <c r="D850" s="2917"/>
      <c r="E850" s="1603" t="s">
        <v>2497</v>
      </c>
      <c r="F850" s="1583"/>
      <c r="G850" s="1583"/>
      <c r="H850" s="1583"/>
      <c r="I850" s="1583"/>
      <c r="J850" s="1583"/>
      <c r="K850" s="1583"/>
      <c r="L850" s="1583"/>
      <c r="M850" s="1583"/>
      <c r="N850" s="1583"/>
      <c r="O850" s="1583"/>
      <c r="P850" s="1583"/>
      <c r="Q850" s="1604">
        <v>5448.49</v>
      </c>
      <c r="R850" s="1583"/>
      <c r="S850" s="1583"/>
      <c r="T850" s="1585"/>
      <c r="U850" s="1585"/>
      <c r="V850" s="1585"/>
      <c r="W850" s="1585"/>
      <c r="X850" s="1585"/>
      <c r="Y850" s="1585"/>
      <c r="Z850" s="1585"/>
      <c r="AA850" s="1585"/>
      <c r="AB850" s="1585"/>
      <c r="AC850" s="1585"/>
      <c r="AD850" s="1601">
        <f t="shared" si="93"/>
        <v>5448.49</v>
      </c>
      <c r="AE850" s="1790">
        <v>5448.49</v>
      </c>
      <c r="AF850" s="1792"/>
    </row>
    <row r="851" spans="1:32" ht="27.75" customHeight="1">
      <c r="A851" s="1594" t="s">
        <v>2357</v>
      </c>
      <c r="B851" s="1609" t="s">
        <v>2358</v>
      </c>
      <c r="C851" s="1632"/>
      <c r="D851" s="1597" t="s">
        <v>0</v>
      </c>
      <c r="E851" s="1583"/>
      <c r="F851" s="1583"/>
      <c r="G851" s="1583"/>
      <c r="H851" s="1583"/>
      <c r="I851" s="1583"/>
      <c r="J851" s="1583"/>
      <c r="K851" s="1583"/>
      <c r="L851" s="1583"/>
      <c r="M851" s="1583"/>
      <c r="N851" s="1583"/>
      <c r="O851" s="1583"/>
      <c r="P851" s="1583"/>
      <c r="Q851" s="1583"/>
      <c r="R851" s="1583"/>
      <c r="S851" s="1583"/>
      <c r="T851" s="1585"/>
      <c r="U851" s="1585"/>
      <c r="V851" s="1585"/>
      <c r="W851" s="1585"/>
      <c r="X851" s="1585"/>
      <c r="Y851" s="1585"/>
      <c r="Z851" s="1585"/>
      <c r="AA851" s="1585"/>
      <c r="AB851" s="1585"/>
      <c r="AC851" s="1585"/>
      <c r="AD851" s="1601">
        <f t="shared" si="93"/>
        <v>0</v>
      </c>
      <c r="AE851" s="1790">
        <v>0</v>
      </c>
      <c r="AF851" s="1792"/>
    </row>
    <row r="852" spans="1:32" ht="27.75" customHeight="1">
      <c r="A852" s="2918"/>
      <c r="B852" s="2919" t="s">
        <v>2359</v>
      </c>
      <c r="C852" s="2920" t="s">
        <v>2148</v>
      </c>
      <c r="D852" s="2917">
        <v>2089.9899999999998</v>
      </c>
      <c r="E852" s="1598" t="s">
        <v>2496</v>
      </c>
      <c r="F852" s="1583"/>
      <c r="G852" s="1583"/>
      <c r="H852" s="1583"/>
      <c r="I852" s="1583"/>
      <c r="J852" s="1583"/>
      <c r="K852" s="1583"/>
      <c r="L852" s="1583"/>
      <c r="M852" s="1583"/>
      <c r="N852" s="1583"/>
      <c r="O852" s="1583"/>
      <c r="P852" s="1583"/>
      <c r="Q852" s="1585">
        <f t="shared" ref="Q852" si="94">Q853</f>
        <v>2089.9899999999998</v>
      </c>
      <c r="R852" s="1583"/>
      <c r="S852" s="1583"/>
      <c r="T852" s="1585"/>
      <c r="U852" s="1585"/>
      <c r="V852" s="1585"/>
      <c r="W852" s="1585"/>
      <c r="X852" s="1585"/>
      <c r="Y852" s="1585"/>
      <c r="Z852" s="1585"/>
      <c r="AA852" s="1585"/>
      <c r="AB852" s="1585"/>
      <c r="AC852" s="1585"/>
      <c r="AD852" s="1601">
        <f t="shared" si="93"/>
        <v>2089.9899999999998</v>
      </c>
      <c r="AE852" s="1790">
        <v>2089.9899999999998</v>
      </c>
      <c r="AF852" s="1792"/>
    </row>
    <row r="853" spans="1:32" ht="27.75" customHeight="1">
      <c r="A853" s="2918"/>
      <c r="B853" s="2919"/>
      <c r="C853" s="2920"/>
      <c r="D853" s="2917"/>
      <c r="E853" s="1603" t="s">
        <v>2497</v>
      </c>
      <c r="F853" s="1583"/>
      <c r="G853" s="1583"/>
      <c r="H853" s="1583"/>
      <c r="I853" s="1583"/>
      <c r="J853" s="1583"/>
      <c r="K853" s="1583"/>
      <c r="L853" s="1583"/>
      <c r="M853" s="1583"/>
      <c r="N853" s="1583"/>
      <c r="O853" s="1583"/>
      <c r="P853" s="1583"/>
      <c r="Q853" s="1604">
        <v>2089.9899999999998</v>
      </c>
      <c r="R853" s="1583"/>
      <c r="S853" s="1583"/>
      <c r="T853" s="1585"/>
      <c r="U853" s="1585"/>
      <c r="V853" s="1585"/>
      <c r="W853" s="1585"/>
      <c r="X853" s="1585"/>
      <c r="Y853" s="1585"/>
      <c r="Z853" s="1585"/>
      <c r="AA853" s="1585"/>
      <c r="AB853" s="1585"/>
      <c r="AC853" s="1585"/>
      <c r="AD853" s="1601">
        <f t="shared" si="93"/>
        <v>2089.9899999999998</v>
      </c>
      <c r="AE853" s="1790">
        <v>2089.9899999999998</v>
      </c>
      <c r="AF853" s="1792"/>
    </row>
    <row r="854" spans="1:32" ht="27.75" customHeight="1">
      <c r="A854" s="2918"/>
      <c r="B854" s="2919" t="s">
        <v>2360</v>
      </c>
      <c r="C854" s="2920" t="s">
        <v>2148</v>
      </c>
      <c r="D854" s="2917">
        <v>5590.59</v>
      </c>
      <c r="E854" s="1598" t="s">
        <v>2496</v>
      </c>
      <c r="F854" s="1583"/>
      <c r="G854" s="1583"/>
      <c r="H854" s="1583"/>
      <c r="I854" s="1583"/>
      <c r="J854" s="1583"/>
      <c r="K854" s="1583"/>
      <c r="L854" s="1583"/>
      <c r="M854" s="1583"/>
      <c r="N854" s="1583"/>
      <c r="O854" s="1583"/>
      <c r="P854" s="1583"/>
      <c r="Q854" s="1585">
        <f t="shared" ref="Q854" si="95">Q855</f>
        <v>5590.59</v>
      </c>
      <c r="R854" s="1583"/>
      <c r="S854" s="1583"/>
      <c r="T854" s="1585"/>
      <c r="U854" s="1585"/>
      <c r="V854" s="1585"/>
      <c r="W854" s="1585"/>
      <c r="X854" s="1585"/>
      <c r="Y854" s="1585"/>
      <c r="Z854" s="1585"/>
      <c r="AA854" s="1585"/>
      <c r="AB854" s="1585"/>
      <c r="AC854" s="1585"/>
      <c r="AD854" s="1601">
        <f t="shared" si="93"/>
        <v>5590.59</v>
      </c>
      <c r="AE854" s="1790">
        <v>5590.59</v>
      </c>
      <c r="AF854" s="1792"/>
    </row>
    <row r="855" spans="1:32" ht="27.75" customHeight="1">
      <c r="A855" s="2918"/>
      <c r="B855" s="2919"/>
      <c r="C855" s="2920"/>
      <c r="D855" s="2917"/>
      <c r="E855" s="1603" t="s">
        <v>2497</v>
      </c>
      <c r="F855" s="1583"/>
      <c r="G855" s="1583"/>
      <c r="H855" s="1583"/>
      <c r="I855" s="1583"/>
      <c r="J855" s="1583"/>
      <c r="K855" s="1583"/>
      <c r="L855" s="1583"/>
      <c r="M855" s="1583"/>
      <c r="N855" s="1583"/>
      <c r="O855" s="1583"/>
      <c r="P855" s="1583"/>
      <c r="Q855" s="1604">
        <v>5590.59</v>
      </c>
      <c r="R855" s="1583"/>
      <c r="S855" s="1583"/>
      <c r="T855" s="1585"/>
      <c r="U855" s="1585"/>
      <c r="V855" s="1585"/>
      <c r="W855" s="1585"/>
      <c r="X855" s="1585"/>
      <c r="Y855" s="1585"/>
      <c r="Z855" s="1585"/>
      <c r="AA855" s="1585"/>
      <c r="AB855" s="1585"/>
      <c r="AC855" s="1585"/>
      <c r="AD855" s="1601">
        <f t="shared" si="93"/>
        <v>5590.59</v>
      </c>
      <c r="AE855" s="1790">
        <v>5590.59</v>
      </c>
      <c r="AF855" s="1792"/>
    </row>
    <row r="856" spans="1:32" ht="27.75" customHeight="1">
      <c r="A856" s="2918"/>
      <c r="B856" s="2919" t="s">
        <v>2361</v>
      </c>
      <c r="C856" s="2920" t="s">
        <v>2147</v>
      </c>
      <c r="D856" s="2917">
        <v>5272.14</v>
      </c>
      <c r="E856" s="1598" t="s">
        <v>2496</v>
      </c>
      <c r="F856" s="1583"/>
      <c r="G856" s="1583"/>
      <c r="H856" s="1583"/>
      <c r="I856" s="1583"/>
      <c r="J856" s="1583"/>
      <c r="K856" s="1583"/>
      <c r="L856" s="1583"/>
      <c r="M856" s="1583"/>
      <c r="N856" s="1583"/>
      <c r="O856" s="1583"/>
      <c r="P856" s="1583"/>
      <c r="Q856" s="1585">
        <f t="shared" ref="Q856" si="96">Q857</f>
        <v>5272.14</v>
      </c>
      <c r="R856" s="1583"/>
      <c r="S856" s="1583"/>
      <c r="T856" s="1585"/>
      <c r="U856" s="1585"/>
      <c r="V856" s="1585"/>
      <c r="W856" s="1585"/>
      <c r="X856" s="1585"/>
      <c r="Y856" s="1585"/>
      <c r="Z856" s="1585"/>
      <c r="AA856" s="1585"/>
      <c r="AB856" s="1585"/>
      <c r="AC856" s="1585"/>
      <c r="AD856" s="1601">
        <f t="shared" si="93"/>
        <v>5272.14</v>
      </c>
      <c r="AE856" s="1790">
        <v>5272.14</v>
      </c>
      <c r="AF856" s="1792"/>
    </row>
    <row r="857" spans="1:32" ht="27.75" customHeight="1">
      <c r="A857" s="2918"/>
      <c r="B857" s="2919"/>
      <c r="C857" s="2920"/>
      <c r="D857" s="2917"/>
      <c r="E857" s="1603" t="s">
        <v>2497</v>
      </c>
      <c r="F857" s="1583"/>
      <c r="G857" s="1583"/>
      <c r="H857" s="1583"/>
      <c r="I857" s="1583"/>
      <c r="J857" s="1583"/>
      <c r="K857" s="1583"/>
      <c r="L857" s="1583"/>
      <c r="M857" s="1583"/>
      <c r="N857" s="1583"/>
      <c r="O857" s="1583"/>
      <c r="P857" s="1583"/>
      <c r="Q857" s="1604">
        <v>5272.14</v>
      </c>
      <c r="R857" s="1583"/>
      <c r="S857" s="1583"/>
      <c r="T857" s="1585"/>
      <c r="U857" s="1585"/>
      <c r="V857" s="1585"/>
      <c r="W857" s="1585"/>
      <c r="X857" s="1585"/>
      <c r="Y857" s="1585"/>
      <c r="Z857" s="1585"/>
      <c r="AA857" s="1585"/>
      <c r="AB857" s="1585"/>
      <c r="AC857" s="1585"/>
      <c r="AD857" s="1601">
        <f t="shared" si="93"/>
        <v>5272.14</v>
      </c>
      <c r="AE857" s="1790">
        <v>5272.14</v>
      </c>
      <c r="AF857" s="1792"/>
    </row>
    <row r="858" spans="1:32" ht="27.75" customHeight="1">
      <c r="A858" s="1594" t="s">
        <v>2362</v>
      </c>
      <c r="B858" s="1609" t="s">
        <v>2363</v>
      </c>
      <c r="C858" s="1632"/>
      <c r="D858" s="1597" t="s">
        <v>0</v>
      </c>
      <c r="E858" s="1583"/>
      <c r="F858" s="1583"/>
      <c r="G858" s="1583"/>
      <c r="H858" s="1583"/>
      <c r="I858" s="1583"/>
      <c r="J858" s="1583"/>
      <c r="K858" s="1583"/>
      <c r="L858" s="1583"/>
      <c r="M858" s="1583"/>
      <c r="N858" s="1583"/>
      <c r="O858" s="1583"/>
      <c r="P858" s="1583"/>
      <c r="Q858" s="1583"/>
      <c r="R858" s="1583"/>
      <c r="S858" s="1583"/>
      <c r="T858" s="1585"/>
      <c r="U858" s="1585"/>
      <c r="V858" s="1585"/>
      <c r="W858" s="1585"/>
      <c r="X858" s="1585"/>
      <c r="Y858" s="1585"/>
      <c r="Z858" s="1585"/>
      <c r="AA858" s="1585"/>
      <c r="AB858" s="1585"/>
      <c r="AC858" s="1585"/>
      <c r="AD858" s="1601">
        <f t="shared" si="93"/>
        <v>0</v>
      </c>
      <c r="AE858" s="1790">
        <v>0</v>
      </c>
      <c r="AF858" s="1792"/>
    </row>
    <row r="859" spans="1:32" ht="27.75" customHeight="1">
      <c r="A859" s="2918"/>
      <c r="B859" s="2919" t="s">
        <v>2364</v>
      </c>
      <c r="C859" s="2920" t="s">
        <v>2147</v>
      </c>
      <c r="D859" s="2917">
        <v>87.66</v>
      </c>
      <c r="E859" s="1598" t="s">
        <v>2496</v>
      </c>
      <c r="F859" s="1583"/>
      <c r="G859" s="1583"/>
      <c r="H859" s="1583"/>
      <c r="I859" s="1583"/>
      <c r="J859" s="1583"/>
      <c r="K859" s="1583"/>
      <c r="L859" s="1583"/>
      <c r="M859" s="1583"/>
      <c r="N859" s="1583"/>
      <c r="O859" s="1583"/>
      <c r="P859" s="1583"/>
      <c r="Q859" s="1583"/>
      <c r="R859" s="1583"/>
      <c r="S859" s="1583"/>
      <c r="T859" s="1585"/>
      <c r="U859" s="1585"/>
      <c r="V859" s="1585"/>
      <c r="W859" s="1585"/>
      <c r="X859" s="1585"/>
      <c r="Y859" s="1585"/>
      <c r="Z859" s="1585">
        <v>87.66</v>
      </c>
      <c r="AA859" s="1585"/>
      <c r="AB859" s="1585"/>
      <c r="AC859" s="1585"/>
      <c r="AD859" s="1601">
        <f t="shared" si="93"/>
        <v>87.66</v>
      </c>
      <c r="AE859" s="1790">
        <v>0</v>
      </c>
      <c r="AF859" s="1792"/>
    </row>
    <row r="860" spans="1:32" ht="27.75" customHeight="1">
      <c r="A860" s="2918"/>
      <c r="B860" s="2919"/>
      <c r="C860" s="2920"/>
      <c r="D860" s="2917"/>
      <c r="E860" s="1603" t="s">
        <v>2497</v>
      </c>
      <c r="F860" s="1583"/>
      <c r="G860" s="1583"/>
      <c r="H860" s="1583"/>
      <c r="I860" s="1583"/>
      <c r="J860" s="1583"/>
      <c r="K860" s="1583"/>
      <c r="L860" s="1583"/>
      <c r="M860" s="1583"/>
      <c r="N860" s="1583"/>
      <c r="O860" s="1583"/>
      <c r="P860" s="1583"/>
      <c r="Q860" s="1583"/>
      <c r="R860" s="1583"/>
      <c r="S860" s="1583"/>
      <c r="T860" s="1585"/>
      <c r="U860" s="1585"/>
      <c r="V860" s="1585"/>
      <c r="W860" s="1585"/>
      <c r="X860" s="1585"/>
      <c r="Y860" s="1585"/>
      <c r="Z860" s="1585"/>
      <c r="AA860" s="1585"/>
      <c r="AB860" s="1585"/>
      <c r="AC860" s="1585"/>
      <c r="AD860" s="1601">
        <f t="shared" si="93"/>
        <v>0</v>
      </c>
      <c r="AE860" s="1790">
        <v>0</v>
      </c>
      <c r="AF860" s="1792"/>
    </row>
    <row r="861" spans="1:32" ht="27.75" customHeight="1">
      <c r="A861" s="2918"/>
      <c r="B861" s="2919" t="s">
        <v>2365</v>
      </c>
      <c r="C861" s="2920" t="s">
        <v>2147</v>
      </c>
      <c r="D861" s="2917">
        <v>989.17</v>
      </c>
      <c r="E861" s="1598" t="s">
        <v>2496</v>
      </c>
      <c r="F861" s="1583"/>
      <c r="G861" s="1583"/>
      <c r="H861" s="1583"/>
      <c r="I861" s="1583"/>
      <c r="J861" s="1583"/>
      <c r="K861" s="1583"/>
      <c r="L861" s="1583"/>
      <c r="M861" s="1583"/>
      <c r="N861" s="1583"/>
      <c r="O861" s="1583"/>
      <c r="P861" s="1583"/>
      <c r="Q861" s="1583"/>
      <c r="R861" s="1583"/>
      <c r="S861" s="1583"/>
      <c r="T861" s="1585"/>
      <c r="U861" s="1585"/>
      <c r="V861" s="1585"/>
      <c r="W861" s="1585"/>
      <c r="X861" s="1585"/>
      <c r="Y861" s="1585"/>
      <c r="Z861" s="1585">
        <v>989.17</v>
      </c>
      <c r="AA861" s="1585"/>
      <c r="AB861" s="1585"/>
      <c r="AC861" s="1585"/>
      <c r="AD861" s="1601">
        <f t="shared" si="93"/>
        <v>989.17</v>
      </c>
      <c r="AE861" s="1790">
        <v>0</v>
      </c>
      <c r="AF861" s="1792"/>
    </row>
    <row r="862" spans="1:32" ht="27.75" customHeight="1">
      <c r="A862" s="2918"/>
      <c r="B862" s="2919"/>
      <c r="C862" s="2920"/>
      <c r="D862" s="2917"/>
      <c r="E862" s="1603" t="s">
        <v>2497</v>
      </c>
      <c r="F862" s="1583"/>
      <c r="G862" s="1583"/>
      <c r="H862" s="1583"/>
      <c r="I862" s="1583"/>
      <c r="J862" s="1583"/>
      <c r="K862" s="1583"/>
      <c r="L862" s="1583"/>
      <c r="M862" s="1583"/>
      <c r="N862" s="1583"/>
      <c r="O862" s="1583"/>
      <c r="P862" s="1583"/>
      <c r="Q862" s="1583"/>
      <c r="R862" s="1583"/>
      <c r="S862" s="1583"/>
      <c r="T862" s="1585"/>
      <c r="U862" s="1585"/>
      <c r="V862" s="1585"/>
      <c r="W862" s="1585"/>
      <c r="X862" s="1585"/>
      <c r="Y862" s="1585"/>
      <c r="Z862" s="1585"/>
      <c r="AA862" s="1585"/>
      <c r="AB862" s="1585"/>
      <c r="AC862" s="1585"/>
      <c r="AD862" s="1601">
        <f t="shared" si="93"/>
        <v>0</v>
      </c>
      <c r="AE862" s="1790">
        <v>0</v>
      </c>
      <c r="AF862" s="1792"/>
    </row>
    <row r="863" spans="1:32" ht="27.75" customHeight="1">
      <c r="A863" s="1594">
        <v>2.2000000000000002</v>
      </c>
      <c r="B863" s="1629" t="s">
        <v>1701</v>
      </c>
      <c r="C863" s="1632"/>
      <c r="D863" s="1597" t="s">
        <v>0</v>
      </c>
      <c r="E863" s="1583"/>
      <c r="F863" s="1583"/>
      <c r="G863" s="1583"/>
      <c r="H863" s="1583"/>
      <c r="I863" s="1583"/>
      <c r="J863" s="1583"/>
      <c r="K863" s="1583"/>
      <c r="L863" s="1583"/>
      <c r="M863" s="1583"/>
      <c r="N863" s="1583"/>
      <c r="O863" s="1583"/>
      <c r="P863" s="1583"/>
      <c r="Q863" s="1583"/>
      <c r="R863" s="1583"/>
      <c r="S863" s="1583"/>
      <c r="T863" s="1585"/>
      <c r="U863" s="1585"/>
      <c r="V863" s="1585"/>
      <c r="W863" s="1585"/>
      <c r="X863" s="1585"/>
      <c r="Y863" s="1585"/>
      <c r="Z863" s="1585"/>
      <c r="AA863" s="1585"/>
      <c r="AB863" s="1585"/>
      <c r="AC863" s="1585"/>
      <c r="AD863" s="1601">
        <f t="shared" si="93"/>
        <v>0</v>
      </c>
      <c r="AE863" s="1790">
        <v>0</v>
      </c>
      <c r="AF863" s="1792"/>
    </row>
    <row r="864" spans="1:32" ht="27.75" customHeight="1">
      <c r="A864" s="1594" t="s">
        <v>2366</v>
      </c>
      <c r="B864" s="1609" t="s">
        <v>2367</v>
      </c>
      <c r="C864" s="1632"/>
      <c r="D864" s="1597" t="s">
        <v>0</v>
      </c>
      <c r="E864" s="1583"/>
      <c r="F864" s="1583"/>
      <c r="G864" s="1583"/>
      <c r="H864" s="1583"/>
      <c r="I864" s="1583"/>
      <c r="J864" s="1583"/>
      <c r="K864" s="1583"/>
      <c r="L864" s="1583"/>
      <c r="M864" s="1583"/>
      <c r="N864" s="1583"/>
      <c r="O864" s="1583"/>
      <c r="P864" s="1583"/>
      <c r="Q864" s="1583"/>
      <c r="R864" s="1583"/>
      <c r="S864" s="1583"/>
      <c r="T864" s="1585"/>
      <c r="U864" s="1585"/>
      <c r="V864" s="1585"/>
      <c r="W864" s="1585"/>
      <c r="X864" s="1585"/>
      <c r="Y864" s="1585"/>
      <c r="Z864" s="1585"/>
      <c r="AA864" s="1585"/>
      <c r="AB864" s="1585"/>
      <c r="AC864" s="1585"/>
      <c r="AD864" s="1601">
        <f t="shared" si="93"/>
        <v>0</v>
      </c>
      <c r="AE864" s="1790">
        <v>0</v>
      </c>
      <c r="AF864" s="1792"/>
    </row>
    <row r="865" spans="1:32" ht="27.75" customHeight="1">
      <c r="A865" s="2918"/>
      <c r="B865" s="2919" t="s">
        <v>2368</v>
      </c>
      <c r="C865" s="2920" t="s">
        <v>420</v>
      </c>
      <c r="D865" s="2917">
        <v>13066.78</v>
      </c>
      <c r="E865" s="1598" t="s">
        <v>2496</v>
      </c>
      <c r="F865" s="1583"/>
      <c r="G865" s="1583"/>
      <c r="H865" s="1583"/>
      <c r="I865" s="1583"/>
      <c r="J865" s="1583"/>
      <c r="K865" s="1583"/>
      <c r="L865" s="1583"/>
      <c r="M865" s="1583"/>
      <c r="N865" s="1583"/>
      <c r="O865" s="1583"/>
      <c r="P865" s="1583"/>
      <c r="Q865" s="1585">
        <f t="shared" ref="Q865" si="97">Q866</f>
        <v>13066.78</v>
      </c>
      <c r="R865" s="1583"/>
      <c r="S865" s="1583"/>
      <c r="T865" s="1585"/>
      <c r="U865" s="1585"/>
      <c r="V865" s="1585"/>
      <c r="W865" s="1585"/>
      <c r="X865" s="1585"/>
      <c r="Y865" s="1585"/>
      <c r="Z865" s="1585"/>
      <c r="AA865" s="1585"/>
      <c r="AB865" s="1585"/>
      <c r="AC865" s="1585"/>
      <c r="AD865" s="1601">
        <f t="shared" si="93"/>
        <v>13066.78</v>
      </c>
      <c r="AE865" s="1790">
        <v>13066.78</v>
      </c>
      <c r="AF865" s="1792"/>
    </row>
    <row r="866" spans="1:32" ht="27.75" customHeight="1">
      <c r="A866" s="2918"/>
      <c r="B866" s="2919"/>
      <c r="C866" s="2920"/>
      <c r="D866" s="2917"/>
      <c r="E866" s="1603" t="s">
        <v>2497</v>
      </c>
      <c r="F866" s="1583"/>
      <c r="G866" s="1583"/>
      <c r="H866" s="1583"/>
      <c r="I866" s="1583"/>
      <c r="J866" s="1583"/>
      <c r="K866" s="1583"/>
      <c r="L866" s="1583"/>
      <c r="M866" s="1583"/>
      <c r="N866" s="1583"/>
      <c r="O866" s="1583"/>
      <c r="P866" s="1583"/>
      <c r="Q866" s="1604">
        <v>13066.78</v>
      </c>
      <c r="R866" s="1583"/>
      <c r="S866" s="1583"/>
      <c r="T866" s="1585"/>
      <c r="U866" s="1585"/>
      <c r="V866" s="1585"/>
      <c r="W866" s="1585"/>
      <c r="X866" s="1585"/>
      <c r="Y866" s="1585"/>
      <c r="Z866" s="1585"/>
      <c r="AA866" s="1585"/>
      <c r="AB866" s="1585"/>
      <c r="AC866" s="1585"/>
      <c r="AD866" s="1601">
        <f t="shared" si="93"/>
        <v>13066.78</v>
      </c>
      <c r="AE866" s="1790">
        <v>13066.78</v>
      </c>
      <c r="AF866" s="1792"/>
    </row>
    <row r="867" spans="1:32" ht="27.75" customHeight="1">
      <c r="A867" s="2918"/>
      <c r="B867" s="2919" t="s">
        <v>2369</v>
      </c>
      <c r="C867" s="2920" t="s">
        <v>2147</v>
      </c>
      <c r="D867" s="2917">
        <v>9461.81</v>
      </c>
      <c r="E867" s="1598" t="s">
        <v>2496</v>
      </c>
      <c r="F867" s="1583"/>
      <c r="G867" s="1583"/>
      <c r="H867" s="1583"/>
      <c r="I867" s="1583"/>
      <c r="J867" s="1583"/>
      <c r="K867" s="1583"/>
      <c r="L867" s="1583"/>
      <c r="M867" s="1583"/>
      <c r="N867" s="1583"/>
      <c r="O867" s="1583"/>
      <c r="P867" s="1583"/>
      <c r="Q867" s="1585">
        <f t="shared" ref="Q867" si="98">Q868</f>
        <v>9461.81</v>
      </c>
      <c r="R867" s="1583"/>
      <c r="S867" s="1583"/>
      <c r="T867" s="1585"/>
      <c r="U867" s="1585"/>
      <c r="V867" s="1585"/>
      <c r="W867" s="1585"/>
      <c r="X867" s="1585"/>
      <c r="Y867" s="1585"/>
      <c r="Z867" s="1585"/>
      <c r="AA867" s="1585"/>
      <c r="AB867" s="1585"/>
      <c r="AC867" s="1585"/>
      <c r="AD867" s="1601">
        <f t="shared" si="93"/>
        <v>9461.81</v>
      </c>
      <c r="AE867" s="1790">
        <v>9461.81</v>
      </c>
      <c r="AF867" s="1792"/>
    </row>
    <row r="868" spans="1:32" ht="27.75" customHeight="1">
      <c r="A868" s="2918"/>
      <c r="B868" s="2919"/>
      <c r="C868" s="2920"/>
      <c r="D868" s="2917"/>
      <c r="E868" s="1603" t="s">
        <v>2497</v>
      </c>
      <c r="F868" s="1583"/>
      <c r="G868" s="1583"/>
      <c r="H868" s="1583"/>
      <c r="I868" s="1583"/>
      <c r="J868" s="1583"/>
      <c r="K868" s="1583"/>
      <c r="L868" s="1583"/>
      <c r="M868" s="1583"/>
      <c r="N868" s="1583"/>
      <c r="O868" s="1583"/>
      <c r="P868" s="1583"/>
      <c r="Q868" s="1604">
        <v>9461.81</v>
      </c>
      <c r="R868" s="1583"/>
      <c r="S868" s="1583"/>
      <c r="T868" s="1585"/>
      <c r="U868" s="1585"/>
      <c r="V868" s="1585"/>
      <c r="W868" s="1585"/>
      <c r="X868" s="1585"/>
      <c r="Y868" s="1585"/>
      <c r="Z868" s="1585"/>
      <c r="AA868" s="1585"/>
      <c r="AB868" s="1585"/>
      <c r="AC868" s="1585"/>
      <c r="AD868" s="1601">
        <f t="shared" si="93"/>
        <v>9461.81</v>
      </c>
      <c r="AE868" s="1790">
        <v>9461.81</v>
      </c>
      <c r="AF868" s="1792"/>
    </row>
    <row r="869" spans="1:32" ht="27.75" customHeight="1">
      <c r="A869" s="2918"/>
      <c r="B869" s="2919" t="s">
        <v>2370</v>
      </c>
      <c r="C869" s="2920" t="s">
        <v>2148</v>
      </c>
      <c r="D869" s="2917">
        <v>22107.06</v>
      </c>
      <c r="E869" s="1598" t="s">
        <v>2496</v>
      </c>
      <c r="F869" s="1583"/>
      <c r="G869" s="1583"/>
      <c r="H869" s="1583"/>
      <c r="I869" s="1583"/>
      <c r="J869" s="1583"/>
      <c r="K869" s="1583"/>
      <c r="L869" s="1583"/>
      <c r="M869" s="1583"/>
      <c r="N869" s="1583"/>
      <c r="O869" s="1583"/>
      <c r="P869" s="1583"/>
      <c r="Q869" s="1585">
        <f t="shared" ref="Q869" si="99">Q870</f>
        <v>22107.06</v>
      </c>
      <c r="R869" s="1583"/>
      <c r="S869" s="1583"/>
      <c r="T869" s="1585"/>
      <c r="U869" s="1585"/>
      <c r="V869" s="1585"/>
      <c r="W869" s="1585"/>
      <c r="X869" s="1585"/>
      <c r="Y869" s="1585"/>
      <c r="Z869" s="1585"/>
      <c r="AA869" s="1585"/>
      <c r="AB869" s="1585"/>
      <c r="AC869" s="1585"/>
      <c r="AD869" s="1601">
        <f t="shared" si="93"/>
        <v>22107.06</v>
      </c>
      <c r="AE869" s="1790">
        <v>22107.06</v>
      </c>
      <c r="AF869" s="1792"/>
    </row>
    <row r="870" spans="1:32" ht="27.75" customHeight="1">
      <c r="A870" s="2918"/>
      <c r="B870" s="2919"/>
      <c r="C870" s="2920"/>
      <c r="D870" s="2917"/>
      <c r="E870" s="1603" t="s">
        <v>2497</v>
      </c>
      <c r="F870" s="1583"/>
      <c r="G870" s="1583"/>
      <c r="H870" s="1583"/>
      <c r="I870" s="1583"/>
      <c r="J870" s="1583"/>
      <c r="K870" s="1583"/>
      <c r="L870" s="1583"/>
      <c r="M870" s="1583"/>
      <c r="N870" s="1583"/>
      <c r="O870" s="1583"/>
      <c r="P870" s="1583"/>
      <c r="Q870" s="1604">
        <v>22107.06</v>
      </c>
      <c r="R870" s="1583"/>
      <c r="S870" s="1583"/>
      <c r="T870" s="1585"/>
      <c r="U870" s="1585"/>
      <c r="V870" s="1585"/>
      <c r="W870" s="1585"/>
      <c r="X870" s="1585"/>
      <c r="Y870" s="1585"/>
      <c r="Z870" s="1585"/>
      <c r="AA870" s="1585"/>
      <c r="AB870" s="1585"/>
      <c r="AC870" s="1585"/>
      <c r="AD870" s="1601">
        <f t="shared" si="93"/>
        <v>22107.06</v>
      </c>
      <c r="AE870" s="1790">
        <v>22107.06</v>
      </c>
      <c r="AF870" s="1792"/>
    </row>
    <row r="871" spans="1:32" ht="27.75" customHeight="1">
      <c r="A871" s="1594" t="s">
        <v>2371</v>
      </c>
      <c r="B871" s="1609" t="s">
        <v>2372</v>
      </c>
      <c r="C871" s="1632"/>
      <c r="D871" s="1592" t="s">
        <v>0</v>
      </c>
      <c r="E871" s="1583"/>
      <c r="F871" s="1583"/>
      <c r="G871" s="1583"/>
      <c r="H871" s="1583"/>
      <c r="I871" s="1583"/>
      <c r="J871" s="1583"/>
      <c r="K871" s="1583"/>
      <c r="L871" s="1583"/>
      <c r="M871" s="1583"/>
      <c r="N871" s="1583"/>
      <c r="O871" s="1583"/>
      <c r="P871" s="1583"/>
      <c r="Q871" s="1583"/>
      <c r="R871" s="1583"/>
      <c r="S871" s="1583"/>
      <c r="T871" s="1585"/>
      <c r="U871" s="1585"/>
      <c r="V871" s="1585"/>
      <c r="W871" s="1585"/>
      <c r="X871" s="1585"/>
      <c r="Y871" s="1585"/>
      <c r="Z871" s="1585"/>
      <c r="AA871" s="1585"/>
      <c r="AB871" s="1585"/>
      <c r="AC871" s="1585"/>
      <c r="AD871" s="1601">
        <f t="shared" si="93"/>
        <v>0</v>
      </c>
      <c r="AE871" s="1790">
        <v>0</v>
      </c>
      <c r="AF871" s="1792"/>
    </row>
    <row r="872" spans="1:32" ht="27.75" customHeight="1">
      <c r="A872" s="2918"/>
      <c r="B872" s="2919" t="s">
        <v>2373</v>
      </c>
      <c r="C872" s="2920" t="s">
        <v>420</v>
      </c>
      <c r="D872" s="2917">
        <v>1447.16</v>
      </c>
      <c r="E872" s="1598" t="s">
        <v>2496</v>
      </c>
      <c r="F872" s="1583"/>
      <c r="G872" s="1583"/>
      <c r="H872" s="1583"/>
      <c r="I872" s="1583"/>
      <c r="J872" s="1583"/>
      <c r="K872" s="1583"/>
      <c r="L872" s="1583"/>
      <c r="M872" s="1583"/>
      <c r="N872" s="1583"/>
      <c r="O872" s="1583"/>
      <c r="P872" s="1583"/>
      <c r="Q872" s="1585">
        <f t="shared" ref="Q872" si="100">Q873</f>
        <v>1447.16</v>
      </c>
      <c r="R872" s="1583"/>
      <c r="S872" s="1583"/>
      <c r="T872" s="1585"/>
      <c r="U872" s="1585"/>
      <c r="V872" s="1585"/>
      <c r="W872" s="1585"/>
      <c r="X872" s="1585"/>
      <c r="Y872" s="1585"/>
      <c r="Z872" s="1585"/>
      <c r="AA872" s="1585"/>
      <c r="AB872" s="1585"/>
      <c r="AC872" s="1585"/>
      <c r="AD872" s="1601">
        <f t="shared" si="93"/>
        <v>1447.16</v>
      </c>
      <c r="AE872" s="1790">
        <v>1447.16</v>
      </c>
      <c r="AF872" s="1792"/>
    </row>
    <row r="873" spans="1:32" ht="27.75" customHeight="1">
      <c r="A873" s="2918"/>
      <c r="B873" s="2919"/>
      <c r="C873" s="2920"/>
      <c r="D873" s="2917"/>
      <c r="E873" s="1603" t="s">
        <v>2497</v>
      </c>
      <c r="F873" s="1583"/>
      <c r="G873" s="1583"/>
      <c r="H873" s="1583"/>
      <c r="I873" s="1583"/>
      <c r="J873" s="1583"/>
      <c r="K873" s="1583"/>
      <c r="L873" s="1583"/>
      <c r="M873" s="1583"/>
      <c r="N873" s="1583"/>
      <c r="O873" s="1583"/>
      <c r="P873" s="1583"/>
      <c r="Q873" s="1604">
        <v>1447.16</v>
      </c>
      <c r="R873" s="1583"/>
      <c r="S873" s="1583"/>
      <c r="T873" s="1585"/>
      <c r="U873" s="1585"/>
      <c r="V873" s="1585"/>
      <c r="W873" s="1585"/>
      <c r="X873" s="1585"/>
      <c r="Y873" s="1585"/>
      <c r="Z873" s="1585"/>
      <c r="AA873" s="1585"/>
      <c r="AB873" s="1585"/>
      <c r="AC873" s="1585"/>
      <c r="AD873" s="1601">
        <f t="shared" si="93"/>
        <v>1447.16</v>
      </c>
      <c r="AE873" s="1790">
        <v>1447.16</v>
      </c>
      <c r="AF873" s="1792"/>
    </row>
    <row r="874" spans="1:32" ht="27.75" customHeight="1">
      <c r="A874" s="2918"/>
      <c r="B874" s="2919" t="s">
        <v>2374</v>
      </c>
      <c r="C874" s="2920" t="s">
        <v>2147</v>
      </c>
      <c r="D874" s="2917">
        <v>3581.59</v>
      </c>
      <c r="E874" s="1598" t="s">
        <v>2496</v>
      </c>
      <c r="F874" s="1583"/>
      <c r="G874" s="1583"/>
      <c r="H874" s="1583"/>
      <c r="I874" s="1583"/>
      <c r="J874" s="1583"/>
      <c r="K874" s="1583"/>
      <c r="L874" s="1583"/>
      <c r="M874" s="1583"/>
      <c r="N874" s="1583"/>
      <c r="O874" s="1583"/>
      <c r="P874" s="1583"/>
      <c r="Q874" s="1585">
        <f t="shared" ref="Q874" si="101">Q875</f>
        <v>3581.59</v>
      </c>
      <c r="R874" s="1583"/>
      <c r="S874" s="1583"/>
      <c r="T874" s="1585"/>
      <c r="U874" s="1585"/>
      <c r="V874" s="1585"/>
      <c r="W874" s="1585"/>
      <c r="X874" s="1585"/>
      <c r="Y874" s="1585"/>
      <c r="Z874" s="1585"/>
      <c r="AA874" s="1585"/>
      <c r="AB874" s="1585"/>
      <c r="AC874" s="1585"/>
      <c r="AD874" s="1601">
        <f t="shared" si="93"/>
        <v>3581.59</v>
      </c>
      <c r="AE874" s="1790">
        <v>3581.59</v>
      </c>
      <c r="AF874" s="1792"/>
    </row>
    <row r="875" spans="1:32" ht="27.75" customHeight="1">
      <c r="A875" s="2918"/>
      <c r="B875" s="2919"/>
      <c r="C875" s="2920"/>
      <c r="D875" s="2917"/>
      <c r="E875" s="1603" t="s">
        <v>2497</v>
      </c>
      <c r="F875" s="1583"/>
      <c r="G875" s="1583"/>
      <c r="H875" s="1583"/>
      <c r="I875" s="1583"/>
      <c r="J875" s="1583"/>
      <c r="K875" s="1583"/>
      <c r="L875" s="1583"/>
      <c r="M875" s="1583"/>
      <c r="N875" s="1583"/>
      <c r="O875" s="1583"/>
      <c r="P875" s="1583"/>
      <c r="Q875" s="1604">
        <v>3581.59</v>
      </c>
      <c r="R875" s="1583"/>
      <c r="S875" s="1583"/>
      <c r="T875" s="1585"/>
      <c r="U875" s="1585"/>
      <c r="V875" s="1585"/>
      <c r="W875" s="1585"/>
      <c r="X875" s="1585"/>
      <c r="Y875" s="1585"/>
      <c r="Z875" s="1585"/>
      <c r="AA875" s="1585"/>
      <c r="AB875" s="1585"/>
      <c r="AC875" s="1585"/>
      <c r="AD875" s="1601">
        <f t="shared" si="93"/>
        <v>3581.59</v>
      </c>
      <c r="AE875" s="1790">
        <v>3581.59</v>
      </c>
      <c r="AF875" s="1792"/>
    </row>
    <row r="876" spans="1:32" ht="27.75" customHeight="1">
      <c r="A876" s="2918"/>
      <c r="B876" s="2919" t="s">
        <v>2375</v>
      </c>
      <c r="C876" s="2920" t="s">
        <v>2148</v>
      </c>
      <c r="D876" s="2917">
        <v>1441.02</v>
      </c>
      <c r="E876" s="1598" t="s">
        <v>2496</v>
      </c>
      <c r="F876" s="1583"/>
      <c r="G876" s="1583"/>
      <c r="H876" s="1583"/>
      <c r="I876" s="1583"/>
      <c r="J876" s="1583"/>
      <c r="K876" s="1583"/>
      <c r="L876" s="1583"/>
      <c r="M876" s="1583"/>
      <c r="N876" s="1583"/>
      <c r="O876" s="1583"/>
      <c r="P876" s="1583"/>
      <c r="Q876" s="1585">
        <f t="shared" ref="Q876" si="102">Q877</f>
        <v>1441.02</v>
      </c>
      <c r="R876" s="1583"/>
      <c r="S876" s="1583"/>
      <c r="T876" s="1585"/>
      <c r="U876" s="1585"/>
      <c r="V876" s="1585"/>
      <c r="W876" s="1585"/>
      <c r="X876" s="1585"/>
      <c r="Y876" s="1585"/>
      <c r="Z876" s="1585"/>
      <c r="AA876" s="1585"/>
      <c r="AB876" s="1585"/>
      <c r="AC876" s="1585"/>
      <c r="AD876" s="1601">
        <f t="shared" si="93"/>
        <v>1441.02</v>
      </c>
      <c r="AE876" s="1790">
        <v>1441.02</v>
      </c>
      <c r="AF876" s="1792"/>
    </row>
    <row r="877" spans="1:32" ht="27.75" customHeight="1">
      <c r="A877" s="2918"/>
      <c r="B877" s="2919"/>
      <c r="C877" s="2920"/>
      <c r="D877" s="2917"/>
      <c r="E877" s="1603" t="s">
        <v>2497</v>
      </c>
      <c r="F877" s="1583"/>
      <c r="G877" s="1583"/>
      <c r="H877" s="1583"/>
      <c r="I877" s="1583"/>
      <c r="J877" s="1583"/>
      <c r="K877" s="1583"/>
      <c r="L877" s="1583"/>
      <c r="M877" s="1583"/>
      <c r="N877" s="1583"/>
      <c r="O877" s="1583"/>
      <c r="P877" s="1583"/>
      <c r="Q877" s="1604">
        <v>1441.02</v>
      </c>
      <c r="R877" s="1583"/>
      <c r="S877" s="1583"/>
      <c r="T877" s="1585"/>
      <c r="U877" s="1585"/>
      <c r="V877" s="1585"/>
      <c r="W877" s="1585"/>
      <c r="X877" s="1585"/>
      <c r="Y877" s="1585"/>
      <c r="Z877" s="1585"/>
      <c r="AA877" s="1585"/>
      <c r="AB877" s="1585"/>
      <c r="AC877" s="1585"/>
      <c r="AD877" s="1601">
        <f t="shared" si="93"/>
        <v>1441.02</v>
      </c>
      <c r="AE877" s="1790">
        <v>1441.02</v>
      </c>
      <c r="AF877" s="1792"/>
    </row>
    <row r="878" spans="1:32" ht="27.75" customHeight="1">
      <c r="A878" s="1594" t="s">
        <v>2376</v>
      </c>
      <c r="B878" s="1609" t="s">
        <v>2377</v>
      </c>
      <c r="C878" s="1632"/>
      <c r="D878" s="1597" t="s">
        <v>0</v>
      </c>
      <c r="E878" s="1593"/>
      <c r="F878" s="1583"/>
      <c r="G878" s="1583"/>
      <c r="H878" s="1583"/>
      <c r="I878" s="1583"/>
      <c r="J878" s="1583"/>
      <c r="K878" s="1583"/>
      <c r="L878" s="1583"/>
      <c r="M878" s="1583"/>
      <c r="N878" s="1583"/>
      <c r="O878" s="1583"/>
      <c r="P878" s="1583"/>
      <c r="Q878" s="1583"/>
      <c r="R878" s="1583"/>
      <c r="S878" s="1583"/>
      <c r="T878" s="1585"/>
      <c r="U878" s="1585"/>
      <c r="V878" s="1585"/>
      <c r="W878" s="1585"/>
      <c r="X878" s="1585"/>
      <c r="Y878" s="1585"/>
      <c r="Z878" s="1585"/>
      <c r="AA878" s="1585"/>
      <c r="AB878" s="1585"/>
      <c r="AC878" s="1585"/>
      <c r="AD878" s="1601">
        <f t="shared" si="93"/>
        <v>0</v>
      </c>
      <c r="AE878" s="1790">
        <v>0</v>
      </c>
      <c r="AF878" s="1792"/>
    </row>
    <row r="879" spans="1:32" ht="27.75" customHeight="1">
      <c r="A879" s="2918"/>
      <c r="B879" s="2919" t="s">
        <v>2735</v>
      </c>
      <c r="C879" s="2920" t="s">
        <v>2148</v>
      </c>
      <c r="D879" s="2917">
        <v>45810.53</v>
      </c>
      <c r="E879" s="1598" t="s">
        <v>2496</v>
      </c>
      <c r="F879" s="1583"/>
      <c r="G879" s="1583"/>
      <c r="H879" s="1583"/>
      <c r="I879" s="1583"/>
      <c r="J879" s="1583"/>
      <c r="K879" s="1583"/>
      <c r="L879" s="1583"/>
      <c r="M879" s="1583"/>
      <c r="N879" s="1583"/>
      <c r="O879" s="1583"/>
      <c r="P879" s="1583"/>
      <c r="Q879" s="1585">
        <f t="shared" ref="Q879:S883" si="103">Q880</f>
        <v>27677.89</v>
      </c>
      <c r="R879" s="1583"/>
      <c r="S879" s="1585">
        <f t="shared" si="103"/>
        <v>685.10799999999995</v>
      </c>
      <c r="T879" s="1585">
        <v>783.33</v>
      </c>
      <c r="U879" s="1585">
        <v>1444.3671999999999</v>
      </c>
      <c r="V879" s="1585">
        <v>2142.9699999999998</v>
      </c>
      <c r="W879" s="1585"/>
      <c r="X879" s="1585">
        <v>185.83</v>
      </c>
      <c r="Y879" s="1585">
        <v>61.454399999999993</v>
      </c>
      <c r="Z879" s="1585">
        <v>12829.580399999992</v>
      </c>
      <c r="AA879" s="1585"/>
      <c r="AB879" s="1585"/>
      <c r="AC879" s="1585"/>
      <c r="AD879" s="1601">
        <f t="shared" si="93"/>
        <v>45810.53</v>
      </c>
      <c r="AE879" s="1790">
        <v>32980.949600000007</v>
      </c>
      <c r="AF879" s="1792"/>
    </row>
    <row r="880" spans="1:32" ht="27.75" customHeight="1">
      <c r="A880" s="2918"/>
      <c r="B880" s="2919"/>
      <c r="C880" s="2920"/>
      <c r="D880" s="2917"/>
      <c r="E880" s="1603" t="s">
        <v>2497</v>
      </c>
      <c r="F880" s="1583"/>
      <c r="G880" s="1583"/>
      <c r="H880" s="1583"/>
      <c r="I880" s="1583"/>
      <c r="J880" s="1583"/>
      <c r="K880" s="1583"/>
      <c r="L880" s="1583"/>
      <c r="M880" s="1583"/>
      <c r="N880" s="1583"/>
      <c r="O880" s="1583"/>
      <c r="P880" s="1583"/>
      <c r="Q880" s="1604">
        <v>27677.89</v>
      </c>
      <c r="R880" s="1583"/>
      <c r="S880" s="1604">
        <v>685.10799999999995</v>
      </c>
      <c r="T880" s="1604">
        <f>T879</f>
        <v>783.33</v>
      </c>
      <c r="U880" s="1604">
        <v>1444.3671999999999</v>
      </c>
      <c r="V880" s="1604">
        <v>2142.9699999999998</v>
      </c>
      <c r="W880" s="1585"/>
      <c r="X880" s="1592">
        <v>185.83</v>
      </c>
      <c r="Y880" s="1604">
        <v>61.454399999999993</v>
      </c>
      <c r="Z880" s="1585"/>
      <c r="AA880" s="1585"/>
      <c r="AB880" s="1585"/>
      <c r="AC880" s="1585"/>
      <c r="AD880" s="1601">
        <f t="shared" si="93"/>
        <v>32980.949600000007</v>
      </c>
      <c r="AE880" s="1790">
        <v>32980.949600000007</v>
      </c>
      <c r="AF880" s="1792"/>
    </row>
    <row r="881" spans="1:32" ht="27.75" customHeight="1">
      <c r="A881" s="2918"/>
      <c r="B881" s="2919" t="s">
        <v>440</v>
      </c>
      <c r="C881" s="2920" t="s">
        <v>2148</v>
      </c>
      <c r="D881" s="2917">
        <v>73823.210000000006</v>
      </c>
      <c r="E881" s="1598" t="s">
        <v>2496</v>
      </c>
      <c r="F881" s="1583"/>
      <c r="G881" s="1583"/>
      <c r="H881" s="1583"/>
      <c r="I881" s="1583"/>
      <c r="J881" s="1583"/>
      <c r="K881" s="1583"/>
      <c r="L881" s="1583"/>
      <c r="M881" s="1583"/>
      <c r="N881" s="1583"/>
      <c r="O881" s="1583"/>
      <c r="P881" s="1583"/>
      <c r="Q881" s="1585">
        <f t="shared" ref="Q881" si="104">Q882</f>
        <v>56469.74</v>
      </c>
      <c r="R881" s="1583"/>
      <c r="S881" s="1585">
        <f t="shared" si="103"/>
        <v>676.80399999999997</v>
      </c>
      <c r="T881" s="1585">
        <v>2246.1590000000001</v>
      </c>
      <c r="U881" s="1585">
        <v>287.45300000000003</v>
      </c>
      <c r="V881" s="1585">
        <v>3543.16</v>
      </c>
      <c r="W881" s="1585"/>
      <c r="X881" s="1585">
        <v>903.87</v>
      </c>
      <c r="Y881" s="1585">
        <v>946.01599999999996</v>
      </c>
      <c r="Z881" s="1585">
        <v>8750.0080000000089</v>
      </c>
      <c r="AA881" s="1585"/>
      <c r="AB881" s="1585"/>
      <c r="AC881" s="1585"/>
      <c r="AD881" s="1601">
        <f t="shared" si="93"/>
        <v>73823.210000000006</v>
      </c>
      <c r="AE881" s="1790">
        <v>65073.201999999997</v>
      </c>
      <c r="AF881" s="1792"/>
    </row>
    <row r="882" spans="1:32" ht="27.75" customHeight="1">
      <c r="A882" s="2918"/>
      <c r="B882" s="2919"/>
      <c r="C882" s="2920"/>
      <c r="D882" s="2917"/>
      <c r="E882" s="1603" t="s">
        <v>2497</v>
      </c>
      <c r="F882" s="1583"/>
      <c r="G882" s="1583"/>
      <c r="H882" s="1583"/>
      <c r="I882" s="1583"/>
      <c r="J882" s="1583"/>
      <c r="K882" s="1583"/>
      <c r="L882" s="1583"/>
      <c r="M882" s="1583"/>
      <c r="N882" s="1583"/>
      <c r="O882" s="1583"/>
      <c r="P882" s="1583"/>
      <c r="Q882" s="1604">
        <v>56469.74</v>
      </c>
      <c r="R882" s="1583"/>
      <c r="S882" s="1604">
        <v>676.80399999999997</v>
      </c>
      <c r="T882" s="1604">
        <f>T881</f>
        <v>2246.1590000000001</v>
      </c>
      <c r="U882" s="1604">
        <v>287.45300000000003</v>
      </c>
      <c r="V882" s="1604">
        <v>3543.16</v>
      </c>
      <c r="W882" s="1585"/>
      <c r="X882" s="1592">
        <v>903.87</v>
      </c>
      <c r="Y882" s="1604">
        <v>946.01599999999996</v>
      </c>
      <c r="Z882" s="1585"/>
      <c r="AA882" s="1585"/>
      <c r="AB882" s="1585"/>
      <c r="AC882" s="1585"/>
      <c r="AD882" s="1601">
        <f t="shared" si="93"/>
        <v>65073.201999999997</v>
      </c>
      <c r="AE882" s="1790">
        <v>65073.201999999997</v>
      </c>
      <c r="AF882" s="1792"/>
    </row>
    <row r="883" spans="1:32" ht="27.75" customHeight="1">
      <c r="A883" s="2918"/>
      <c r="B883" s="2919" t="s">
        <v>2736</v>
      </c>
      <c r="C883" s="2920" t="s">
        <v>2148</v>
      </c>
      <c r="D883" s="2917">
        <v>35616.74</v>
      </c>
      <c r="E883" s="1598" t="s">
        <v>2496</v>
      </c>
      <c r="F883" s="1583"/>
      <c r="G883" s="1583"/>
      <c r="H883" s="1583"/>
      <c r="I883" s="1583"/>
      <c r="J883" s="1583"/>
      <c r="K883" s="1583"/>
      <c r="L883" s="1583"/>
      <c r="M883" s="1583"/>
      <c r="N883" s="1583"/>
      <c r="O883" s="1583"/>
      <c r="P883" s="1583"/>
      <c r="Q883" s="1585">
        <f t="shared" ref="Q883" si="105">Q884</f>
        <v>34583.46</v>
      </c>
      <c r="R883" s="1583"/>
      <c r="S883" s="1585">
        <f t="shared" si="103"/>
        <v>1032.2280000000001</v>
      </c>
      <c r="T883" s="1585"/>
      <c r="U883" s="1585"/>
      <c r="V883" s="1585"/>
      <c r="W883" s="1585"/>
      <c r="X883" s="1585"/>
      <c r="Y883" s="1585"/>
      <c r="Z883" s="1585">
        <v>1.0519999999960419</v>
      </c>
      <c r="AA883" s="1585"/>
      <c r="AB883" s="1585"/>
      <c r="AC883" s="1585"/>
      <c r="AD883" s="1601">
        <f t="shared" si="93"/>
        <v>35616.74</v>
      </c>
      <c r="AE883" s="1790">
        <v>35615.688000000002</v>
      </c>
      <c r="AF883" s="1792"/>
    </row>
    <row r="884" spans="1:32" ht="27.75" customHeight="1">
      <c r="A884" s="2918"/>
      <c r="B884" s="2919"/>
      <c r="C884" s="2920"/>
      <c r="D884" s="2917"/>
      <c r="E884" s="1603" t="s">
        <v>2497</v>
      </c>
      <c r="F884" s="1583"/>
      <c r="G884" s="1583"/>
      <c r="H884" s="1583"/>
      <c r="I884" s="1583"/>
      <c r="J884" s="1583"/>
      <c r="K884" s="1583"/>
      <c r="L884" s="1583"/>
      <c r="M884" s="1583"/>
      <c r="N884" s="1583"/>
      <c r="O884" s="1583"/>
      <c r="P884" s="1583"/>
      <c r="Q884" s="1604">
        <v>34583.46</v>
      </c>
      <c r="R884" s="1583"/>
      <c r="S884" s="1604">
        <v>1032.2280000000001</v>
      </c>
      <c r="T884" s="1585"/>
      <c r="U884" s="1585"/>
      <c r="V884" s="1585"/>
      <c r="W884" s="1585"/>
      <c r="X884" s="1585"/>
      <c r="Y884" s="1585"/>
      <c r="Z884" s="1585"/>
      <c r="AA884" s="1585"/>
      <c r="AB884" s="1585"/>
      <c r="AC884" s="1585"/>
      <c r="AD884" s="1601">
        <f t="shared" si="93"/>
        <v>35615.688000000002</v>
      </c>
      <c r="AE884" s="1790">
        <v>35615.688000000002</v>
      </c>
      <c r="AF884" s="1792"/>
    </row>
    <row r="885" spans="1:32" ht="27.75" customHeight="1">
      <c r="A885" s="1594" t="s">
        <v>2381</v>
      </c>
      <c r="B885" s="1609" t="s">
        <v>2382</v>
      </c>
      <c r="C885" s="1632"/>
      <c r="D885" s="1597" t="s">
        <v>0</v>
      </c>
      <c r="E885" s="1583"/>
      <c r="F885" s="1583"/>
      <c r="G885" s="1583"/>
      <c r="H885" s="1583"/>
      <c r="I885" s="1583"/>
      <c r="J885" s="1583"/>
      <c r="K885" s="1583"/>
      <c r="L885" s="1583"/>
      <c r="M885" s="1583"/>
      <c r="N885" s="1583"/>
      <c r="O885" s="1583"/>
      <c r="P885" s="1583"/>
      <c r="Q885" s="1583"/>
      <c r="R885" s="1583"/>
      <c r="S885" s="1583"/>
      <c r="T885" s="1585"/>
      <c r="U885" s="1585"/>
      <c r="V885" s="1585"/>
      <c r="W885" s="1585"/>
      <c r="X885" s="1585"/>
      <c r="Y885" s="1585"/>
      <c r="Z885" s="1585"/>
      <c r="AA885" s="1585"/>
      <c r="AB885" s="1585"/>
      <c r="AC885" s="1585"/>
      <c r="AD885" s="1601">
        <f t="shared" si="93"/>
        <v>0</v>
      </c>
      <c r="AE885" s="1790">
        <v>0</v>
      </c>
      <c r="AF885" s="1792"/>
    </row>
    <row r="886" spans="1:32" ht="27.75" customHeight="1">
      <c r="A886" s="2918"/>
      <c r="B886" s="2919" t="s">
        <v>2735</v>
      </c>
      <c r="C886" s="2920" t="s">
        <v>2148</v>
      </c>
      <c r="D886" s="2917">
        <v>16756</v>
      </c>
      <c r="E886" s="1598" t="s">
        <v>2496</v>
      </c>
      <c r="F886" s="1583"/>
      <c r="G886" s="1583"/>
      <c r="H886" s="1583"/>
      <c r="I886" s="1583"/>
      <c r="J886" s="1583"/>
      <c r="K886" s="1583"/>
      <c r="L886" s="1583"/>
      <c r="M886" s="1583"/>
      <c r="N886" s="1583"/>
      <c r="O886" s="1583"/>
      <c r="P886" s="1583"/>
      <c r="Q886" s="1585">
        <f t="shared" ref="Q886" si="106">Q887</f>
        <v>14267.66</v>
      </c>
      <c r="R886" s="1583"/>
      <c r="S886" s="1585">
        <f t="shared" ref="S886" si="107">S887</f>
        <v>89.679999999999993</v>
      </c>
      <c r="T886" s="1585">
        <v>664.90639999999996</v>
      </c>
      <c r="U886" s="1585">
        <v>84.157599999999988</v>
      </c>
      <c r="V886" s="1585">
        <v>983.46</v>
      </c>
      <c r="W886" s="1585"/>
      <c r="X886" s="1585">
        <v>70.23</v>
      </c>
      <c r="Y886" s="1585">
        <v>68.062399999999997</v>
      </c>
      <c r="Z886" s="1585">
        <v>527.84359999999833</v>
      </c>
      <c r="AA886" s="1585"/>
      <c r="AB886" s="1585"/>
      <c r="AC886" s="1585"/>
      <c r="AD886" s="1601">
        <f t="shared" si="93"/>
        <v>16756</v>
      </c>
      <c r="AE886" s="1790">
        <v>16228.156400000002</v>
      </c>
      <c r="AF886" s="1792"/>
    </row>
    <row r="887" spans="1:32" ht="27.75" customHeight="1">
      <c r="A887" s="2918"/>
      <c r="B887" s="2919"/>
      <c r="C887" s="2920"/>
      <c r="D887" s="2917"/>
      <c r="E887" s="1603" t="s">
        <v>2497</v>
      </c>
      <c r="F887" s="1583"/>
      <c r="G887" s="1583"/>
      <c r="H887" s="1583"/>
      <c r="I887" s="1583"/>
      <c r="J887" s="1583"/>
      <c r="K887" s="1583"/>
      <c r="L887" s="1583"/>
      <c r="M887" s="1583"/>
      <c r="N887" s="1583"/>
      <c r="O887" s="1583"/>
      <c r="P887" s="1583"/>
      <c r="Q887" s="1604">
        <v>14267.66</v>
      </c>
      <c r="R887" s="1583"/>
      <c r="S887" s="1604">
        <v>89.679999999999993</v>
      </c>
      <c r="T887" s="1604">
        <f>T886</f>
        <v>664.90639999999996</v>
      </c>
      <c r="U887" s="1604">
        <v>84.157599999999988</v>
      </c>
      <c r="V887" s="1604">
        <v>983.46</v>
      </c>
      <c r="W887" s="1585"/>
      <c r="X887" s="1592">
        <v>70.23</v>
      </c>
      <c r="Y887" s="1604">
        <v>68.062399999999997</v>
      </c>
      <c r="Z887" s="1585"/>
      <c r="AA887" s="1585"/>
      <c r="AB887" s="1585"/>
      <c r="AC887" s="1585"/>
      <c r="AD887" s="1601">
        <f t="shared" si="93"/>
        <v>16228.156400000002</v>
      </c>
      <c r="AE887" s="1790">
        <v>16228.156400000002</v>
      </c>
      <c r="AF887" s="1792"/>
    </row>
    <row r="888" spans="1:32" ht="27.75" customHeight="1">
      <c r="A888" s="2918"/>
      <c r="B888" s="2919" t="s">
        <v>2737</v>
      </c>
      <c r="C888" s="2920" t="s">
        <v>2148</v>
      </c>
      <c r="D888" s="2917">
        <v>31193.9</v>
      </c>
      <c r="E888" s="1598" t="s">
        <v>2496</v>
      </c>
      <c r="F888" s="1583"/>
      <c r="G888" s="1583"/>
      <c r="H888" s="1583"/>
      <c r="I888" s="1583"/>
      <c r="J888" s="1583"/>
      <c r="K888" s="1583"/>
      <c r="L888" s="1583"/>
      <c r="M888" s="1583"/>
      <c r="N888" s="1583"/>
      <c r="O888" s="1583"/>
      <c r="P888" s="1583"/>
      <c r="Q888" s="1585">
        <f t="shared" ref="Q888" si="108">Q889</f>
        <v>28843.54</v>
      </c>
      <c r="R888" s="1583"/>
      <c r="S888" s="1585">
        <f t="shared" ref="S888" si="109">S889</f>
        <v>273.44440000000003</v>
      </c>
      <c r="T888" s="1585">
        <v>684.93840000000012</v>
      </c>
      <c r="U888" s="1585">
        <v>93.58</v>
      </c>
      <c r="V888" s="1585">
        <v>1298.2</v>
      </c>
      <c r="W888" s="1585"/>
      <c r="X888" s="1585"/>
      <c r="Y888" s="1585"/>
      <c r="Z888" s="1585">
        <v>0.19719999999870197</v>
      </c>
      <c r="AA888" s="1585"/>
      <c r="AB888" s="1585"/>
      <c r="AC888" s="1585"/>
      <c r="AD888" s="1601">
        <f t="shared" si="93"/>
        <v>31193.9</v>
      </c>
      <c r="AE888" s="1790">
        <v>31193.702800000003</v>
      </c>
      <c r="AF888" s="1792"/>
    </row>
    <row r="889" spans="1:32" ht="27.75" customHeight="1">
      <c r="A889" s="2918"/>
      <c r="B889" s="2919"/>
      <c r="C889" s="2920"/>
      <c r="D889" s="2917"/>
      <c r="E889" s="1603" t="s">
        <v>2497</v>
      </c>
      <c r="F889" s="1583"/>
      <c r="G889" s="1583"/>
      <c r="H889" s="1583"/>
      <c r="I889" s="1583"/>
      <c r="J889" s="1583"/>
      <c r="K889" s="1583"/>
      <c r="L889" s="1583"/>
      <c r="M889" s="1583"/>
      <c r="N889" s="1583"/>
      <c r="O889" s="1583"/>
      <c r="P889" s="1583"/>
      <c r="Q889" s="1604">
        <v>28843.54</v>
      </c>
      <c r="R889" s="1583"/>
      <c r="S889" s="1604">
        <v>273.44440000000003</v>
      </c>
      <c r="T889" s="1604">
        <f>T888</f>
        <v>684.93840000000012</v>
      </c>
      <c r="U889" s="1604">
        <v>93.58</v>
      </c>
      <c r="V889" s="1604">
        <v>1298.2</v>
      </c>
      <c r="W889" s="1585"/>
      <c r="X889" s="1585"/>
      <c r="Y889" s="1585"/>
      <c r="Z889" s="1585"/>
      <c r="AA889" s="1585"/>
      <c r="AB889" s="1585"/>
      <c r="AC889" s="1585"/>
      <c r="AD889" s="1601">
        <f t="shared" si="93"/>
        <v>31193.702800000003</v>
      </c>
      <c r="AE889" s="1790">
        <v>31193.702800000003</v>
      </c>
      <c r="AF889" s="1792"/>
    </row>
    <row r="890" spans="1:32" ht="27.75" customHeight="1">
      <c r="A890" s="2918"/>
      <c r="B890" s="2919" t="s">
        <v>2736</v>
      </c>
      <c r="C890" s="2920" t="s">
        <v>2148</v>
      </c>
      <c r="D890" s="2917">
        <v>28299.89</v>
      </c>
      <c r="E890" s="1598" t="s">
        <v>2496</v>
      </c>
      <c r="F890" s="1583"/>
      <c r="G890" s="1583"/>
      <c r="H890" s="1583"/>
      <c r="I890" s="1583"/>
      <c r="J890" s="1583"/>
      <c r="K890" s="1583"/>
      <c r="L890" s="1583"/>
      <c r="M890" s="1583"/>
      <c r="N890" s="1583"/>
      <c r="O890" s="1583"/>
      <c r="P890" s="1583"/>
      <c r="Q890" s="1585">
        <f t="shared" ref="Q890" si="110">Q891</f>
        <v>18079.189999999999</v>
      </c>
      <c r="R890" s="1583"/>
      <c r="S890" s="1585">
        <f t="shared" ref="S890" si="111">S891</f>
        <v>633.16340000000002</v>
      </c>
      <c r="T890" s="1585">
        <v>949.74509999999987</v>
      </c>
      <c r="U890" s="1585">
        <v>47.25</v>
      </c>
      <c r="V890" s="1585">
        <v>1152.92</v>
      </c>
      <c r="W890" s="1585"/>
      <c r="X890" s="1585">
        <v>70.88</v>
      </c>
      <c r="Y890" s="1585">
        <v>42.5259</v>
      </c>
      <c r="Z890" s="1585">
        <v>7324.2155999999995</v>
      </c>
      <c r="AA890" s="1585"/>
      <c r="AB890" s="1585"/>
      <c r="AC890" s="1585"/>
      <c r="AD890" s="1601">
        <f t="shared" si="93"/>
        <v>28299.89</v>
      </c>
      <c r="AE890" s="1790">
        <v>20975.6744</v>
      </c>
      <c r="AF890" s="1792"/>
    </row>
    <row r="891" spans="1:32" ht="27.75" customHeight="1">
      <c r="A891" s="2918"/>
      <c r="B891" s="2919"/>
      <c r="C891" s="2920"/>
      <c r="D891" s="2917"/>
      <c r="E891" s="1603" t="s">
        <v>2497</v>
      </c>
      <c r="F891" s="1583"/>
      <c r="G891" s="1583"/>
      <c r="H891" s="1583"/>
      <c r="I891" s="1583"/>
      <c r="J891" s="1583"/>
      <c r="K891" s="1583"/>
      <c r="L891" s="1583"/>
      <c r="M891" s="1583"/>
      <c r="N891" s="1583"/>
      <c r="O891" s="1583"/>
      <c r="P891" s="1583"/>
      <c r="Q891" s="1604">
        <v>18079.189999999999</v>
      </c>
      <c r="R891" s="1583"/>
      <c r="S891" s="1604">
        <v>633.16340000000002</v>
      </c>
      <c r="T891" s="1604">
        <f>T890</f>
        <v>949.74509999999987</v>
      </c>
      <c r="U891" s="1604">
        <v>47.25</v>
      </c>
      <c r="V891" s="1604">
        <v>1152.92</v>
      </c>
      <c r="W891" s="1585"/>
      <c r="X891" s="1592">
        <v>70.88</v>
      </c>
      <c r="Y891" s="1604">
        <v>42.5259</v>
      </c>
      <c r="Z891" s="1585"/>
      <c r="AA891" s="1585"/>
      <c r="AB891" s="1585"/>
      <c r="AC891" s="1585"/>
      <c r="AD891" s="1601">
        <f t="shared" si="93"/>
        <v>20975.6744</v>
      </c>
      <c r="AE891" s="1790">
        <v>20975.6744</v>
      </c>
      <c r="AF891" s="1792"/>
    </row>
    <row r="892" spans="1:32" ht="27.75" customHeight="1">
      <c r="A892" s="2918"/>
      <c r="B892" s="2919" t="s">
        <v>2738</v>
      </c>
      <c r="C892" s="2920" t="s">
        <v>2148</v>
      </c>
      <c r="D892" s="2917">
        <v>40885</v>
      </c>
      <c r="E892" s="1598" t="s">
        <v>2496</v>
      </c>
      <c r="F892" s="1583"/>
      <c r="G892" s="1583"/>
      <c r="H892" s="1583"/>
      <c r="I892" s="1583"/>
      <c r="J892" s="1583"/>
      <c r="K892" s="1583"/>
      <c r="L892" s="1583"/>
      <c r="M892" s="1583"/>
      <c r="N892" s="1583"/>
      <c r="O892" s="1583"/>
      <c r="P892" s="1583"/>
      <c r="Q892" s="1585">
        <f t="shared" ref="Q892" si="112">Q893</f>
        <v>40885</v>
      </c>
      <c r="R892" s="1583"/>
      <c r="S892" s="1583"/>
      <c r="T892" s="1585"/>
      <c r="U892" s="1585"/>
      <c r="V892" s="1585"/>
      <c r="W892" s="1585"/>
      <c r="X892" s="1585"/>
      <c r="Y892" s="1585"/>
      <c r="Z892" s="1585"/>
      <c r="AA892" s="1585"/>
      <c r="AB892" s="1585"/>
      <c r="AC892" s="1585"/>
      <c r="AD892" s="1601">
        <f t="shared" si="93"/>
        <v>40885</v>
      </c>
      <c r="AE892" s="1790">
        <v>40885</v>
      </c>
      <c r="AF892" s="1792"/>
    </row>
    <row r="893" spans="1:32" ht="27.75" customHeight="1">
      <c r="A893" s="2918"/>
      <c r="B893" s="2919"/>
      <c r="C893" s="2920"/>
      <c r="D893" s="2917"/>
      <c r="E893" s="1603" t="s">
        <v>2497</v>
      </c>
      <c r="F893" s="1583"/>
      <c r="G893" s="1583"/>
      <c r="H893" s="1583"/>
      <c r="I893" s="1583"/>
      <c r="J893" s="1583"/>
      <c r="K893" s="1583"/>
      <c r="L893" s="1583"/>
      <c r="M893" s="1583"/>
      <c r="N893" s="1583"/>
      <c r="O893" s="1583"/>
      <c r="P893" s="1583"/>
      <c r="Q893" s="1604">
        <v>40885</v>
      </c>
      <c r="R893" s="1583"/>
      <c r="S893" s="1583"/>
      <c r="T893" s="1585"/>
      <c r="U893" s="1585"/>
      <c r="V893" s="1585"/>
      <c r="W893" s="1585"/>
      <c r="X893" s="1585"/>
      <c r="Y893" s="1585"/>
      <c r="Z893" s="1585"/>
      <c r="AA893" s="1585"/>
      <c r="AB893" s="1585"/>
      <c r="AC893" s="1585"/>
      <c r="AD893" s="1601">
        <f t="shared" si="93"/>
        <v>40885</v>
      </c>
      <c r="AE893" s="1790">
        <v>40885</v>
      </c>
      <c r="AF893" s="1792"/>
    </row>
    <row r="894" spans="1:32" ht="27.75" customHeight="1">
      <c r="A894" s="1594">
        <v>2.5</v>
      </c>
      <c r="B894" s="1629" t="s">
        <v>2388</v>
      </c>
      <c r="C894" s="1632"/>
      <c r="D894" s="1592" t="s">
        <v>0</v>
      </c>
      <c r="E894" s="1583"/>
      <c r="F894" s="1583"/>
      <c r="G894" s="1583"/>
      <c r="H894" s="1583"/>
      <c r="I894" s="1583"/>
      <c r="J894" s="1583"/>
      <c r="K894" s="1583"/>
      <c r="L894" s="1583"/>
      <c r="M894" s="1583"/>
      <c r="N894" s="1583"/>
      <c r="O894" s="1583"/>
      <c r="P894" s="1583"/>
      <c r="Q894" s="1583"/>
      <c r="R894" s="1583"/>
      <c r="S894" s="1583"/>
      <c r="T894" s="1585"/>
      <c r="U894" s="1585"/>
      <c r="V894" s="1585"/>
      <c r="W894" s="1585"/>
      <c r="X894" s="1585"/>
      <c r="Y894" s="1585"/>
      <c r="Z894" s="1585"/>
      <c r="AA894" s="1585"/>
      <c r="AB894" s="1585"/>
      <c r="AC894" s="1585"/>
      <c r="AD894" s="1601">
        <f t="shared" si="93"/>
        <v>0</v>
      </c>
      <c r="AE894" s="1790">
        <v>0</v>
      </c>
      <c r="AF894" s="1792"/>
    </row>
    <row r="895" spans="1:32" ht="27.75" customHeight="1">
      <c r="A895" s="2918"/>
      <c r="B895" s="2919" t="s">
        <v>2375</v>
      </c>
      <c r="C895" s="2920" t="s">
        <v>2148</v>
      </c>
      <c r="D895" s="2917">
        <v>6111.54</v>
      </c>
      <c r="E895" s="1598" t="s">
        <v>2496</v>
      </c>
      <c r="F895" s="1583"/>
      <c r="G895" s="1583"/>
      <c r="H895" s="1583"/>
      <c r="I895" s="1583"/>
      <c r="J895" s="1583"/>
      <c r="K895" s="1583"/>
      <c r="L895" s="1583"/>
      <c r="M895" s="1583"/>
      <c r="N895" s="1583"/>
      <c r="O895" s="1583"/>
      <c r="P895" s="1583"/>
      <c r="Q895" s="1585">
        <f t="shared" ref="Q895" si="113">Q896</f>
        <v>1846.18</v>
      </c>
      <c r="R895" s="1583"/>
      <c r="S895" s="1583"/>
      <c r="T895" s="1585"/>
      <c r="U895" s="1585"/>
      <c r="V895" s="1585"/>
      <c r="W895" s="1585"/>
      <c r="X895" s="1585"/>
      <c r="Y895" s="1585"/>
      <c r="Z895" s="1585">
        <v>4265.3599999999997</v>
      </c>
      <c r="AA895" s="1585"/>
      <c r="AB895" s="1585"/>
      <c r="AC895" s="1585"/>
      <c r="AD895" s="1601">
        <f t="shared" si="93"/>
        <v>6111.54</v>
      </c>
      <c r="AE895" s="1790">
        <v>1846.18</v>
      </c>
      <c r="AF895" s="1792"/>
    </row>
    <row r="896" spans="1:32" ht="27.75" customHeight="1">
      <c r="A896" s="2918"/>
      <c r="B896" s="2919"/>
      <c r="C896" s="2920"/>
      <c r="D896" s="2917"/>
      <c r="E896" s="1603" t="s">
        <v>2497</v>
      </c>
      <c r="F896" s="1583"/>
      <c r="G896" s="1583"/>
      <c r="H896" s="1583"/>
      <c r="I896" s="1583"/>
      <c r="J896" s="1583"/>
      <c r="K896" s="1583"/>
      <c r="L896" s="1583"/>
      <c r="M896" s="1583"/>
      <c r="N896" s="1583"/>
      <c r="O896" s="1583"/>
      <c r="P896" s="1583"/>
      <c r="Q896" s="1604">
        <v>1846.18</v>
      </c>
      <c r="R896" s="1583"/>
      <c r="S896" s="1583"/>
      <c r="T896" s="1585"/>
      <c r="U896" s="1585"/>
      <c r="V896" s="1585"/>
      <c r="W896" s="1585"/>
      <c r="X896" s="1585"/>
      <c r="Y896" s="1585"/>
      <c r="Z896" s="1585"/>
      <c r="AA896" s="1585"/>
      <c r="AB896" s="1585"/>
      <c r="AC896" s="1585"/>
      <c r="AD896" s="1601">
        <f t="shared" si="93"/>
        <v>1846.18</v>
      </c>
      <c r="AE896" s="1790">
        <v>1846.18</v>
      </c>
      <c r="AF896" s="1792"/>
    </row>
    <row r="897" spans="1:32" ht="27.75" customHeight="1">
      <c r="A897" s="2918"/>
      <c r="B897" s="2919" t="s">
        <v>2390</v>
      </c>
      <c r="C897" s="2920" t="s">
        <v>2148</v>
      </c>
      <c r="D897" s="2917">
        <v>52478.400000000001</v>
      </c>
      <c r="E897" s="1598" t="s">
        <v>2496</v>
      </c>
      <c r="F897" s="1583"/>
      <c r="G897" s="1583"/>
      <c r="H897" s="1583"/>
      <c r="I897" s="1583"/>
      <c r="J897" s="1583"/>
      <c r="K897" s="1583"/>
      <c r="L897" s="1583"/>
      <c r="M897" s="1583"/>
      <c r="N897" s="1583"/>
      <c r="O897" s="1583"/>
      <c r="P897" s="1583"/>
      <c r="Q897" s="1585">
        <f t="shared" ref="Q897:S897" si="114">Q898</f>
        <v>26239.200000000001</v>
      </c>
      <c r="R897" s="1583"/>
      <c r="S897" s="1585">
        <f t="shared" si="114"/>
        <v>13119.6</v>
      </c>
      <c r="T897" s="1585">
        <v>13119.6</v>
      </c>
      <c r="U897" s="1585"/>
      <c r="V897" s="1585"/>
      <c r="W897" s="1585"/>
      <c r="X897" s="1585"/>
      <c r="Y897" s="1585"/>
      <c r="Z897" s="1585"/>
      <c r="AA897" s="1585"/>
      <c r="AB897" s="1585"/>
      <c r="AC897" s="1585"/>
      <c r="AD897" s="1601">
        <f t="shared" si="93"/>
        <v>52478.400000000001</v>
      </c>
      <c r="AE897" s="1790">
        <v>52478.400000000001</v>
      </c>
      <c r="AF897" s="1792"/>
    </row>
    <row r="898" spans="1:32" ht="27.75" customHeight="1">
      <c r="A898" s="2918"/>
      <c r="B898" s="2919"/>
      <c r="C898" s="2920"/>
      <c r="D898" s="2917"/>
      <c r="E898" s="1603" t="s">
        <v>2497</v>
      </c>
      <c r="F898" s="1583"/>
      <c r="G898" s="1583"/>
      <c r="H898" s="1583"/>
      <c r="I898" s="1583"/>
      <c r="J898" s="1583"/>
      <c r="K898" s="1583"/>
      <c r="L898" s="1583"/>
      <c r="M898" s="1583"/>
      <c r="N898" s="1583"/>
      <c r="O898" s="1583"/>
      <c r="P898" s="1583"/>
      <c r="Q898" s="1604">
        <v>26239.200000000001</v>
      </c>
      <c r="R898" s="1583"/>
      <c r="S898" s="1604">
        <v>13119.6</v>
      </c>
      <c r="T898" s="1604">
        <f>T897</f>
        <v>13119.6</v>
      </c>
      <c r="U898" s="1585"/>
      <c r="V898" s="1585"/>
      <c r="W898" s="1585"/>
      <c r="X898" s="1585"/>
      <c r="Y898" s="1585"/>
      <c r="Z898" s="1585"/>
      <c r="AA898" s="1585"/>
      <c r="AB898" s="1585"/>
      <c r="AC898" s="1585"/>
      <c r="AD898" s="1601">
        <f t="shared" si="93"/>
        <v>52478.400000000001</v>
      </c>
      <c r="AE898" s="1790">
        <v>52478.400000000001</v>
      </c>
      <c r="AF898" s="1792"/>
    </row>
    <row r="899" spans="1:32" ht="27.75" customHeight="1">
      <c r="A899" s="1594">
        <v>3</v>
      </c>
      <c r="B899" s="1609" t="s">
        <v>1736</v>
      </c>
      <c r="C899" s="1632"/>
      <c r="D899" s="1592" t="s">
        <v>0</v>
      </c>
      <c r="E899" s="1583"/>
      <c r="F899" s="1583"/>
      <c r="G899" s="1583"/>
      <c r="H899" s="1583"/>
      <c r="I899" s="1583"/>
      <c r="J899" s="1583"/>
      <c r="K899" s="1583"/>
      <c r="L899" s="1583"/>
      <c r="M899" s="1583"/>
      <c r="N899" s="1583"/>
      <c r="O899" s="1583"/>
      <c r="P899" s="1583"/>
      <c r="Q899" s="1583"/>
      <c r="R899" s="1583"/>
      <c r="S899" s="1583"/>
      <c r="T899" s="1585"/>
      <c r="U899" s="1585"/>
      <c r="V899" s="1585"/>
      <c r="W899" s="1585"/>
      <c r="X899" s="1585"/>
      <c r="Y899" s="1585"/>
      <c r="Z899" s="1585"/>
      <c r="AA899" s="1585"/>
      <c r="AB899" s="1585"/>
      <c r="AC899" s="1585"/>
      <c r="AD899" s="1601">
        <f t="shared" si="93"/>
        <v>0</v>
      </c>
      <c r="AE899" s="1790">
        <v>0</v>
      </c>
      <c r="AF899" s="1792"/>
    </row>
    <row r="900" spans="1:32" ht="27.75" customHeight="1">
      <c r="A900" s="1594">
        <v>3.2</v>
      </c>
      <c r="B900" s="1629" t="s">
        <v>1744</v>
      </c>
      <c r="C900" s="1632"/>
      <c r="D900" s="1597" t="s">
        <v>0</v>
      </c>
      <c r="E900" s="1583"/>
      <c r="F900" s="1583"/>
      <c r="G900" s="1583"/>
      <c r="H900" s="1583"/>
      <c r="I900" s="1583"/>
      <c r="J900" s="1583"/>
      <c r="K900" s="1583"/>
      <c r="L900" s="1583"/>
      <c r="M900" s="1583"/>
      <c r="N900" s="1583"/>
      <c r="O900" s="1583"/>
      <c r="P900" s="1583"/>
      <c r="Q900" s="1583"/>
      <c r="R900" s="1583"/>
      <c r="S900" s="1583"/>
      <c r="T900" s="1585"/>
      <c r="U900" s="1585"/>
      <c r="V900" s="1585"/>
      <c r="W900" s="1585"/>
      <c r="X900" s="1585"/>
      <c r="Y900" s="1585"/>
      <c r="Z900" s="1585"/>
      <c r="AA900" s="1585"/>
      <c r="AB900" s="1585"/>
      <c r="AC900" s="1585"/>
      <c r="AD900" s="1601">
        <f t="shared" si="93"/>
        <v>0</v>
      </c>
      <c r="AE900" s="1790">
        <v>0</v>
      </c>
      <c r="AF900" s="1792"/>
    </row>
    <row r="901" spans="1:32" ht="27.75" customHeight="1">
      <c r="A901" s="2918"/>
      <c r="B901" s="2919" t="s">
        <v>2391</v>
      </c>
      <c r="C901" s="2920" t="s">
        <v>2148</v>
      </c>
      <c r="D901" s="2917">
        <v>56223.39</v>
      </c>
      <c r="E901" s="1598" t="s">
        <v>2496</v>
      </c>
      <c r="F901" s="1583"/>
      <c r="G901" s="1583"/>
      <c r="H901" s="1583"/>
      <c r="I901" s="1583"/>
      <c r="J901" s="1583"/>
      <c r="K901" s="1583"/>
      <c r="L901" s="1583"/>
      <c r="M901" s="1583"/>
      <c r="N901" s="1583"/>
      <c r="O901" s="1583"/>
      <c r="P901" s="1583"/>
      <c r="Q901" s="1585">
        <f t="shared" ref="Q901" si="115">Q902</f>
        <v>54924.83</v>
      </c>
      <c r="R901" s="1583"/>
      <c r="S901" s="1585">
        <f t="shared" ref="S901" si="116">S902</f>
        <v>472.5</v>
      </c>
      <c r="T901" s="1585">
        <v>826.005</v>
      </c>
      <c r="U901" s="1585"/>
      <c r="V901" s="1585"/>
      <c r="W901" s="1585"/>
      <c r="X901" s="1585"/>
      <c r="Y901" s="1585"/>
      <c r="Z901" s="1585"/>
      <c r="AA901" s="1585"/>
      <c r="AB901" s="1585"/>
      <c r="AC901" s="1585"/>
      <c r="AD901" s="1601">
        <f t="shared" si="93"/>
        <v>56223.334999999999</v>
      </c>
      <c r="AE901" s="1790">
        <v>56223.334999999999</v>
      </c>
      <c r="AF901" s="1792"/>
    </row>
    <row r="902" spans="1:32" ht="27.75" customHeight="1">
      <c r="A902" s="2918"/>
      <c r="B902" s="2919"/>
      <c r="C902" s="2920"/>
      <c r="D902" s="2917"/>
      <c r="E902" s="1603" t="s">
        <v>2497</v>
      </c>
      <c r="F902" s="1583"/>
      <c r="G902" s="1583"/>
      <c r="H902" s="1583"/>
      <c r="I902" s="1583"/>
      <c r="J902" s="1583"/>
      <c r="K902" s="1583"/>
      <c r="L902" s="1583"/>
      <c r="M902" s="1583"/>
      <c r="N902" s="1583"/>
      <c r="O902" s="1583"/>
      <c r="P902" s="1583"/>
      <c r="Q902" s="1604">
        <v>54924.83</v>
      </c>
      <c r="R902" s="1583"/>
      <c r="S902" s="1604">
        <v>472.5</v>
      </c>
      <c r="T902" s="1604">
        <f>T901</f>
        <v>826.005</v>
      </c>
      <c r="U902" s="1585"/>
      <c r="V902" s="1585"/>
      <c r="W902" s="1585"/>
      <c r="X902" s="1585"/>
      <c r="Y902" s="1585"/>
      <c r="Z902" s="1585"/>
      <c r="AA902" s="1585"/>
      <c r="AB902" s="1585"/>
      <c r="AC902" s="1585"/>
      <c r="AD902" s="1601">
        <f t="shared" si="93"/>
        <v>56223.334999999999</v>
      </c>
      <c r="AE902" s="1790">
        <v>56223.334999999999</v>
      </c>
      <c r="AF902" s="1792"/>
    </row>
    <row r="903" spans="1:32" ht="27.75" customHeight="1">
      <c r="A903" s="2918"/>
      <c r="B903" s="2919" t="s">
        <v>2392</v>
      </c>
      <c r="C903" s="2920" t="s">
        <v>2148</v>
      </c>
      <c r="D903" s="2917">
        <v>1821.23</v>
      </c>
      <c r="E903" s="1598" t="s">
        <v>2496</v>
      </c>
      <c r="F903" s="1583"/>
      <c r="G903" s="1583"/>
      <c r="H903" s="1583"/>
      <c r="I903" s="1583"/>
      <c r="J903" s="1583"/>
      <c r="K903" s="1583"/>
      <c r="L903" s="1583"/>
      <c r="M903" s="1583"/>
      <c r="N903" s="1583"/>
      <c r="O903" s="1583"/>
      <c r="P903" s="1583"/>
      <c r="Q903" s="1585">
        <f t="shared" ref="Q903" si="117">Q904</f>
        <v>1821.16</v>
      </c>
      <c r="R903" s="1583"/>
      <c r="S903" s="1583"/>
      <c r="T903" s="1585"/>
      <c r="U903" s="1585"/>
      <c r="V903" s="1585"/>
      <c r="W903" s="1585"/>
      <c r="X903" s="1585"/>
      <c r="Y903" s="1585"/>
      <c r="Z903" s="1585"/>
      <c r="AA903" s="1585"/>
      <c r="AB903" s="1585"/>
      <c r="AC903" s="1585"/>
      <c r="AD903" s="1601">
        <f t="shared" si="93"/>
        <v>1821.16</v>
      </c>
      <c r="AE903" s="1790">
        <v>1821.16</v>
      </c>
      <c r="AF903" s="1792"/>
    </row>
    <row r="904" spans="1:32" ht="27.75" customHeight="1">
      <c r="A904" s="2918"/>
      <c r="B904" s="2919"/>
      <c r="C904" s="2920"/>
      <c r="D904" s="2917"/>
      <c r="E904" s="1603" t="s">
        <v>2497</v>
      </c>
      <c r="F904" s="1583"/>
      <c r="G904" s="1583"/>
      <c r="H904" s="1583"/>
      <c r="I904" s="1583"/>
      <c r="J904" s="1583"/>
      <c r="K904" s="1583"/>
      <c r="L904" s="1583"/>
      <c r="M904" s="1583"/>
      <c r="N904" s="1583"/>
      <c r="O904" s="1583"/>
      <c r="P904" s="1583"/>
      <c r="Q904" s="1604">
        <v>1821.16</v>
      </c>
      <c r="R904" s="1583"/>
      <c r="S904" s="1583"/>
      <c r="T904" s="1585"/>
      <c r="U904" s="1585"/>
      <c r="V904" s="1585"/>
      <c r="W904" s="1585"/>
      <c r="X904" s="1585"/>
      <c r="Y904" s="1585"/>
      <c r="Z904" s="1585"/>
      <c r="AA904" s="1585"/>
      <c r="AB904" s="1585"/>
      <c r="AC904" s="1585"/>
      <c r="AD904" s="1601">
        <f t="shared" si="93"/>
        <v>1821.16</v>
      </c>
      <c r="AE904" s="1790">
        <v>1821.16</v>
      </c>
      <c r="AF904" s="1792"/>
    </row>
    <row r="905" spans="1:32" ht="27.75" customHeight="1">
      <c r="A905" s="2918"/>
      <c r="B905" s="2919" t="s">
        <v>2393</v>
      </c>
      <c r="C905" s="2920" t="s">
        <v>2148</v>
      </c>
      <c r="D905" s="2917">
        <v>8484.4</v>
      </c>
      <c r="E905" s="1598" t="s">
        <v>2496</v>
      </c>
      <c r="F905" s="1583"/>
      <c r="G905" s="1583"/>
      <c r="H905" s="1583"/>
      <c r="I905" s="1583"/>
      <c r="J905" s="1583"/>
      <c r="K905" s="1583"/>
      <c r="L905" s="1583"/>
      <c r="M905" s="1583"/>
      <c r="N905" s="1583"/>
      <c r="O905" s="1583"/>
      <c r="P905" s="1583"/>
      <c r="Q905" s="1585">
        <f t="shared" ref="Q905" si="118">Q906</f>
        <v>8484.4</v>
      </c>
      <c r="R905" s="1583"/>
      <c r="S905" s="1583"/>
      <c r="T905" s="1585"/>
      <c r="U905" s="1585"/>
      <c r="V905" s="1585"/>
      <c r="W905" s="1585"/>
      <c r="X905" s="1585"/>
      <c r="Y905" s="1585"/>
      <c r="Z905" s="1585"/>
      <c r="AA905" s="1585"/>
      <c r="AB905" s="1585"/>
      <c r="AC905" s="1585"/>
      <c r="AD905" s="1601">
        <f t="shared" si="93"/>
        <v>8484.4</v>
      </c>
      <c r="AE905" s="1790">
        <v>8484.4</v>
      </c>
      <c r="AF905" s="1792"/>
    </row>
    <row r="906" spans="1:32" ht="27.75" customHeight="1">
      <c r="A906" s="2918"/>
      <c r="B906" s="2919"/>
      <c r="C906" s="2920"/>
      <c r="D906" s="2917"/>
      <c r="E906" s="1603" t="s">
        <v>2497</v>
      </c>
      <c r="F906" s="1583"/>
      <c r="G906" s="1583"/>
      <c r="H906" s="1583"/>
      <c r="I906" s="1583"/>
      <c r="J906" s="1583"/>
      <c r="K906" s="1583"/>
      <c r="L906" s="1583"/>
      <c r="M906" s="1583"/>
      <c r="N906" s="1583"/>
      <c r="O906" s="1583"/>
      <c r="P906" s="1583"/>
      <c r="Q906" s="1604">
        <v>8484.4</v>
      </c>
      <c r="R906" s="1583"/>
      <c r="S906" s="1583"/>
      <c r="T906" s="1585"/>
      <c r="U906" s="1585"/>
      <c r="V906" s="1585"/>
      <c r="W906" s="1585"/>
      <c r="X906" s="1585"/>
      <c r="Y906" s="1585"/>
      <c r="Z906" s="1585"/>
      <c r="AA906" s="1585"/>
      <c r="AB906" s="1585"/>
      <c r="AC906" s="1585"/>
      <c r="AD906" s="1601">
        <f t="shared" si="93"/>
        <v>8484.4</v>
      </c>
      <c r="AE906" s="1790">
        <v>8484.4</v>
      </c>
      <c r="AF906" s="1792"/>
    </row>
    <row r="907" spans="1:32" ht="27.75" customHeight="1">
      <c r="A907" s="2918"/>
      <c r="B907" s="2919" t="s">
        <v>2394</v>
      </c>
      <c r="C907" s="2920" t="s">
        <v>2148</v>
      </c>
      <c r="D907" s="2917">
        <v>24100.799999999999</v>
      </c>
      <c r="E907" s="1598" t="s">
        <v>2496</v>
      </c>
      <c r="F907" s="1583"/>
      <c r="G907" s="1583"/>
      <c r="H907" s="1583"/>
      <c r="I907" s="1583"/>
      <c r="J907" s="1583"/>
      <c r="K907" s="1583"/>
      <c r="L907" s="1583"/>
      <c r="M907" s="1583"/>
      <c r="N907" s="1583"/>
      <c r="O907" s="1583"/>
      <c r="P907" s="1583"/>
      <c r="Q907" s="1585">
        <f t="shared" ref="Q907" si="119">Q908</f>
        <v>24100.799999999999</v>
      </c>
      <c r="R907" s="1583"/>
      <c r="S907" s="1583"/>
      <c r="T907" s="1585"/>
      <c r="U907" s="1585"/>
      <c r="V907" s="1585"/>
      <c r="W907" s="1585"/>
      <c r="X907" s="1585"/>
      <c r="Y907" s="1585"/>
      <c r="Z907" s="1585"/>
      <c r="AA907" s="1585"/>
      <c r="AB907" s="1585"/>
      <c r="AC907" s="1585"/>
      <c r="AD907" s="1601">
        <f t="shared" si="93"/>
        <v>24100.799999999999</v>
      </c>
      <c r="AE907" s="1790">
        <v>24100.799999999999</v>
      </c>
      <c r="AF907" s="1792"/>
    </row>
    <row r="908" spans="1:32" ht="27.75" customHeight="1">
      <c r="A908" s="2918"/>
      <c r="B908" s="2919"/>
      <c r="C908" s="2920"/>
      <c r="D908" s="2917"/>
      <c r="E908" s="1603" t="s">
        <v>2497</v>
      </c>
      <c r="F908" s="1583"/>
      <c r="G908" s="1583"/>
      <c r="H908" s="1583"/>
      <c r="I908" s="1583"/>
      <c r="J908" s="1583"/>
      <c r="K908" s="1583"/>
      <c r="L908" s="1583"/>
      <c r="M908" s="1583"/>
      <c r="N908" s="1583"/>
      <c r="O908" s="1583"/>
      <c r="P908" s="1583"/>
      <c r="Q908" s="1604">
        <v>24100.799999999999</v>
      </c>
      <c r="R908" s="1583"/>
      <c r="S908" s="1583"/>
      <c r="T908" s="1585"/>
      <c r="U908" s="1585"/>
      <c r="V908" s="1585"/>
      <c r="W908" s="1585"/>
      <c r="X908" s="1585"/>
      <c r="Y908" s="1585"/>
      <c r="Z908" s="1585"/>
      <c r="AA908" s="1585"/>
      <c r="AB908" s="1585"/>
      <c r="AC908" s="1585"/>
      <c r="AD908" s="1601">
        <f t="shared" si="93"/>
        <v>24100.799999999999</v>
      </c>
      <c r="AE908" s="1790">
        <v>24100.799999999999</v>
      </c>
      <c r="AF908" s="1792"/>
    </row>
    <row r="909" spans="1:32" ht="27.75" customHeight="1">
      <c r="A909" s="1594">
        <v>3.3</v>
      </c>
      <c r="B909" s="1629" t="s">
        <v>1756</v>
      </c>
      <c r="C909" s="1591"/>
      <c r="D909" s="1597" t="s">
        <v>0</v>
      </c>
      <c r="E909" s="1583"/>
      <c r="F909" s="1583"/>
      <c r="G909" s="1583"/>
      <c r="H909" s="1583"/>
      <c r="I909" s="1583"/>
      <c r="J909" s="1583"/>
      <c r="K909" s="1583"/>
      <c r="L909" s="1583"/>
      <c r="M909" s="1583"/>
      <c r="N909" s="1583"/>
      <c r="O909" s="1583"/>
      <c r="P909" s="1583"/>
      <c r="Q909" s="1583"/>
      <c r="R909" s="1583"/>
      <c r="S909" s="1583"/>
      <c r="T909" s="1585"/>
      <c r="U909" s="1585"/>
      <c r="V909" s="1585"/>
      <c r="W909" s="1585"/>
      <c r="X909" s="1585"/>
      <c r="Y909" s="1585"/>
      <c r="Z909" s="1585"/>
      <c r="AA909" s="1585"/>
      <c r="AB909" s="1585"/>
      <c r="AC909" s="1585"/>
      <c r="AD909" s="1601">
        <f t="shared" si="93"/>
        <v>0</v>
      </c>
      <c r="AE909" s="1790">
        <v>0</v>
      </c>
      <c r="AF909" s="1792"/>
    </row>
    <row r="910" spans="1:32" ht="27.75" customHeight="1">
      <c r="A910" s="2918"/>
      <c r="B910" s="2919" t="s">
        <v>2395</v>
      </c>
      <c r="C910" s="2920" t="s">
        <v>2148</v>
      </c>
      <c r="D910" s="2917">
        <v>69153.83</v>
      </c>
      <c r="E910" s="1598" t="s">
        <v>2496</v>
      </c>
      <c r="F910" s="1583"/>
      <c r="G910" s="1583"/>
      <c r="H910" s="1583"/>
      <c r="I910" s="1583"/>
      <c r="J910" s="1583"/>
      <c r="K910" s="1583"/>
      <c r="L910" s="1583"/>
      <c r="M910" s="1583"/>
      <c r="N910" s="1583"/>
      <c r="O910" s="1583"/>
      <c r="P910" s="1583"/>
      <c r="Q910" s="1585">
        <f t="shared" ref="Q910" si="120">Q911</f>
        <v>51231.8</v>
      </c>
      <c r="R910" s="1583"/>
      <c r="S910" s="1585">
        <f t="shared" ref="S910" si="121">S911</f>
        <v>7690.22</v>
      </c>
      <c r="T910" s="1585">
        <v>10231.807499999999</v>
      </c>
      <c r="U910" s="1585"/>
      <c r="V910" s="1585"/>
      <c r="W910" s="1585"/>
      <c r="X910" s="1585"/>
      <c r="Y910" s="1585"/>
      <c r="Z910" s="1585"/>
      <c r="AA910" s="1585"/>
      <c r="AB910" s="1585"/>
      <c r="AC910" s="1585"/>
      <c r="AD910" s="1601">
        <f t="shared" si="93"/>
        <v>69153.827499999999</v>
      </c>
      <c r="AE910" s="1790">
        <v>69153.827499999999</v>
      </c>
      <c r="AF910" s="1792"/>
    </row>
    <row r="911" spans="1:32" ht="27.75" customHeight="1">
      <c r="A911" s="2918"/>
      <c r="B911" s="2919"/>
      <c r="C911" s="2920"/>
      <c r="D911" s="2917"/>
      <c r="E911" s="1603" t="s">
        <v>2497</v>
      </c>
      <c r="F911" s="1583"/>
      <c r="G911" s="1583"/>
      <c r="H911" s="1583"/>
      <c r="I911" s="1583"/>
      <c r="J911" s="1583"/>
      <c r="K911" s="1583"/>
      <c r="L911" s="1583"/>
      <c r="M911" s="1583"/>
      <c r="N911" s="1583"/>
      <c r="O911" s="1583"/>
      <c r="P911" s="1583"/>
      <c r="Q911" s="1604">
        <v>51231.8</v>
      </c>
      <c r="R911" s="1583"/>
      <c r="S911" s="1604">
        <v>7690.22</v>
      </c>
      <c r="T911" s="1604">
        <f>T910</f>
        <v>10231.807499999999</v>
      </c>
      <c r="U911" s="1585"/>
      <c r="V911" s="1585"/>
      <c r="W911" s="1585"/>
      <c r="X911" s="1585"/>
      <c r="Y911" s="1585"/>
      <c r="Z911" s="1585"/>
      <c r="AA911" s="1585"/>
      <c r="AB911" s="1585"/>
      <c r="AC911" s="1585"/>
      <c r="AD911" s="1601">
        <f t="shared" si="93"/>
        <v>69153.827499999999</v>
      </c>
      <c r="AE911" s="1790">
        <v>69153.827499999999</v>
      </c>
      <c r="AF911" s="1792"/>
    </row>
    <row r="912" spans="1:32" ht="27.75" customHeight="1">
      <c r="A912" s="1594" t="s">
        <v>2396</v>
      </c>
      <c r="B912" s="1633" t="s">
        <v>2397</v>
      </c>
      <c r="C912" s="1591"/>
      <c r="D912" s="1597" t="s">
        <v>0</v>
      </c>
      <c r="E912" s="1583"/>
      <c r="F912" s="1583"/>
      <c r="G912" s="1583"/>
      <c r="H912" s="1583"/>
      <c r="I912" s="1583"/>
      <c r="J912" s="1583"/>
      <c r="K912" s="1583"/>
      <c r="L912" s="1583"/>
      <c r="M912" s="1583"/>
      <c r="N912" s="1583"/>
      <c r="O912" s="1583"/>
      <c r="P912" s="1583"/>
      <c r="Q912" s="1583"/>
      <c r="R912" s="1583"/>
      <c r="S912" s="1583"/>
      <c r="T912" s="1585"/>
      <c r="U912" s="1585"/>
      <c r="V912" s="1585"/>
      <c r="W912" s="1585"/>
      <c r="X912" s="1585"/>
      <c r="Y912" s="1585"/>
      <c r="Z912" s="1585"/>
      <c r="AA912" s="1585"/>
      <c r="AB912" s="1585"/>
      <c r="AC912" s="1585"/>
      <c r="AD912" s="1601">
        <f t="shared" si="93"/>
        <v>0</v>
      </c>
      <c r="AE912" s="1790">
        <v>0</v>
      </c>
      <c r="AF912" s="1792"/>
    </row>
    <row r="913" spans="1:32" ht="27.75" customHeight="1">
      <c r="A913" s="2918"/>
      <c r="B913" s="2919" t="s">
        <v>2739</v>
      </c>
      <c r="C913" s="2920" t="s">
        <v>2148</v>
      </c>
      <c r="D913" s="2917">
        <v>12512.71</v>
      </c>
      <c r="E913" s="1598" t="s">
        <v>2496</v>
      </c>
      <c r="F913" s="1583"/>
      <c r="G913" s="1583"/>
      <c r="H913" s="1583"/>
      <c r="I913" s="1583"/>
      <c r="J913" s="1583"/>
      <c r="K913" s="1583"/>
      <c r="L913" s="1583"/>
      <c r="M913" s="1583"/>
      <c r="N913" s="1583"/>
      <c r="O913" s="1583"/>
      <c r="P913" s="1583"/>
      <c r="Q913" s="1585">
        <f t="shared" ref="Q913" si="122">Q914</f>
        <v>7765.6</v>
      </c>
      <c r="R913" s="1583"/>
      <c r="S913" s="1585">
        <f t="shared" ref="S913" si="123">S914</f>
        <v>1475.14</v>
      </c>
      <c r="T913" s="1585">
        <v>3271.9696000000004</v>
      </c>
      <c r="U913" s="1585"/>
      <c r="V913" s="1585"/>
      <c r="W913" s="1585"/>
      <c r="X913" s="1585"/>
      <c r="Y913" s="1585"/>
      <c r="Z913" s="1585"/>
      <c r="AA913" s="1585"/>
      <c r="AB913" s="1585"/>
      <c r="AC913" s="1585"/>
      <c r="AD913" s="1601">
        <f t="shared" ref="AD913:AD976" si="124">SUM(F913:AC913)</f>
        <v>12512.7096</v>
      </c>
      <c r="AE913" s="1790">
        <v>12512.7096</v>
      </c>
      <c r="AF913" s="1792"/>
    </row>
    <row r="914" spans="1:32" ht="27.75" customHeight="1">
      <c r="A914" s="2918"/>
      <c r="B914" s="2919"/>
      <c r="C914" s="2920"/>
      <c r="D914" s="2917"/>
      <c r="E914" s="1603" t="s">
        <v>2497</v>
      </c>
      <c r="F914" s="1583"/>
      <c r="G914" s="1583"/>
      <c r="H914" s="1583"/>
      <c r="I914" s="1583"/>
      <c r="J914" s="1583"/>
      <c r="K914" s="1583"/>
      <c r="L914" s="1583"/>
      <c r="M914" s="1583"/>
      <c r="N914" s="1583"/>
      <c r="O914" s="1583"/>
      <c r="P914" s="1583"/>
      <c r="Q914" s="1604">
        <v>7765.6</v>
      </c>
      <c r="R914" s="1583"/>
      <c r="S914" s="1604">
        <v>1475.14</v>
      </c>
      <c r="T914" s="1604">
        <f>T913</f>
        <v>3271.9696000000004</v>
      </c>
      <c r="U914" s="1585"/>
      <c r="V914" s="1585"/>
      <c r="W914" s="1585"/>
      <c r="X914" s="1585"/>
      <c r="Y914" s="1585"/>
      <c r="Z914" s="1585"/>
      <c r="AA914" s="1585"/>
      <c r="AB914" s="1585"/>
      <c r="AC914" s="1585"/>
      <c r="AD914" s="1601">
        <f t="shared" si="124"/>
        <v>12512.7096</v>
      </c>
      <c r="AE914" s="1790">
        <v>12512.7096</v>
      </c>
      <c r="AF914" s="1792"/>
    </row>
    <row r="915" spans="1:32" ht="27.75" customHeight="1">
      <c r="A915" s="1594">
        <v>4</v>
      </c>
      <c r="B915" s="1609" t="s">
        <v>1784</v>
      </c>
      <c r="C915" s="1632"/>
      <c r="D915" s="1592" t="s">
        <v>0</v>
      </c>
      <c r="E915" s="1583"/>
      <c r="F915" s="1583"/>
      <c r="G915" s="1583"/>
      <c r="H915" s="1583"/>
      <c r="I915" s="1583"/>
      <c r="J915" s="1583"/>
      <c r="K915" s="1583"/>
      <c r="L915" s="1583"/>
      <c r="M915" s="1583"/>
      <c r="N915" s="1583"/>
      <c r="O915" s="1583"/>
      <c r="P915" s="1583"/>
      <c r="Q915" s="1583"/>
      <c r="R915" s="1583"/>
      <c r="S915" s="1583"/>
      <c r="T915" s="1585"/>
      <c r="U915" s="1585"/>
      <c r="V915" s="1585"/>
      <c r="W915" s="1585"/>
      <c r="X915" s="1585"/>
      <c r="Y915" s="1585"/>
      <c r="Z915" s="1585"/>
      <c r="AA915" s="1585"/>
      <c r="AB915" s="1585"/>
      <c r="AC915" s="1585"/>
      <c r="AD915" s="1601">
        <f t="shared" si="124"/>
        <v>0</v>
      </c>
      <c r="AE915" s="1790">
        <v>0</v>
      </c>
      <c r="AF915" s="1792"/>
    </row>
    <row r="916" spans="1:32" ht="27.75" customHeight="1">
      <c r="A916" s="1594">
        <v>4.0599999999999996</v>
      </c>
      <c r="B916" s="1629" t="s">
        <v>2399</v>
      </c>
      <c r="C916" s="1632"/>
      <c r="D916" s="1592" t="s">
        <v>0</v>
      </c>
      <c r="E916" s="1583"/>
      <c r="F916" s="1583"/>
      <c r="G916" s="1583"/>
      <c r="H916" s="1583"/>
      <c r="I916" s="1583"/>
      <c r="J916" s="1583"/>
      <c r="K916" s="1583"/>
      <c r="L916" s="1583"/>
      <c r="M916" s="1583"/>
      <c r="N916" s="1583"/>
      <c r="O916" s="1583"/>
      <c r="P916" s="1583"/>
      <c r="Q916" s="1583"/>
      <c r="R916" s="1583"/>
      <c r="S916" s="1583"/>
      <c r="T916" s="1585"/>
      <c r="U916" s="1585"/>
      <c r="V916" s="1585"/>
      <c r="W916" s="1585"/>
      <c r="X916" s="1585"/>
      <c r="Y916" s="1585"/>
      <c r="Z916" s="1585"/>
      <c r="AA916" s="1585"/>
      <c r="AB916" s="1585"/>
      <c r="AC916" s="1585"/>
      <c r="AD916" s="1601">
        <f t="shared" si="124"/>
        <v>0</v>
      </c>
      <c r="AE916" s="1790">
        <v>0</v>
      </c>
      <c r="AF916" s="1792"/>
    </row>
    <row r="917" spans="1:32" ht="27.75" customHeight="1">
      <c r="A917" s="1594" t="s">
        <v>2400</v>
      </c>
      <c r="B917" s="1633" t="s">
        <v>2401</v>
      </c>
      <c r="C917" s="1632"/>
      <c r="D917" s="1592" t="s">
        <v>0</v>
      </c>
      <c r="E917" s="1583"/>
      <c r="F917" s="1583"/>
      <c r="G917" s="1583"/>
      <c r="H917" s="1583"/>
      <c r="I917" s="1583"/>
      <c r="J917" s="1583"/>
      <c r="K917" s="1583"/>
      <c r="L917" s="1583"/>
      <c r="M917" s="1583"/>
      <c r="N917" s="1583"/>
      <c r="O917" s="1583"/>
      <c r="P917" s="1583"/>
      <c r="Q917" s="1583"/>
      <c r="R917" s="1583"/>
      <c r="S917" s="1583"/>
      <c r="T917" s="1585"/>
      <c r="U917" s="1585"/>
      <c r="V917" s="1585"/>
      <c r="W917" s="1585"/>
      <c r="X917" s="1585"/>
      <c r="Y917" s="1585"/>
      <c r="Z917" s="1585"/>
      <c r="AA917" s="1585"/>
      <c r="AB917" s="1585"/>
      <c r="AC917" s="1585"/>
      <c r="AD917" s="1601">
        <f t="shared" si="124"/>
        <v>0</v>
      </c>
      <c r="AE917" s="1790">
        <v>0</v>
      </c>
      <c r="AF917" s="1792"/>
    </row>
    <row r="918" spans="1:32" ht="27.75" customHeight="1">
      <c r="A918" s="2918"/>
      <c r="B918" s="2919" t="s">
        <v>2402</v>
      </c>
      <c r="C918" s="2920" t="s">
        <v>52</v>
      </c>
      <c r="D918" s="2917">
        <v>1534.96</v>
      </c>
      <c r="E918" s="1598" t="s">
        <v>2496</v>
      </c>
      <c r="F918" s="1583"/>
      <c r="G918" s="1583"/>
      <c r="H918" s="1583"/>
      <c r="I918" s="1583"/>
      <c r="J918" s="1583"/>
      <c r="K918" s="1583"/>
      <c r="L918" s="1583"/>
      <c r="M918" s="1583"/>
      <c r="N918" s="1583"/>
      <c r="O918" s="1583"/>
      <c r="P918" s="1583"/>
      <c r="Q918" s="1583"/>
      <c r="R918" s="1583"/>
      <c r="S918" s="1583"/>
      <c r="T918" s="1585"/>
      <c r="U918" s="1585"/>
      <c r="V918" s="1585"/>
      <c r="W918" s="1585"/>
      <c r="X918" s="1585"/>
      <c r="Y918" s="1585"/>
      <c r="Z918" s="1585">
        <v>1534.96</v>
      </c>
      <c r="AA918" s="1585"/>
      <c r="AB918" s="1585"/>
      <c r="AC918" s="1585"/>
      <c r="AD918" s="1601">
        <f t="shared" si="124"/>
        <v>1534.96</v>
      </c>
      <c r="AE918" s="1790">
        <v>0</v>
      </c>
      <c r="AF918" s="1792"/>
    </row>
    <row r="919" spans="1:32" ht="27.75" customHeight="1">
      <c r="A919" s="2918"/>
      <c r="B919" s="2919"/>
      <c r="C919" s="2920"/>
      <c r="D919" s="2917"/>
      <c r="E919" s="1603" t="s">
        <v>2497</v>
      </c>
      <c r="F919" s="1583"/>
      <c r="G919" s="1583"/>
      <c r="H919" s="1583"/>
      <c r="I919" s="1583"/>
      <c r="J919" s="1583"/>
      <c r="K919" s="1583"/>
      <c r="L919" s="1583"/>
      <c r="M919" s="1583"/>
      <c r="N919" s="1583"/>
      <c r="O919" s="1583"/>
      <c r="P919" s="1583"/>
      <c r="Q919" s="1583"/>
      <c r="R919" s="1583"/>
      <c r="S919" s="1583"/>
      <c r="T919" s="1585"/>
      <c r="U919" s="1585"/>
      <c r="V919" s="1585"/>
      <c r="W919" s="1585"/>
      <c r="X919" s="1585"/>
      <c r="Y919" s="1585"/>
      <c r="Z919" s="1585"/>
      <c r="AA919" s="1585"/>
      <c r="AB919" s="1585"/>
      <c r="AC919" s="1585"/>
      <c r="AD919" s="1601">
        <f t="shared" si="124"/>
        <v>0</v>
      </c>
      <c r="AE919" s="1790">
        <v>0</v>
      </c>
      <c r="AF919" s="1792"/>
    </row>
    <row r="920" spans="1:32" ht="27.75" customHeight="1">
      <c r="A920" s="2918"/>
      <c r="B920" s="2919" t="s">
        <v>2403</v>
      </c>
      <c r="C920" s="2920" t="s">
        <v>52</v>
      </c>
      <c r="D920" s="2917">
        <v>501.15</v>
      </c>
      <c r="E920" s="1598" t="s">
        <v>2496</v>
      </c>
      <c r="F920" s="1583"/>
      <c r="G920" s="1583"/>
      <c r="H920" s="1583"/>
      <c r="I920" s="1583"/>
      <c r="J920" s="1583"/>
      <c r="K920" s="1583"/>
      <c r="L920" s="1583"/>
      <c r="M920" s="1583"/>
      <c r="N920" s="1583"/>
      <c r="O920" s="1583"/>
      <c r="P920" s="1583"/>
      <c r="Q920" s="1583"/>
      <c r="R920" s="1583"/>
      <c r="S920" s="1583"/>
      <c r="T920" s="1585"/>
      <c r="U920" s="1585"/>
      <c r="V920" s="1585"/>
      <c r="W920" s="1585"/>
      <c r="X920" s="1585"/>
      <c r="Y920" s="1585"/>
      <c r="Z920" s="1585">
        <v>501.15</v>
      </c>
      <c r="AA920" s="1585"/>
      <c r="AB920" s="1585"/>
      <c r="AC920" s="1585"/>
      <c r="AD920" s="1601">
        <f t="shared" si="124"/>
        <v>501.15</v>
      </c>
      <c r="AE920" s="1790">
        <v>0</v>
      </c>
      <c r="AF920" s="1792"/>
    </row>
    <row r="921" spans="1:32" ht="27.75" customHeight="1">
      <c r="A921" s="2918"/>
      <c r="B921" s="2919"/>
      <c r="C921" s="2920"/>
      <c r="D921" s="2917"/>
      <c r="E921" s="1603" t="s">
        <v>2497</v>
      </c>
      <c r="F921" s="1583"/>
      <c r="G921" s="1583"/>
      <c r="H921" s="1583"/>
      <c r="I921" s="1583"/>
      <c r="J921" s="1583"/>
      <c r="K921" s="1583"/>
      <c r="L921" s="1583"/>
      <c r="M921" s="1583"/>
      <c r="N921" s="1583"/>
      <c r="O921" s="1583"/>
      <c r="P921" s="1583"/>
      <c r="Q921" s="1583"/>
      <c r="R921" s="1583"/>
      <c r="S921" s="1583"/>
      <c r="T921" s="1585"/>
      <c r="U921" s="1585"/>
      <c r="V921" s="1585"/>
      <c r="W921" s="1585"/>
      <c r="X921" s="1585"/>
      <c r="Y921" s="1585"/>
      <c r="Z921" s="1585"/>
      <c r="AA921" s="1585"/>
      <c r="AB921" s="1585"/>
      <c r="AC921" s="1585"/>
      <c r="AD921" s="1601">
        <f t="shared" si="124"/>
        <v>0</v>
      </c>
      <c r="AE921" s="1790">
        <v>0</v>
      </c>
      <c r="AF921" s="1792"/>
    </row>
    <row r="922" spans="1:32" ht="27.75" customHeight="1">
      <c r="A922" s="2918"/>
      <c r="B922" s="2919" t="s">
        <v>2404</v>
      </c>
      <c r="C922" s="2920" t="s">
        <v>52</v>
      </c>
      <c r="D922" s="2917">
        <v>3579.11</v>
      </c>
      <c r="E922" s="1598" t="s">
        <v>2496</v>
      </c>
      <c r="F922" s="1583"/>
      <c r="G922" s="1583"/>
      <c r="H922" s="1583"/>
      <c r="I922" s="1583"/>
      <c r="J922" s="1583"/>
      <c r="K922" s="1583"/>
      <c r="L922" s="1583"/>
      <c r="M922" s="1583"/>
      <c r="N922" s="1583"/>
      <c r="O922" s="1583"/>
      <c r="P922" s="1583"/>
      <c r="Q922" s="1583"/>
      <c r="R922" s="1583"/>
      <c r="S922" s="1583"/>
      <c r="T922" s="1585"/>
      <c r="U922" s="1585"/>
      <c r="V922" s="1585"/>
      <c r="W922" s="1585"/>
      <c r="X922" s="1585"/>
      <c r="Y922" s="1585"/>
      <c r="Z922" s="1585">
        <v>3579.11</v>
      </c>
      <c r="AA922" s="1585"/>
      <c r="AB922" s="1585"/>
      <c r="AC922" s="1585"/>
      <c r="AD922" s="1601">
        <f t="shared" si="124"/>
        <v>3579.11</v>
      </c>
      <c r="AE922" s="1790">
        <v>0</v>
      </c>
      <c r="AF922" s="1792"/>
    </row>
    <row r="923" spans="1:32" ht="27.75" customHeight="1">
      <c r="A923" s="2918"/>
      <c r="B923" s="2919"/>
      <c r="C923" s="2920"/>
      <c r="D923" s="2917"/>
      <c r="E923" s="1603" t="s">
        <v>2497</v>
      </c>
      <c r="F923" s="1583"/>
      <c r="G923" s="1583"/>
      <c r="H923" s="1583"/>
      <c r="I923" s="1583"/>
      <c r="J923" s="1583"/>
      <c r="K923" s="1583"/>
      <c r="L923" s="1583"/>
      <c r="M923" s="1583"/>
      <c r="N923" s="1583"/>
      <c r="O923" s="1583"/>
      <c r="P923" s="1583"/>
      <c r="Q923" s="1583"/>
      <c r="R923" s="1583"/>
      <c r="S923" s="1583"/>
      <c r="T923" s="1585"/>
      <c r="U923" s="1585"/>
      <c r="V923" s="1585"/>
      <c r="W923" s="1585"/>
      <c r="X923" s="1585"/>
      <c r="Y923" s="1585"/>
      <c r="Z923" s="1585"/>
      <c r="AA923" s="1585"/>
      <c r="AB923" s="1585"/>
      <c r="AC923" s="1585"/>
      <c r="AD923" s="1601">
        <f t="shared" si="124"/>
        <v>0</v>
      </c>
      <c r="AE923" s="1790">
        <v>0</v>
      </c>
      <c r="AF923" s="1792"/>
    </row>
    <row r="924" spans="1:32" ht="27.75" customHeight="1">
      <c r="A924" s="2918"/>
      <c r="B924" s="2919" t="s">
        <v>2405</v>
      </c>
      <c r="C924" s="2920" t="s">
        <v>52</v>
      </c>
      <c r="D924" s="2917">
        <v>556.07000000000005</v>
      </c>
      <c r="E924" s="1598" t="s">
        <v>2496</v>
      </c>
      <c r="F924" s="1583"/>
      <c r="G924" s="1583"/>
      <c r="H924" s="1583"/>
      <c r="I924" s="1583"/>
      <c r="J924" s="1583"/>
      <c r="K924" s="1583"/>
      <c r="L924" s="1583"/>
      <c r="M924" s="1583"/>
      <c r="N924" s="1583"/>
      <c r="O924" s="1583"/>
      <c r="P924" s="1583"/>
      <c r="Q924" s="1583"/>
      <c r="R924" s="1583"/>
      <c r="S924" s="1583"/>
      <c r="T924" s="1585"/>
      <c r="U924" s="1585"/>
      <c r="V924" s="1585"/>
      <c r="W924" s="1585"/>
      <c r="X924" s="1585"/>
      <c r="Y924" s="1585"/>
      <c r="Z924" s="1585">
        <v>556.07000000000005</v>
      </c>
      <c r="AA924" s="1585"/>
      <c r="AB924" s="1585"/>
      <c r="AC924" s="1585"/>
      <c r="AD924" s="1601">
        <f t="shared" si="124"/>
        <v>556.07000000000005</v>
      </c>
      <c r="AE924" s="1790">
        <v>0</v>
      </c>
      <c r="AF924" s="1792"/>
    </row>
    <row r="925" spans="1:32" ht="27.75" customHeight="1">
      <c r="A925" s="2918"/>
      <c r="B925" s="2919"/>
      <c r="C925" s="2920"/>
      <c r="D925" s="2917"/>
      <c r="E925" s="1603" t="s">
        <v>2497</v>
      </c>
      <c r="F925" s="1583"/>
      <c r="G925" s="1583"/>
      <c r="H925" s="1583"/>
      <c r="I925" s="1583"/>
      <c r="J925" s="1583"/>
      <c r="K925" s="1583"/>
      <c r="L925" s="1583"/>
      <c r="M925" s="1583"/>
      <c r="N925" s="1583"/>
      <c r="O925" s="1583"/>
      <c r="P925" s="1583"/>
      <c r="Q925" s="1583"/>
      <c r="R925" s="1583"/>
      <c r="S925" s="1583"/>
      <c r="T925" s="1585"/>
      <c r="U925" s="1585"/>
      <c r="V925" s="1585"/>
      <c r="W925" s="1585"/>
      <c r="X925" s="1585"/>
      <c r="Y925" s="1585"/>
      <c r="Z925" s="1585"/>
      <c r="AA925" s="1585"/>
      <c r="AB925" s="1585"/>
      <c r="AC925" s="1585"/>
      <c r="AD925" s="1601">
        <f t="shared" si="124"/>
        <v>0</v>
      </c>
      <c r="AE925" s="1790">
        <v>0</v>
      </c>
      <c r="AF925" s="1792"/>
    </row>
    <row r="926" spans="1:32" ht="27.75" customHeight="1">
      <c r="A926" s="2918"/>
      <c r="B926" s="2919" t="s">
        <v>2406</v>
      </c>
      <c r="C926" s="2920" t="s">
        <v>52</v>
      </c>
      <c r="D926" s="2917">
        <v>1310.25</v>
      </c>
      <c r="E926" s="1598" t="s">
        <v>2496</v>
      </c>
      <c r="F926" s="1583"/>
      <c r="G926" s="1583"/>
      <c r="H926" s="1583"/>
      <c r="I926" s="1583"/>
      <c r="J926" s="1583"/>
      <c r="K926" s="1583"/>
      <c r="L926" s="1583"/>
      <c r="M926" s="1583"/>
      <c r="N926" s="1583"/>
      <c r="O926" s="1583"/>
      <c r="P926" s="1583"/>
      <c r="Q926" s="1583"/>
      <c r="R926" s="1583"/>
      <c r="S926" s="1583"/>
      <c r="T926" s="1585"/>
      <c r="U926" s="1585"/>
      <c r="V926" s="1585"/>
      <c r="W926" s="1585"/>
      <c r="X926" s="1585"/>
      <c r="Y926" s="1585"/>
      <c r="Z926" s="1585">
        <v>1310.25</v>
      </c>
      <c r="AA926" s="1585"/>
      <c r="AB926" s="1585"/>
      <c r="AC926" s="1585"/>
      <c r="AD926" s="1601">
        <f t="shared" si="124"/>
        <v>1310.25</v>
      </c>
      <c r="AE926" s="1790">
        <v>0</v>
      </c>
      <c r="AF926" s="1792"/>
    </row>
    <row r="927" spans="1:32" ht="27.75" customHeight="1">
      <c r="A927" s="2918"/>
      <c r="B927" s="2919"/>
      <c r="C927" s="2920"/>
      <c r="D927" s="2917"/>
      <c r="E927" s="1603" t="s">
        <v>2497</v>
      </c>
      <c r="F927" s="1583"/>
      <c r="G927" s="1583"/>
      <c r="H927" s="1583"/>
      <c r="I927" s="1583"/>
      <c r="J927" s="1583"/>
      <c r="K927" s="1583"/>
      <c r="L927" s="1583"/>
      <c r="M927" s="1583"/>
      <c r="N927" s="1583"/>
      <c r="O927" s="1583"/>
      <c r="P927" s="1583"/>
      <c r="Q927" s="1583"/>
      <c r="R927" s="1583"/>
      <c r="S927" s="1583"/>
      <c r="T927" s="1585"/>
      <c r="U927" s="1585"/>
      <c r="V927" s="1585"/>
      <c r="W927" s="1585"/>
      <c r="X927" s="1585"/>
      <c r="Y927" s="1585"/>
      <c r="Z927" s="1585"/>
      <c r="AA927" s="1585"/>
      <c r="AB927" s="1585"/>
      <c r="AC927" s="1585"/>
      <c r="AD927" s="1601">
        <f t="shared" si="124"/>
        <v>0</v>
      </c>
      <c r="AE927" s="1790">
        <v>0</v>
      </c>
      <c r="AF927" s="1792"/>
    </row>
    <row r="928" spans="1:32" ht="27.75" customHeight="1">
      <c r="A928" s="2918"/>
      <c r="B928" s="2919" t="s">
        <v>2407</v>
      </c>
      <c r="C928" s="2920" t="s">
        <v>52</v>
      </c>
      <c r="D928" s="2917">
        <v>554.1</v>
      </c>
      <c r="E928" s="1598" t="s">
        <v>2496</v>
      </c>
      <c r="F928" s="1583"/>
      <c r="G928" s="1583"/>
      <c r="H928" s="1583"/>
      <c r="I928" s="1583"/>
      <c r="J928" s="1583"/>
      <c r="K928" s="1583"/>
      <c r="L928" s="1583"/>
      <c r="M928" s="1583"/>
      <c r="N928" s="1583"/>
      <c r="O928" s="1583"/>
      <c r="P928" s="1583"/>
      <c r="Q928" s="1583"/>
      <c r="R928" s="1583"/>
      <c r="S928" s="1583"/>
      <c r="T928" s="1585"/>
      <c r="U928" s="1585"/>
      <c r="V928" s="1585"/>
      <c r="W928" s="1585"/>
      <c r="X928" s="1585"/>
      <c r="Y928" s="1585"/>
      <c r="Z928" s="1585">
        <v>554.1</v>
      </c>
      <c r="AA928" s="1585"/>
      <c r="AB928" s="1585"/>
      <c r="AC928" s="1585"/>
      <c r="AD928" s="1601">
        <f t="shared" si="124"/>
        <v>554.1</v>
      </c>
      <c r="AE928" s="1790">
        <v>0</v>
      </c>
      <c r="AF928" s="1792"/>
    </row>
    <row r="929" spans="1:32" ht="27.75" customHeight="1">
      <c r="A929" s="2918"/>
      <c r="B929" s="2919"/>
      <c r="C929" s="2920"/>
      <c r="D929" s="2917"/>
      <c r="E929" s="1603" t="s">
        <v>2497</v>
      </c>
      <c r="F929" s="1583"/>
      <c r="G929" s="1583"/>
      <c r="H929" s="1583"/>
      <c r="I929" s="1583"/>
      <c r="J929" s="1583"/>
      <c r="K929" s="1583"/>
      <c r="L929" s="1583"/>
      <c r="M929" s="1583"/>
      <c r="N929" s="1583"/>
      <c r="O929" s="1583"/>
      <c r="P929" s="1583"/>
      <c r="Q929" s="1583"/>
      <c r="R929" s="1583"/>
      <c r="S929" s="1583"/>
      <c r="T929" s="1585"/>
      <c r="U929" s="1585"/>
      <c r="V929" s="1585"/>
      <c r="W929" s="1585"/>
      <c r="X929" s="1585"/>
      <c r="Y929" s="1585"/>
      <c r="Z929" s="1585"/>
      <c r="AA929" s="1585"/>
      <c r="AB929" s="1585"/>
      <c r="AC929" s="1585"/>
      <c r="AD929" s="1601">
        <f t="shared" si="124"/>
        <v>0</v>
      </c>
      <c r="AE929" s="1790">
        <v>0</v>
      </c>
      <c r="AF929" s="1792"/>
    </row>
    <row r="930" spans="1:32" ht="27.75" customHeight="1">
      <c r="A930" s="2918"/>
      <c r="B930" s="2919" t="s">
        <v>2408</v>
      </c>
      <c r="C930" s="2920" t="s">
        <v>52</v>
      </c>
      <c r="D930" s="2917">
        <v>524.1</v>
      </c>
      <c r="E930" s="1598" t="s">
        <v>2496</v>
      </c>
      <c r="F930" s="1583"/>
      <c r="G930" s="1583"/>
      <c r="H930" s="1583"/>
      <c r="I930" s="1583"/>
      <c r="J930" s="1583"/>
      <c r="K930" s="1583"/>
      <c r="L930" s="1583"/>
      <c r="M930" s="1583"/>
      <c r="N930" s="1583"/>
      <c r="O930" s="1583"/>
      <c r="P930" s="1583"/>
      <c r="Q930" s="1583"/>
      <c r="R930" s="1583"/>
      <c r="S930" s="1583"/>
      <c r="T930" s="1585"/>
      <c r="U930" s="1585"/>
      <c r="V930" s="1585"/>
      <c r="W930" s="1585"/>
      <c r="X930" s="1585"/>
      <c r="Y930" s="1585"/>
      <c r="Z930" s="1585">
        <v>524.1</v>
      </c>
      <c r="AA930" s="1585"/>
      <c r="AB930" s="1585"/>
      <c r="AC930" s="1585"/>
      <c r="AD930" s="1601">
        <f t="shared" si="124"/>
        <v>524.1</v>
      </c>
      <c r="AE930" s="1790">
        <v>0</v>
      </c>
      <c r="AF930" s="1792"/>
    </row>
    <row r="931" spans="1:32" ht="27.75" customHeight="1">
      <c r="A931" s="2918"/>
      <c r="B931" s="2919"/>
      <c r="C931" s="2920"/>
      <c r="D931" s="2917"/>
      <c r="E931" s="1603" t="s">
        <v>2497</v>
      </c>
      <c r="F931" s="1583"/>
      <c r="G931" s="1583"/>
      <c r="H931" s="1583"/>
      <c r="I931" s="1583"/>
      <c r="J931" s="1583"/>
      <c r="K931" s="1583"/>
      <c r="L931" s="1583"/>
      <c r="M931" s="1583"/>
      <c r="N931" s="1583"/>
      <c r="O931" s="1583"/>
      <c r="P931" s="1583"/>
      <c r="Q931" s="1583"/>
      <c r="R931" s="1583"/>
      <c r="S931" s="1583"/>
      <c r="T931" s="1585"/>
      <c r="U931" s="1585"/>
      <c r="V931" s="1585"/>
      <c r="W931" s="1585"/>
      <c r="X931" s="1585"/>
      <c r="Y931" s="1585"/>
      <c r="Z931" s="1585"/>
      <c r="AA931" s="1585"/>
      <c r="AB931" s="1585"/>
      <c r="AC931" s="1585"/>
      <c r="AD931" s="1601">
        <f t="shared" si="124"/>
        <v>0</v>
      </c>
      <c r="AE931" s="1790">
        <v>0</v>
      </c>
      <c r="AF931" s="1792"/>
    </row>
    <row r="932" spans="1:32" ht="27.75" customHeight="1">
      <c r="A932" s="2918"/>
      <c r="B932" s="2919" t="s">
        <v>2409</v>
      </c>
      <c r="C932" s="2920" t="s">
        <v>52</v>
      </c>
      <c r="D932" s="2917">
        <v>444.69</v>
      </c>
      <c r="E932" s="1598" t="s">
        <v>2496</v>
      </c>
      <c r="F932" s="1583"/>
      <c r="G932" s="1583"/>
      <c r="H932" s="1583"/>
      <c r="I932" s="1583"/>
      <c r="J932" s="1583"/>
      <c r="K932" s="1583"/>
      <c r="L932" s="1583"/>
      <c r="M932" s="1583"/>
      <c r="N932" s="1583"/>
      <c r="O932" s="1583"/>
      <c r="P932" s="1583"/>
      <c r="Q932" s="1583"/>
      <c r="R932" s="1583"/>
      <c r="S932" s="1583"/>
      <c r="T932" s="1585"/>
      <c r="U932" s="1585"/>
      <c r="V932" s="1585"/>
      <c r="W932" s="1585"/>
      <c r="X932" s="1585"/>
      <c r="Y932" s="1585"/>
      <c r="Z932" s="1585">
        <v>444.69</v>
      </c>
      <c r="AA932" s="1585"/>
      <c r="AB932" s="1585"/>
      <c r="AC932" s="1585"/>
      <c r="AD932" s="1601">
        <f t="shared" si="124"/>
        <v>444.69</v>
      </c>
      <c r="AE932" s="1790">
        <v>0</v>
      </c>
      <c r="AF932" s="1792"/>
    </row>
    <row r="933" spans="1:32" ht="27.75" customHeight="1">
      <c r="A933" s="2918"/>
      <c r="B933" s="2919"/>
      <c r="C933" s="2920"/>
      <c r="D933" s="2917"/>
      <c r="E933" s="1603" t="s">
        <v>2497</v>
      </c>
      <c r="F933" s="1583"/>
      <c r="G933" s="1583"/>
      <c r="H933" s="1583"/>
      <c r="I933" s="1583"/>
      <c r="J933" s="1583"/>
      <c r="K933" s="1583"/>
      <c r="L933" s="1583"/>
      <c r="M933" s="1583"/>
      <c r="N933" s="1583"/>
      <c r="O933" s="1583"/>
      <c r="P933" s="1583"/>
      <c r="Q933" s="1583"/>
      <c r="R933" s="1583"/>
      <c r="S933" s="1583"/>
      <c r="T933" s="1585"/>
      <c r="U933" s="1585"/>
      <c r="V933" s="1585"/>
      <c r="W933" s="1585"/>
      <c r="X933" s="1585"/>
      <c r="Y933" s="1585"/>
      <c r="Z933" s="1585"/>
      <c r="AA933" s="1585"/>
      <c r="AB933" s="1585"/>
      <c r="AC933" s="1585"/>
      <c r="AD933" s="1601">
        <f t="shared" si="124"/>
        <v>0</v>
      </c>
      <c r="AE933" s="1790">
        <v>0</v>
      </c>
      <c r="AF933" s="1792"/>
    </row>
    <row r="934" spans="1:32" ht="27.75" customHeight="1">
      <c r="A934" s="2918"/>
      <c r="B934" s="2919" t="s">
        <v>2410</v>
      </c>
      <c r="C934" s="2920" t="s">
        <v>52</v>
      </c>
      <c r="D934" s="2917">
        <v>218.46</v>
      </c>
      <c r="E934" s="1598" t="s">
        <v>2496</v>
      </c>
      <c r="F934" s="1583"/>
      <c r="G934" s="1583"/>
      <c r="H934" s="1583"/>
      <c r="I934" s="1583"/>
      <c r="J934" s="1583"/>
      <c r="K934" s="1583"/>
      <c r="L934" s="1583"/>
      <c r="M934" s="1583"/>
      <c r="N934" s="1583"/>
      <c r="O934" s="1583"/>
      <c r="P934" s="1583"/>
      <c r="Q934" s="1583"/>
      <c r="R934" s="1583"/>
      <c r="S934" s="1583"/>
      <c r="T934" s="1585"/>
      <c r="U934" s="1585"/>
      <c r="V934" s="1585"/>
      <c r="W934" s="1585"/>
      <c r="X934" s="1585"/>
      <c r="Y934" s="1585"/>
      <c r="Z934" s="1585">
        <v>218.46</v>
      </c>
      <c r="AA934" s="1585"/>
      <c r="AB934" s="1585"/>
      <c r="AC934" s="1585"/>
      <c r="AD934" s="1601">
        <f t="shared" si="124"/>
        <v>218.46</v>
      </c>
      <c r="AE934" s="1790">
        <v>0</v>
      </c>
      <c r="AF934" s="1792"/>
    </row>
    <row r="935" spans="1:32" ht="27.75" customHeight="1">
      <c r="A935" s="2918"/>
      <c r="B935" s="2919"/>
      <c r="C935" s="2920"/>
      <c r="D935" s="2917"/>
      <c r="E935" s="1603" t="s">
        <v>2497</v>
      </c>
      <c r="F935" s="1583"/>
      <c r="G935" s="1583"/>
      <c r="H935" s="1583"/>
      <c r="I935" s="1583"/>
      <c r="J935" s="1583"/>
      <c r="K935" s="1583"/>
      <c r="L935" s="1583"/>
      <c r="M935" s="1583"/>
      <c r="N935" s="1583"/>
      <c r="O935" s="1583"/>
      <c r="P935" s="1583"/>
      <c r="Q935" s="1583"/>
      <c r="R935" s="1583"/>
      <c r="S935" s="1583"/>
      <c r="T935" s="1585"/>
      <c r="U935" s="1585"/>
      <c r="V935" s="1585"/>
      <c r="W935" s="1585"/>
      <c r="X935" s="1585"/>
      <c r="Y935" s="1585"/>
      <c r="Z935" s="1585"/>
      <c r="AA935" s="1585"/>
      <c r="AB935" s="1585"/>
      <c r="AC935" s="1585"/>
      <c r="AD935" s="1601">
        <f t="shared" si="124"/>
        <v>0</v>
      </c>
      <c r="AE935" s="1790">
        <v>0</v>
      </c>
      <c r="AF935" s="1792"/>
    </row>
    <row r="936" spans="1:32" ht="27.75" customHeight="1">
      <c r="A936" s="1594">
        <v>5</v>
      </c>
      <c r="B936" s="1609" t="s">
        <v>1885</v>
      </c>
      <c r="C936" s="1591"/>
      <c r="D936" s="1597" t="s">
        <v>0</v>
      </c>
      <c r="E936" s="1583"/>
      <c r="F936" s="1583"/>
      <c r="G936" s="1583"/>
      <c r="H936" s="1583"/>
      <c r="I936" s="1583"/>
      <c r="J936" s="1583"/>
      <c r="K936" s="1583"/>
      <c r="L936" s="1583"/>
      <c r="M936" s="1583"/>
      <c r="N936" s="1583"/>
      <c r="O936" s="1583"/>
      <c r="P936" s="1583"/>
      <c r="Q936" s="1583"/>
      <c r="R936" s="1583"/>
      <c r="S936" s="1583"/>
      <c r="T936" s="1585"/>
      <c r="U936" s="1585"/>
      <c r="V936" s="1585"/>
      <c r="W936" s="1585"/>
      <c r="X936" s="1585"/>
      <c r="Y936" s="1585"/>
      <c r="Z936" s="1585"/>
      <c r="AA936" s="1585"/>
      <c r="AB936" s="1585"/>
      <c r="AC936" s="1585"/>
      <c r="AD936" s="1601">
        <f t="shared" si="124"/>
        <v>0</v>
      </c>
      <c r="AE936" s="1790">
        <v>0</v>
      </c>
      <c r="AF936" s="1792"/>
    </row>
    <row r="937" spans="1:32" ht="27.75" customHeight="1">
      <c r="A937" s="1594">
        <v>5.5</v>
      </c>
      <c r="B937" s="1629" t="s">
        <v>1945</v>
      </c>
      <c r="C937" s="1632"/>
      <c r="D937" s="1592" t="s">
        <v>0</v>
      </c>
      <c r="E937" s="1588"/>
      <c r="F937" s="1583"/>
      <c r="G937" s="1583"/>
      <c r="H937" s="1583"/>
      <c r="I937" s="1583"/>
      <c r="J937" s="1583"/>
      <c r="K937" s="1583"/>
      <c r="L937" s="1583"/>
      <c r="M937" s="1583"/>
      <c r="N937" s="1583"/>
      <c r="O937" s="1583"/>
      <c r="P937" s="1583"/>
      <c r="Q937" s="1583"/>
      <c r="R937" s="1583"/>
      <c r="S937" s="1583"/>
      <c r="T937" s="1585"/>
      <c r="U937" s="1585"/>
      <c r="V937" s="1585"/>
      <c r="W937" s="1585"/>
      <c r="X937" s="1585"/>
      <c r="Y937" s="1585"/>
      <c r="Z937" s="1585"/>
      <c r="AA937" s="1585"/>
      <c r="AB937" s="1585"/>
      <c r="AC937" s="1585"/>
      <c r="AD937" s="1601">
        <f t="shared" si="124"/>
        <v>0</v>
      </c>
      <c r="AE937" s="1790">
        <v>0</v>
      </c>
      <c r="AF937" s="1792"/>
    </row>
    <row r="938" spans="1:32" ht="27.75" customHeight="1">
      <c r="A938" s="1594" t="s">
        <v>1440</v>
      </c>
      <c r="B938" s="1609" t="s">
        <v>1934</v>
      </c>
      <c r="C938" s="1632"/>
      <c r="D938" s="1597" t="s">
        <v>0</v>
      </c>
      <c r="E938" s="1593"/>
      <c r="F938" s="1583"/>
      <c r="G938" s="1583"/>
      <c r="H938" s="1583"/>
      <c r="I938" s="1583"/>
      <c r="J938" s="1583"/>
      <c r="K938" s="1583"/>
      <c r="L938" s="1583"/>
      <c r="M938" s="1583"/>
      <c r="N938" s="1583"/>
      <c r="O938" s="1583"/>
      <c r="P938" s="1583"/>
      <c r="Q938" s="1583"/>
      <c r="R938" s="1583"/>
      <c r="S938" s="1583"/>
      <c r="T938" s="1585"/>
      <c r="U938" s="1585"/>
      <c r="V938" s="1585"/>
      <c r="W938" s="1585"/>
      <c r="X938" s="1585"/>
      <c r="Y938" s="1585"/>
      <c r="Z938" s="1585"/>
      <c r="AA938" s="1585"/>
      <c r="AB938" s="1585"/>
      <c r="AC938" s="1585"/>
      <c r="AD938" s="1601">
        <f t="shared" si="124"/>
        <v>0</v>
      </c>
      <c r="AE938" s="1790">
        <v>0</v>
      </c>
      <c r="AF938" s="1792"/>
    </row>
    <row r="939" spans="1:32" ht="27.75" customHeight="1">
      <c r="A939" s="2918"/>
      <c r="B939" s="2919" t="s">
        <v>2415</v>
      </c>
      <c r="C939" s="2920" t="s">
        <v>52</v>
      </c>
      <c r="D939" s="2917">
        <v>17160</v>
      </c>
      <c r="E939" s="1598" t="s">
        <v>2496</v>
      </c>
      <c r="F939" s="1583"/>
      <c r="G939" s="1583"/>
      <c r="H939" s="1583"/>
      <c r="I939" s="1583"/>
      <c r="J939" s="1583"/>
      <c r="K939" s="1583"/>
      <c r="L939" s="1583"/>
      <c r="M939" s="1583"/>
      <c r="N939" s="1583"/>
      <c r="O939" s="1583"/>
      <c r="P939" s="1583"/>
      <c r="Q939" s="1585">
        <f t="shared" ref="Q939" si="125">Q940</f>
        <v>15020.72</v>
      </c>
      <c r="R939" s="1583"/>
      <c r="S939" s="1583"/>
      <c r="T939" s="1585">
        <v>1258.4000000000001</v>
      </c>
      <c r="U939" s="1585"/>
      <c r="V939" s="1585"/>
      <c r="W939" s="1585"/>
      <c r="X939" s="1585"/>
      <c r="Y939" s="1585"/>
      <c r="Z939" s="1585">
        <v>880.88000000000102</v>
      </c>
      <c r="AA939" s="1585"/>
      <c r="AB939" s="1585"/>
      <c r="AC939" s="1585"/>
      <c r="AD939" s="1601">
        <f t="shared" si="124"/>
        <v>17160</v>
      </c>
      <c r="AE939" s="1790">
        <v>16279.119999999999</v>
      </c>
      <c r="AF939" s="1792"/>
    </row>
    <row r="940" spans="1:32" ht="27.75" customHeight="1">
      <c r="A940" s="2918"/>
      <c r="B940" s="2919"/>
      <c r="C940" s="2920"/>
      <c r="D940" s="2917"/>
      <c r="E940" s="1603" t="s">
        <v>2497</v>
      </c>
      <c r="F940" s="1583"/>
      <c r="G940" s="1583"/>
      <c r="H940" s="1583"/>
      <c r="I940" s="1583"/>
      <c r="J940" s="1583"/>
      <c r="K940" s="1583"/>
      <c r="L940" s="1583"/>
      <c r="M940" s="1583"/>
      <c r="N940" s="1583"/>
      <c r="O940" s="1583"/>
      <c r="P940" s="1583"/>
      <c r="Q940" s="1604">
        <v>15020.72</v>
      </c>
      <c r="R940" s="1583"/>
      <c r="S940" s="1583"/>
      <c r="T940" s="1604">
        <f>T939</f>
        <v>1258.4000000000001</v>
      </c>
      <c r="U940" s="1585"/>
      <c r="V940" s="1585"/>
      <c r="W940" s="1585"/>
      <c r="X940" s="1585"/>
      <c r="Y940" s="1585"/>
      <c r="Z940" s="1585"/>
      <c r="AA940" s="1585"/>
      <c r="AB940" s="1585"/>
      <c r="AC940" s="1585"/>
      <c r="AD940" s="1601">
        <f t="shared" si="124"/>
        <v>16279.119999999999</v>
      </c>
      <c r="AE940" s="1790">
        <v>16279.119999999999</v>
      </c>
      <c r="AF940" s="1792"/>
    </row>
    <row r="941" spans="1:32" ht="27.75" customHeight="1">
      <c r="A941" s="2918"/>
      <c r="B941" s="2919" t="s">
        <v>2416</v>
      </c>
      <c r="C941" s="2920" t="s">
        <v>52</v>
      </c>
      <c r="D941" s="2917">
        <v>8112</v>
      </c>
      <c r="E941" s="1598" t="s">
        <v>2496</v>
      </c>
      <c r="F941" s="1583"/>
      <c r="G941" s="1583"/>
      <c r="H941" s="1583"/>
      <c r="I941" s="1583"/>
      <c r="J941" s="1583"/>
      <c r="K941" s="1583"/>
      <c r="L941" s="1583"/>
      <c r="M941" s="1583"/>
      <c r="N941" s="1583"/>
      <c r="O941" s="1583"/>
      <c r="P941" s="1583"/>
      <c r="Q941" s="1585">
        <f t="shared" ref="Q941" si="126">Q942</f>
        <v>8112</v>
      </c>
      <c r="R941" s="1583"/>
      <c r="S941" s="1583"/>
      <c r="T941" s="1585"/>
      <c r="U941" s="1585"/>
      <c r="V941" s="1585"/>
      <c r="W941" s="1585"/>
      <c r="X941" s="1585"/>
      <c r="Y941" s="1585"/>
      <c r="Z941" s="1585"/>
      <c r="AA941" s="1585"/>
      <c r="AB941" s="1585"/>
      <c r="AC941" s="1585"/>
      <c r="AD941" s="1601">
        <f t="shared" si="124"/>
        <v>8112</v>
      </c>
      <c r="AE941" s="1790">
        <v>8112</v>
      </c>
      <c r="AF941" s="1792"/>
    </row>
    <row r="942" spans="1:32" ht="27.75" customHeight="1">
      <c r="A942" s="2918"/>
      <c r="B942" s="2919"/>
      <c r="C942" s="2920"/>
      <c r="D942" s="2917"/>
      <c r="E942" s="1603" t="s">
        <v>2497</v>
      </c>
      <c r="F942" s="1583"/>
      <c r="G942" s="1583"/>
      <c r="H942" s="1583"/>
      <c r="I942" s="1583"/>
      <c r="J942" s="1583"/>
      <c r="K942" s="1583"/>
      <c r="L942" s="1583"/>
      <c r="M942" s="1583"/>
      <c r="N942" s="1583"/>
      <c r="O942" s="1583"/>
      <c r="P942" s="1583"/>
      <c r="Q942" s="1604">
        <v>8112</v>
      </c>
      <c r="R942" s="1583"/>
      <c r="S942" s="1583"/>
      <c r="T942" s="1585"/>
      <c r="U942" s="1585"/>
      <c r="V942" s="1585"/>
      <c r="W942" s="1585"/>
      <c r="X942" s="1585"/>
      <c r="Y942" s="1585"/>
      <c r="Z942" s="1585"/>
      <c r="AA942" s="1585"/>
      <c r="AB942" s="1585"/>
      <c r="AC942" s="1585"/>
      <c r="AD942" s="1601">
        <f t="shared" si="124"/>
        <v>8112</v>
      </c>
      <c r="AE942" s="1790">
        <v>8112</v>
      </c>
      <c r="AF942" s="1792"/>
    </row>
    <row r="943" spans="1:32" ht="27.75" customHeight="1">
      <c r="A943" s="2918"/>
      <c r="B943" s="2919" t="s">
        <v>2417</v>
      </c>
      <c r="C943" s="2920" t="s">
        <v>52</v>
      </c>
      <c r="D943" s="2917">
        <v>11600</v>
      </c>
      <c r="E943" s="1598" t="s">
        <v>2496</v>
      </c>
      <c r="F943" s="1583"/>
      <c r="G943" s="1583"/>
      <c r="H943" s="1583"/>
      <c r="I943" s="1583"/>
      <c r="J943" s="1583"/>
      <c r="K943" s="1583"/>
      <c r="L943" s="1583"/>
      <c r="M943" s="1583"/>
      <c r="N943" s="1583"/>
      <c r="O943" s="1583"/>
      <c r="P943" s="1583"/>
      <c r="Q943" s="1585">
        <f t="shared" ref="Q943" si="127">Q944</f>
        <v>11600</v>
      </c>
      <c r="R943" s="1583"/>
      <c r="S943" s="1583"/>
      <c r="T943" s="1585"/>
      <c r="U943" s="1585"/>
      <c r="V943" s="1585"/>
      <c r="W943" s="1585"/>
      <c r="X943" s="1585"/>
      <c r="Y943" s="1585"/>
      <c r="Z943" s="1585"/>
      <c r="AA943" s="1585"/>
      <c r="AB943" s="1585"/>
      <c r="AC943" s="1585"/>
      <c r="AD943" s="1601">
        <f t="shared" si="124"/>
        <v>11600</v>
      </c>
      <c r="AE943" s="1790">
        <v>11600</v>
      </c>
      <c r="AF943" s="1792"/>
    </row>
    <row r="944" spans="1:32" ht="27.75" customHeight="1">
      <c r="A944" s="2918"/>
      <c r="B944" s="2919"/>
      <c r="C944" s="2920"/>
      <c r="D944" s="2917"/>
      <c r="E944" s="1603" t="s">
        <v>2497</v>
      </c>
      <c r="F944" s="1583"/>
      <c r="G944" s="1583"/>
      <c r="H944" s="1583"/>
      <c r="I944" s="1583"/>
      <c r="J944" s="1583"/>
      <c r="K944" s="1583"/>
      <c r="L944" s="1583"/>
      <c r="M944" s="1583"/>
      <c r="N944" s="1583"/>
      <c r="O944" s="1583"/>
      <c r="P944" s="1583"/>
      <c r="Q944" s="1604">
        <v>11600</v>
      </c>
      <c r="R944" s="1583"/>
      <c r="S944" s="1583"/>
      <c r="T944" s="1585"/>
      <c r="U944" s="1585"/>
      <c r="V944" s="1585"/>
      <c r="W944" s="1585"/>
      <c r="X944" s="1585"/>
      <c r="Y944" s="1585"/>
      <c r="Z944" s="1585"/>
      <c r="AA944" s="1585"/>
      <c r="AB944" s="1585"/>
      <c r="AC944" s="1585"/>
      <c r="AD944" s="1601">
        <f t="shared" si="124"/>
        <v>11600</v>
      </c>
      <c r="AE944" s="1790">
        <v>11600</v>
      </c>
      <c r="AF944" s="1792"/>
    </row>
    <row r="945" spans="1:32" ht="27.75" customHeight="1">
      <c r="A945" s="1594" t="s">
        <v>1442</v>
      </c>
      <c r="B945" s="1609" t="s">
        <v>1947</v>
      </c>
      <c r="C945" s="1632"/>
      <c r="D945" s="1597" t="s">
        <v>0</v>
      </c>
      <c r="E945" s="1583"/>
      <c r="F945" s="1583"/>
      <c r="G945" s="1583"/>
      <c r="H945" s="1583"/>
      <c r="I945" s="1583"/>
      <c r="J945" s="1583"/>
      <c r="K945" s="1583"/>
      <c r="L945" s="1583"/>
      <c r="M945" s="1583"/>
      <c r="N945" s="1583"/>
      <c r="O945" s="1583"/>
      <c r="P945" s="1583"/>
      <c r="Q945" s="1583"/>
      <c r="R945" s="1583"/>
      <c r="S945" s="1583"/>
      <c r="T945" s="1585"/>
      <c r="U945" s="1585"/>
      <c r="V945" s="1585"/>
      <c r="W945" s="1585"/>
      <c r="X945" s="1585"/>
      <c r="Y945" s="1585"/>
      <c r="Z945" s="1585"/>
      <c r="AA945" s="1585"/>
      <c r="AB945" s="1585"/>
      <c r="AC945" s="1585"/>
      <c r="AD945" s="1601">
        <f t="shared" si="124"/>
        <v>0</v>
      </c>
      <c r="AE945" s="1790">
        <v>0</v>
      </c>
      <c r="AF945" s="1792"/>
    </row>
    <row r="946" spans="1:32" ht="27.75" customHeight="1">
      <c r="A946" s="2918"/>
      <c r="B946" s="2919" t="s">
        <v>2418</v>
      </c>
      <c r="C946" s="2920" t="s">
        <v>51</v>
      </c>
      <c r="D946" s="2917">
        <v>32004</v>
      </c>
      <c r="E946" s="1598" t="s">
        <v>2496</v>
      </c>
      <c r="F946" s="1583"/>
      <c r="G946" s="1583"/>
      <c r="H946" s="1583"/>
      <c r="I946" s="1583"/>
      <c r="J946" s="1583"/>
      <c r="K946" s="1583"/>
      <c r="L946" s="1583"/>
      <c r="M946" s="1583"/>
      <c r="N946" s="1583"/>
      <c r="O946" s="1583"/>
      <c r="P946" s="1583"/>
      <c r="Q946" s="1585">
        <f t="shared" ref="Q946:S948" si="128">Q947</f>
        <v>13335</v>
      </c>
      <c r="R946" s="1583"/>
      <c r="S946" s="1585">
        <f t="shared" si="128"/>
        <v>14478</v>
      </c>
      <c r="T946" s="1585">
        <v>4191</v>
      </c>
      <c r="U946" s="1585"/>
      <c r="V946" s="1585"/>
      <c r="W946" s="1585"/>
      <c r="X946" s="1585"/>
      <c r="Y946" s="1585"/>
      <c r="Z946" s="1585"/>
      <c r="AA946" s="1585"/>
      <c r="AB946" s="1585"/>
      <c r="AC946" s="1585"/>
      <c r="AD946" s="1601">
        <f t="shared" si="124"/>
        <v>32004</v>
      </c>
      <c r="AE946" s="1790">
        <v>32004</v>
      </c>
      <c r="AF946" s="1792"/>
    </row>
    <row r="947" spans="1:32" ht="27.75" customHeight="1">
      <c r="A947" s="2918"/>
      <c r="B947" s="2919"/>
      <c r="C947" s="2920"/>
      <c r="D947" s="2917"/>
      <c r="E947" s="1603" t="s">
        <v>2497</v>
      </c>
      <c r="F947" s="1583"/>
      <c r="G947" s="1583"/>
      <c r="H947" s="1583"/>
      <c r="I947" s="1583"/>
      <c r="J947" s="1583"/>
      <c r="K947" s="1583"/>
      <c r="L947" s="1583"/>
      <c r="M947" s="1583"/>
      <c r="N947" s="1583"/>
      <c r="O947" s="1583"/>
      <c r="P947" s="1583"/>
      <c r="Q947" s="1604">
        <v>13335</v>
      </c>
      <c r="R947" s="1583"/>
      <c r="S947" s="1604">
        <v>14478</v>
      </c>
      <c r="T947" s="1604">
        <f>T946</f>
        <v>4191</v>
      </c>
      <c r="U947" s="1585"/>
      <c r="V947" s="1585"/>
      <c r="W947" s="1585"/>
      <c r="X947" s="1585"/>
      <c r="Y947" s="1585"/>
      <c r="Z947" s="1585"/>
      <c r="AA947" s="1585"/>
      <c r="AB947" s="1585"/>
      <c r="AC947" s="1585"/>
      <c r="AD947" s="1601">
        <f t="shared" si="124"/>
        <v>32004</v>
      </c>
      <c r="AE947" s="1790">
        <v>32004</v>
      </c>
      <c r="AF947" s="1792"/>
    </row>
    <row r="948" spans="1:32" ht="27.75" customHeight="1">
      <c r="A948" s="2918"/>
      <c r="B948" s="2919" t="s">
        <v>1949</v>
      </c>
      <c r="C948" s="2920" t="s">
        <v>51</v>
      </c>
      <c r="D948" s="2917">
        <v>49544.19</v>
      </c>
      <c r="E948" s="1598" t="s">
        <v>2496</v>
      </c>
      <c r="F948" s="1583"/>
      <c r="G948" s="1583"/>
      <c r="H948" s="1583"/>
      <c r="I948" s="1583"/>
      <c r="J948" s="1583"/>
      <c r="K948" s="1583"/>
      <c r="L948" s="1583"/>
      <c r="M948" s="1583"/>
      <c r="N948" s="1583"/>
      <c r="O948" s="1583"/>
      <c r="P948" s="1583"/>
      <c r="Q948" s="1585">
        <f t="shared" ref="Q948" si="129">Q949</f>
        <v>23970</v>
      </c>
      <c r="R948" s="1583"/>
      <c r="S948" s="1585">
        <f t="shared" si="128"/>
        <v>3060</v>
      </c>
      <c r="T948" s="1585">
        <v>19380</v>
      </c>
      <c r="U948" s="1585">
        <v>3134.2049999999995</v>
      </c>
      <c r="V948" s="1585"/>
      <c r="W948" s="1585"/>
      <c r="X948" s="1585"/>
      <c r="Y948" s="1585"/>
      <c r="Z948" s="1585"/>
      <c r="AA948" s="1585"/>
      <c r="AB948" s="1585"/>
      <c r="AC948" s="1585"/>
      <c r="AD948" s="1601">
        <f t="shared" si="124"/>
        <v>49544.205000000002</v>
      </c>
      <c r="AE948" s="1790">
        <v>49544.205000000002</v>
      </c>
      <c r="AF948" s="1792"/>
    </row>
    <row r="949" spans="1:32" ht="27.75" customHeight="1">
      <c r="A949" s="2918"/>
      <c r="B949" s="2919"/>
      <c r="C949" s="2920"/>
      <c r="D949" s="2917"/>
      <c r="E949" s="1603" t="s">
        <v>2497</v>
      </c>
      <c r="F949" s="1583"/>
      <c r="G949" s="1583"/>
      <c r="H949" s="1583"/>
      <c r="I949" s="1583"/>
      <c r="J949" s="1583"/>
      <c r="K949" s="1583"/>
      <c r="L949" s="1583"/>
      <c r="M949" s="1583"/>
      <c r="N949" s="1583"/>
      <c r="O949" s="1583"/>
      <c r="P949" s="1583"/>
      <c r="Q949" s="1604">
        <v>23970</v>
      </c>
      <c r="R949" s="1583"/>
      <c r="S949" s="1604">
        <v>3060</v>
      </c>
      <c r="T949" s="1604">
        <f>T948</f>
        <v>19380</v>
      </c>
      <c r="U949" s="1604">
        <v>3134.2049999999995</v>
      </c>
      <c r="V949" s="1585"/>
      <c r="W949" s="1585"/>
      <c r="X949" s="1585"/>
      <c r="Y949" s="1585"/>
      <c r="Z949" s="1585"/>
      <c r="AA949" s="1585"/>
      <c r="AB949" s="1585"/>
      <c r="AC949" s="1585"/>
      <c r="AD949" s="1601">
        <f t="shared" si="124"/>
        <v>49544.205000000002</v>
      </c>
      <c r="AE949" s="1790">
        <v>49544.205000000002</v>
      </c>
      <c r="AF949" s="1792"/>
    </row>
    <row r="950" spans="1:32" ht="27.75" customHeight="1">
      <c r="A950" s="1594" t="s">
        <v>1445</v>
      </c>
      <c r="B950" s="1609" t="s">
        <v>1950</v>
      </c>
      <c r="C950" s="1632"/>
      <c r="D950" s="1597" t="s">
        <v>0</v>
      </c>
      <c r="E950" s="1583"/>
      <c r="F950" s="1583"/>
      <c r="G950" s="1583"/>
      <c r="H950" s="1583"/>
      <c r="I950" s="1583"/>
      <c r="J950" s="1583"/>
      <c r="K950" s="1583"/>
      <c r="L950" s="1583"/>
      <c r="M950" s="1583"/>
      <c r="N950" s="1583"/>
      <c r="O950" s="1583"/>
      <c r="P950" s="1583"/>
      <c r="Q950" s="1583"/>
      <c r="R950" s="1583"/>
      <c r="S950" s="1583"/>
      <c r="T950" s="1585"/>
      <c r="U950" s="1585"/>
      <c r="V950" s="1585"/>
      <c r="W950" s="1585"/>
      <c r="X950" s="1585"/>
      <c r="Y950" s="1585"/>
      <c r="Z950" s="1585"/>
      <c r="AA950" s="1585"/>
      <c r="AB950" s="1585"/>
      <c r="AC950" s="1585"/>
      <c r="AD950" s="1601">
        <f t="shared" si="124"/>
        <v>0</v>
      </c>
      <c r="AE950" s="1790">
        <v>0</v>
      </c>
      <c r="AF950" s="1792"/>
    </row>
    <row r="951" spans="1:32" ht="27.75" customHeight="1">
      <c r="A951" s="2918"/>
      <c r="B951" s="2919" t="s">
        <v>2419</v>
      </c>
      <c r="C951" s="2920" t="s">
        <v>1145</v>
      </c>
      <c r="D951" s="2917">
        <v>256.56</v>
      </c>
      <c r="E951" s="1598" t="s">
        <v>2496</v>
      </c>
      <c r="F951" s="1583"/>
      <c r="G951" s="1583"/>
      <c r="H951" s="1583"/>
      <c r="I951" s="1583"/>
      <c r="J951" s="1583"/>
      <c r="K951" s="1583"/>
      <c r="L951" s="1583"/>
      <c r="M951" s="1583"/>
      <c r="N951" s="1583"/>
      <c r="O951" s="1583"/>
      <c r="P951" s="1583"/>
      <c r="Q951" s="1583"/>
      <c r="R951" s="1583"/>
      <c r="S951" s="1585">
        <f t="shared" ref="S951" si="130">S952</f>
        <v>106.89999999999999</v>
      </c>
      <c r="T951" s="1585"/>
      <c r="U951" s="1585"/>
      <c r="V951" s="1585"/>
      <c r="W951" s="1585"/>
      <c r="X951" s="1585"/>
      <c r="Y951" s="1585"/>
      <c r="Z951" s="1585">
        <v>149.66000000000003</v>
      </c>
      <c r="AA951" s="1585"/>
      <c r="AB951" s="1585"/>
      <c r="AC951" s="1585"/>
      <c r="AD951" s="1601">
        <f t="shared" si="124"/>
        <v>256.56</v>
      </c>
      <c r="AE951" s="1790">
        <v>106.89999999999999</v>
      </c>
      <c r="AF951" s="1792"/>
    </row>
    <row r="952" spans="1:32" ht="27.75" customHeight="1">
      <c r="A952" s="2918"/>
      <c r="B952" s="2919"/>
      <c r="C952" s="2920"/>
      <c r="D952" s="2917"/>
      <c r="E952" s="1603" t="s">
        <v>2497</v>
      </c>
      <c r="F952" s="1583"/>
      <c r="G952" s="1583"/>
      <c r="H952" s="1583"/>
      <c r="I952" s="1583"/>
      <c r="J952" s="1583"/>
      <c r="K952" s="1583"/>
      <c r="L952" s="1583"/>
      <c r="M952" s="1583"/>
      <c r="N952" s="1583"/>
      <c r="O952" s="1583"/>
      <c r="P952" s="1583"/>
      <c r="Q952" s="1583"/>
      <c r="R952" s="1583"/>
      <c r="S952" s="1604">
        <v>106.89999999999999</v>
      </c>
      <c r="T952" s="1585"/>
      <c r="U952" s="1585"/>
      <c r="V952" s="1585"/>
      <c r="W952" s="1585"/>
      <c r="X952" s="1585"/>
      <c r="Y952" s="1585"/>
      <c r="Z952" s="1585"/>
      <c r="AA952" s="1585"/>
      <c r="AB952" s="1585"/>
      <c r="AC952" s="1585"/>
      <c r="AD952" s="1601">
        <f t="shared" si="124"/>
        <v>106.89999999999999</v>
      </c>
      <c r="AE952" s="1790">
        <v>106.89999999999999</v>
      </c>
      <c r="AF952" s="1792"/>
    </row>
    <row r="953" spans="1:32" ht="27.75" customHeight="1">
      <c r="A953" s="2918"/>
      <c r="B953" s="2919" t="s">
        <v>2420</v>
      </c>
      <c r="C953" s="2920" t="s">
        <v>1145</v>
      </c>
      <c r="D953" s="2917">
        <v>1808.8</v>
      </c>
      <c r="E953" s="1598" t="s">
        <v>2496</v>
      </c>
      <c r="F953" s="1583"/>
      <c r="G953" s="1583"/>
      <c r="H953" s="1583"/>
      <c r="I953" s="1583"/>
      <c r="J953" s="1583"/>
      <c r="K953" s="1583"/>
      <c r="L953" s="1583"/>
      <c r="M953" s="1583"/>
      <c r="N953" s="1583"/>
      <c r="O953" s="1583"/>
      <c r="P953" s="1583"/>
      <c r="Q953" s="1583"/>
      <c r="R953" s="1583"/>
      <c r="S953" s="1585">
        <f t="shared" ref="S953" si="131">S954</f>
        <v>775.2</v>
      </c>
      <c r="T953" s="1585"/>
      <c r="U953" s="1585"/>
      <c r="V953" s="1585"/>
      <c r="W953" s="1585"/>
      <c r="X953" s="1585"/>
      <c r="Y953" s="1585"/>
      <c r="Z953" s="1585">
        <v>1033.5999999999999</v>
      </c>
      <c r="AA953" s="1585"/>
      <c r="AB953" s="1585"/>
      <c r="AC953" s="1585"/>
      <c r="AD953" s="1601">
        <f t="shared" si="124"/>
        <v>1808.8</v>
      </c>
      <c r="AE953" s="1790">
        <v>775.2</v>
      </c>
      <c r="AF953" s="1792"/>
    </row>
    <row r="954" spans="1:32" ht="27.75" customHeight="1">
      <c r="A954" s="2918"/>
      <c r="B954" s="2919"/>
      <c r="C954" s="2920"/>
      <c r="D954" s="2917"/>
      <c r="E954" s="1603" t="s">
        <v>2497</v>
      </c>
      <c r="F954" s="1583"/>
      <c r="G954" s="1583"/>
      <c r="H954" s="1583"/>
      <c r="I954" s="1583"/>
      <c r="J954" s="1583"/>
      <c r="K954" s="1583"/>
      <c r="L954" s="1583"/>
      <c r="M954" s="1583"/>
      <c r="N954" s="1583"/>
      <c r="O954" s="1583"/>
      <c r="P954" s="1583"/>
      <c r="Q954" s="1583"/>
      <c r="R954" s="1583"/>
      <c r="S954" s="1604">
        <v>775.2</v>
      </c>
      <c r="T954" s="1585"/>
      <c r="U954" s="1585"/>
      <c r="V954" s="1585"/>
      <c r="W954" s="1585"/>
      <c r="X954" s="1585"/>
      <c r="Y954" s="1585"/>
      <c r="Z954" s="1585"/>
      <c r="AA954" s="1585"/>
      <c r="AB954" s="1585"/>
      <c r="AC954" s="1585"/>
      <c r="AD954" s="1601">
        <f t="shared" si="124"/>
        <v>775.2</v>
      </c>
      <c r="AE954" s="1790">
        <v>775.2</v>
      </c>
      <c r="AF954" s="1792"/>
    </row>
    <row r="955" spans="1:32" ht="27.75" customHeight="1">
      <c r="A955" s="2918"/>
      <c r="B955" s="2919" t="s">
        <v>2421</v>
      </c>
      <c r="C955" s="2920" t="s">
        <v>1145</v>
      </c>
      <c r="D955" s="2917">
        <v>154.19999999999999</v>
      </c>
      <c r="E955" s="1598" t="s">
        <v>2496</v>
      </c>
      <c r="F955" s="1583"/>
      <c r="G955" s="1583"/>
      <c r="H955" s="1583"/>
      <c r="I955" s="1583"/>
      <c r="J955" s="1583"/>
      <c r="K955" s="1583"/>
      <c r="L955" s="1583"/>
      <c r="M955" s="1583"/>
      <c r="N955" s="1583"/>
      <c r="O955" s="1583"/>
      <c r="P955" s="1583"/>
      <c r="Q955" s="1583"/>
      <c r="R955" s="1583"/>
      <c r="S955" s="1585">
        <f t="shared" ref="S955" si="132">S956</f>
        <v>61.68</v>
      </c>
      <c r="T955" s="1585"/>
      <c r="U955" s="1585"/>
      <c r="V955" s="1585"/>
      <c r="W955" s="1585"/>
      <c r="X955" s="1585"/>
      <c r="Y955" s="1585"/>
      <c r="Z955" s="1585">
        <v>92.519999999999982</v>
      </c>
      <c r="AA955" s="1585"/>
      <c r="AB955" s="1585"/>
      <c r="AC955" s="1585"/>
      <c r="AD955" s="1601">
        <f t="shared" si="124"/>
        <v>154.19999999999999</v>
      </c>
      <c r="AE955" s="1790">
        <v>61.68</v>
      </c>
      <c r="AF955" s="1792"/>
    </row>
    <row r="956" spans="1:32" ht="27.75" customHeight="1">
      <c r="A956" s="2918"/>
      <c r="B956" s="2919"/>
      <c r="C956" s="2920"/>
      <c r="D956" s="2917"/>
      <c r="E956" s="1603" t="s">
        <v>2497</v>
      </c>
      <c r="F956" s="1583"/>
      <c r="G956" s="1583"/>
      <c r="H956" s="1583"/>
      <c r="I956" s="1583"/>
      <c r="J956" s="1583"/>
      <c r="K956" s="1583"/>
      <c r="L956" s="1583"/>
      <c r="M956" s="1583"/>
      <c r="N956" s="1583"/>
      <c r="O956" s="1583"/>
      <c r="P956" s="1583"/>
      <c r="Q956" s="1583"/>
      <c r="R956" s="1583"/>
      <c r="S956" s="1604">
        <v>61.68</v>
      </c>
      <c r="T956" s="1585"/>
      <c r="U956" s="1585"/>
      <c r="V956" s="1585"/>
      <c r="W956" s="1585"/>
      <c r="X956" s="1585"/>
      <c r="Y956" s="1585"/>
      <c r="Z956" s="1585"/>
      <c r="AA956" s="1585"/>
      <c r="AB956" s="1585"/>
      <c r="AC956" s="1585"/>
      <c r="AD956" s="1601">
        <f t="shared" si="124"/>
        <v>61.68</v>
      </c>
      <c r="AE956" s="1790">
        <v>61.68</v>
      </c>
      <c r="AF956" s="1792"/>
    </row>
    <row r="957" spans="1:32" ht="27.75" customHeight="1">
      <c r="A957" s="2918"/>
      <c r="B957" s="2919" t="s">
        <v>2435</v>
      </c>
      <c r="C957" s="2920" t="s">
        <v>52</v>
      </c>
      <c r="D957" s="2917">
        <v>1690.8</v>
      </c>
      <c r="E957" s="1598" t="s">
        <v>2496</v>
      </c>
      <c r="F957" s="1583"/>
      <c r="G957" s="1583"/>
      <c r="H957" s="1583"/>
      <c r="I957" s="1583"/>
      <c r="J957" s="1583"/>
      <c r="K957" s="1583"/>
      <c r="L957" s="1583"/>
      <c r="M957" s="1583"/>
      <c r="N957" s="1583"/>
      <c r="O957" s="1583"/>
      <c r="P957" s="1583"/>
      <c r="Q957" s="1583"/>
      <c r="R957" s="1583"/>
      <c r="S957" s="1583"/>
      <c r="T957" s="1585"/>
      <c r="U957" s="1585"/>
      <c r="V957" s="1585"/>
      <c r="W957" s="1585"/>
      <c r="X957" s="1585"/>
      <c r="Y957" s="1585"/>
      <c r="Z957" s="1585">
        <v>1690.8</v>
      </c>
      <c r="AA957" s="1585"/>
      <c r="AB957" s="1585"/>
      <c r="AC957" s="1585"/>
      <c r="AD957" s="1601">
        <f t="shared" si="124"/>
        <v>1690.8</v>
      </c>
      <c r="AE957" s="1790">
        <v>0</v>
      </c>
      <c r="AF957" s="1792"/>
    </row>
    <row r="958" spans="1:32" ht="27.75" customHeight="1">
      <c r="A958" s="2918"/>
      <c r="B958" s="2919"/>
      <c r="C958" s="2920"/>
      <c r="D958" s="2917"/>
      <c r="E958" s="1603" t="s">
        <v>2497</v>
      </c>
      <c r="F958" s="1583"/>
      <c r="G958" s="1583"/>
      <c r="H958" s="1583"/>
      <c r="I958" s="1583"/>
      <c r="J958" s="1583"/>
      <c r="K958" s="1583"/>
      <c r="L958" s="1583"/>
      <c r="M958" s="1583"/>
      <c r="N958" s="1583"/>
      <c r="O958" s="1583"/>
      <c r="P958" s="1583"/>
      <c r="Q958" s="1583"/>
      <c r="R958" s="1583"/>
      <c r="S958" s="1583"/>
      <c r="T958" s="1585"/>
      <c r="U958" s="1585"/>
      <c r="V958" s="1585"/>
      <c r="W958" s="1585"/>
      <c r="X958" s="1630"/>
      <c r="Y958" s="1585"/>
      <c r="Z958" s="1585"/>
      <c r="AA958" s="1585"/>
      <c r="AB958" s="1585"/>
      <c r="AC958" s="1585"/>
      <c r="AD958" s="1601">
        <f t="shared" si="124"/>
        <v>0</v>
      </c>
      <c r="AE958" s="1790">
        <v>0</v>
      </c>
      <c r="AF958" s="1792"/>
    </row>
    <row r="959" spans="1:32" ht="27.75" customHeight="1">
      <c r="A959" s="2918"/>
      <c r="B959" s="2919" t="s">
        <v>2436</v>
      </c>
      <c r="C959" s="2920" t="s">
        <v>52</v>
      </c>
      <c r="D959" s="2917">
        <v>6565.6</v>
      </c>
      <c r="E959" s="1598" t="s">
        <v>2496</v>
      </c>
      <c r="F959" s="1583"/>
      <c r="G959" s="1583"/>
      <c r="H959" s="1583"/>
      <c r="I959" s="1583"/>
      <c r="J959" s="1583"/>
      <c r="K959" s="1583"/>
      <c r="L959" s="1583"/>
      <c r="M959" s="1583"/>
      <c r="N959" s="1583"/>
      <c r="O959" s="1583"/>
      <c r="P959" s="1583"/>
      <c r="Q959" s="1583"/>
      <c r="R959" s="1583"/>
      <c r="S959" s="1583"/>
      <c r="T959" s="1585"/>
      <c r="U959" s="1585"/>
      <c r="V959" s="1585"/>
      <c r="W959" s="1585"/>
      <c r="X959" s="1585"/>
      <c r="Y959" s="1585"/>
      <c r="Z959" s="1585">
        <v>6565.6</v>
      </c>
      <c r="AA959" s="1585"/>
      <c r="AB959" s="1585"/>
      <c r="AC959" s="1585"/>
      <c r="AD959" s="1601">
        <f t="shared" si="124"/>
        <v>6565.6</v>
      </c>
      <c r="AE959" s="1790">
        <v>0</v>
      </c>
      <c r="AF959" s="1792"/>
    </row>
    <row r="960" spans="1:32" ht="27.75" customHeight="1">
      <c r="A960" s="2918"/>
      <c r="B960" s="2919"/>
      <c r="C960" s="2920"/>
      <c r="D960" s="2917"/>
      <c r="E960" s="1603" t="s">
        <v>2497</v>
      </c>
      <c r="F960" s="1583"/>
      <c r="G960" s="1583"/>
      <c r="H960" s="1583"/>
      <c r="I960" s="1583"/>
      <c r="J960" s="1583"/>
      <c r="K960" s="1583"/>
      <c r="L960" s="1583"/>
      <c r="M960" s="1583"/>
      <c r="N960" s="1583"/>
      <c r="O960" s="1583"/>
      <c r="P960" s="1583"/>
      <c r="Q960" s="1583"/>
      <c r="R960" s="1583"/>
      <c r="S960" s="1583"/>
      <c r="T960" s="1585"/>
      <c r="U960" s="1585"/>
      <c r="V960" s="1585"/>
      <c r="W960" s="1585"/>
      <c r="X960" s="1585"/>
      <c r="Y960" s="1585"/>
      <c r="Z960" s="1585"/>
      <c r="AA960" s="1585"/>
      <c r="AB960" s="1585"/>
      <c r="AC960" s="1585"/>
      <c r="AD960" s="1601">
        <f t="shared" si="124"/>
        <v>0</v>
      </c>
      <c r="AE960" s="1790">
        <v>0</v>
      </c>
      <c r="AF960" s="1792"/>
    </row>
    <row r="961" spans="1:32" ht="27.75" customHeight="1">
      <c r="A961" s="1594">
        <v>5.7</v>
      </c>
      <c r="B961" s="1614" t="s">
        <v>2437</v>
      </c>
      <c r="C961" s="1632"/>
      <c r="D961" s="1597" t="s">
        <v>0</v>
      </c>
      <c r="E961" s="1583"/>
      <c r="F961" s="1583"/>
      <c r="G961" s="1583"/>
      <c r="H961" s="1583"/>
      <c r="I961" s="1583"/>
      <c r="J961" s="1583"/>
      <c r="K961" s="1583"/>
      <c r="L961" s="1583"/>
      <c r="M961" s="1583"/>
      <c r="N961" s="1583"/>
      <c r="O961" s="1583"/>
      <c r="P961" s="1583"/>
      <c r="Q961" s="1583"/>
      <c r="R961" s="1583"/>
      <c r="S961" s="1583"/>
      <c r="T961" s="1585"/>
      <c r="U961" s="1585"/>
      <c r="V961" s="1585"/>
      <c r="W961" s="1585"/>
      <c r="X961" s="1585"/>
      <c r="Y961" s="1585"/>
      <c r="Z961" s="1585"/>
      <c r="AA961" s="1585"/>
      <c r="AB961" s="1585"/>
      <c r="AC961" s="1585"/>
      <c r="AD961" s="1601">
        <f t="shared" si="124"/>
        <v>0</v>
      </c>
      <c r="AE961" s="1790">
        <v>0</v>
      </c>
      <c r="AF961" s="1792"/>
    </row>
    <row r="962" spans="1:32" ht="27.75" customHeight="1">
      <c r="A962" s="2918"/>
      <c r="B962" s="2919" t="s">
        <v>2438</v>
      </c>
      <c r="C962" s="2920" t="s">
        <v>52</v>
      </c>
      <c r="D962" s="2917">
        <v>420.95</v>
      </c>
      <c r="E962" s="1598" t="s">
        <v>2496</v>
      </c>
      <c r="F962" s="1583"/>
      <c r="G962" s="1583"/>
      <c r="H962" s="1583"/>
      <c r="I962" s="1583"/>
      <c r="J962" s="1583"/>
      <c r="K962" s="1583"/>
      <c r="L962" s="1583"/>
      <c r="M962" s="1583"/>
      <c r="N962" s="1583"/>
      <c r="O962" s="1583"/>
      <c r="P962" s="1583"/>
      <c r="Q962" s="1585">
        <f t="shared" ref="Q962" si="133">Q963</f>
        <v>420.95</v>
      </c>
      <c r="R962" s="1583"/>
      <c r="S962" s="1583"/>
      <c r="T962" s="1585"/>
      <c r="U962" s="1585"/>
      <c r="V962" s="1585"/>
      <c r="W962" s="1585"/>
      <c r="X962" s="1585"/>
      <c r="Y962" s="1585"/>
      <c r="Z962" s="1585"/>
      <c r="AA962" s="1585"/>
      <c r="AB962" s="1585"/>
      <c r="AC962" s="1585"/>
      <c r="AD962" s="1601">
        <f t="shared" si="124"/>
        <v>420.95</v>
      </c>
      <c r="AE962" s="1790">
        <v>420.95</v>
      </c>
      <c r="AF962" s="1792"/>
    </row>
    <row r="963" spans="1:32" ht="27.75" customHeight="1">
      <c r="A963" s="2918"/>
      <c r="B963" s="2919"/>
      <c r="C963" s="2920"/>
      <c r="D963" s="2917"/>
      <c r="E963" s="1603" t="s">
        <v>2497</v>
      </c>
      <c r="F963" s="1583"/>
      <c r="G963" s="1583"/>
      <c r="H963" s="1583"/>
      <c r="I963" s="1583"/>
      <c r="J963" s="1583"/>
      <c r="K963" s="1583"/>
      <c r="L963" s="1583"/>
      <c r="M963" s="1583"/>
      <c r="N963" s="1583"/>
      <c r="O963" s="1583"/>
      <c r="P963" s="1583"/>
      <c r="Q963" s="1604">
        <v>420.95</v>
      </c>
      <c r="R963" s="1583"/>
      <c r="S963" s="1583"/>
      <c r="T963" s="1585"/>
      <c r="U963" s="1585"/>
      <c r="V963" s="1585"/>
      <c r="W963" s="1585"/>
      <c r="X963" s="1585"/>
      <c r="Y963" s="1585"/>
      <c r="Z963" s="1585"/>
      <c r="AA963" s="1585"/>
      <c r="AB963" s="1585"/>
      <c r="AC963" s="1585"/>
      <c r="AD963" s="1601">
        <f t="shared" si="124"/>
        <v>420.95</v>
      </c>
      <c r="AE963" s="1790">
        <v>420.95</v>
      </c>
      <c r="AF963" s="1792"/>
    </row>
    <row r="964" spans="1:32" ht="27.75" customHeight="1">
      <c r="A964" s="2918"/>
      <c r="B964" s="2919" t="s">
        <v>2439</v>
      </c>
      <c r="C964" s="2920" t="s">
        <v>52</v>
      </c>
      <c r="D964" s="2917">
        <v>680.9</v>
      </c>
      <c r="E964" s="1598" t="s">
        <v>2496</v>
      </c>
      <c r="F964" s="1583"/>
      <c r="G964" s="1583"/>
      <c r="H964" s="1583"/>
      <c r="I964" s="1583"/>
      <c r="J964" s="1583"/>
      <c r="K964" s="1583"/>
      <c r="L964" s="1583"/>
      <c r="M964" s="1583"/>
      <c r="N964" s="1583"/>
      <c r="O964" s="1583"/>
      <c r="P964" s="1583"/>
      <c r="Q964" s="1585">
        <f t="shared" ref="Q964" si="134">Q965</f>
        <v>680.9</v>
      </c>
      <c r="R964" s="1583"/>
      <c r="S964" s="1583"/>
      <c r="T964" s="1585"/>
      <c r="U964" s="1585"/>
      <c r="V964" s="1585"/>
      <c r="W964" s="1585"/>
      <c r="X964" s="1585"/>
      <c r="Y964" s="1585"/>
      <c r="Z964" s="1585"/>
      <c r="AA964" s="1585"/>
      <c r="AB964" s="1585"/>
      <c r="AC964" s="1585"/>
      <c r="AD964" s="1601">
        <f t="shared" si="124"/>
        <v>680.9</v>
      </c>
      <c r="AE964" s="1790">
        <v>680.9</v>
      </c>
      <c r="AF964" s="1792"/>
    </row>
    <row r="965" spans="1:32" ht="27.75" customHeight="1">
      <c r="A965" s="2918"/>
      <c r="B965" s="2919"/>
      <c r="C965" s="2920"/>
      <c r="D965" s="2917"/>
      <c r="E965" s="1603" t="s">
        <v>2497</v>
      </c>
      <c r="F965" s="1583"/>
      <c r="G965" s="1583"/>
      <c r="H965" s="1583"/>
      <c r="I965" s="1583"/>
      <c r="J965" s="1583"/>
      <c r="K965" s="1583"/>
      <c r="L965" s="1583"/>
      <c r="M965" s="1583"/>
      <c r="N965" s="1583"/>
      <c r="O965" s="1583"/>
      <c r="P965" s="1583"/>
      <c r="Q965" s="1604">
        <v>680.9</v>
      </c>
      <c r="R965" s="1583"/>
      <c r="S965" s="1583"/>
      <c r="T965" s="1585"/>
      <c r="U965" s="1585"/>
      <c r="V965" s="1585"/>
      <c r="W965" s="1585"/>
      <c r="X965" s="1585"/>
      <c r="Y965" s="1585"/>
      <c r="Z965" s="1585"/>
      <c r="AA965" s="1585"/>
      <c r="AB965" s="1585"/>
      <c r="AC965" s="1585"/>
      <c r="AD965" s="1601">
        <f t="shared" si="124"/>
        <v>680.9</v>
      </c>
      <c r="AE965" s="1790">
        <v>680.9</v>
      </c>
      <c r="AF965" s="1792"/>
    </row>
    <row r="966" spans="1:32" ht="27.75" customHeight="1">
      <c r="A966" s="2918"/>
      <c r="B966" s="2919" t="s">
        <v>2440</v>
      </c>
      <c r="C966" s="2920" t="s">
        <v>52</v>
      </c>
      <c r="D966" s="2917">
        <v>881.8</v>
      </c>
      <c r="E966" s="1598" t="s">
        <v>2496</v>
      </c>
      <c r="F966" s="1583"/>
      <c r="G966" s="1583"/>
      <c r="H966" s="1583"/>
      <c r="I966" s="1583"/>
      <c r="J966" s="1583"/>
      <c r="K966" s="1583"/>
      <c r="L966" s="1583"/>
      <c r="M966" s="1583"/>
      <c r="N966" s="1583"/>
      <c r="O966" s="1583"/>
      <c r="P966" s="1583"/>
      <c r="Q966" s="1585">
        <f t="shared" ref="Q966" si="135">Q967</f>
        <v>881.8</v>
      </c>
      <c r="R966" s="1583"/>
      <c r="S966" s="1583"/>
      <c r="T966" s="1585"/>
      <c r="U966" s="1585"/>
      <c r="V966" s="1585"/>
      <c r="W966" s="1585"/>
      <c r="X966" s="1585"/>
      <c r="Y966" s="1585"/>
      <c r="Z966" s="1585"/>
      <c r="AA966" s="1585"/>
      <c r="AB966" s="1585"/>
      <c r="AC966" s="1585"/>
      <c r="AD966" s="1601">
        <f t="shared" si="124"/>
        <v>881.8</v>
      </c>
      <c r="AE966" s="1790">
        <v>881.8</v>
      </c>
      <c r="AF966" s="1792"/>
    </row>
    <row r="967" spans="1:32" ht="27.75" customHeight="1">
      <c r="A967" s="2918"/>
      <c r="B967" s="2919"/>
      <c r="C967" s="2920"/>
      <c r="D967" s="2917"/>
      <c r="E967" s="1603" t="s">
        <v>2497</v>
      </c>
      <c r="F967" s="1583"/>
      <c r="G967" s="1583"/>
      <c r="H967" s="1583"/>
      <c r="I967" s="1583"/>
      <c r="J967" s="1583"/>
      <c r="K967" s="1583"/>
      <c r="L967" s="1583"/>
      <c r="M967" s="1583"/>
      <c r="N967" s="1583"/>
      <c r="O967" s="1583"/>
      <c r="P967" s="1583"/>
      <c r="Q967" s="1604">
        <v>881.8</v>
      </c>
      <c r="R967" s="1583"/>
      <c r="S967" s="1583"/>
      <c r="T967" s="1585"/>
      <c r="U967" s="1585"/>
      <c r="V967" s="1585"/>
      <c r="W967" s="1585"/>
      <c r="X967" s="1585"/>
      <c r="Y967" s="1585"/>
      <c r="Z967" s="1585"/>
      <c r="AA967" s="1585"/>
      <c r="AB967" s="1585"/>
      <c r="AC967" s="1585"/>
      <c r="AD967" s="1601">
        <f t="shared" si="124"/>
        <v>881.8</v>
      </c>
      <c r="AE967" s="1790">
        <v>881.8</v>
      </c>
      <c r="AF967" s="1792"/>
    </row>
    <row r="968" spans="1:32" ht="27.75" customHeight="1">
      <c r="A968" s="2918"/>
      <c r="B968" s="2919" t="s">
        <v>2441</v>
      </c>
      <c r="C968" s="2920" t="s">
        <v>52</v>
      </c>
      <c r="D968" s="2917">
        <v>371.3</v>
      </c>
      <c r="E968" s="1598" t="s">
        <v>2496</v>
      </c>
      <c r="F968" s="1583"/>
      <c r="G968" s="1583"/>
      <c r="H968" s="1583"/>
      <c r="I968" s="1583"/>
      <c r="J968" s="1583"/>
      <c r="K968" s="1583"/>
      <c r="L968" s="1583"/>
      <c r="M968" s="1583"/>
      <c r="N968" s="1583"/>
      <c r="O968" s="1634"/>
      <c r="P968" s="1583"/>
      <c r="Q968" s="1585">
        <f t="shared" ref="Q968" si="136">Q969</f>
        <v>371.3</v>
      </c>
      <c r="R968" s="1583"/>
      <c r="S968" s="1583"/>
      <c r="T968" s="1585"/>
      <c r="U968" s="1585"/>
      <c r="V968" s="1585"/>
      <c r="W968" s="1585"/>
      <c r="X968" s="1585"/>
      <c r="Y968" s="1585"/>
      <c r="Z968" s="1585"/>
      <c r="AA968" s="1585"/>
      <c r="AB968" s="1585"/>
      <c r="AC968" s="1585"/>
      <c r="AD968" s="1601">
        <f t="shared" si="124"/>
        <v>371.3</v>
      </c>
      <c r="AE968" s="1790">
        <v>371.3</v>
      </c>
      <c r="AF968" s="1792"/>
    </row>
    <row r="969" spans="1:32" ht="27.75" customHeight="1">
      <c r="A969" s="2918"/>
      <c r="B969" s="2919"/>
      <c r="C969" s="2920"/>
      <c r="D969" s="2917"/>
      <c r="E969" s="1603" t="s">
        <v>2497</v>
      </c>
      <c r="F969" s="1583"/>
      <c r="G969" s="1583"/>
      <c r="H969" s="1583"/>
      <c r="I969" s="1583"/>
      <c r="J969" s="1583"/>
      <c r="K969" s="1583"/>
      <c r="L969" s="1583"/>
      <c r="M969" s="1583"/>
      <c r="N969" s="1583"/>
      <c r="O969" s="1634"/>
      <c r="P969" s="1583"/>
      <c r="Q969" s="1604">
        <v>371.3</v>
      </c>
      <c r="R969" s="1583"/>
      <c r="S969" s="1583"/>
      <c r="T969" s="1585"/>
      <c r="U969" s="1585"/>
      <c r="V969" s="1585"/>
      <c r="W969" s="1585"/>
      <c r="X969" s="1585"/>
      <c r="Y969" s="1585"/>
      <c r="Z969" s="1585"/>
      <c r="AA969" s="1585"/>
      <c r="AB969" s="1585"/>
      <c r="AC969" s="1585"/>
      <c r="AD969" s="1601">
        <f t="shared" si="124"/>
        <v>371.3</v>
      </c>
      <c r="AE969" s="1790">
        <v>371.3</v>
      </c>
      <c r="AF969" s="1792"/>
    </row>
    <row r="970" spans="1:32" ht="27.75" customHeight="1">
      <c r="A970" s="2918"/>
      <c r="B970" s="2919" t="s">
        <v>2442</v>
      </c>
      <c r="C970" s="2920" t="s">
        <v>52</v>
      </c>
      <c r="D970" s="2917">
        <v>291.39999999999998</v>
      </c>
      <c r="E970" s="1598" t="s">
        <v>2496</v>
      </c>
      <c r="F970" s="1583"/>
      <c r="G970" s="1583"/>
      <c r="H970" s="1583"/>
      <c r="I970" s="1583"/>
      <c r="J970" s="1583"/>
      <c r="K970" s="1583"/>
      <c r="L970" s="1583"/>
      <c r="M970" s="1583"/>
      <c r="N970" s="1583"/>
      <c r="O970" s="1634"/>
      <c r="P970" s="1583"/>
      <c r="Q970" s="1585">
        <f t="shared" ref="Q970" si="137">Q971</f>
        <v>291.39999999999998</v>
      </c>
      <c r="R970" s="1583"/>
      <c r="S970" s="1583"/>
      <c r="T970" s="1585"/>
      <c r="U970" s="1585"/>
      <c r="V970" s="1585"/>
      <c r="W970" s="1585"/>
      <c r="X970" s="1585"/>
      <c r="Y970" s="1585"/>
      <c r="Z970" s="1585"/>
      <c r="AA970" s="1585"/>
      <c r="AB970" s="1585"/>
      <c r="AC970" s="1585"/>
      <c r="AD970" s="1601">
        <f t="shared" si="124"/>
        <v>291.39999999999998</v>
      </c>
      <c r="AE970" s="1790">
        <v>291.39999999999998</v>
      </c>
      <c r="AF970" s="1792"/>
    </row>
    <row r="971" spans="1:32" ht="27.75" customHeight="1">
      <c r="A971" s="2918"/>
      <c r="B971" s="2919"/>
      <c r="C971" s="2920"/>
      <c r="D971" s="2917"/>
      <c r="E971" s="1603" t="s">
        <v>2497</v>
      </c>
      <c r="F971" s="1583"/>
      <c r="G971" s="1583"/>
      <c r="H971" s="1583"/>
      <c r="I971" s="1583"/>
      <c r="J971" s="1583"/>
      <c r="K971" s="1583"/>
      <c r="L971" s="1583"/>
      <c r="M971" s="1583"/>
      <c r="N971" s="1583"/>
      <c r="O971" s="1634"/>
      <c r="P971" s="1583"/>
      <c r="Q971" s="1604">
        <v>291.39999999999998</v>
      </c>
      <c r="R971" s="1583"/>
      <c r="S971" s="1583"/>
      <c r="T971" s="1585"/>
      <c r="U971" s="1585"/>
      <c r="V971" s="1585"/>
      <c r="W971" s="1585"/>
      <c r="X971" s="1585"/>
      <c r="Y971" s="1585"/>
      <c r="Z971" s="1585"/>
      <c r="AA971" s="1585"/>
      <c r="AB971" s="1585"/>
      <c r="AC971" s="1585"/>
      <c r="AD971" s="1601">
        <f t="shared" si="124"/>
        <v>291.39999999999998</v>
      </c>
      <c r="AE971" s="1790">
        <v>291.39999999999998</v>
      </c>
      <c r="AF971" s="1792"/>
    </row>
    <row r="972" spans="1:32" ht="27.75" customHeight="1">
      <c r="A972" s="1594">
        <v>6</v>
      </c>
      <c r="B972" s="1609" t="s">
        <v>1969</v>
      </c>
      <c r="C972" s="1632"/>
      <c r="D972" s="1597" t="s">
        <v>0</v>
      </c>
      <c r="E972" s="1583"/>
      <c r="F972" s="1583"/>
      <c r="G972" s="1583"/>
      <c r="H972" s="1583"/>
      <c r="I972" s="1583"/>
      <c r="J972" s="1583"/>
      <c r="K972" s="1583"/>
      <c r="L972" s="1583"/>
      <c r="M972" s="1583"/>
      <c r="N972" s="1583"/>
      <c r="O972" s="1634"/>
      <c r="P972" s="1583"/>
      <c r="Q972" s="1583"/>
      <c r="R972" s="1583"/>
      <c r="S972" s="1583"/>
      <c r="T972" s="1585"/>
      <c r="U972" s="1585"/>
      <c r="V972" s="1585"/>
      <c r="W972" s="1585"/>
      <c r="X972" s="1585"/>
      <c r="Y972" s="1585"/>
      <c r="Z972" s="1585"/>
      <c r="AA972" s="1585"/>
      <c r="AB972" s="1585"/>
      <c r="AC972" s="1585"/>
      <c r="AD972" s="1601">
        <f t="shared" si="124"/>
        <v>0</v>
      </c>
      <c r="AE972" s="1790">
        <v>0</v>
      </c>
      <c r="AF972" s="1792"/>
    </row>
    <row r="973" spans="1:32" ht="27.75" customHeight="1">
      <c r="A973" s="1594">
        <v>6.9</v>
      </c>
      <c r="B973" s="1629" t="s">
        <v>2083</v>
      </c>
      <c r="C973" s="1632"/>
      <c r="D973" s="1597" t="s">
        <v>0</v>
      </c>
      <c r="E973" s="1583"/>
      <c r="F973" s="1583"/>
      <c r="G973" s="1583"/>
      <c r="H973" s="1583"/>
      <c r="I973" s="1583"/>
      <c r="J973" s="1583"/>
      <c r="K973" s="1583"/>
      <c r="L973" s="1583"/>
      <c r="M973" s="1583"/>
      <c r="N973" s="1583"/>
      <c r="O973" s="1634"/>
      <c r="P973" s="1583"/>
      <c r="Q973" s="1583"/>
      <c r="R973" s="1583"/>
      <c r="S973" s="1583"/>
      <c r="T973" s="1585"/>
      <c r="U973" s="1585"/>
      <c r="V973" s="1585"/>
      <c r="W973" s="1585"/>
      <c r="X973" s="1585"/>
      <c r="Y973" s="1585"/>
      <c r="Z973" s="1585"/>
      <c r="AA973" s="1585"/>
      <c r="AB973" s="1585"/>
      <c r="AC973" s="1585"/>
      <c r="AD973" s="1601">
        <f t="shared" si="124"/>
        <v>0</v>
      </c>
      <c r="AE973" s="1790">
        <v>0</v>
      </c>
      <c r="AF973" s="1792"/>
    </row>
    <row r="974" spans="1:32" ht="27.75" customHeight="1">
      <c r="A974" s="1594" t="s">
        <v>1595</v>
      </c>
      <c r="B974" s="1609" t="s">
        <v>1980</v>
      </c>
      <c r="C974" s="1632"/>
      <c r="D974" s="1597" t="s">
        <v>0</v>
      </c>
      <c r="E974" s="1583"/>
      <c r="F974" s="1583"/>
      <c r="G974" s="1583"/>
      <c r="H974" s="1583"/>
      <c r="I974" s="1583"/>
      <c r="J974" s="1583"/>
      <c r="K974" s="1583"/>
      <c r="L974" s="1583"/>
      <c r="M974" s="1583"/>
      <c r="N974" s="1583"/>
      <c r="O974" s="1634"/>
      <c r="P974" s="1583"/>
      <c r="Q974" s="1583"/>
      <c r="R974" s="1583"/>
      <c r="S974" s="1583"/>
      <c r="T974" s="1585"/>
      <c r="U974" s="1585"/>
      <c r="V974" s="1585"/>
      <c r="W974" s="1585"/>
      <c r="X974" s="1585"/>
      <c r="Y974" s="1585"/>
      <c r="Z974" s="1585"/>
      <c r="AA974" s="1585"/>
      <c r="AB974" s="1585"/>
      <c r="AC974" s="1585"/>
      <c r="AD974" s="1601">
        <f t="shared" si="124"/>
        <v>0</v>
      </c>
      <c r="AE974" s="1790">
        <v>0</v>
      </c>
      <c r="AF974" s="1792"/>
    </row>
    <row r="975" spans="1:32" ht="27.75" customHeight="1">
      <c r="A975" s="2918"/>
      <c r="B975" s="2919" t="s">
        <v>2443</v>
      </c>
      <c r="C975" s="2920" t="s">
        <v>51</v>
      </c>
      <c r="D975" s="2917">
        <v>90228.57</v>
      </c>
      <c r="E975" s="1598" t="s">
        <v>2496</v>
      </c>
      <c r="F975" s="1583"/>
      <c r="G975" s="1583"/>
      <c r="H975" s="1583"/>
      <c r="I975" s="1583"/>
      <c r="J975" s="1583"/>
      <c r="K975" s="1583"/>
      <c r="L975" s="1583"/>
      <c r="M975" s="1583"/>
      <c r="N975" s="1583"/>
      <c r="O975" s="1634"/>
      <c r="P975" s="1583"/>
      <c r="Q975" s="1585">
        <f t="shared" ref="Q975:S975" si="138">Q976</f>
        <v>3734.04</v>
      </c>
      <c r="R975" s="1583"/>
      <c r="S975" s="1585">
        <f t="shared" si="138"/>
        <v>2918.56</v>
      </c>
      <c r="T975" s="1585">
        <v>9968.17</v>
      </c>
      <c r="U975" s="1585"/>
      <c r="V975" s="1585">
        <v>4184.7</v>
      </c>
      <c r="W975" s="1585"/>
      <c r="X975" s="1585">
        <v>2253.3000000000002</v>
      </c>
      <c r="Y975" s="1585"/>
      <c r="Z975" s="1585"/>
      <c r="AA975" s="1585">
        <v>67169.8</v>
      </c>
      <c r="AB975" s="1585"/>
      <c r="AC975" s="1585"/>
      <c r="AD975" s="1601">
        <f t="shared" si="124"/>
        <v>90228.57</v>
      </c>
      <c r="AE975" s="1790">
        <v>23058.77</v>
      </c>
      <c r="AF975" s="1792"/>
    </row>
    <row r="976" spans="1:32" ht="27.75" customHeight="1">
      <c r="A976" s="2918"/>
      <c r="B976" s="2919"/>
      <c r="C976" s="2920"/>
      <c r="D976" s="2917"/>
      <c r="E976" s="1603" t="s">
        <v>2497</v>
      </c>
      <c r="F976" s="1583"/>
      <c r="G976" s="1583"/>
      <c r="H976" s="1583"/>
      <c r="I976" s="1583"/>
      <c r="J976" s="1583"/>
      <c r="K976" s="1583"/>
      <c r="L976" s="1583"/>
      <c r="M976" s="1583"/>
      <c r="N976" s="1583"/>
      <c r="O976" s="1634"/>
      <c r="P976" s="1583"/>
      <c r="Q976" s="1604">
        <v>3734.04</v>
      </c>
      <c r="R976" s="1583"/>
      <c r="S976" s="1604">
        <v>2918.56</v>
      </c>
      <c r="T976" s="1604">
        <f>T975</f>
        <v>9968.17</v>
      </c>
      <c r="U976" s="1604"/>
      <c r="V976" s="1604">
        <v>4184.7</v>
      </c>
      <c r="W976" s="1585"/>
      <c r="X976" s="1592">
        <v>2253.3000000000002</v>
      </c>
      <c r="Y976" s="1585"/>
      <c r="Z976" s="1585"/>
      <c r="AA976" s="1585"/>
      <c r="AB976" s="1585"/>
      <c r="AC976" s="1585"/>
      <c r="AD976" s="1601">
        <f t="shared" si="124"/>
        <v>23058.77</v>
      </c>
      <c r="AE976" s="1790">
        <v>23058.77</v>
      </c>
      <c r="AF976" s="1792"/>
    </row>
    <row r="977" spans="1:32" ht="27.75" customHeight="1">
      <c r="A977" s="2918"/>
      <c r="B977" s="2919" t="s">
        <v>2444</v>
      </c>
      <c r="C977" s="2920" t="s">
        <v>51</v>
      </c>
      <c r="D977" s="2917">
        <v>7604.1</v>
      </c>
      <c r="E977" s="1598" t="s">
        <v>2496</v>
      </c>
      <c r="F977" s="1583"/>
      <c r="G977" s="1583"/>
      <c r="H977" s="1583"/>
      <c r="I977" s="1583"/>
      <c r="J977" s="1583"/>
      <c r="K977" s="1583"/>
      <c r="L977" s="1583"/>
      <c r="M977" s="1583"/>
      <c r="N977" s="1583"/>
      <c r="O977" s="1634"/>
      <c r="P977" s="1583"/>
      <c r="Q977" s="1585">
        <f t="shared" ref="Q977" si="139">Q978</f>
        <v>1073.52</v>
      </c>
      <c r="R977" s="1583"/>
      <c r="S977" s="1583"/>
      <c r="T977" s="1585"/>
      <c r="U977" s="1585"/>
      <c r="V977" s="1585">
        <v>1162.98</v>
      </c>
      <c r="W977" s="1585"/>
      <c r="X977" s="1585">
        <v>2236.5</v>
      </c>
      <c r="Y977" s="1585"/>
      <c r="Z977" s="1585"/>
      <c r="AA977" s="1585">
        <v>3131.1000000000004</v>
      </c>
      <c r="AB977" s="1585"/>
      <c r="AC977" s="1585"/>
      <c r="AD977" s="1601">
        <f t="shared" ref="AD977:AD1040" si="140">SUM(F977:AC977)</f>
        <v>7604.1</v>
      </c>
      <c r="AE977" s="1790">
        <v>4473</v>
      </c>
      <c r="AF977" s="1792"/>
    </row>
    <row r="978" spans="1:32" ht="27.75" customHeight="1">
      <c r="A978" s="2918"/>
      <c r="B978" s="2919"/>
      <c r="C978" s="2920"/>
      <c r="D978" s="2917"/>
      <c r="E978" s="1603" t="s">
        <v>2497</v>
      </c>
      <c r="F978" s="1583"/>
      <c r="G978" s="1583"/>
      <c r="H978" s="1583"/>
      <c r="I978" s="1583"/>
      <c r="J978" s="1583"/>
      <c r="K978" s="1583"/>
      <c r="L978" s="1583"/>
      <c r="M978" s="1583"/>
      <c r="N978" s="1583"/>
      <c r="O978" s="1634"/>
      <c r="P978" s="1583"/>
      <c r="Q978" s="1604">
        <v>1073.52</v>
      </c>
      <c r="R978" s="1583"/>
      <c r="S978" s="1583"/>
      <c r="T978" s="1585"/>
      <c r="U978" s="1585"/>
      <c r="V978" s="1604">
        <v>1162.98</v>
      </c>
      <c r="W978" s="1585"/>
      <c r="X978" s="1592">
        <v>2236.5</v>
      </c>
      <c r="Y978" s="1585"/>
      <c r="Z978" s="1585"/>
      <c r="AA978" s="1585"/>
      <c r="AB978" s="1585"/>
      <c r="AC978" s="1585"/>
      <c r="AD978" s="1601">
        <f t="shared" si="140"/>
        <v>4473</v>
      </c>
      <c r="AE978" s="1790">
        <v>4473</v>
      </c>
      <c r="AF978" s="1792"/>
    </row>
    <row r="979" spans="1:32" ht="27.75" customHeight="1">
      <c r="A979" s="2918"/>
      <c r="B979" s="2919" t="s">
        <v>2415</v>
      </c>
      <c r="C979" s="2920" t="s">
        <v>52</v>
      </c>
      <c r="D979" s="2917">
        <v>112.67</v>
      </c>
      <c r="E979" s="1598" t="s">
        <v>2496</v>
      </c>
      <c r="F979" s="1583"/>
      <c r="G979" s="1583"/>
      <c r="H979" s="1583"/>
      <c r="I979" s="1583"/>
      <c r="J979" s="1583"/>
      <c r="K979" s="1583"/>
      <c r="L979" s="1583"/>
      <c r="M979" s="1583"/>
      <c r="N979" s="1583"/>
      <c r="O979" s="1634"/>
      <c r="P979" s="1583"/>
      <c r="Q979" s="1585">
        <f t="shared" ref="Q979" si="141">Q980</f>
        <v>112.67</v>
      </c>
      <c r="R979" s="1583"/>
      <c r="S979" s="1583"/>
      <c r="T979" s="1585"/>
      <c r="U979" s="1585"/>
      <c r="V979" s="1585"/>
      <c r="W979" s="1585"/>
      <c r="X979" s="1585"/>
      <c r="Y979" s="1585"/>
      <c r="Z979" s="1585"/>
      <c r="AA979" s="1585"/>
      <c r="AB979" s="1585"/>
      <c r="AC979" s="1585"/>
      <c r="AD979" s="1601">
        <f t="shared" si="140"/>
        <v>112.67</v>
      </c>
      <c r="AE979" s="1790">
        <v>112.67</v>
      </c>
      <c r="AF979" s="1792"/>
    </row>
    <row r="980" spans="1:32" ht="27.75" customHeight="1">
      <c r="A980" s="2918"/>
      <c r="B980" s="2919"/>
      <c r="C980" s="2920"/>
      <c r="D980" s="2917"/>
      <c r="E980" s="1603" t="s">
        <v>2497</v>
      </c>
      <c r="F980" s="1583"/>
      <c r="G980" s="1583"/>
      <c r="H980" s="1583"/>
      <c r="I980" s="1583"/>
      <c r="J980" s="1583"/>
      <c r="K980" s="1583"/>
      <c r="L980" s="1583"/>
      <c r="M980" s="1583"/>
      <c r="N980" s="1583"/>
      <c r="O980" s="1634"/>
      <c r="P980" s="1583"/>
      <c r="Q980" s="1604">
        <v>112.67</v>
      </c>
      <c r="R980" s="1583"/>
      <c r="S980" s="1583"/>
      <c r="T980" s="1585"/>
      <c r="U980" s="1585"/>
      <c r="V980" s="1585"/>
      <c r="W980" s="1585"/>
      <c r="X980" s="1585"/>
      <c r="Y980" s="1585"/>
      <c r="Z980" s="1585"/>
      <c r="AA980" s="1585"/>
      <c r="AB980" s="1585"/>
      <c r="AC980" s="1585"/>
      <c r="AD980" s="1601">
        <f t="shared" si="140"/>
        <v>112.67</v>
      </c>
      <c r="AE980" s="1790">
        <v>112.67</v>
      </c>
      <c r="AF980" s="1792"/>
    </row>
    <row r="981" spans="1:32" ht="27.75" customHeight="1">
      <c r="A981" s="2918"/>
      <c r="B981" s="2919" t="s">
        <v>2445</v>
      </c>
      <c r="C981" s="2920" t="s">
        <v>52</v>
      </c>
      <c r="D981" s="2917">
        <v>169.67</v>
      </c>
      <c r="E981" s="1598" t="s">
        <v>2496</v>
      </c>
      <c r="F981" s="1583"/>
      <c r="G981" s="1583"/>
      <c r="H981" s="1583"/>
      <c r="I981" s="1583"/>
      <c r="J981" s="1583"/>
      <c r="K981" s="1583"/>
      <c r="L981" s="1583"/>
      <c r="M981" s="1583"/>
      <c r="N981" s="1583"/>
      <c r="O981" s="1634"/>
      <c r="P981" s="1583"/>
      <c r="Q981" s="1585">
        <f t="shared" ref="Q981" si="142">Q982</f>
        <v>169.67</v>
      </c>
      <c r="R981" s="1583"/>
      <c r="S981" s="1583"/>
      <c r="T981" s="1585"/>
      <c r="U981" s="1585"/>
      <c r="V981" s="1585"/>
      <c r="W981" s="1585"/>
      <c r="X981" s="1585"/>
      <c r="Y981" s="1585"/>
      <c r="Z981" s="1585"/>
      <c r="AA981" s="1585"/>
      <c r="AB981" s="1585"/>
      <c r="AC981" s="1585"/>
      <c r="AD981" s="1601">
        <f t="shared" si="140"/>
        <v>169.67</v>
      </c>
      <c r="AE981" s="1790">
        <v>169.67</v>
      </c>
      <c r="AF981" s="1792"/>
    </row>
    <row r="982" spans="1:32" ht="27.75" customHeight="1">
      <c r="A982" s="2918"/>
      <c r="B982" s="2919"/>
      <c r="C982" s="2920"/>
      <c r="D982" s="2917"/>
      <c r="E982" s="1603" t="s">
        <v>2497</v>
      </c>
      <c r="F982" s="1583"/>
      <c r="G982" s="1583"/>
      <c r="H982" s="1583"/>
      <c r="I982" s="1583"/>
      <c r="J982" s="1583"/>
      <c r="K982" s="1583"/>
      <c r="L982" s="1583"/>
      <c r="M982" s="1583"/>
      <c r="N982" s="1583"/>
      <c r="O982" s="1634"/>
      <c r="P982" s="1583"/>
      <c r="Q982" s="1604">
        <v>169.67</v>
      </c>
      <c r="R982" s="1583"/>
      <c r="S982" s="1583"/>
      <c r="T982" s="1585"/>
      <c r="U982" s="1585"/>
      <c r="V982" s="1585"/>
      <c r="W982" s="1585"/>
      <c r="X982" s="1585"/>
      <c r="Y982" s="1585"/>
      <c r="Z982" s="1585"/>
      <c r="AA982" s="1585"/>
      <c r="AB982" s="1585"/>
      <c r="AC982" s="1585"/>
      <c r="AD982" s="1601">
        <f t="shared" si="140"/>
        <v>169.67</v>
      </c>
      <c r="AE982" s="1790">
        <v>169.67</v>
      </c>
      <c r="AF982" s="1792"/>
    </row>
    <row r="983" spans="1:32" ht="27.75" customHeight="1">
      <c r="A983" s="2918"/>
      <c r="B983" s="2919" t="s">
        <v>2446</v>
      </c>
      <c r="C983" s="2920" t="s">
        <v>52</v>
      </c>
      <c r="D983" s="2917">
        <v>1638</v>
      </c>
      <c r="E983" s="1598" t="s">
        <v>2496</v>
      </c>
      <c r="F983" s="1583"/>
      <c r="G983" s="1583"/>
      <c r="H983" s="1583"/>
      <c r="I983" s="1583"/>
      <c r="J983" s="1583"/>
      <c r="K983" s="1583"/>
      <c r="L983" s="1583"/>
      <c r="M983" s="1583"/>
      <c r="N983" s="1583"/>
      <c r="O983" s="1583"/>
      <c r="P983" s="1583"/>
      <c r="Q983" s="1583"/>
      <c r="R983" s="1583"/>
      <c r="S983" s="1583"/>
      <c r="T983" s="1585"/>
      <c r="U983" s="1585"/>
      <c r="V983" s="1585"/>
      <c r="W983" s="1585"/>
      <c r="X983" s="1585"/>
      <c r="Y983" s="1585"/>
      <c r="Z983" s="1585"/>
      <c r="AA983" s="1585">
        <v>1638</v>
      </c>
      <c r="AB983" s="1585"/>
      <c r="AC983" s="1585"/>
      <c r="AD983" s="1601">
        <f t="shared" si="140"/>
        <v>1638</v>
      </c>
      <c r="AE983" s="1790">
        <v>0</v>
      </c>
      <c r="AF983" s="1792"/>
    </row>
    <row r="984" spans="1:32" ht="27.75" customHeight="1">
      <c r="A984" s="2918"/>
      <c r="B984" s="2919"/>
      <c r="C984" s="2920"/>
      <c r="D984" s="2917"/>
      <c r="E984" s="1603" t="s">
        <v>2497</v>
      </c>
      <c r="F984" s="1583"/>
      <c r="G984" s="1583"/>
      <c r="H984" s="1583"/>
      <c r="I984" s="1583"/>
      <c r="J984" s="1583"/>
      <c r="K984" s="1583"/>
      <c r="L984" s="1583"/>
      <c r="M984" s="1583"/>
      <c r="N984" s="1583"/>
      <c r="O984" s="1583"/>
      <c r="P984" s="1583"/>
      <c r="Q984" s="1634"/>
      <c r="R984" s="1583"/>
      <c r="S984" s="1583"/>
      <c r="T984" s="1585"/>
      <c r="U984" s="1585"/>
      <c r="V984" s="1630"/>
      <c r="W984" s="1585"/>
      <c r="X984" s="1585"/>
      <c r="Y984" s="1585"/>
      <c r="Z984" s="1585"/>
      <c r="AA984" s="1585"/>
      <c r="AB984" s="1585"/>
      <c r="AC984" s="1585"/>
      <c r="AD984" s="1601">
        <f t="shared" si="140"/>
        <v>0</v>
      </c>
      <c r="AE984" s="1790">
        <v>0</v>
      </c>
      <c r="AF984" s="1792"/>
    </row>
    <row r="985" spans="1:32" ht="27.75" customHeight="1">
      <c r="A985" s="2918"/>
      <c r="B985" s="2919" t="s">
        <v>2447</v>
      </c>
      <c r="C985" s="2920" t="s">
        <v>52</v>
      </c>
      <c r="D985" s="2917">
        <v>888</v>
      </c>
      <c r="E985" s="1598" t="s">
        <v>2496</v>
      </c>
      <c r="F985" s="1583"/>
      <c r="G985" s="1583"/>
      <c r="H985" s="1583"/>
      <c r="I985" s="1583"/>
      <c r="J985" s="1634"/>
      <c r="K985" s="1583"/>
      <c r="L985" s="1583"/>
      <c r="M985" s="1583"/>
      <c r="N985" s="1583"/>
      <c r="O985" s="1583"/>
      <c r="P985" s="1583"/>
      <c r="Q985" s="1583"/>
      <c r="R985" s="1583"/>
      <c r="S985" s="1583"/>
      <c r="T985" s="1585"/>
      <c r="U985" s="1585"/>
      <c r="V985" s="1585"/>
      <c r="W985" s="1585"/>
      <c r="X985" s="1585"/>
      <c r="Y985" s="1585"/>
      <c r="Z985" s="1585"/>
      <c r="AA985" s="1585">
        <v>888</v>
      </c>
      <c r="AB985" s="1585"/>
      <c r="AC985" s="1585"/>
      <c r="AD985" s="1601">
        <f t="shared" si="140"/>
        <v>888</v>
      </c>
      <c r="AE985" s="1790">
        <v>0</v>
      </c>
      <c r="AF985" s="1792"/>
    </row>
    <row r="986" spans="1:32" ht="27.75" customHeight="1">
      <c r="A986" s="2918"/>
      <c r="B986" s="2919"/>
      <c r="C986" s="2920"/>
      <c r="D986" s="2917"/>
      <c r="E986" s="1603" t="s">
        <v>2497</v>
      </c>
      <c r="F986" s="1583"/>
      <c r="G986" s="1583"/>
      <c r="H986" s="1583"/>
      <c r="I986" s="1583"/>
      <c r="J986" s="1634"/>
      <c r="K986" s="1583"/>
      <c r="L986" s="1583"/>
      <c r="M986" s="1583"/>
      <c r="N986" s="1583"/>
      <c r="O986" s="1583"/>
      <c r="P986" s="1583"/>
      <c r="Q986" s="1583"/>
      <c r="R986" s="1583"/>
      <c r="S986" s="1583"/>
      <c r="T986" s="1585"/>
      <c r="U986" s="1585"/>
      <c r="V986" s="1585"/>
      <c r="W986" s="1585"/>
      <c r="X986" s="1585"/>
      <c r="Y986" s="1585"/>
      <c r="Z986" s="1585"/>
      <c r="AA986" s="1585"/>
      <c r="AB986" s="1585"/>
      <c r="AC986" s="1585"/>
      <c r="AD986" s="1601">
        <f t="shared" si="140"/>
        <v>0</v>
      </c>
      <c r="AE986" s="1790">
        <v>0</v>
      </c>
      <c r="AF986" s="1792"/>
    </row>
    <row r="987" spans="1:32" ht="27.75" customHeight="1">
      <c r="A987" s="1594" t="s">
        <v>1616</v>
      </c>
      <c r="B987" s="1609" t="s">
        <v>1987</v>
      </c>
      <c r="C987" s="1632"/>
      <c r="D987" s="1597" t="s">
        <v>0</v>
      </c>
      <c r="E987" s="1583"/>
      <c r="F987" s="1583"/>
      <c r="G987" s="1583"/>
      <c r="H987" s="1583"/>
      <c r="I987" s="1583"/>
      <c r="J987" s="1634"/>
      <c r="K987" s="1583"/>
      <c r="L987" s="1583"/>
      <c r="M987" s="1583"/>
      <c r="N987" s="1583"/>
      <c r="O987" s="1583"/>
      <c r="P987" s="1583"/>
      <c r="Q987" s="1583"/>
      <c r="R987" s="1583"/>
      <c r="S987" s="1583"/>
      <c r="T987" s="1585"/>
      <c r="U987" s="1585"/>
      <c r="V987" s="1585"/>
      <c r="W987" s="1585"/>
      <c r="X987" s="1585"/>
      <c r="Y987" s="1585"/>
      <c r="Z987" s="1585"/>
      <c r="AA987" s="1585"/>
      <c r="AB987" s="1585"/>
      <c r="AC987" s="1585"/>
      <c r="AD987" s="1601">
        <f t="shared" si="140"/>
        <v>0</v>
      </c>
      <c r="AE987" s="1790">
        <v>0</v>
      </c>
      <c r="AF987" s="1792"/>
    </row>
    <row r="988" spans="1:32" ht="27.75" customHeight="1">
      <c r="A988" s="2918"/>
      <c r="B988" s="2919" t="s">
        <v>2448</v>
      </c>
      <c r="C988" s="2920" t="s">
        <v>2145</v>
      </c>
      <c r="D988" s="2917">
        <v>7427.12</v>
      </c>
      <c r="E988" s="1598" t="s">
        <v>2496</v>
      </c>
      <c r="F988" s="1583"/>
      <c r="G988" s="1583"/>
      <c r="H988" s="1583"/>
      <c r="I988" s="1583"/>
      <c r="J988" s="1634"/>
      <c r="K988" s="1583"/>
      <c r="L988" s="1583"/>
      <c r="M988" s="1583"/>
      <c r="N988" s="1583"/>
      <c r="O988" s="1583"/>
      <c r="P988" s="1583"/>
      <c r="Q988" s="1583"/>
      <c r="R988" s="1583"/>
      <c r="S988" s="1585">
        <f t="shared" ref="S988" si="143">S989</f>
        <v>4264.24</v>
      </c>
      <c r="T988" s="1585">
        <v>2202.7199999999998</v>
      </c>
      <c r="U988" s="1585"/>
      <c r="V988" s="1585"/>
      <c r="W988" s="1585"/>
      <c r="X988" s="1585"/>
      <c r="Y988" s="1585"/>
      <c r="Z988" s="1585"/>
      <c r="AA988" s="1585">
        <v>960.16000000000076</v>
      </c>
      <c r="AB988" s="1585"/>
      <c r="AC988" s="1585"/>
      <c r="AD988" s="1601">
        <f t="shared" si="140"/>
        <v>7427.12</v>
      </c>
      <c r="AE988" s="1790">
        <v>6466.9599999999991</v>
      </c>
      <c r="AF988" s="1792"/>
    </row>
    <row r="989" spans="1:32" ht="27.75" customHeight="1">
      <c r="A989" s="2918"/>
      <c r="B989" s="2919"/>
      <c r="C989" s="2920"/>
      <c r="D989" s="2917"/>
      <c r="E989" s="1603" t="s">
        <v>2497</v>
      </c>
      <c r="F989" s="1583"/>
      <c r="G989" s="1583"/>
      <c r="H989" s="1583"/>
      <c r="I989" s="1583"/>
      <c r="J989" s="1634"/>
      <c r="K989" s="1583"/>
      <c r="L989" s="1583"/>
      <c r="M989" s="1583"/>
      <c r="N989" s="1583"/>
      <c r="O989" s="1583"/>
      <c r="P989" s="1583"/>
      <c r="Q989" s="1583"/>
      <c r="R989" s="1583"/>
      <c r="S989" s="1604">
        <v>4264.24</v>
      </c>
      <c r="T989" s="1604">
        <f>T988</f>
        <v>2202.7199999999998</v>
      </c>
      <c r="U989" s="1604"/>
      <c r="V989" s="1630"/>
      <c r="W989" s="1585"/>
      <c r="X989" s="1585"/>
      <c r="Y989" s="1585"/>
      <c r="Z989" s="1585"/>
      <c r="AA989" s="1585"/>
      <c r="AB989" s="1585"/>
      <c r="AC989" s="1585"/>
      <c r="AD989" s="1601">
        <f t="shared" si="140"/>
        <v>6466.9599999999991</v>
      </c>
      <c r="AE989" s="1790">
        <v>6466.9599999999991</v>
      </c>
      <c r="AF989" s="1792"/>
    </row>
    <row r="990" spans="1:32" ht="27.75" customHeight="1">
      <c r="A990" s="2918"/>
      <c r="B990" s="2919" t="s">
        <v>2449</v>
      </c>
      <c r="C990" s="2920" t="s">
        <v>2145</v>
      </c>
      <c r="D990" s="2917">
        <v>8472</v>
      </c>
      <c r="E990" s="1598" t="s">
        <v>2496</v>
      </c>
      <c r="F990" s="1583"/>
      <c r="G990" s="1583"/>
      <c r="H990" s="1583"/>
      <c r="I990" s="1583"/>
      <c r="J990" s="1583"/>
      <c r="K990" s="1583"/>
      <c r="L990" s="1583"/>
      <c r="M990" s="1583"/>
      <c r="N990" s="1583"/>
      <c r="O990" s="1583"/>
      <c r="P990" s="1583"/>
      <c r="Q990" s="1583"/>
      <c r="R990" s="1583"/>
      <c r="S990" s="1583"/>
      <c r="T990" s="1585"/>
      <c r="U990" s="1585"/>
      <c r="V990" s="1585"/>
      <c r="W990" s="1585"/>
      <c r="X990" s="1585"/>
      <c r="Y990" s="1585"/>
      <c r="Z990" s="1585"/>
      <c r="AA990" s="1585">
        <v>8472</v>
      </c>
      <c r="AB990" s="1585"/>
      <c r="AC990" s="1585"/>
      <c r="AD990" s="1601">
        <f t="shared" si="140"/>
        <v>8472</v>
      </c>
      <c r="AE990" s="1790">
        <v>0</v>
      </c>
      <c r="AF990" s="1792"/>
    </row>
    <row r="991" spans="1:32" ht="27.75" customHeight="1">
      <c r="A991" s="2918"/>
      <c r="B991" s="2919"/>
      <c r="C991" s="2920"/>
      <c r="D991" s="2917"/>
      <c r="E991" s="1603" t="s">
        <v>2497</v>
      </c>
      <c r="F991" s="1583"/>
      <c r="G991" s="1583"/>
      <c r="H991" s="1583"/>
      <c r="I991" s="1583"/>
      <c r="J991" s="1583"/>
      <c r="K991" s="1583"/>
      <c r="L991" s="1583"/>
      <c r="M991" s="1583"/>
      <c r="N991" s="1583"/>
      <c r="O991" s="1583"/>
      <c r="P991" s="1583"/>
      <c r="Q991" s="1583"/>
      <c r="R991" s="1583"/>
      <c r="S991" s="1583"/>
      <c r="T991" s="1585"/>
      <c r="U991" s="1585"/>
      <c r="V991" s="1630"/>
      <c r="W991" s="1585"/>
      <c r="X991" s="1585"/>
      <c r="Y991" s="1585"/>
      <c r="Z991" s="1585"/>
      <c r="AA991" s="1585"/>
      <c r="AB991" s="1585"/>
      <c r="AC991" s="1585"/>
      <c r="AD991" s="1601">
        <f t="shared" si="140"/>
        <v>0</v>
      </c>
      <c r="AE991" s="1790">
        <v>0</v>
      </c>
      <c r="AF991" s="1792"/>
    </row>
    <row r="992" spans="1:32" ht="27.75" customHeight="1">
      <c r="A992" s="2918"/>
      <c r="B992" s="2919" t="s">
        <v>2450</v>
      </c>
      <c r="C992" s="2920" t="s">
        <v>2145</v>
      </c>
      <c r="D992" s="2917">
        <v>5043</v>
      </c>
      <c r="E992" s="1598" t="s">
        <v>2496</v>
      </c>
      <c r="F992" s="1583"/>
      <c r="G992" s="1583"/>
      <c r="H992" s="1583"/>
      <c r="I992" s="1583"/>
      <c r="J992" s="1583"/>
      <c r="K992" s="1583"/>
      <c r="L992" s="1583"/>
      <c r="M992" s="1583"/>
      <c r="N992" s="1583"/>
      <c r="O992" s="1583"/>
      <c r="P992" s="1583"/>
      <c r="Q992" s="1583"/>
      <c r="R992" s="1583"/>
      <c r="S992" s="1583"/>
      <c r="T992" s="1585"/>
      <c r="U992" s="1585"/>
      <c r="V992" s="1585"/>
      <c r="W992" s="1585"/>
      <c r="X992" s="1585"/>
      <c r="Y992" s="1585"/>
      <c r="Z992" s="1585"/>
      <c r="AA992" s="1585">
        <v>5043</v>
      </c>
      <c r="AB992" s="1585"/>
      <c r="AC992" s="1585"/>
      <c r="AD992" s="1601">
        <f t="shared" si="140"/>
        <v>5043</v>
      </c>
      <c r="AE992" s="1790">
        <v>0</v>
      </c>
      <c r="AF992" s="1792"/>
    </row>
    <row r="993" spans="1:32" ht="27.75" customHeight="1">
      <c r="A993" s="2918"/>
      <c r="B993" s="2919"/>
      <c r="C993" s="2920"/>
      <c r="D993" s="2917"/>
      <c r="E993" s="1603" t="s">
        <v>2497</v>
      </c>
      <c r="F993" s="1583"/>
      <c r="G993" s="1583"/>
      <c r="H993" s="1583"/>
      <c r="I993" s="1583"/>
      <c r="J993" s="1583"/>
      <c r="K993" s="1583"/>
      <c r="L993" s="1583"/>
      <c r="M993" s="1583"/>
      <c r="N993" s="1583"/>
      <c r="O993" s="1583"/>
      <c r="P993" s="1583"/>
      <c r="Q993" s="1583"/>
      <c r="R993" s="1583"/>
      <c r="S993" s="1583"/>
      <c r="T993" s="1585"/>
      <c r="U993" s="1585"/>
      <c r="V993" s="1585"/>
      <c r="W993" s="1585"/>
      <c r="X993" s="1585"/>
      <c r="Y993" s="1585"/>
      <c r="Z993" s="1585"/>
      <c r="AA993" s="1585"/>
      <c r="AB993" s="1585"/>
      <c r="AC993" s="1585"/>
      <c r="AD993" s="1601">
        <f t="shared" si="140"/>
        <v>0</v>
      </c>
      <c r="AE993" s="1790">
        <v>0</v>
      </c>
      <c r="AF993" s="1792"/>
    </row>
    <row r="994" spans="1:32" ht="27.75" customHeight="1">
      <c r="A994" s="1594">
        <v>8</v>
      </c>
      <c r="B994" s="1609" t="s">
        <v>2451</v>
      </c>
      <c r="C994" s="1596"/>
      <c r="D994" s="1597" t="s">
        <v>0</v>
      </c>
      <c r="E994" s="1583"/>
      <c r="F994" s="1583"/>
      <c r="G994" s="1583"/>
      <c r="H994" s="1583"/>
      <c r="I994" s="1583"/>
      <c r="J994" s="1583"/>
      <c r="K994" s="1583"/>
      <c r="L994" s="1583"/>
      <c r="M994" s="1583"/>
      <c r="N994" s="1583"/>
      <c r="O994" s="1583"/>
      <c r="P994" s="1583"/>
      <c r="Q994" s="1583"/>
      <c r="R994" s="1583"/>
      <c r="S994" s="1583"/>
      <c r="T994" s="1585"/>
      <c r="U994" s="1585"/>
      <c r="V994" s="1585"/>
      <c r="W994" s="1585"/>
      <c r="X994" s="1585"/>
      <c r="Y994" s="1585"/>
      <c r="Z994" s="1585"/>
      <c r="AA994" s="1585"/>
      <c r="AB994" s="1585"/>
      <c r="AC994" s="1585"/>
      <c r="AD994" s="1601">
        <f t="shared" si="140"/>
        <v>0</v>
      </c>
      <c r="AE994" s="1790">
        <v>0</v>
      </c>
      <c r="AF994" s="1792"/>
    </row>
    <row r="995" spans="1:32" ht="27.75" customHeight="1">
      <c r="A995" s="1594"/>
      <c r="B995" s="1609" t="s">
        <v>2452</v>
      </c>
      <c r="C995" s="1596"/>
      <c r="D995" s="1597" t="s">
        <v>0</v>
      </c>
      <c r="E995" s="1583"/>
      <c r="F995" s="1583"/>
      <c r="G995" s="1583"/>
      <c r="H995" s="1583"/>
      <c r="I995" s="1583"/>
      <c r="J995" s="1583"/>
      <c r="K995" s="1583"/>
      <c r="L995" s="1583"/>
      <c r="M995" s="1583"/>
      <c r="N995" s="1583"/>
      <c r="O995" s="1583"/>
      <c r="P995" s="1583"/>
      <c r="Q995" s="1583"/>
      <c r="R995" s="1583"/>
      <c r="S995" s="1583"/>
      <c r="T995" s="1585"/>
      <c r="U995" s="1585"/>
      <c r="V995" s="1585"/>
      <c r="W995" s="1585"/>
      <c r="X995" s="1585"/>
      <c r="Y995" s="1585"/>
      <c r="Z995" s="1585"/>
      <c r="AA995" s="1585"/>
      <c r="AB995" s="1585"/>
      <c r="AC995" s="1585"/>
      <c r="AD995" s="1601">
        <f t="shared" si="140"/>
        <v>0</v>
      </c>
      <c r="AE995" s="1790">
        <v>0</v>
      </c>
      <c r="AF995" s="1792"/>
    </row>
    <row r="996" spans="1:32" ht="27.75" customHeight="1">
      <c r="A996" s="2918"/>
      <c r="B996" s="2919" t="s">
        <v>2453</v>
      </c>
      <c r="C996" s="2920" t="s">
        <v>52</v>
      </c>
      <c r="D996" s="2917">
        <v>225</v>
      </c>
      <c r="E996" s="1598" t="s">
        <v>2496</v>
      </c>
      <c r="F996" s="1583"/>
      <c r="G996" s="1583"/>
      <c r="H996" s="1583"/>
      <c r="I996" s="1583"/>
      <c r="J996" s="1583"/>
      <c r="K996" s="1583"/>
      <c r="L996" s="1583"/>
      <c r="M996" s="1583"/>
      <c r="N996" s="1583"/>
      <c r="O996" s="1583"/>
      <c r="P996" s="1583"/>
      <c r="Q996" s="1585">
        <f t="shared" ref="Q996:Q1000" si="144">Q997</f>
        <v>225</v>
      </c>
      <c r="R996" s="1583"/>
      <c r="S996" s="1583"/>
      <c r="T996" s="1585"/>
      <c r="U996" s="1585"/>
      <c r="V996" s="1585"/>
      <c r="W996" s="1585"/>
      <c r="X996" s="1585"/>
      <c r="Y996" s="1585"/>
      <c r="Z996" s="1585"/>
      <c r="AA996" s="1585"/>
      <c r="AB996" s="1585"/>
      <c r="AC996" s="1585"/>
      <c r="AD996" s="1601">
        <f t="shared" si="140"/>
        <v>225</v>
      </c>
      <c r="AE996" s="1790">
        <v>225</v>
      </c>
      <c r="AF996" s="1792"/>
    </row>
    <row r="997" spans="1:32" ht="27.75" customHeight="1">
      <c r="A997" s="2918"/>
      <c r="B997" s="2919"/>
      <c r="C997" s="2920"/>
      <c r="D997" s="2917"/>
      <c r="E997" s="1603" t="s">
        <v>2497</v>
      </c>
      <c r="F997" s="1583"/>
      <c r="G997" s="1583"/>
      <c r="H997" s="1583"/>
      <c r="I997" s="1583"/>
      <c r="J997" s="1583"/>
      <c r="K997" s="1583"/>
      <c r="L997" s="1583"/>
      <c r="M997" s="1583"/>
      <c r="N997" s="1583"/>
      <c r="O997" s="1583"/>
      <c r="P997" s="1583"/>
      <c r="Q997" s="1604">
        <v>225</v>
      </c>
      <c r="R997" s="1583"/>
      <c r="S997" s="1583"/>
      <c r="T997" s="1585"/>
      <c r="U997" s="1585"/>
      <c r="V997" s="1585"/>
      <c r="W997" s="1585"/>
      <c r="X997" s="1585"/>
      <c r="Y997" s="1585"/>
      <c r="Z997" s="1585"/>
      <c r="AA997" s="1585"/>
      <c r="AB997" s="1585"/>
      <c r="AC997" s="1585"/>
      <c r="AD997" s="1601">
        <f t="shared" si="140"/>
        <v>225</v>
      </c>
      <c r="AE997" s="1790">
        <v>225</v>
      </c>
      <c r="AF997" s="1792"/>
    </row>
    <row r="998" spans="1:32" ht="27.75" customHeight="1">
      <c r="A998" s="2918"/>
      <c r="B998" s="2919" t="s">
        <v>2454</v>
      </c>
      <c r="C998" s="2920" t="s">
        <v>52</v>
      </c>
      <c r="D998" s="2917">
        <v>1200</v>
      </c>
      <c r="E998" s="1598" t="s">
        <v>2496</v>
      </c>
      <c r="F998" s="1583"/>
      <c r="G998" s="1583"/>
      <c r="H998" s="1583"/>
      <c r="I998" s="1583"/>
      <c r="J998" s="1634"/>
      <c r="K998" s="1583"/>
      <c r="L998" s="1583"/>
      <c r="M998" s="1583"/>
      <c r="N998" s="1583"/>
      <c r="O998" s="1583"/>
      <c r="P998" s="1583"/>
      <c r="Q998" s="1585">
        <f t="shared" si="144"/>
        <v>1200</v>
      </c>
      <c r="R998" s="1583"/>
      <c r="S998" s="1583"/>
      <c r="T998" s="1585"/>
      <c r="U998" s="1585"/>
      <c r="V998" s="1585"/>
      <c r="W998" s="1585"/>
      <c r="X998" s="1585"/>
      <c r="Y998" s="1585"/>
      <c r="Z998" s="1585"/>
      <c r="AA998" s="1585"/>
      <c r="AB998" s="1585"/>
      <c r="AC998" s="1585"/>
      <c r="AD998" s="1601">
        <f t="shared" si="140"/>
        <v>1200</v>
      </c>
      <c r="AE998" s="1790">
        <v>1200</v>
      </c>
      <c r="AF998" s="1792"/>
    </row>
    <row r="999" spans="1:32" ht="27.75" customHeight="1">
      <c r="A999" s="2918"/>
      <c r="B999" s="2919"/>
      <c r="C999" s="2920"/>
      <c r="D999" s="2917"/>
      <c r="E999" s="1603" t="s">
        <v>2497</v>
      </c>
      <c r="F999" s="1583"/>
      <c r="G999" s="1583"/>
      <c r="H999" s="1583"/>
      <c r="I999" s="1583"/>
      <c r="J999" s="1634"/>
      <c r="K999" s="1583"/>
      <c r="L999" s="1583"/>
      <c r="M999" s="1583"/>
      <c r="N999" s="1583"/>
      <c r="O999" s="1583"/>
      <c r="P999" s="1583"/>
      <c r="Q999" s="1604">
        <v>1200</v>
      </c>
      <c r="R999" s="1583"/>
      <c r="S999" s="1583"/>
      <c r="T999" s="1585"/>
      <c r="U999" s="1585"/>
      <c r="V999" s="1585"/>
      <c r="W999" s="1585"/>
      <c r="X999" s="1585"/>
      <c r="Y999" s="1585"/>
      <c r="Z999" s="1585"/>
      <c r="AA999" s="1585"/>
      <c r="AB999" s="1585"/>
      <c r="AC999" s="1585"/>
      <c r="AD999" s="1601">
        <f t="shared" si="140"/>
        <v>1200</v>
      </c>
      <c r="AE999" s="1790">
        <v>1200</v>
      </c>
      <c r="AF999" s="1792"/>
    </row>
    <row r="1000" spans="1:32" ht="27.75" customHeight="1">
      <c r="A1000" s="2918"/>
      <c r="B1000" s="2919" t="s">
        <v>2455</v>
      </c>
      <c r="C1000" s="2920" t="s">
        <v>52</v>
      </c>
      <c r="D1000" s="2917">
        <v>1260</v>
      </c>
      <c r="E1000" s="1598" t="s">
        <v>2496</v>
      </c>
      <c r="F1000" s="1583"/>
      <c r="G1000" s="1583"/>
      <c r="H1000" s="1583"/>
      <c r="I1000" s="1583"/>
      <c r="J1000" s="1634"/>
      <c r="K1000" s="1634"/>
      <c r="L1000" s="1634"/>
      <c r="M1000" s="1583"/>
      <c r="N1000" s="1583"/>
      <c r="O1000" s="1583"/>
      <c r="P1000" s="1583"/>
      <c r="Q1000" s="1585">
        <f t="shared" si="144"/>
        <v>1260</v>
      </c>
      <c r="R1000" s="1583"/>
      <c r="S1000" s="1583"/>
      <c r="T1000" s="1585"/>
      <c r="U1000" s="1585"/>
      <c r="V1000" s="1585"/>
      <c r="W1000" s="1585"/>
      <c r="X1000" s="1585"/>
      <c r="Y1000" s="1585"/>
      <c r="Z1000" s="1585"/>
      <c r="AA1000" s="1585"/>
      <c r="AB1000" s="1585"/>
      <c r="AC1000" s="1585"/>
      <c r="AD1000" s="1601">
        <f t="shared" si="140"/>
        <v>1260</v>
      </c>
      <c r="AE1000" s="1790">
        <v>1260</v>
      </c>
      <c r="AF1000" s="1792"/>
    </row>
    <row r="1001" spans="1:32" ht="27.75" customHeight="1">
      <c r="A1001" s="2918"/>
      <c r="B1001" s="2919"/>
      <c r="C1001" s="2920"/>
      <c r="D1001" s="2917"/>
      <c r="E1001" s="1603" t="s">
        <v>2497</v>
      </c>
      <c r="F1001" s="1583"/>
      <c r="G1001" s="1583"/>
      <c r="H1001" s="1583"/>
      <c r="I1001" s="1583"/>
      <c r="J1001" s="1634"/>
      <c r="K1001" s="1634"/>
      <c r="L1001" s="1634"/>
      <c r="M1001" s="1583"/>
      <c r="N1001" s="1583"/>
      <c r="O1001" s="1583"/>
      <c r="P1001" s="1583"/>
      <c r="Q1001" s="1604">
        <v>1260</v>
      </c>
      <c r="R1001" s="1583"/>
      <c r="S1001" s="1583"/>
      <c r="T1001" s="1585"/>
      <c r="U1001" s="1585"/>
      <c r="V1001" s="1585"/>
      <c r="W1001" s="1585"/>
      <c r="X1001" s="1585"/>
      <c r="Y1001" s="1585"/>
      <c r="Z1001" s="1585"/>
      <c r="AA1001" s="1585"/>
      <c r="AB1001" s="1585"/>
      <c r="AC1001" s="1585"/>
      <c r="AD1001" s="1601">
        <f t="shared" si="140"/>
        <v>1260</v>
      </c>
      <c r="AE1001" s="1790">
        <v>1260</v>
      </c>
      <c r="AF1001" s="1792"/>
    </row>
    <row r="1002" spans="1:32" ht="27.75" customHeight="1">
      <c r="A1002" s="1594"/>
      <c r="B1002" s="1635" t="s">
        <v>2740</v>
      </c>
      <c r="C1002" s="1596"/>
      <c r="D1002" s="1592"/>
      <c r="E1002" s="1583"/>
      <c r="F1002" s="1583"/>
      <c r="G1002" s="1583"/>
      <c r="H1002" s="1583"/>
      <c r="I1002" s="1583"/>
      <c r="J1002" s="1583"/>
      <c r="K1002" s="1583"/>
      <c r="L1002" s="1634"/>
      <c r="M1002" s="1634"/>
      <c r="N1002" s="1583"/>
      <c r="O1002" s="1583"/>
      <c r="P1002" s="1583"/>
      <c r="Q1002" s="1583"/>
      <c r="R1002" s="1583"/>
      <c r="S1002" s="1583"/>
      <c r="T1002" s="1585"/>
      <c r="U1002" s="1585"/>
      <c r="V1002" s="1585"/>
      <c r="W1002" s="1585"/>
      <c r="X1002" s="1585"/>
      <c r="Y1002" s="1585"/>
      <c r="Z1002" s="1585"/>
      <c r="AA1002" s="1585"/>
      <c r="AB1002" s="1585"/>
      <c r="AC1002" s="1585"/>
      <c r="AD1002" s="1601">
        <f t="shared" si="140"/>
        <v>0</v>
      </c>
      <c r="AE1002" s="1790">
        <v>0</v>
      </c>
      <c r="AF1002" s="1792"/>
    </row>
    <row r="1003" spans="1:32" ht="36" customHeight="1">
      <c r="A1003" s="1636">
        <v>1</v>
      </c>
      <c r="B1003" s="1637" t="s">
        <v>1671</v>
      </c>
      <c r="C1003" s="1596"/>
      <c r="D1003" s="1638"/>
      <c r="E1003" s="1583"/>
      <c r="F1003" s="1583"/>
      <c r="G1003" s="1583"/>
      <c r="H1003" s="1583"/>
      <c r="I1003" s="1583"/>
      <c r="J1003" s="1583"/>
      <c r="K1003" s="1583"/>
      <c r="L1003" s="1634"/>
      <c r="M1003" s="1634"/>
      <c r="N1003" s="1583"/>
      <c r="O1003" s="1583"/>
      <c r="P1003" s="1583"/>
      <c r="Q1003" s="1583"/>
      <c r="R1003" s="1583"/>
      <c r="S1003" s="1583"/>
      <c r="T1003" s="1585"/>
      <c r="U1003" s="1585"/>
      <c r="V1003" s="1585"/>
      <c r="W1003" s="1585"/>
      <c r="X1003" s="1585"/>
      <c r="Y1003" s="1585"/>
      <c r="Z1003" s="1585"/>
      <c r="AA1003" s="1585"/>
      <c r="AB1003" s="1585"/>
      <c r="AC1003" s="1585"/>
      <c r="AD1003" s="1601">
        <f t="shared" si="140"/>
        <v>0</v>
      </c>
      <c r="AE1003" s="1790">
        <v>0</v>
      </c>
      <c r="AF1003" s="1792"/>
    </row>
    <row r="1004" spans="1:32" ht="27.75" customHeight="1">
      <c r="A1004" s="1579" t="s">
        <v>1189</v>
      </c>
      <c r="B1004" s="1639" t="s">
        <v>1673</v>
      </c>
      <c r="C1004" s="1596"/>
      <c r="D1004" s="1638"/>
      <c r="E1004" s="1583"/>
      <c r="F1004" s="1583"/>
      <c r="G1004" s="1583"/>
      <c r="H1004" s="1583"/>
      <c r="I1004" s="1583"/>
      <c r="J1004" s="1583"/>
      <c r="K1004" s="1583"/>
      <c r="L1004" s="1634"/>
      <c r="M1004" s="1634"/>
      <c r="N1004" s="1583"/>
      <c r="O1004" s="1583"/>
      <c r="P1004" s="1583"/>
      <c r="Q1004" s="1583"/>
      <c r="R1004" s="1583"/>
      <c r="S1004" s="1583"/>
      <c r="T1004" s="1585"/>
      <c r="U1004" s="1585"/>
      <c r="V1004" s="1585"/>
      <c r="W1004" s="1585"/>
      <c r="X1004" s="1585"/>
      <c r="Y1004" s="1585"/>
      <c r="Z1004" s="1585"/>
      <c r="AA1004" s="1585"/>
      <c r="AB1004" s="1585"/>
      <c r="AC1004" s="1585"/>
      <c r="AD1004" s="1601">
        <f t="shared" si="140"/>
        <v>0</v>
      </c>
      <c r="AE1004" s="1790">
        <v>0</v>
      </c>
      <c r="AF1004" s="1792"/>
    </row>
    <row r="1005" spans="1:32" ht="27.75" customHeight="1">
      <c r="A1005" s="2918" t="s">
        <v>1191</v>
      </c>
      <c r="B1005" s="2919" t="s">
        <v>1675</v>
      </c>
      <c r="C1005" s="2920" t="s">
        <v>2145</v>
      </c>
      <c r="D1005" s="2917">
        <v>930.35</v>
      </c>
      <c r="E1005" s="1598" t="s">
        <v>2496</v>
      </c>
      <c r="F1005" s="1583"/>
      <c r="G1005" s="1583"/>
      <c r="H1005" s="1583"/>
      <c r="I1005" s="1583"/>
      <c r="J1005" s="1583"/>
      <c r="K1005" s="1583"/>
      <c r="L1005" s="1634"/>
      <c r="M1005" s="1634"/>
      <c r="N1005" s="1583"/>
      <c r="O1005" s="1583"/>
      <c r="P1005" s="1583"/>
      <c r="Q1005" s="1583"/>
      <c r="R1005" s="1583"/>
      <c r="S1005" s="1583"/>
      <c r="T1005" s="1585"/>
      <c r="U1005" s="1585"/>
      <c r="V1005" s="1585"/>
      <c r="W1005" s="1585"/>
      <c r="X1005" s="1585"/>
      <c r="Y1005" s="1585"/>
      <c r="Z1005" s="1585">
        <v>930.35</v>
      </c>
      <c r="AA1005" s="1585"/>
      <c r="AB1005" s="1585"/>
      <c r="AC1005" s="1585"/>
      <c r="AD1005" s="1601">
        <f t="shared" si="140"/>
        <v>930.35</v>
      </c>
      <c r="AE1005" s="1790">
        <v>0</v>
      </c>
      <c r="AF1005" s="1792"/>
    </row>
    <row r="1006" spans="1:32" ht="27.75" customHeight="1">
      <c r="A1006" s="2918"/>
      <c r="B1006" s="2919"/>
      <c r="C1006" s="2920"/>
      <c r="D1006" s="2917"/>
      <c r="E1006" s="1603" t="s">
        <v>2497</v>
      </c>
      <c r="F1006" s="1583"/>
      <c r="G1006" s="1583"/>
      <c r="H1006" s="1583"/>
      <c r="I1006" s="1583"/>
      <c r="J1006" s="1583"/>
      <c r="K1006" s="1583"/>
      <c r="L1006" s="1634"/>
      <c r="M1006" s="1634"/>
      <c r="N1006" s="1583"/>
      <c r="O1006" s="1583"/>
      <c r="P1006" s="1583"/>
      <c r="Q1006" s="1583"/>
      <c r="R1006" s="1583"/>
      <c r="S1006" s="1583"/>
      <c r="T1006" s="1585"/>
      <c r="U1006" s="1585"/>
      <c r="V1006" s="1585"/>
      <c r="W1006" s="1585"/>
      <c r="X1006" s="1585"/>
      <c r="Y1006" s="1585"/>
      <c r="Z1006" s="1585"/>
      <c r="AA1006" s="1585"/>
      <c r="AB1006" s="1585"/>
      <c r="AC1006" s="1585"/>
      <c r="AD1006" s="1601">
        <f t="shared" si="140"/>
        <v>0</v>
      </c>
      <c r="AE1006" s="1790">
        <v>0</v>
      </c>
      <c r="AF1006" s="1792"/>
    </row>
    <row r="1007" spans="1:32" ht="27.75" customHeight="1">
      <c r="A1007" s="1640">
        <v>1.1000000000000001</v>
      </c>
      <c r="B1007" s="1640" t="s">
        <v>1672</v>
      </c>
      <c r="C1007" s="1596"/>
      <c r="D1007" s="1638"/>
      <c r="E1007" s="1583"/>
      <c r="F1007" s="1583"/>
      <c r="G1007" s="1583"/>
      <c r="H1007" s="1583"/>
      <c r="I1007" s="1583"/>
      <c r="J1007" s="1583"/>
      <c r="K1007" s="1583"/>
      <c r="L1007" s="1634"/>
      <c r="M1007" s="1634"/>
      <c r="N1007" s="1583"/>
      <c r="O1007" s="1583"/>
      <c r="P1007" s="1583"/>
      <c r="Q1007" s="1583"/>
      <c r="R1007" s="1583"/>
      <c r="S1007" s="1583"/>
      <c r="T1007" s="1585"/>
      <c r="U1007" s="1585"/>
      <c r="V1007" s="1585"/>
      <c r="W1007" s="1585"/>
      <c r="X1007" s="1585"/>
      <c r="Y1007" s="1585"/>
      <c r="Z1007" s="1585"/>
      <c r="AA1007" s="1585"/>
      <c r="AB1007" s="1585"/>
      <c r="AC1007" s="1585"/>
      <c r="AD1007" s="1601">
        <f t="shared" si="140"/>
        <v>0</v>
      </c>
      <c r="AE1007" s="1790">
        <v>0</v>
      </c>
      <c r="AF1007" s="1792"/>
    </row>
    <row r="1008" spans="1:32" ht="27.75" customHeight="1">
      <c r="A1008" s="1579" t="s">
        <v>1201</v>
      </c>
      <c r="B1008" s="1639" t="s">
        <v>1685</v>
      </c>
      <c r="C1008" s="1596"/>
      <c r="D1008" s="1638"/>
      <c r="E1008" s="1583"/>
      <c r="F1008" s="1583"/>
      <c r="G1008" s="1583"/>
      <c r="H1008" s="1583"/>
      <c r="I1008" s="1583"/>
      <c r="J1008" s="1583"/>
      <c r="K1008" s="1583"/>
      <c r="L1008" s="1634"/>
      <c r="M1008" s="1634"/>
      <c r="N1008" s="1583"/>
      <c r="O1008" s="1583"/>
      <c r="P1008" s="1583"/>
      <c r="Q1008" s="1583"/>
      <c r="R1008" s="1583"/>
      <c r="S1008" s="1583"/>
      <c r="T1008" s="1585"/>
      <c r="U1008" s="1585"/>
      <c r="V1008" s="1585"/>
      <c r="W1008" s="1585"/>
      <c r="X1008" s="1585"/>
      <c r="Y1008" s="1585"/>
      <c r="Z1008" s="1585"/>
      <c r="AA1008" s="1585"/>
      <c r="AB1008" s="1585"/>
      <c r="AC1008" s="1585"/>
      <c r="AD1008" s="1601">
        <f t="shared" si="140"/>
        <v>0</v>
      </c>
      <c r="AE1008" s="1790">
        <v>0</v>
      </c>
      <c r="AF1008" s="1792"/>
    </row>
    <row r="1009" spans="1:32" ht="27.75" customHeight="1">
      <c r="A1009" s="2918" t="s">
        <v>1202</v>
      </c>
      <c r="B1009" s="2919" t="s">
        <v>1686</v>
      </c>
      <c r="C1009" s="2920" t="s">
        <v>49</v>
      </c>
      <c r="D1009" s="2917">
        <v>275.22000000000003</v>
      </c>
      <c r="E1009" s="1598" t="s">
        <v>2496</v>
      </c>
      <c r="F1009" s="1583"/>
      <c r="G1009" s="1583"/>
      <c r="H1009" s="1583"/>
      <c r="I1009" s="1583"/>
      <c r="J1009" s="1583"/>
      <c r="K1009" s="1583"/>
      <c r="L1009" s="1634"/>
      <c r="M1009" s="1634"/>
      <c r="N1009" s="1583"/>
      <c r="O1009" s="1583"/>
      <c r="P1009" s="1583"/>
      <c r="Q1009" s="1585">
        <f t="shared" ref="Q1009:Q1018" si="145">Q1010</f>
        <v>144.19</v>
      </c>
      <c r="R1009" s="1583"/>
      <c r="S1009" s="1583"/>
      <c r="T1009" s="1585"/>
      <c r="U1009" s="1585"/>
      <c r="V1009" s="1585"/>
      <c r="W1009" s="1585"/>
      <c r="X1009" s="1585"/>
      <c r="Y1009" s="1585"/>
      <c r="Z1009" s="1585">
        <v>131.03000000000003</v>
      </c>
      <c r="AA1009" s="1585"/>
      <c r="AB1009" s="1585"/>
      <c r="AC1009" s="1585"/>
      <c r="AD1009" s="1601">
        <f t="shared" si="140"/>
        <v>275.22000000000003</v>
      </c>
      <c r="AE1009" s="1790">
        <v>144.19</v>
      </c>
      <c r="AF1009" s="1792"/>
    </row>
    <row r="1010" spans="1:32" ht="27.75" customHeight="1">
      <c r="A1010" s="2918"/>
      <c r="B1010" s="2919"/>
      <c r="C1010" s="2920"/>
      <c r="D1010" s="2917"/>
      <c r="E1010" s="1603" t="s">
        <v>2497</v>
      </c>
      <c r="F1010" s="1583"/>
      <c r="G1010" s="1583"/>
      <c r="H1010" s="1583"/>
      <c r="I1010" s="1583"/>
      <c r="J1010" s="1583"/>
      <c r="K1010" s="1583"/>
      <c r="L1010" s="1634"/>
      <c r="M1010" s="1634"/>
      <c r="N1010" s="1583"/>
      <c r="O1010" s="1583"/>
      <c r="P1010" s="1583"/>
      <c r="Q1010" s="1604">
        <v>144.19</v>
      </c>
      <c r="R1010" s="1583"/>
      <c r="S1010" s="1583"/>
      <c r="T1010" s="1585"/>
      <c r="U1010" s="1585"/>
      <c r="V1010" s="1585"/>
      <c r="W1010" s="1585"/>
      <c r="X1010" s="1585"/>
      <c r="Y1010" s="1585"/>
      <c r="Z1010" s="1585"/>
      <c r="AA1010" s="1585"/>
      <c r="AB1010" s="1585"/>
      <c r="AC1010" s="1585"/>
      <c r="AD1010" s="1601">
        <f t="shared" si="140"/>
        <v>144.19</v>
      </c>
      <c r="AE1010" s="1790">
        <v>144.19</v>
      </c>
      <c r="AF1010" s="1792"/>
    </row>
    <row r="1011" spans="1:32" ht="27.75" customHeight="1">
      <c r="A1011" s="2918" t="s">
        <v>1203</v>
      </c>
      <c r="B1011" s="2919" t="s">
        <v>1687</v>
      </c>
      <c r="C1011" s="2920" t="s">
        <v>49</v>
      </c>
      <c r="D1011" s="2917">
        <v>273.95999999999998</v>
      </c>
      <c r="E1011" s="1598" t="s">
        <v>2496</v>
      </c>
      <c r="F1011" s="1583"/>
      <c r="G1011" s="1583"/>
      <c r="H1011" s="1583"/>
      <c r="I1011" s="1583"/>
      <c r="J1011" s="1583"/>
      <c r="K1011" s="1583"/>
      <c r="L1011" s="1634"/>
      <c r="M1011" s="1634"/>
      <c r="N1011" s="1583"/>
      <c r="O1011" s="1583"/>
      <c r="P1011" s="1583"/>
      <c r="Q1011" s="1585">
        <f t="shared" si="145"/>
        <v>144.19</v>
      </c>
      <c r="R1011" s="1583"/>
      <c r="S1011" s="1583"/>
      <c r="T1011" s="1585"/>
      <c r="U1011" s="1585"/>
      <c r="V1011" s="1585"/>
      <c r="W1011" s="1585"/>
      <c r="X1011" s="1585"/>
      <c r="Y1011" s="1585"/>
      <c r="Z1011" s="1585">
        <v>129.76999999999998</v>
      </c>
      <c r="AA1011" s="1585"/>
      <c r="AB1011" s="1585"/>
      <c r="AC1011" s="1585"/>
      <c r="AD1011" s="1601">
        <f t="shared" si="140"/>
        <v>273.95999999999998</v>
      </c>
      <c r="AE1011" s="1790">
        <v>144.19</v>
      </c>
      <c r="AF1011" s="1792"/>
    </row>
    <row r="1012" spans="1:32" ht="27.75" customHeight="1">
      <c r="A1012" s="2918"/>
      <c r="B1012" s="2919"/>
      <c r="C1012" s="2920"/>
      <c r="D1012" s="2917"/>
      <c r="E1012" s="1603" t="s">
        <v>2497</v>
      </c>
      <c r="F1012" s="1583"/>
      <c r="G1012" s="1583"/>
      <c r="H1012" s="1583"/>
      <c r="I1012" s="1583"/>
      <c r="J1012" s="1583"/>
      <c r="K1012" s="1583"/>
      <c r="L1012" s="1634"/>
      <c r="M1012" s="1634"/>
      <c r="N1012" s="1583"/>
      <c r="O1012" s="1583"/>
      <c r="P1012" s="1583"/>
      <c r="Q1012" s="1604">
        <v>144.19</v>
      </c>
      <c r="R1012" s="1583"/>
      <c r="S1012" s="1583"/>
      <c r="T1012" s="1585"/>
      <c r="U1012" s="1585"/>
      <c r="V1012" s="1585"/>
      <c r="W1012" s="1585"/>
      <c r="X1012" s="1585"/>
      <c r="Y1012" s="1585"/>
      <c r="Z1012" s="1585"/>
      <c r="AA1012" s="1585"/>
      <c r="AB1012" s="1585"/>
      <c r="AC1012" s="1585"/>
      <c r="AD1012" s="1601">
        <f t="shared" si="140"/>
        <v>144.19</v>
      </c>
      <c r="AE1012" s="1790">
        <v>144.19</v>
      </c>
      <c r="AF1012" s="1792"/>
    </row>
    <row r="1013" spans="1:32" ht="27.75" customHeight="1">
      <c r="A1013" s="1640">
        <v>1.2</v>
      </c>
      <c r="B1013" s="1640" t="s">
        <v>1688</v>
      </c>
      <c r="C1013" s="1596"/>
      <c r="D1013" s="1638"/>
      <c r="E1013" s="1583"/>
      <c r="F1013" s="1583"/>
      <c r="G1013" s="1583"/>
      <c r="H1013" s="1583"/>
      <c r="I1013" s="1583"/>
      <c r="J1013" s="1583"/>
      <c r="K1013" s="1583"/>
      <c r="L1013" s="1634"/>
      <c r="M1013" s="1634"/>
      <c r="N1013" s="1583"/>
      <c r="O1013" s="1583"/>
      <c r="P1013" s="1583"/>
      <c r="Q1013" s="1583"/>
      <c r="R1013" s="1583"/>
      <c r="S1013" s="1583"/>
      <c r="T1013" s="1585"/>
      <c r="U1013" s="1585"/>
      <c r="V1013" s="1585"/>
      <c r="W1013" s="1585"/>
      <c r="X1013" s="1585"/>
      <c r="Y1013" s="1585"/>
      <c r="Z1013" s="1585"/>
      <c r="AA1013" s="1585"/>
      <c r="AB1013" s="1585"/>
      <c r="AC1013" s="1585"/>
      <c r="AD1013" s="1601">
        <f t="shared" si="140"/>
        <v>0</v>
      </c>
      <c r="AE1013" s="1790">
        <v>0</v>
      </c>
      <c r="AF1013" s="1792"/>
    </row>
    <row r="1014" spans="1:32" ht="27.75" customHeight="1">
      <c r="A1014" s="2918" t="s">
        <v>1205</v>
      </c>
      <c r="B1014" s="2919" t="s">
        <v>1690</v>
      </c>
      <c r="C1014" s="2920" t="s">
        <v>52</v>
      </c>
      <c r="D1014" s="2917">
        <v>73450</v>
      </c>
      <c r="E1014" s="1598" t="s">
        <v>2496</v>
      </c>
      <c r="F1014" s="1583"/>
      <c r="G1014" s="1583"/>
      <c r="H1014" s="1583"/>
      <c r="I1014" s="1583"/>
      <c r="J1014" s="1583"/>
      <c r="K1014" s="1583"/>
      <c r="L1014" s="1634"/>
      <c r="M1014" s="1634"/>
      <c r="N1014" s="1583"/>
      <c r="O1014" s="1583"/>
      <c r="P1014" s="1583"/>
      <c r="Q1014" s="1585">
        <f t="shared" si="145"/>
        <v>73450</v>
      </c>
      <c r="R1014" s="1583"/>
      <c r="S1014" s="1583"/>
      <c r="T1014" s="1585"/>
      <c r="U1014" s="1585"/>
      <c r="V1014" s="1585"/>
      <c r="W1014" s="1585"/>
      <c r="X1014" s="1585"/>
      <c r="Y1014" s="1585"/>
      <c r="Z1014" s="1585"/>
      <c r="AA1014" s="1585"/>
      <c r="AB1014" s="1585"/>
      <c r="AC1014" s="1585"/>
      <c r="AD1014" s="1601">
        <f t="shared" si="140"/>
        <v>73450</v>
      </c>
      <c r="AE1014" s="1790">
        <v>73450</v>
      </c>
      <c r="AF1014" s="1792"/>
    </row>
    <row r="1015" spans="1:32" ht="27.75" customHeight="1">
      <c r="A1015" s="2918"/>
      <c r="B1015" s="2919"/>
      <c r="C1015" s="2920"/>
      <c r="D1015" s="2917"/>
      <c r="E1015" s="1603" t="s">
        <v>2497</v>
      </c>
      <c r="F1015" s="1583"/>
      <c r="G1015" s="1583"/>
      <c r="H1015" s="1583"/>
      <c r="I1015" s="1583"/>
      <c r="J1015" s="1583"/>
      <c r="K1015" s="1583"/>
      <c r="L1015" s="1634"/>
      <c r="M1015" s="1634"/>
      <c r="N1015" s="1583"/>
      <c r="O1015" s="1583"/>
      <c r="P1015" s="1583"/>
      <c r="Q1015" s="1604">
        <v>73450</v>
      </c>
      <c r="R1015" s="1583"/>
      <c r="S1015" s="1583"/>
      <c r="T1015" s="1585"/>
      <c r="U1015" s="1585"/>
      <c r="V1015" s="1585"/>
      <c r="W1015" s="1585"/>
      <c r="X1015" s="1585"/>
      <c r="Y1015" s="1585"/>
      <c r="Z1015" s="1585"/>
      <c r="AA1015" s="1585"/>
      <c r="AB1015" s="1585"/>
      <c r="AC1015" s="1585"/>
      <c r="AD1015" s="1601">
        <f t="shared" si="140"/>
        <v>73450</v>
      </c>
      <c r="AE1015" s="1790">
        <v>73450</v>
      </c>
      <c r="AF1015" s="1792"/>
    </row>
    <row r="1016" spans="1:32" ht="27.75" customHeight="1">
      <c r="A1016" s="2918" t="s">
        <v>1206</v>
      </c>
      <c r="B1016" s="2919" t="s">
        <v>1691</v>
      </c>
      <c r="C1016" s="2920" t="s">
        <v>268</v>
      </c>
      <c r="D1016" s="2917">
        <v>36000</v>
      </c>
      <c r="E1016" s="1598" t="s">
        <v>2496</v>
      </c>
      <c r="F1016" s="1583"/>
      <c r="G1016" s="1583"/>
      <c r="H1016" s="1583"/>
      <c r="I1016" s="1583"/>
      <c r="J1016" s="1583"/>
      <c r="K1016" s="1583"/>
      <c r="L1016" s="1634"/>
      <c r="M1016" s="1634"/>
      <c r="N1016" s="1583"/>
      <c r="O1016" s="1583"/>
      <c r="P1016" s="1583"/>
      <c r="Q1016" s="1585">
        <f t="shared" si="145"/>
        <v>36000</v>
      </c>
      <c r="R1016" s="1583"/>
      <c r="S1016" s="1583"/>
      <c r="T1016" s="1585"/>
      <c r="U1016" s="1585"/>
      <c r="V1016" s="1585"/>
      <c r="W1016" s="1585"/>
      <c r="X1016" s="1585"/>
      <c r="Y1016" s="1585"/>
      <c r="Z1016" s="1585"/>
      <c r="AA1016" s="1585"/>
      <c r="AB1016" s="1585"/>
      <c r="AC1016" s="1585"/>
      <c r="AD1016" s="1601">
        <f t="shared" si="140"/>
        <v>36000</v>
      </c>
      <c r="AE1016" s="1790">
        <v>36000</v>
      </c>
      <c r="AF1016" s="1792"/>
    </row>
    <row r="1017" spans="1:32" ht="27.75" customHeight="1">
      <c r="A1017" s="2918"/>
      <c r="B1017" s="2919"/>
      <c r="C1017" s="2920"/>
      <c r="D1017" s="2917"/>
      <c r="E1017" s="1603" t="s">
        <v>2497</v>
      </c>
      <c r="F1017" s="1583"/>
      <c r="G1017" s="1583"/>
      <c r="H1017" s="1583"/>
      <c r="I1017" s="1583"/>
      <c r="J1017" s="1583"/>
      <c r="K1017" s="1583"/>
      <c r="L1017" s="1634"/>
      <c r="M1017" s="1634"/>
      <c r="N1017" s="1583"/>
      <c r="O1017" s="1583"/>
      <c r="P1017" s="1583"/>
      <c r="Q1017" s="1604">
        <v>36000</v>
      </c>
      <c r="R1017" s="1583"/>
      <c r="S1017" s="1583"/>
      <c r="T1017" s="1585"/>
      <c r="U1017" s="1585"/>
      <c r="V1017" s="1585"/>
      <c r="W1017" s="1585"/>
      <c r="X1017" s="1585"/>
      <c r="Y1017" s="1585"/>
      <c r="Z1017" s="1585"/>
      <c r="AA1017" s="1585"/>
      <c r="AB1017" s="1585"/>
      <c r="AC1017" s="1585"/>
      <c r="AD1017" s="1601">
        <f t="shared" si="140"/>
        <v>36000</v>
      </c>
      <c r="AE1017" s="1790">
        <v>36000</v>
      </c>
      <c r="AF1017" s="1792"/>
    </row>
    <row r="1018" spans="1:32" ht="27.75" customHeight="1">
      <c r="A1018" s="2918" t="s">
        <v>1209</v>
      </c>
      <c r="B1018" s="2919" t="s">
        <v>1694</v>
      </c>
      <c r="C1018" s="2920" t="s">
        <v>268</v>
      </c>
      <c r="D1018" s="2917">
        <v>1282.8</v>
      </c>
      <c r="E1018" s="1598" t="s">
        <v>2496</v>
      </c>
      <c r="F1018" s="1583"/>
      <c r="G1018" s="1583"/>
      <c r="H1018" s="1583"/>
      <c r="I1018" s="1583"/>
      <c r="J1018" s="1583"/>
      <c r="K1018" s="1583"/>
      <c r="L1018" s="1634"/>
      <c r="M1018" s="1634"/>
      <c r="N1018" s="1583"/>
      <c r="O1018" s="1583"/>
      <c r="P1018" s="1583"/>
      <c r="Q1018" s="1585">
        <f t="shared" si="145"/>
        <v>1282.8</v>
      </c>
      <c r="R1018" s="1583"/>
      <c r="S1018" s="1583"/>
      <c r="T1018" s="1585"/>
      <c r="U1018" s="1585"/>
      <c r="V1018" s="1585"/>
      <c r="W1018" s="1585"/>
      <c r="X1018" s="1585"/>
      <c r="Y1018" s="1585"/>
      <c r="Z1018" s="1585"/>
      <c r="AA1018" s="1585"/>
      <c r="AB1018" s="1585"/>
      <c r="AC1018" s="1585"/>
      <c r="AD1018" s="1601">
        <f t="shared" si="140"/>
        <v>1282.8</v>
      </c>
      <c r="AE1018" s="1790">
        <v>1282.8</v>
      </c>
      <c r="AF1018" s="1792"/>
    </row>
    <row r="1019" spans="1:32" ht="27.75" customHeight="1">
      <c r="A1019" s="2918"/>
      <c r="B1019" s="2919"/>
      <c r="C1019" s="2920"/>
      <c r="D1019" s="2917"/>
      <c r="E1019" s="1603" t="s">
        <v>2497</v>
      </c>
      <c r="F1019" s="1583"/>
      <c r="G1019" s="1583"/>
      <c r="H1019" s="1583"/>
      <c r="I1019" s="1583"/>
      <c r="J1019" s="1583"/>
      <c r="K1019" s="1583"/>
      <c r="L1019" s="1634"/>
      <c r="M1019" s="1634"/>
      <c r="N1019" s="1583"/>
      <c r="O1019" s="1583"/>
      <c r="P1019" s="1583"/>
      <c r="Q1019" s="1604">
        <v>1282.8</v>
      </c>
      <c r="R1019" s="1583"/>
      <c r="S1019" s="1583"/>
      <c r="T1019" s="1585"/>
      <c r="U1019" s="1585"/>
      <c r="V1019" s="1585"/>
      <c r="W1019" s="1585"/>
      <c r="X1019" s="1585"/>
      <c r="Y1019" s="1585"/>
      <c r="Z1019" s="1585"/>
      <c r="AA1019" s="1585"/>
      <c r="AB1019" s="1585"/>
      <c r="AC1019" s="1585"/>
      <c r="AD1019" s="1601">
        <f t="shared" si="140"/>
        <v>1282.8</v>
      </c>
      <c r="AE1019" s="1790">
        <v>1282.8</v>
      </c>
      <c r="AF1019" s="1792"/>
    </row>
    <row r="1020" spans="1:32" ht="27.75" customHeight="1">
      <c r="A1020" s="1641">
        <v>2</v>
      </c>
      <c r="B1020" s="1642" t="s">
        <v>1695</v>
      </c>
      <c r="C1020" s="1588"/>
      <c r="D1020" s="1638"/>
      <c r="E1020" s="1583"/>
      <c r="F1020" s="1583"/>
      <c r="G1020" s="1583"/>
      <c r="H1020" s="1583"/>
      <c r="I1020" s="1583"/>
      <c r="J1020" s="1583"/>
      <c r="K1020" s="1583"/>
      <c r="L1020" s="1634"/>
      <c r="M1020" s="1634"/>
      <c r="N1020" s="1583"/>
      <c r="O1020" s="1583"/>
      <c r="P1020" s="1583"/>
      <c r="Q1020" s="1583"/>
      <c r="R1020" s="1583"/>
      <c r="S1020" s="1583"/>
      <c r="T1020" s="1585"/>
      <c r="U1020" s="1585"/>
      <c r="V1020" s="1585"/>
      <c r="W1020" s="1585"/>
      <c r="X1020" s="1585"/>
      <c r="Y1020" s="1585"/>
      <c r="Z1020" s="1585"/>
      <c r="AA1020" s="1585"/>
      <c r="AB1020" s="1585"/>
      <c r="AC1020" s="1585"/>
      <c r="AD1020" s="1601">
        <f t="shared" si="140"/>
        <v>0</v>
      </c>
      <c r="AE1020" s="1790">
        <v>0</v>
      </c>
      <c r="AF1020" s="1792"/>
    </row>
    <row r="1021" spans="1:32" ht="27.75" customHeight="1">
      <c r="A1021" s="1640">
        <v>2.2000000000000002</v>
      </c>
      <c r="B1021" s="1640" t="s">
        <v>1701</v>
      </c>
      <c r="C1021" s="1596"/>
      <c r="D1021" s="1638"/>
      <c r="E1021" s="1583"/>
      <c r="F1021" s="1583"/>
      <c r="G1021" s="1583"/>
      <c r="H1021" s="1583"/>
      <c r="I1021" s="1583"/>
      <c r="J1021" s="1583"/>
      <c r="K1021" s="1583"/>
      <c r="L1021" s="1634"/>
      <c r="M1021" s="1634"/>
      <c r="N1021" s="1583"/>
      <c r="O1021" s="1583"/>
      <c r="P1021" s="1583"/>
      <c r="Q1021" s="1583"/>
      <c r="R1021" s="1583"/>
      <c r="S1021" s="1583"/>
      <c r="T1021" s="1585"/>
      <c r="U1021" s="1585"/>
      <c r="V1021" s="1585"/>
      <c r="W1021" s="1585"/>
      <c r="X1021" s="1585"/>
      <c r="Y1021" s="1585"/>
      <c r="Z1021" s="1585"/>
      <c r="AA1021" s="1585"/>
      <c r="AB1021" s="1585"/>
      <c r="AC1021" s="1585"/>
      <c r="AD1021" s="1601">
        <f t="shared" si="140"/>
        <v>0</v>
      </c>
      <c r="AE1021" s="1790">
        <v>0</v>
      </c>
      <c r="AF1021" s="1792"/>
    </row>
    <row r="1022" spans="1:32" ht="27.75" customHeight="1">
      <c r="A1022" s="1579" t="s">
        <v>1218</v>
      </c>
      <c r="B1022" s="1639" t="s">
        <v>1706</v>
      </c>
      <c r="C1022" s="1596"/>
      <c r="D1022" s="1638"/>
      <c r="E1022" s="1593"/>
      <c r="F1022" s="1583"/>
      <c r="G1022" s="1583"/>
      <c r="H1022" s="1583"/>
      <c r="I1022" s="1583"/>
      <c r="J1022" s="1583"/>
      <c r="K1022" s="1583"/>
      <c r="L1022" s="1583"/>
      <c r="M1022" s="1583"/>
      <c r="N1022" s="1583"/>
      <c r="O1022" s="1583"/>
      <c r="P1022" s="1583"/>
      <c r="Q1022" s="1583"/>
      <c r="R1022" s="1583"/>
      <c r="S1022" s="1583"/>
      <c r="T1022" s="1585"/>
      <c r="U1022" s="1585"/>
      <c r="V1022" s="1585"/>
      <c r="W1022" s="1585"/>
      <c r="X1022" s="1585"/>
      <c r="Y1022" s="1585"/>
      <c r="Z1022" s="1585"/>
      <c r="AA1022" s="1585"/>
      <c r="AB1022" s="1585"/>
      <c r="AC1022" s="1585"/>
      <c r="AD1022" s="1601">
        <f t="shared" si="140"/>
        <v>0</v>
      </c>
      <c r="AE1022" s="1790">
        <v>0</v>
      </c>
      <c r="AF1022" s="1792"/>
    </row>
    <row r="1023" spans="1:32" ht="27.75" customHeight="1">
      <c r="A1023" s="2918" t="s">
        <v>1220</v>
      </c>
      <c r="B1023" s="2919" t="s">
        <v>1708</v>
      </c>
      <c r="C1023" s="2920" t="s">
        <v>49</v>
      </c>
      <c r="D1023" s="2917">
        <v>10040.33</v>
      </c>
      <c r="E1023" s="1598" t="s">
        <v>2496</v>
      </c>
      <c r="F1023" s="1583"/>
      <c r="G1023" s="1583"/>
      <c r="H1023" s="1634"/>
      <c r="I1023" s="1634"/>
      <c r="J1023" s="1634"/>
      <c r="K1023" s="1583"/>
      <c r="L1023" s="1584"/>
      <c r="M1023" s="1583"/>
      <c r="N1023" s="1583"/>
      <c r="O1023" s="1583"/>
      <c r="P1023" s="1583"/>
      <c r="Q1023" s="1585">
        <f t="shared" ref="Q1023" si="146">Q1024</f>
        <v>10040.33</v>
      </c>
      <c r="R1023" s="1583"/>
      <c r="S1023" s="1583"/>
      <c r="T1023" s="1585"/>
      <c r="U1023" s="1585"/>
      <c r="V1023" s="1585"/>
      <c r="W1023" s="1585"/>
      <c r="X1023" s="1585"/>
      <c r="Y1023" s="1585"/>
      <c r="Z1023" s="1585"/>
      <c r="AA1023" s="1585"/>
      <c r="AB1023" s="1585"/>
      <c r="AC1023" s="1585"/>
      <c r="AD1023" s="1601">
        <f t="shared" si="140"/>
        <v>10040.33</v>
      </c>
      <c r="AE1023" s="1790">
        <v>10040.33</v>
      </c>
      <c r="AF1023" s="1792"/>
    </row>
    <row r="1024" spans="1:32" ht="27.75" customHeight="1">
      <c r="A1024" s="2918"/>
      <c r="B1024" s="2919"/>
      <c r="C1024" s="2920"/>
      <c r="D1024" s="2917"/>
      <c r="E1024" s="1603" t="s">
        <v>2497</v>
      </c>
      <c r="F1024" s="1583"/>
      <c r="G1024" s="1583"/>
      <c r="H1024" s="1634"/>
      <c r="I1024" s="1634"/>
      <c r="J1024" s="1634"/>
      <c r="K1024" s="1583"/>
      <c r="L1024" s="1584"/>
      <c r="M1024" s="1583"/>
      <c r="N1024" s="1583"/>
      <c r="O1024" s="1583"/>
      <c r="P1024" s="1583"/>
      <c r="Q1024" s="1604">
        <v>10040.33</v>
      </c>
      <c r="R1024" s="1583"/>
      <c r="S1024" s="1583"/>
      <c r="T1024" s="1585"/>
      <c r="U1024" s="1585"/>
      <c r="V1024" s="1585"/>
      <c r="W1024" s="1585"/>
      <c r="X1024" s="1585"/>
      <c r="Y1024" s="1585"/>
      <c r="Z1024" s="1585"/>
      <c r="AA1024" s="1585"/>
      <c r="AB1024" s="1585"/>
      <c r="AC1024" s="1585"/>
      <c r="AD1024" s="1601">
        <f t="shared" si="140"/>
        <v>10040.33</v>
      </c>
      <c r="AE1024" s="1790">
        <v>10040.33</v>
      </c>
      <c r="AF1024" s="1792"/>
    </row>
    <row r="1025" spans="1:32" ht="27.75" customHeight="1">
      <c r="A1025" s="1579" t="s">
        <v>1222</v>
      </c>
      <c r="B1025" s="1639" t="s">
        <v>1710</v>
      </c>
      <c r="C1025" s="1596"/>
      <c r="D1025" s="1638"/>
      <c r="E1025" s="1583"/>
      <c r="F1025" s="1583"/>
      <c r="G1025" s="1583"/>
      <c r="H1025" s="1634"/>
      <c r="I1025" s="1634"/>
      <c r="J1025" s="1634"/>
      <c r="K1025" s="1583"/>
      <c r="L1025" s="1584"/>
      <c r="M1025" s="1583"/>
      <c r="N1025" s="1583"/>
      <c r="O1025" s="1583"/>
      <c r="P1025" s="1583"/>
      <c r="Q1025" s="1583"/>
      <c r="R1025" s="1583"/>
      <c r="S1025" s="1583"/>
      <c r="T1025" s="1585"/>
      <c r="U1025" s="1585"/>
      <c r="V1025" s="1585"/>
      <c r="W1025" s="1585"/>
      <c r="X1025" s="1585"/>
      <c r="Y1025" s="1585"/>
      <c r="Z1025" s="1585"/>
      <c r="AA1025" s="1585"/>
      <c r="AB1025" s="1585"/>
      <c r="AC1025" s="1585"/>
      <c r="AD1025" s="1601">
        <f t="shared" si="140"/>
        <v>0</v>
      </c>
      <c r="AE1025" s="1790">
        <v>0</v>
      </c>
      <c r="AF1025" s="1792"/>
    </row>
    <row r="1026" spans="1:32" ht="27.75" customHeight="1">
      <c r="A1026" s="1579"/>
      <c r="B1026" s="1643" t="s">
        <v>1711</v>
      </c>
      <c r="C1026" s="1596"/>
      <c r="D1026" s="1638"/>
      <c r="E1026" s="1583"/>
      <c r="F1026" s="1583"/>
      <c r="G1026" s="1583"/>
      <c r="H1026" s="1583"/>
      <c r="I1026" s="1583"/>
      <c r="J1026" s="1583"/>
      <c r="K1026" s="1583"/>
      <c r="L1026" s="1583"/>
      <c r="M1026" s="1583"/>
      <c r="N1026" s="1583"/>
      <c r="O1026" s="1583"/>
      <c r="P1026" s="1583"/>
      <c r="Q1026" s="1583"/>
      <c r="R1026" s="1630"/>
      <c r="S1026" s="1630"/>
      <c r="T1026" s="1585"/>
      <c r="U1026" s="1585"/>
      <c r="V1026" s="1585"/>
      <c r="W1026" s="1585"/>
      <c r="X1026" s="1585"/>
      <c r="Y1026" s="1585"/>
      <c r="Z1026" s="1585"/>
      <c r="AA1026" s="1585"/>
      <c r="AB1026" s="1585"/>
      <c r="AC1026" s="1585"/>
      <c r="AD1026" s="1601">
        <f t="shared" si="140"/>
        <v>0</v>
      </c>
      <c r="AE1026" s="1790">
        <v>0</v>
      </c>
      <c r="AF1026" s="1792"/>
    </row>
    <row r="1027" spans="1:32" ht="27.75" customHeight="1">
      <c r="A1027" s="2918" t="s">
        <v>1224</v>
      </c>
      <c r="B1027" s="2919" t="s">
        <v>1712</v>
      </c>
      <c r="C1027" s="2920" t="s">
        <v>49</v>
      </c>
      <c r="D1027" s="2917">
        <v>21094.47</v>
      </c>
      <c r="E1027" s="1598" t="s">
        <v>2496</v>
      </c>
      <c r="F1027" s="1583"/>
      <c r="G1027" s="1583"/>
      <c r="H1027" s="1583"/>
      <c r="I1027" s="1583"/>
      <c r="J1027" s="1583"/>
      <c r="K1027" s="1583"/>
      <c r="L1027" s="1583"/>
      <c r="M1027" s="1583"/>
      <c r="N1027" s="1583"/>
      <c r="O1027" s="1583"/>
      <c r="P1027" s="1583"/>
      <c r="Q1027" s="1585">
        <f t="shared" ref="Q1027:Q1030" si="147">Q1028</f>
        <v>21094.47</v>
      </c>
      <c r="R1027" s="1630"/>
      <c r="S1027" s="1630"/>
      <c r="T1027" s="1585"/>
      <c r="U1027" s="1585"/>
      <c r="V1027" s="1585"/>
      <c r="W1027" s="1585"/>
      <c r="X1027" s="1585"/>
      <c r="Y1027" s="1585"/>
      <c r="Z1027" s="1585"/>
      <c r="AA1027" s="1585"/>
      <c r="AB1027" s="1585"/>
      <c r="AC1027" s="1585"/>
      <c r="AD1027" s="1601">
        <f t="shared" si="140"/>
        <v>21094.47</v>
      </c>
      <c r="AE1027" s="1790">
        <v>21094.47</v>
      </c>
      <c r="AF1027" s="1792"/>
    </row>
    <row r="1028" spans="1:32" ht="27.75" customHeight="1">
      <c r="A1028" s="2918"/>
      <c r="B1028" s="2919"/>
      <c r="C1028" s="2920"/>
      <c r="D1028" s="2917"/>
      <c r="E1028" s="1603" t="s">
        <v>2497</v>
      </c>
      <c r="F1028" s="1583"/>
      <c r="G1028" s="1583"/>
      <c r="H1028" s="1583"/>
      <c r="I1028" s="1583"/>
      <c r="J1028" s="1583"/>
      <c r="K1028" s="1583"/>
      <c r="L1028" s="1583"/>
      <c r="M1028" s="1583"/>
      <c r="N1028" s="1583"/>
      <c r="O1028" s="1583"/>
      <c r="P1028" s="1583"/>
      <c r="Q1028" s="1604">
        <v>21094.47</v>
      </c>
      <c r="R1028" s="1630"/>
      <c r="S1028" s="1630"/>
      <c r="T1028" s="1585"/>
      <c r="U1028" s="1585"/>
      <c r="V1028" s="1585"/>
      <c r="W1028" s="1585"/>
      <c r="X1028" s="1585"/>
      <c r="Y1028" s="1585"/>
      <c r="Z1028" s="1585"/>
      <c r="AA1028" s="1585"/>
      <c r="AB1028" s="1585"/>
      <c r="AC1028" s="1585"/>
      <c r="AD1028" s="1601">
        <f t="shared" si="140"/>
        <v>21094.47</v>
      </c>
      <c r="AE1028" s="1790">
        <v>21094.47</v>
      </c>
      <c r="AF1028" s="1792"/>
    </row>
    <row r="1029" spans="1:32" ht="27.75" customHeight="1">
      <c r="A1029" s="1579" t="s">
        <v>1226</v>
      </c>
      <c r="B1029" s="1639" t="s">
        <v>1714</v>
      </c>
      <c r="C1029" s="1596"/>
      <c r="D1029" s="1638"/>
      <c r="E1029" s="1583"/>
      <c r="F1029" s="1583"/>
      <c r="G1029" s="1583"/>
      <c r="H1029" s="1583"/>
      <c r="I1029" s="1583"/>
      <c r="J1029" s="1583"/>
      <c r="K1029" s="1583"/>
      <c r="L1029" s="1583"/>
      <c r="M1029" s="1583"/>
      <c r="N1029" s="1583"/>
      <c r="O1029" s="1583"/>
      <c r="P1029" s="1583"/>
      <c r="Q1029" s="1583"/>
      <c r="R1029" s="1630"/>
      <c r="S1029" s="1630"/>
      <c r="T1029" s="1585"/>
      <c r="U1029" s="1585"/>
      <c r="V1029" s="1585"/>
      <c r="W1029" s="1585"/>
      <c r="X1029" s="1585"/>
      <c r="Y1029" s="1585"/>
      <c r="Z1029" s="1585"/>
      <c r="AA1029" s="1585"/>
      <c r="AB1029" s="1585"/>
      <c r="AC1029" s="1585"/>
      <c r="AD1029" s="1601">
        <f t="shared" si="140"/>
        <v>0</v>
      </c>
      <c r="AE1029" s="1790">
        <v>0</v>
      </c>
      <c r="AF1029" s="1792"/>
    </row>
    <row r="1030" spans="1:32" ht="27.75" customHeight="1">
      <c r="A1030" s="2918" t="s">
        <v>1229</v>
      </c>
      <c r="B1030" s="2919" t="s">
        <v>1717</v>
      </c>
      <c r="C1030" s="2920" t="s">
        <v>420</v>
      </c>
      <c r="D1030" s="2917">
        <v>45547.02</v>
      </c>
      <c r="E1030" s="1598" t="s">
        <v>2496</v>
      </c>
      <c r="F1030" s="1583"/>
      <c r="G1030" s="1583"/>
      <c r="H1030" s="1583"/>
      <c r="I1030" s="1583"/>
      <c r="J1030" s="1583"/>
      <c r="K1030" s="1583"/>
      <c r="L1030" s="1583"/>
      <c r="M1030" s="1583"/>
      <c r="N1030" s="1583"/>
      <c r="O1030" s="1583"/>
      <c r="P1030" s="1583"/>
      <c r="Q1030" s="1585">
        <f t="shared" si="147"/>
        <v>45547.02</v>
      </c>
      <c r="R1030" s="1583"/>
      <c r="S1030" s="1583"/>
      <c r="T1030" s="1585"/>
      <c r="U1030" s="1585"/>
      <c r="V1030" s="1585"/>
      <c r="W1030" s="1585"/>
      <c r="X1030" s="1585"/>
      <c r="Y1030" s="1585"/>
      <c r="Z1030" s="1585"/>
      <c r="AA1030" s="1585"/>
      <c r="AB1030" s="1585"/>
      <c r="AC1030" s="1585"/>
      <c r="AD1030" s="1601">
        <f t="shared" si="140"/>
        <v>45547.02</v>
      </c>
      <c r="AE1030" s="1790">
        <v>45547.02</v>
      </c>
      <c r="AF1030" s="1792"/>
    </row>
    <row r="1031" spans="1:32" ht="27.75" customHeight="1">
      <c r="A1031" s="2918"/>
      <c r="B1031" s="2919"/>
      <c r="C1031" s="2920"/>
      <c r="D1031" s="2917"/>
      <c r="E1031" s="1603" t="s">
        <v>2497</v>
      </c>
      <c r="F1031" s="1583"/>
      <c r="G1031" s="1583"/>
      <c r="H1031" s="1583"/>
      <c r="I1031" s="1583"/>
      <c r="J1031" s="1583"/>
      <c r="K1031" s="1583"/>
      <c r="L1031" s="1583"/>
      <c r="M1031" s="1583"/>
      <c r="N1031" s="1583"/>
      <c r="O1031" s="1583"/>
      <c r="P1031" s="1583"/>
      <c r="Q1031" s="1604">
        <v>45547.02</v>
      </c>
      <c r="R1031" s="1583"/>
      <c r="S1031" s="1583"/>
      <c r="T1031" s="1585"/>
      <c r="U1031" s="1585"/>
      <c r="V1031" s="1585"/>
      <c r="W1031" s="1585"/>
      <c r="X1031" s="1585"/>
      <c r="Y1031" s="1585"/>
      <c r="Z1031" s="1585"/>
      <c r="AA1031" s="1585"/>
      <c r="AB1031" s="1585"/>
      <c r="AC1031" s="1585"/>
      <c r="AD1031" s="1601">
        <f t="shared" si="140"/>
        <v>45547.02</v>
      </c>
      <c r="AE1031" s="1790">
        <v>45547.02</v>
      </c>
      <c r="AF1031" s="1792"/>
    </row>
    <row r="1032" spans="1:32" ht="27.75" customHeight="1">
      <c r="A1032" s="1579" t="s">
        <v>1234</v>
      </c>
      <c r="B1032" s="1639" t="s">
        <v>1722</v>
      </c>
      <c r="C1032" s="1596"/>
      <c r="D1032" s="1638"/>
      <c r="E1032" s="1588"/>
      <c r="F1032" s="1583"/>
      <c r="G1032" s="1583"/>
      <c r="H1032" s="1583"/>
      <c r="I1032" s="1583"/>
      <c r="J1032" s="1583"/>
      <c r="K1032" s="1583"/>
      <c r="L1032" s="1583"/>
      <c r="M1032" s="1583"/>
      <c r="N1032" s="1583"/>
      <c r="O1032" s="1583"/>
      <c r="P1032" s="1583"/>
      <c r="Q1032" s="1583"/>
      <c r="R1032" s="1583"/>
      <c r="S1032" s="1583"/>
      <c r="T1032" s="1585"/>
      <c r="U1032" s="1585"/>
      <c r="V1032" s="1585"/>
      <c r="W1032" s="1585"/>
      <c r="X1032" s="1585"/>
      <c r="Y1032" s="1585"/>
      <c r="Z1032" s="1585"/>
      <c r="AA1032" s="1585"/>
      <c r="AB1032" s="1585"/>
      <c r="AC1032" s="1585"/>
      <c r="AD1032" s="1601">
        <f t="shared" si="140"/>
        <v>0</v>
      </c>
      <c r="AE1032" s="1790">
        <v>0</v>
      </c>
      <c r="AF1032" s="1792"/>
    </row>
    <row r="1033" spans="1:32" ht="27.75" customHeight="1">
      <c r="A1033" s="2918" t="s">
        <v>1235</v>
      </c>
      <c r="B1033" s="2919" t="s">
        <v>1723</v>
      </c>
      <c r="C1033" s="2920" t="s">
        <v>50</v>
      </c>
      <c r="D1033" s="2917">
        <v>8004.68</v>
      </c>
      <c r="E1033" s="1598" t="s">
        <v>2496</v>
      </c>
      <c r="F1033" s="1583"/>
      <c r="G1033" s="1583"/>
      <c r="H1033" s="1583"/>
      <c r="I1033" s="1583"/>
      <c r="J1033" s="1583"/>
      <c r="K1033" s="1583"/>
      <c r="L1033" s="1583"/>
      <c r="M1033" s="1583"/>
      <c r="N1033" s="1583"/>
      <c r="O1033" s="1583"/>
      <c r="P1033" s="1583"/>
      <c r="Q1033" s="1585">
        <f t="shared" ref="Q1033" si="148">Q1034</f>
        <v>8004.6841999999988</v>
      </c>
      <c r="R1033" s="1583"/>
      <c r="S1033" s="1583"/>
      <c r="T1033" s="1585"/>
      <c r="U1033" s="1585"/>
      <c r="V1033" s="1585"/>
      <c r="W1033" s="1585"/>
      <c r="X1033" s="1585"/>
      <c r="Y1033" s="1585"/>
      <c r="Z1033" s="1585"/>
      <c r="AA1033" s="1585"/>
      <c r="AB1033" s="1585"/>
      <c r="AC1033" s="1585"/>
      <c r="AD1033" s="1601">
        <f t="shared" si="140"/>
        <v>8004.6841999999988</v>
      </c>
      <c r="AE1033" s="1790">
        <v>8004.6841999999988</v>
      </c>
      <c r="AF1033" s="1792"/>
    </row>
    <row r="1034" spans="1:32" ht="27.75" customHeight="1">
      <c r="A1034" s="2918"/>
      <c r="B1034" s="2919"/>
      <c r="C1034" s="2920"/>
      <c r="D1034" s="2917"/>
      <c r="E1034" s="1603" t="s">
        <v>2497</v>
      </c>
      <c r="F1034" s="1583"/>
      <c r="G1034" s="1583"/>
      <c r="H1034" s="1583"/>
      <c r="I1034" s="1583"/>
      <c r="J1034" s="1583"/>
      <c r="K1034" s="1583"/>
      <c r="L1034" s="1583"/>
      <c r="M1034" s="1583"/>
      <c r="N1034" s="1583"/>
      <c r="O1034" s="1583"/>
      <c r="P1034" s="1583"/>
      <c r="Q1034" s="1604">
        <v>8004.6841999999988</v>
      </c>
      <c r="R1034" s="1583"/>
      <c r="S1034" s="1583"/>
      <c r="T1034" s="1585"/>
      <c r="U1034" s="1585"/>
      <c r="V1034" s="1585"/>
      <c r="W1034" s="1585"/>
      <c r="X1034" s="1585"/>
      <c r="Y1034" s="1585"/>
      <c r="Z1034" s="1585"/>
      <c r="AA1034" s="1585"/>
      <c r="AB1034" s="1585"/>
      <c r="AC1034" s="1585"/>
      <c r="AD1034" s="1601">
        <f t="shared" si="140"/>
        <v>8004.6841999999988</v>
      </c>
      <c r="AE1034" s="1790">
        <v>8004.6841999999988</v>
      </c>
      <c r="AF1034" s="1792"/>
    </row>
    <row r="1035" spans="1:32" ht="27.75" customHeight="1">
      <c r="A1035" s="2918" t="s">
        <v>1236</v>
      </c>
      <c r="B1035" s="2919" t="s">
        <v>1724</v>
      </c>
      <c r="C1035" s="2920" t="s">
        <v>49</v>
      </c>
      <c r="D1035" s="2917">
        <v>2588.4899999999998</v>
      </c>
      <c r="E1035" s="1598" t="s">
        <v>2496</v>
      </c>
      <c r="F1035" s="1583"/>
      <c r="G1035" s="1583"/>
      <c r="H1035" s="1583"/>
      <c r="I1035" s="1583"/>
      <c r="J1035" s="1583"/>
      <c r="K1035" s="1583"/>
      <c r="L1035" s="1583"/>
      <c r="M1035" s="1583"/>
      <c r="N1035" s="1583"/>
      <c r="O1035" s="1583"/>
      <c r="P1035" s="1583"/>
      <c r="Q1035" s="1585">
        <f t="shared" ref="Q1035" si="149">Q1036</f>
        <v>2588.4936000000007</v>
      </c>
      <c r="R1035" s="1583"/>
      <c r="S1035" s="1583"/>
      <c r="T1035" s="1585"/>
      <c r="U1035" s="1585"/>
      <c r="V1035" s="1585"/>
      <c r="W1035" s="1585"/>
      <c r="X1035" s="1585"/>
      <c r="Y1035" s="1585"/>
      <c r="Z1035" s="1585"/>
      <c r="AA1035" s="1585"/>
      <c r="AB1035" s="1585"/>
      <c r="AC1035" s="1585"/>
      <c r="AD1035" s="1601">
        <f t="shared" si="140"/>
        <v>2588.4936000000007</v>
      </c>
      <c r="AE1035" s="1790">
        <v>2588.4936000000007</v>
      </c>
      <c r="AF1035" s="1792"/>
    </row>
    <row r="1036" spans="1:32" ht="27.75" customHeight="1">
      <c r="A1036" s="2918"/>
      <c r="B1036" s="2919"/>
      <c r="C1036" s="2920"/>
      <c r="D1036" s="2917"/>
      <c r="E1036" s="1603" t="s">
        <v>2497</v>
      </c>
      <c r="F1036" s="1583"/>
      <c r="G1036" s="1583"/>
      <c r="H1036" s="1583"/>
      <c r="I1036" s="1583"/>
      <c r="J1036" s="1583"/>
      <c r="K1036" s="1583"/>
      <c r="L1036" s="1583"/>
      <c r="M1036" s="1583"/>
      <c r="N1036" s="1583"/>
      <c r="O1036" s="1583"/>
      <c r="P1036" s="1583"/>
      <c r="Q1036" s="1604">
        <v>2588.4936000000007</v>
      </c>
      <c r="R1036" s="1583"/>
      <c r="S1036" s="1583"/>
      <c r="T1036" s="1585"/>
      <c r="U1036" s="1585"/>
      <c r="V1036" s="1585"/>
      <c r="W1036" s="1585"/>
      <c r="X1036" s="1585"/>
      <c r="Y1036" s="1585"/>
      <c r="Z1036" s="1585"/>
      <c r="AA1036" s="1585"/>
      <c r="AB1036" s="1585"/>
      <c r="AC1036" s="1585"/>
      <c r="AD1036" s="1601">
        <f t="shared" si="140"/>
        <v>2588.4936000000007</v>
      </c>
      <c r="AE1036" s="1790">
        <v>2588.4936000000007</v>
      </c>
      <c r="AF1036" s="1792"/>
    </row>
    <row r="1037" spans="1:32" ht="27.75" customHeight="1">
      <c r="A1037" s="2918" t="s">
        <v>1237</v>
      </c>
      <c r="B1037" s="2919" t="s">
        <v>1725</v>
      </c>
      <c r="C1037" s="2920" t="s">
        <v>420</v>
      </c>
      <c r="D1037" s="2917">
        <v>6138.45</v>
      </c>
      <c r="E1037" s="1598" t="s">
        <v>2496</v>
      </c>
      <c r="F1037" s="1583"/>
      <c r="G1037" s="1583"/>
      <c r="H1037" s="1583"/>
      <c r="I1037" s="1583"/>
      <c r="J1037" s="1583"/>
      <c r="K1037" s="1583"/>
      <c r="L1037" s="1583"/>
      <c r="M1037" s="1583"/>
      <c r="N1037" s="1583"/>
      <c r="O1037" s="1583"/>
      <c r="P1037" s="1583"/>
      <c r="Q1037" s="1585">
        <f t="shared" ref="Q1037" si="150">Q1038</f>
        <v>6138.4469999999992</v>
      </c>
      <c r="R1037" s="1583"/>
      <c r="S1037" s="1583"/>
      <c r="T1037" s="1585"/>
      <c r="U1037" s="1585"/>
      <c r="V1037" s="1585"/>
      <c r="W1037" s="1585"/>
      <c r="X1037" s="1585"/>
      <c r="Y1037" s="1585"/>
      <c r="Z1037" s="1585"/>
      <c r="AA1037" s="1585"/>
      <c r="AB1037" s="1585"/>
      <c r="AC1037" s="1585"/>
      <c r="AD1037" s="1601">
        <f t="shared" si="140"/>
        <v>6138.4469999999992</v>
      </c>
      <c r="AE1037" s="1790">
        <v>6138.4469999999992</v>
      </c>
      <c r="AF1037" s="1792"/>
    </row>
    <row r="1038" spans="1:32" ht="27.75" customHeight="1">
      <c r="A1038" s="2918"/>
      <c r="B1038" s="2919"/>
      <c r="C1038" s="2920"/>
      <c r="D1038" s="2917"/>
      <c r="E1038" s="1603" t="s">
        <v>2497</v>
      </c>
      <c r="F1038" s="1583"/>
      <c r="G1038" s="1583"/>
      <c r="H1038" s="1583"/>
      <c r="I1038" s="1583"/>
      <c r="J1038" s="1583"/>
      <c r="K1038" s="1583"/>
      <c r="L1038" s="1583"/>
      <c r="M1038" s="1583"/>
      <c r="N1038" s="1583"/>
      <c r="O1038" s="1583"/>
      <c r="P1038" s="1583"/>
      <c r="Q1038" s="1604">
        <v>6138.4469999999992</v>
      </c>
      <c r="R1038" s="1583"/>
      <c r="S1038" s="1583"/>
      <c r="T1038" s="1585"/>
      <c r="U1038" s="1585"/>
      <c r="V1038" s="1585"/>
      <c r="W1038" s="1585"/>
      <c r="X1038" s="1585"/>
      <c r="Y1038" s="1585"/>
      <c r="Z1038" s="1585"/>
      <c r="AA1038" s="1585"/>
      <c r="AB1038" s="1585"/>
      <c r="AC1038" s="1585"/>
      <c r="AD1038" s="1601">
        <f t="shared" si="140"/>
        <v>6138.4469999999992</v>
      </c>
      <c r="AE1038" s="1790">
        <v>6138.4469999999992</v>
      </c>
      <c r="AF1038" s="1792"/>
    </row>
    <row r="1039" spans="1:32" ht="27.75" customHeight="1">
      <c r="A1039" s="1579" t="s">
        <v>1238</v>
      </c>
      <c r="B1039" s="1639" t="s">
        <v>1726</v>
      </c>
      <c r="C1039" s="1596"/>
      <c r="D1039" s="1638"/>
      <c r="E1039" s="1583"/>
      <c r="F1039" s="1583"/>
      <c r="G1039" s="1583"/>
      <c r="H1039" s="1583"/>
      <c r="I1039" s="1583"/>
      <c r="J1039" s="1583"/>
      <c r="K1039" s="1583"/>
      <c r="L1039" s="1583"/>
      <c r="M1039" s="1583"/>
      <c r="N1039" s="1583"/>
      <c r="O1039" s="1583"/>
      <c r="P1039" s="1583"/>
      <c r="Q1039" s="1583"/>
      <c r="R1039" s="1583"/>
      <c r="S1039" s="1583"/>
      <c r="T1039" s="1585"/>
      <c r="U1039" s="1585"/>
      <c r="V1039" s="1585"/>
      <c r="W1039" s="1585"/>
      <c r="X1039" s="1585"/>
      <c r="Y1039" s="1585"/>
      <c r="Z1039" s="1585"/>
      <c r="AA1039" s="1585"/>
      <c r="AB1039" s="1585"/>
      <c r="AC1039" s="1585"/>
      <c r="AD1039" s="1601">
        <f t="shared" si="140"/>
        <v>0</v>
      </c>
      <c r="AE1039" s="1790">
        <v>0</v>
      </c>
      <c r="AF1039" s="1792"/>
    </row>
    <row r="1040" spans="1:32" ht="27.75" customHeight="1">
      <c r="A1040" s="2918" t="s">
        <v>1239</v>
      </c>
      <c r="B1040" s="2919" t="s">
        <v>1727</v>
      </c>
      <c r="C1040" s="2920" t="s">
        <v>50</v>
      </c>
      <c r="D1040" s="2917">
        <v>82747.7</v>
      </c>
      <c r="E1040" s="1598" t="s">
        <v>2496</v>
      </c>
      <c r="F1040" s="1583"/>
      <c r="G1040" s="1583"/>
      <c r="H1040" s="1583"/>
      <c r="I1040" s="1583"/>
      <c r="J1040" s="1583"/>
      <c r="K1040" s="1583"/>
      <c r="L1040" s="1583"/>
      <c r="M1040" s="1583"/>
      <c r="N1040" s="1583"/>
      <c r="O1040" s="1583"/>
      <c r="P1040" s="1583"/>
      <c r="Q1040" s="1585">
        <f t="shared" ref="Q1040" si="151">Q1041</f>
        <v>82747.703999999998</v>
      </c>
      <c r="R1040" s="1583"/>
      <c r="S1040" s="1583"/>
      <c r="T1040" s="1585"/>
      <c r="U1040" s="1585"/>
      <c r="V1040" s="1585"/>
      <c r="W1040" s="1585"/>
      <c r="X1040" s="1585"/>
      <c r="Y1040" s="1585"/>
      <c r="Z1040" s="1585"/>
      <c r="AA1040" s="1585"/>
      <c r="AB1040" s="1585"/>
      <c r="AC1040" s="1585"/>
      <c r="AD1040" s="1601">
        <f t="shared" si="140"/>
        <v>82747.703999999998</v>
      </c>
      <c r="AE1040" s="1790">
        <v>82747.703999999998</v>
      </c>
      <c r="AF1040" s="1792"/>
    </row>
    <row r="1041" spans="1:32" ht="27.75" customHeight="1">
      <c r="A1041" s="2918"/>
      <c r="B1041" s="2919"/>
      <c r="C1041" s="2920"/>
      <c r="D1041" s="2917"/>
      <c r="E1041" s="1603" t="s">
        <v>2497</v>
      </c>
      <c r="F1041" s="1583"/>
      <c r="G1041" s="1583"/>
      <c r="H1041" s="1583"/>
      <c r="I1041" s="1583"/>
      <c r="J1041" s="1583"/>
      <c r="K1041" s="1583"/>
      <c r="L1041" s="1583"/>
      <c r="M1041" s="1583"/>
      <c r="N1041" s="1583"/>
      <c r="O1041" s="1583"/>
      <c r="P1041" s="1583"/>
      <c r="Q1041" s="1604">
        <v>82747.703999999998</v>
      </c>
      <c r="R1041" s="1583"/>
      <c r="S1041" s="1583"/>
      <c r="T1041" s="1585"/>
      <c r="U1041" s="1585"/>
      <c r="V1041" s="1585"/>
      <c r="W1041" s="1585"/>
      <c r="X1041" s="1585"/>
      <c r="Y1041" s="1585"/>
      <c r="Z1041" s="1585"/>
      <c r="AA1041" s="1585"/>
      <c r="AB1041" s="1585"/>
      <c r="AC1041" s="1585"/>
      <c r="AD1041" s="1601">
        <f t="shared" ref="AD1041:AD1104" si="152">SUM(F1041:AC1041)</f>
        <v>82747.703999999998</v>
      </c>
      <c r="AE1041" s="1790">
        <v>82747.703999999998</v>
      </c>
      <c r="AF1041" s="1792"/>
    </row>
    <row r="1042" spans="1:32" ht="27.75" customHeight="1">
      <c r="A1042" s="2918" t="s">
        <v>1240</v>
      </c>
      <c r="B1042" s="2919" t="s">
        <v>2229</v>
      </c>
      <c r="C1042" s="2920" t="s">
        <v>52</v>
      </c>
      <c r="D1042" s="2917">
        <v>87169.5</v>
      </c>
      <c r="E1042" s="1598" t="s">
        <v>2496</v>
      </c>
      <c r="F1042" s="1583"/>
      <c r="G1042" s="1583"/>
      <c r="H1042" s="1583"/>
      <c r="I1042" s="1583"/>
      <c r="J1042" s="1583"/>
      <c r="K1042" s="1583"/>
      <c r="L1042" s="1583"/>
      <c r="M1042" s="1583"/>
      <c r="N1042" s="1583"/>
      <c r="O1042" s="1583"/>
      <c r="P1042" s="1583"/>
      <c r="Q1042" s="1585">
        <f t="shared" ref="Q1042" si="153">Q1043</f>
        <v>87169.5</v>
      </c>
      <c r="R1042" s="1583"/>
      <c r="S1042" s="1583"/>
      <c r="T1042" s="1585"/>
      <c r="U1042" s="1585"/>
      <c r="V1042" s="1585"/>
      <c r="W1042" s="1585"/>
      <c r="X1042" s="1585"/>
      <c r="Y1042" s="1585"/>
      <c r="Z1042" s="1585"/>
      <c r="AA1042" s="1585"/>
      <c r="AB1042" s="1585"/>
      <c r="AC1042" s="1585"/>
      <c r="AD1042" s="1601">
        <f t="shared" si="152"/>
        <v>87169.5</v>
      </c>
      <c r="AE1042" s="1790">
        <v>87169.5</v>
      </c>
      <c r="AF1042" s="1792"/>
    </row>
    <row r="1043" spans="1:32" ht="27.75" customHeight="1">
      <c r="A1043" s="2918"/>
      <c r="B1043" s="2919"/>
      <c r="C1043" s="2920"/>
      <c r="D1043" s="2917"/>
      <c r="E1043" s="1603" t="s">
        <v>2497</v>
      </c>
      <c r="F1043" s="1583"/>
      <c r="G1043" s="1583"/>
      <c r="H1043" s="1583"/>
      <c r="I1043" s="1583"/>
      <c r="J1043" s="1583"/>
      <c r="K1043" s="1583"/>
      <c r="L1043" s="1583"/>
      <c r="M1043" s="1583"/>
      <c r="N1043" s="1583"/>
      <c r="O1043" s="1583"/>
      <c r="P1043" s="1583"/>
      <c r="Q1043" s="1604">
        <v>87169.5</v>
      </c>
      <c r="R1043" s="1583"/>
      <c r="S1043" s="1583"/>
      <c r="T1043" s="1585"/>
      <c r="U1043" s="1585"/>
      <c r="V1043" s="1585"/>
      <c r="W1043" s="1585"/>
      <c r="X1043" s="1585"/>
      <c r="Y1043" s="1585"/>
      <c r="Z1043" s="1585"/>
      <c r="AA1043" s="1585"/>
      <c r="AB1043" s="1585"/>
      <c r="AC1043" s="1585"/>
      <c r="AD1043" s="1601">
        <f t="shared" si="152"/>
        <v>87169.5</v>
      </c>
      <c r="AE1043" s="1790">
        <v>87169.5</v>
      </c>
      <c r="AF1043" s="1792"/>
    </row>
    <row r="1044" spans="1:32" ht="27.75" customHeight="1">
      <c r="A1044" s="1579" t="s">
        <v>1243</v>
      </c>
      <c r="B1044" s="1639" t="s">
        <v>1730</v>
      </c>
      <c r="C1044" s="1596"/>
      <c r="D1044" s="1638"/>
      <c r="E1044" s="1583"/>
      <c r="F1044" s="1583"/>
      <c r="G1044" s="1583"/>
      <c r="H1044" s="1583"/>
      <c r="I1044" s="1583"/>
      <c r="J1044" s="1583"/>
      <c r="K1044" s="1583"/>
      <c r="L1044" s="1583"/>
      <c r="M1044" s="1583"/>
      <c r="N1044" s="1583"/>
      <c r="O1044" s="1583"/>
      <c r="P1044" s="1583"/>
      <c r="Q1044" s="1583"/>
      <c r="R1044" s="1583"/>
      <c r="S1044" s="1583"/>
      <c r="T1044" s="1585"/>
      <c r="U1044" s="1585"/>
      <c r="V1044" s="1585"/>
      <c r="W1044" s="1585"/>
      <c r="X1044" s="1585"/>
      <c r="Y1044" s="1585"/>
      <c r="Z1044" s="1585"/>
      <c r="AA1044" s="1585"/>
      <c r="AB1044" s="1585"/>
      <c r="AC1044" s="1585"/>
      <c r="AD1044" s="1601">
        <f t="shared" si="152"/>
        <v>0</v>
      </c>
      <c r="AE1044" s="1790">
        <v>0</v>
      </c>
      <c r="AF1044" s="1792"/>
    </row>
    <row r="1045" spans="1:32" ht="27.75" customHeight="1">
      <c r="A1045" s="2918" t="s">
        <v>1245</v>
      </c>
      <c r="B1045" s="2919" t="s">
        <v>1731</v>
      </c>
      <c r="C1045" s="2920" t="s">
        <v>49</v>
      </c>
      <c r="D1045" s="2917">
        <v>40499.58</v>
      </c>
      <c r="E1045" s="1598" t="s">
        <v>2496</v>
      </c>
      <c r="F1045" s="1583"/>
      <c r="G1045" s="1583"/>
      <c r="H1045" s="1583"/>
      <c r="I1045" s="1583"/>
      <c r="J1045" s="1583"/>
      <c r="K1045" s="1583"/>
      <c r="L1045" s="1583"/>
      <c r="M1045" s="1583"/>
      <c r="N1045" s="1583"/>
      <c r="O1045" s="1583"/>
      <c r="P1045" s="1583"/>
      <c r="Q1045" s="1585">
        <f t="shared" ref="Q1045" si="154">Q1046</f>
        <v>40499.582399999999</v>
      </c>
      <c r="R1045" s="1583"/>
      <c r="S1045" s="1583"/>
      <c r="T1045" s="1585"/>
      <c r="U1045" s="1585"/>
      <c r="V1045" s="1585"/>
      <c r="W1045" s="1585"/>
      <c r="X1045" s="1585"/>
      <c r="Y1045" s="1585"/>
      <c r="Z1045" s="1585"/>
      <c r="AA1045" s="1585"/>
      <c r="AB1045" s="1585"/>
      <c r="AC1045" s="1585"/>
      <c r="AD1045" s="1601">
        <f t="shared" si="152"/>
        <v>40499.582399999999</v>
      </c>
      <c r="AE1045" s="1790">
        <v>40499.582399999999</v>
      </c>
      <c r="AF1045" s="1792"/>
    </row>
    <row r="1046" spans="1:32" ht="27.75" customHeight="1">
      <c r="A1046" s="2918"/>
      <c r="B1046" s="2919"/>
      <c r="C1046" s="2920"/>
      <c r="D1046" s="2917"/>
      <c r="E1046" s="1603" t="s">
        <v>2497</v>
      </c>
      <c r="F1046" s="1583"/>
      <c r="G1046" s="1583"/>
      <c r="H1046" s="1583"/>
      <c r="I1046" s="1583"/>
      <c r="J1046" s="1583"/>
      <c r="K1046" s="1583"/>
      <c r="L1046" s="1583"/>
      <c r="M1046" s="1583"/>
      <c r="N1046" s="1583"/>
      <c r="O1046" s="1583"/>
      <c r="P1046" s="1583"/>
      <c r="Q1046" s="1604">
        <v>40499.582399999999</v>
      </c>
      <c r="R1046" s="1583"/>
      <c r="S1046" s="1583"/>
      <c r="T1046" s="1585"/>
      <c r="U1046" s="1585"/>
      <c r="V1046" s="1585"/>
      <c r="W1046" s="1585"/>
      <c r="X1046" s="1585"/>
      <c r="Y1046" s="1585"/>
      <c r="Z1046" s="1585"/>
      <c r="AA1046" s="1585"/>
      <c r="AB1046" s="1585"/>
      <c r="AC1046" s="1585"/>
      <c r="AD1046" s="1601">
        <f t="shared" si="152"/>
        <v>40499.582399999999</v>
      </c>
      <c r="AE1046" s="1790">
        <v>40499.582399999999</v>
      </c>
      <c r="AF1046" s="1792"/>
    </row>
    <row r="1047" spans="1:32" ht="27.75" customHeight="1">
      <c r="A1047" s="2918" t="s">
        <v>1246</v>
      </c>
      <c r="B1047" s="2919" t="s">
        <v>1732</v>
      </c>
      <c r="C1047" s="2920" t="s">
        <v>420</v>
      </c>
      <c r="D1047" s="2917">
        <v>23715.1</v>
      </c>
      <c r="E1047" s="1598" t="s">
        <v>2496</v>
      </c>
      <c r="F1047" s="1583"/>
      <c r="G1047" s="1583"/>
      <c r="H1047" s="1583"/>
      <c r="I1047" s="1583"/>
      <c r="J1047" s="1583"/>
      <c r="K1047" s="1583"/>
      <c r="L1047" s="1583"/>
      <c r="M1047" s="1583"/>
      <c r="N1047" s="1583"/>
      <c r="O1047" s="1583"/>
      <c r="P1047" s="1583"/>
      <c r="Q1047" s="1585">
        <f t="shared" ref="Q1047" si="155">Q1048</f>
        <v>23715.100499999997</v>
      </c>
      <c r="R1047" s="1583"/>
      <c r="S1047" s="1583"/>
      <c r="T1047" s="1585"/>
      <c r="U1047" s="1585"/>
      <c r="V1047" s="1585"/>
      <c r="W1047" s="1585"/>
      <c r="X1047" s="1585"/>
      <c r="Y1047" s="1585"/>
      <c r="Z1047" s="1585"/>
      <c r="AA1047" s="1585"/>
      <c r="AB1047" s="1585"/>
      <c r="AC1047" s="1585"/>
      <c r="AD1047" s="1601">
        <f t="shared" si="152"/>
        <v>23715.100499999997</v>
      </c>
      <c r="AE1047" s="1790">
        <v>23715.100499999997</v>
      </c>
      <c r="AF1047" s="1792"/>
    </row>
    <row r="1048" spans="1:32" ht="27.75" customHeight="1">
      <c r="A1048" s="2918"/>
      <c r="B1048" s="2919"/>
      <c r="C1048" s="2920"/>
      <c r="D1048" s="2917"/>
      <c r="E1048" s="1603" t="s">
        <v>2497</v>
      </c>
      <c r="F1048" s="1583"/>
      <c r="G1048" s="1583"/>
      <c r="H1048" s="1583"/>
      <c r="I1048" s="1583"/>
      <c r="J1048" s="1583"/>
      <c r="K1048" s="1583"/>
      <c r="L1048" s="1583"/>
      <c r="M1048" s="1583"/>
      <c r="N1048" s="1583"/>
      <c r="O1048" s="1583"/>
      <c r="P1048" s="1583"/>
      <c r="Q1048" s="1604">
        <v>23715.100499999997</v>
      </c>
      <c r="R1048" s="1583"/>
      <c r="S1048" s="1583"/>
      <c r="T1048" s="1585"/>
      <c r="U1048" s="1585"/>
      <c r="V1048" s="1585"/>
      <c r="W1048" s="1585"/>
      <c r="X1048" s="1585"/>
      <c r="Y1048" s="1585"/>
      <c r="Z1048" s="1585"/>
      <c r="AA1048" s="1585"/>
      <c r="AB1048" s="1585"/>
      <c r="AC1048" s="1585"/>
      <c r="AD1048" s="1601">
        <f t="shared" si="152"/>
        <v>23715.100499999997</v>
      </c>
      <c r="AE1048" s="1790">
        <v>23715.100499999997</v>
      </c>
      <c r="AF1048" s="1792"/>
    </row>
    <row r="1049" spans="1:32" ht="27.75" customHeight="1">
      <c r="A1049" s="1641">
        <v>3</v>
      </c>
      <c r="B1049" s="1642" t="s">
        <v>1736</v>
      </c>
      <c r="C1049" s="1596"/>
      <c r="D1049" s="1638"/>
      <c r="E1049" s="1583"/>
      <c r="F1049" s="1583"/>
      <c r="G1049" s="1583"/>
      <c r="H1049" s="1583"/>
      <c r="I1049" s="1583"/>
      <c r="J1049" s="1583"/>
      <c r="K1049" s="1583"/>
      <c r="L1049" s="1583"/>
      <c r="M1049" s="1583"/>
      <c r="N1049" s="1583"/>
      <c r="O1049" s="1583"/>
      <c r="P1049" s="1583"/>
      <c r="Q1049" s="1583"/>
      <c r="R1049" s="1583"/>
      <c r="S1049" s="1583"/>
      <c r="T1049" s="1585"/>
      <c r="U1049" s="1585"/>
      <c r="V1049" s="1585"/>
      <c r="W1049" s="1585"/>
      <c r="X1049" s="1585"/>
      <c r="Y1049" s="1585"/>
      <c r="Z1049" s="1585"/>
      <c r="AA1049" s="1585"/>
      <c r="AB1049" s="1585"/>
      <c r="AC1049" s="1585"/>
      <c r="AD1049" s="1601">
        <f t="shared" si="152"/>
        <v>0</v>
      </c>
      <c r="AE1049" s="1790">
        <v>0</v>
      </c>
      <c r="AF1049" s="1792"/>
    </row>
    <row r="1050" spans="1:32" ht="27.75" customHeight="1">
      <c r="A1050" s="1640">
        <v>3.2</v>
      </c>
      <c r="B1050" s="1640" t="s">
        <v>1744</v>
      </c>
      <c r="C1050" s="1596"/>
      <c r="D1050" s="1638"/>
      <c r="E1050" s="1588"/>
      <c r="F1050" s="1583"/>
      <c r="G1050" s="1583"/>
      <c r="H1050" s="1583"/>
      <c r="I1050" s="1583"/>
      <c r="J1050" s="1583"/>
      <c r="K1050" s="1583"/>
      <c r="L1050" s="1583"/>
      <c r="M1050" s="1583"/>
      <c r="N1050" s="1583"/>
      <c r="O1050" s="1583"/>
      <c r="P1050" s="1583"/>
      <c r="Q1050" s="1583"/>
      <c r="R1050" s="1583"/>
      <c r="S1050" s="1583"/>
      <c r="T1050" s="1585"/>
      <c r="U1050" s="1585"/>
      <c r="V1050" s="1585"/>
      <c r="W1050" s="1585"/>
      <c r="X1050" s="1585"/>
      <c r="Y1050" s="1585"/>
      <c r="Z1050" s="1585"/>
      <c r="AA1050" s="1585"/>
      <c r="AB1050" s="1585"/>
      <c r="AC1050" s="1585"/>
      <c r="AD1050" s="1601">
        <f t="shared" si="152"/>
        <v>0</v>
      </c>
      <c r="AE1050" s="1790">
        <v>0</v>
      </c>
      <c r="AF1050" s="1792"/>
    </row>
    <row r="1051" spans="1:32" ht="27.75" customHeight="1">
      <c r="A1051" s="2918" t="s">
        <v>1257</v>
      </c>
      <c r="B1051" s="2919" t="s">
        <v>1748</v>
      </c>
      <c r="C1051" s="2920" t="s">
        <v>50</v>
      </c>
      <c r="D1051" s="2917">
        <v>120652.85</v>
      </c>
      <c r="E1051" s="1598" t="s">
        <v>2496</v>
      </c>
      <c r="F1051" s="1583"/>
      <c r="G1051" s="1583"/>
      <c r="H1051" s="1583"/>
      <c r="I1051" s="1583"/>
      <c r="J1051" s="1583"/>
      <c r="K1051" s="1583"/>
      <c r="L1051" s="1583"/>
      <c r="M1051" s="1583"/>
      <c r="N1051" s="1583"/>
      <c r="O1051" s="1583"/>
      <c r="P1051" s="1583"/>
      <c r="Q1051" s="1585">
        <f t="shared" ref="Q1051:S1051" si="156">Q1052</f>
        <v>110743.77069999999</v>
      </c>
      <c r="R1051" s="1583"/>
      <c r="S1051" s="1585">
        <f t="shared" si="156"/>
        <v>651.35</v>
      </c>
      <c r="T1051" s="1585">
        <v>9257.6</v>
      </c>
      <c r="U1051" s="1585"/>
      <c r="V1051" s="1585"/>
      <c r="W1051" s="1585"/>
      <c r="X1051" s="1585"/>
      <c r="Y1051" s="1585"/>
      <c r="Z1051" s="1585"/>
      <c r="AA1051" s="1585"/>
      <c r="AB1051" s="1585"/>
      <c r="AC1051" s="1585"/>
      <c r="AD1051" s="1601">
        <f t="shared" si="152"/>
        <v>120652.72070000001</v>
      </c>
      <c r="AE1051" s="1790">
        <v>120652.72070000001</v>
      </c>
      <c r="AF1051" s="1792"/>
    </row>
    <row r="1052" spans="1:32" ht="27.75" customHeight="1">
      <c r="A1052" s="2918"/>
      <c r="B1052" s="2919"/>
      <c r="C1052" s="2920"/>
      <c r="D1052" s="2917"/>
      <c r="E1052" s="1603" t="s">
        <v>2497</v>
      </c>
      <c r="F1052" s="1583"/>
      <c r="G1052" s="1583"/>
      <c r="H1052" s="1583"/>
      <c r="I1052" s="1583"/>
      <c r="J1052" s="1583"/>
      <c r="K1052" s="1583"/>
      <c r="L1052" s="1583"/>
      <c r="M1052" s="1583"/>
      <c r="N1052" s="1583"/>
      <c r="O1052" s="1583"/>
      <c r="P1052" s="1583"/>
      <c r="Q1052" s="1604">
        <v>110743.77069999999</v>
      </c>
      <c r="R1052" s="1583"/>
      <c r="S1052" s="1604">
        <v>651.35</v>
      </c>
      <c r="T1052" s="1604">
        <f>T1051</f>
        <v>9257.6</v>
      </c>
      <c r="U1052" s="1585"/>
      <c r="V1052" s="1585"/>
      <c r="W1052" s="1585"/>
      <c r="X1052" s="1585"/>
      <c r="Y1052" s="1585"/>
      <c r="Z1052" s="1585"/>
      <c r="AA1052" s="1585"/>
      <c r="AB1052" s="1585"/>
      <c r="AC1052" s="1585"/>
      <c r="AD1052" s="1601">
        <f t="shared" si="152"/>
        <v>120652.72070000001</v>
      </c>
      <c r="AE1052" s="1790">
        <v>120652.72070000001</v>
      </c>
      <c r="AF1052" s="1792"/>
    </row>
    <row r="1053" spans="1:32" ht="27.75" customHeight="1">
      <c r="A1053" s="2918" t="s">
        <v>1259</v>
      </c>
      <c r="B1053" s="2919" t="s">
        <v>1750</v>
      </c>
      <c r="C1053" s="2920" t="s">
        <v>51</v>
      </c>
      <c r="D1053" s="2917">
        <v>14665.32</v>
      </c>
      <c r="E1053" s="1598" t="s">
        <v>2496</v>
      </c>
      <c r="F1053" s="1583"/>
      <c r="G1053" s="1583"/>
      <c r="H1053" s="1583"/>
      <c r="I1053" s="1583"/>
      <c r="J1053" s="1583"/>
      <c r="K1053" s="1583"/>
      <c r="L1053" s="1583"/>
      <c r="M1053" s="1583"/>
      <c r="N1053" s="1583"/>
      <c r="O1053" s="1583"/>
      <c r="P1053" s="1583"/>
      <c r="Q1053" s="1585">
        <f t="shared" ref="Q1053" si="157">Q1054</f>
        <v>14665.316679999991</v>
      </c>
      <c r="R1053" s="1583"/>
      <c r="S1053" s="1583"/>
      <c r="T1053" s="1585"/>
      <c r="U1053" s="1585"/>
      <c r="V1053" s="1585"/>
      <c r="W1053" s="1585"/>
      <c r="X1053" s="1585"/>
      <c r="Y1053" s="1585"/>
      <c r="Z1053" s="1585"/>
      <c r="AA1053" s="1585"/>
      <c r="AB1053" s="1585"/>
      <c r="AC1053" s="1585"/>
      <c r="AD1053" s="1601">
        <f t="shared" si="152"/>
        <v>14665.316679999991</v>
      </c>
      <c r="AE1053" s="1790">
        <v>14665.316679999991</v>
      </c>
      <c r="AF1053" s="1792"/>
    </row>
    <row r="1054" spans="1:32" ht="27.75" customHeight="1">
      <c r="A1054" s="2918"/>
      <c r="B1054" s="2919"/>
      <c r="C1054" s="2920"/>
      <c r="D1054" s="2917" t="s">
        <v>0</v>
      </c>
      <c r="E1054" s="1603" t="s">
        <v>2497</v>
      </c>
      <c r="F1054" s="1583"/>
      <c r="G1054" s="1583"/>
      <c r="H1054" s="1583"/>
      <c r="I1054" s="1583"/>
      <c r="J1054" s="1583"/>
      <c r="K1054" s="1583"/>
      <c r="L1054" s="1583"/>
      <c r="M1054" s="1583"/>
      <c r="N1054" s="1583"/>
      <c r="O1054" s="1583"/>
      <c r="P1054" s="1583"/>
      <c r="Q1054" s="1604">
        <v>14665.316679999991</v>
      </c>
      <c r="R1054" s="1583"/>
      <c r="S1054" s="1583"/>
      <c r="T1054" s="1585"/>
      <c r="U1054" s="1585"/>
      <c r="V1054" s="1585"/>
      <c r="W1054" s="1585"/>
      <c r="X1054" s="1585"/>
      <c r="Y1054" s="1585"/>
      <c r="Z1054" s="1585"/>
      <c r="AA1054" s="1585"/>
      <c r="AB1054" s="1585"/>
      <c r="AC1054" s="1585"/>
      <c r="AD1054" s="1601">
        <f t="shared" si="152"/>
        <v>14665.316679999991</v>
      </c>
      <c r="AE1054" s="1790">
        <v>14665.316679999991</v>
      </c>
      <c r="AF1054" s="1792"/>
    </row>
    <row r="1055" spans="1:32" ht="27.75" customHeight="1">
      <c r="A1055" s="1641">
        <v>4</v>
      </c>
      <c r="B1055" s="1642" t="s">
        <v>1784</v>
      </c>
      <c r="C1055" s="1596"/>
      <c r="D1055" s="1638"/>
      <c r="E1055" s="1583"/>
      <c r="F1055" s="1583"/>
      <c r="G1055" s="1583"/>
      <c r="H1055" s="1583"/>
      <c r="I1055" s="1583"/>
      <c r="J1055" s="1583"/>
      <c r="K1055" s="1583"/>
      <c r="L1055" s="1583"/>
      <c r="M1055" s="1583"/>
      <c r="N1055" s="1583"/>
      <c r="O1055" s="1583"/>
      <c r="P1055" s="1583"/>
      <c r="Q1055" s="1583"/>
      <c r="R1055" s="1583"/>
      <c r="S1055" s="1583"/>
      <c r="T1055" s="1585"/>
      <c r="U1055" s="1585"/>
      <c r="V1055" s="1585"/>
      <c r="W1055" s="1585"/>
      <c r="X1055" s="1585"/>
      <c r="Y1055" s="1585"/>
      <c r="Z1055" s="1585"/>
      <c r="AA1055" s="1585"/>
      <c r="AB1055" s="1585"/>
      <c r="AC1055" s="1585"/>
      <c r="AD1055" s="1601">
        <f t="shared" si="152"/>
        <v>0</v>
      </c>
      <c r="AE1055" s="1790">
        <v>0</v>
      </c>
      <c r="AF1055" s="1792"/>
    </row>
    <row r="1056" spans="1:32" ht="27.75" customHeight="1">
      <c r="A1056" s="1640">
        <v>4.2</v>
      </c>
      <c r="B1056" s="1640" t="s">
        <v>1791</v>
      </c>
      <c r="C1056" s="1596"/>
      <c r="D1056" s="1638"/>
      <c r="E1056" s="1583"/>
      <c r="F1056" s="1583"/>
      <c r="G1056" s="1583"/>
      <c r="H1056" s="1583"/>
      <c r="I1056" s="1583"/>
      <c r="J1056" s="1583"/>
      <c r="K1056" s="1583"/>
      <c r="L1056" s="1583"/>
      <c r="M1056" s="1583"/>
      <c r="N1056" s="1583"/>
      <c r="O1056" s="1583"/>
      <c r="P1056" s="1583"/>
      <c r="Q1056" s="1583"/>
      <c r="R1056" s="1583"/>
      <c r="S1056" s="1583"/>
      <c r="T1056" s="1585"/>
      <c r="U1056" s="1585"/>
      <c r="V1056" s="1585"/>
      <c r="W1056" s="1585"/>
      <c r="X1056" s="1585"/>
      <c r="Y1056" s="1585"/>
      <c r="Z1056" s="1585"/>
      <c r="AA1056" s="1585"/>
      <c r="AB1056" s="1585"/>
      <c r="AC1056" s="1585"/>
      <c r="AD1056" s="1601">
        <f t="shared" si="152"/>
        <v>0</v>
      </c>
      <c r="AE1056" s="1790">
        <v>0</v>
      </c>
      <c r="AF1056" s="1792"/>
    </row>
    <row r="1057" spans="1:32" ht="27.75" customHeight="1">
      <c r="A1057" s="1644" t="s">
        <v>2400</v>
      </c>
      <c r="B1057" s="1645" t="s">
        <v>2401</v>
      </c>
      <c r="C1057" s="1596"/>
      <c r="D1057" s="1638" t="s">
        <v>0</v>
      </c>
      <c r="E1057" s="1583"/>
      <c r="F1057" s="1583"/>
      <c r="G1057" s="1583"/>
      <c r="H1057" s="1583"/>
      <c r="I1057" s="1583"/>
      <c r="J1057" s="1583"/>
      <c r="K1057" s="1583"/>
      <c r="L1057" s="1583"/>
      <c r="M1057" s="1583"/>
      <c r="N1057" s="1583"/>
      <c r="O1057" s="1583"/>
      <c r="P1057" s="1583"/>
      <c r="Q1057" s="1583"/>
      <c r="R1057" s="1583"/>
      <c r="S1057" s="1583"/>
      <c r="T1057" s="1585"/>
      <c r="U1057" s="1585"/>
      <c r="V1057" s="1585"/>
      <c r="W1057" s="1585"/>
      <c r="X1057" s="1585"/>
      <c r="Y1057" s="1585"/>
      <c r="Z1057" s="1585"/>
      <c r="AA1057" s="1585"/>
      <c r="AB1057" s="1585"/>
      <c r="AC1057" s="1585"/>
      <c r="AD1057" s="1601">
        <f t="shared" si="152"/>
        <v>0</v>
      </c>
      <c r="AE1057" s="1790">
        <v>0</v>
      </c>
      <c r="AF1057" s="1792"/>
    </row>
    <row r="1058" spans="1:32" ht="27.75" customHeight="1">
      <c r="A1058" s="2918" t="s">
        <v>2456</v>
      </c>
      <c r="B1058" s="2919" t="s">
        <v>2457</v>
      </c>
      <c r="C1058" s="2920" t="s">
        <v>52</v>
      </c>
      <c r="D1058" s="2917">
        <v>1574.82</v>
      </c>
      <c r="E1058" s="1598" t="s">
        <v>2496</v>
      </c>
      <c r="F1058" s="1583"/>
      <c r="G1058" s="1583"/>
      <c r="H1058" s="1583"/>
      <c r="I1058" s="1583"/>
      <c r="J1058" s="1583"/>
      <c r="K1058" s="1583"/>
      <c r="L1058" s="1583"/>
      <c r="M1058" s="1583"/>
      <c r="N1058" s="1583"/>
      <c r="O1058" s="1583"/>
      <c r="P1058" s="1583"/>
      <c r="Q1058" s="1585">
        <f t="shared" ref="Q1058" si="158">Q1059</f>
        <v>80.760000000000005</v>
      </c>
      <c r="R1058" s="1583"/>
      <c r="S1058" s="1583"/>
      <c r="T1058" s="1585"/>
      <c r="U1058" s="1585"/>
      <c r="V1058" s="1585"/>
      <c r="W1058" s="1585"/>
      <c r="X1058" s="1585">
        <v>1494.06</v>
      </c>
      <c r="Y1058" s="1585"/>
      <c r="Z1058" s="1585"/>
      <c r="AA1058" s="1585"/>
      <c r="AB1058" s="1585"/>
      <c r="AC1058" s="1585"/>
      <c r="AD1058" s="1601">
        <f t="shared" si="152"/>
        <v>1574.82</v>
      </c>
      <c r="AE1058" s="1790">
        <v>1574.82</v>
      </c>
      <c r="AF1058" s="1792"/>
    </row>
    <row r="1059" spans="1:32" ht="27.75" customHeight="1">
      <c r="A1059" s="2918"/>
      <c r="B1059" s="2919"/>
      <c r="C1059" s="2920"/>
      <c r="D1059" s="2917"/>
      <c r="E1059" s="1603" t="s">
        <v>2497</v>
      </c>
      <c r="F1059" s="1583"/>
      <c r="G1059" s="1583"/>
      <c r="H1059" s="1583"/>
      <c r="I1059" s="1583"/>
      <c r="J1059" s="1583"/>
      <c r="K1059" s="1583"/>
      <c r="L1059" s="1583"/>
      <c r="M1059" s="1583"/>
      <c r="N1059" s="1583"/>
      <c r="O1059" s="1583"/>
      <c r="P1059" s="1583"/>
      <c r="Q1059" s="1604">
        <v>80.760000000000005</v>
      </c>
      <c r="R1059" s="1583"/>
      <c r="S1059" s="1583"/>
      <c r="T1059" s="1585"/>
      <c r="U1059" s="1585"/>
      <c r="V1059" s="1585"/>
      <c r="W1059" s="1585"/>
      <c r="X1059" s="1592">
        <v>1494.06</v>
      </c>
      <c r="Y1059" s="1585"/>
      <c r="Z1059" s="1585"/>
      <c r="AA1059" s="1585"/>
      <c r="AB1059" s="1585"/>
      <c r="AC1059" s="1585"/>
      <c r="AD1059" s="1601">
        <f t="shared" si="152"/>
        <v>1574.82</v>
      </c>
      <c r="AE1059" s="1790">
        <v>1574.82</v>
      </c>
      <c r="AF1059" s="1792"/>
    </row>
    <row r="1060" spans="1:32" ht="27.75" customHeight="1">
      <c r="A1060" s="2918" t="s">
        <v>2458</v>
      </c>
      <c r="B1060" s="2919" t="s">
        <v>2459</v>
      </c>
      <c r="C1060" s="2920" t="s">
        <v>52</v>
      </c>
      <c r="D1060" s="2917">
        <v>364</v>
      </c>
      <c r="E1060" s="1598" t="s">
        <v>2496</v>
      </c>
      <c r="F1060" s="1583"/>
      <c r="G1060" s="1583"/>
      <c r="H1060" s="1583"/>
      <c r="I1060" s="1583"/>
      <c r="J1060" s="1583"/>
      <c r="K1060" s="1583"/>
      <c r="L1060" s="1583"/>
      <c r="M1060" s="1583"/>
      <c r="N1060" s="1583"/>
      <c r="O1060" s="1583"/>
      <c r="P1060" s="1583"/>
      <c r="Q1060" s="1583"/>
      <c r="R1060" s="1583"/>
      <c r="S1060" s="1583"/>
      <c r="T1060" s="1585"/>
      <c r="U1060" s="1585"/>
      <c r="V1060" s="1585"/>
      <c r="W1060" s="1585"/>
      <c r="X1060" s="1585">
        <v>136.5</v>
      </c>
      <c r="Y1060" s="1585"/>
      <c r="Z1060" s="1585">
        <v>227.5</v>
      </c>
      <c r="AA1060" s="1585"/>
      <c r="AB1060" s="1585"/>
      <c r="AC1060" s="1585"/>
      <c r="AD1060" s="1601">
        <f t="shared" si="152"/>
        <v>364</v>
      </c>
      <c r="AE1060" s="1790">
        <v>136.5</v>
      </c>
      <c r="AF1060" s="1792"/>
    </row>
    <row r="1061" spans="1:32" ht="24" customHeight="1">
      <c r="A1061" s="2918"/>
      <c r="B1061" s="2919"/>
      <c r="C1061" s="2920"/>
      <c r="D1061" s="2917"/>
      <c r="E1061" s="1603" t="s">
        <v>2497</v>
      </c>
      <c r="F1061" s="1583"/>
      <c r="G1061" s="1583"/>
      <c r="H1061" s="1583"/>
      <c r="I1061" s="1583"/>
      <c r="J1061" s="1583"/>
      <c r="K1061" s="1583"/>
      <c r="L1061" s="1583"/>
      <c r="M1061" s="1583"/>
      <c r="N1061" s="1583"/>
      <c r="O1061" s="1583"/>
      <c r="P1061" s="1583"/>
      <c r="Q1061" s="1583"/>
      <c r="R1061" s="1583"/>
      <c r="S1061" s="1583"/>
      <c r="T1061" s="1585"/>
      <c r="U1061" s="1585"/>
      <c r="V1061" s="1585"/>
      <c r="W1061" s="1585"/>
      <c r="X1061" s="1592">
        <v>136.5</v>
      </c>
      <c r="Y1061" s="1585"/>
      <c r="Z1061" s="1585"/>
      <c r="AA1061" s="1585"/>
      <c r="AB1061" s="1585"/>
      <c r="AC1061" s="1585"/>
      <c r="AD1061" s="1601">
        <f t="shared" si="152"/>
        <v>136.5</v>
      </c>
      <c r="AE1061" s="1790">
        <v>136.5</v>
      </c>
      <c r="AF1061" s="1792"/>
    </row>
    <row r="1062" spans="1:32" ht="27.75" customHeight="1">
      <c r="A1062" s="1594"/>
      <c r="B1062" s="1614" t="s">
        <v>2691</v>
      </c>
      <c r="C1062" s="1596"/>
      <c r="D1062" s="1597"/>
      <c r="E1062" s="1593"/>
      <c r="F1062" s="1583"/>
      <c r="G1062" s="1583"/>
      <c r="H1062" s="1583"/>
      <c r="I1062" s="1583"/>
      <c r="J1062" s="1583"/>
      <c r="K1062" s="1583"/>
      <c r="L1062" s="1583"/>
      <c r="M1062" s="1583"/>
      <c r="N1062" s="1583"/>
      <c r="O1062" s="1583"/>
      <c r="P1062" s="1583"/>
      <c r="Q1062" s="1583"/>
      <c r="R1062" s="1583"/>
      <c r="S1062" s="1583"/>
      <c r="T1062" s="1585"/>
      <c r="U1062" s="1585"/>
      <c r="V1062" s="1585"/>
      <c r="W1062" s="1585"/>
      <c r="X1062" s="1585"/>
      <c r="Y1062" s="1585"/>
      <c r="Z1062" s="1585"/>
      <c r="AA1062" s="1585"/>
      <c r="AB1062" s="1585"/>
      <c r="AC1062" s="1585"/>
      <c r="AD1062" s="1601">
        <f t="shared" si="152"/>
        <v>0</v>
      </c>
      <c r="AE1062" s="1790">
        <v>0</v>
      </c>
      <c r="AF1062" s="1792"/>
    </row>
    <row r="1063" spans="1:32" ht="27.75" customHeight="1">
      <c r="A1063" s="1594"/>
      <c r="B1063" s="1627" t="s">
        <v>2302</v>
      </c>
      <c r="C1063" s="1596"/>
      <c r="D1063" s="1628"/>
      <c r="E1063" s="1583"/>
      <c r="F1063" s="1583"/>
      <c r="G1063" s="1583"/>
      <c r="H1063" s="1583"/>
      <c r="I1063" s="1583"/>
      <c r="J1063" s="1583"/>
      <c r="K1063" s="1583"/>
      <c r="L1063" s="1583"/>
      <c r="M1063" s="1583"/>
      <c r="N1063" s="1583"/>
      <c r="O1063" s="1583"/>
      <c r="P1063" s="1583"/>
      <c r="Q1063" s="1583"/>
      <c r="R1063" s="1583"/>
      <c r="S1063" s="1583"/>
      <c r="T1063" s="1585"/>
      <c r="U1063" s="1585"/>
      <c r="V1063" s="1585"/>
      <c r="W1063" s="1585"/>
      <c r="X1063" s="1585"/>
      <c r="Y1063" s="1585"/>
      <c r="Z1063" s="1585"/>
      <c r="AA1063" s="1585"/>
      <c r="AB1063" s="1585"/>
      <c r="AC1063" s="1585"/>
      <c r="AD1063" s="1601">
        <f t="shared" si="152"/>
        <v>0</v>
      </c>
      <c r="AE1063" s="1790">
        <v>0</v>
      </c>
      <c r="AF1063" s="1792"/>
    </row>
    <row r="1064" spans="1:32" ht="24" customHeight="1">
      <c r="A1064" s="1614" t="s">
        <v>34</v>
      </c>
      <c r="B1064" s="1614" t="s">
        <v>1695</v>
      </c>
      <c r="C1064" s="1596"/>
      <c r="D1064" s="1597"/>
      <c r="E1064" s="1599"/>
      <c r="F1064" s="1583"/>
      <c r="G1064" s="1583"/>
      <c r="H1064" s="1583"/>
      <c r="I1064" s="1583"/>
      <c r="J1064" s="1583"/>
      <c r="K1064" s="1583"/>
      <c r="L1064" s="1583"/>
      <c r="M1064" s="1583"/>
      <c r="N1064" s="1583"/>
      <c r="O1064" s="1583"/>
      <c r="P1064" s="1583"/>
      <c r="Q1064" s="1583"/>
      <c r="R1064" s="1583"/>
      <c r="S1064" s="1583"/>
      <c r="T1064" s="1585"/>
      <c r="U1064" s="1585"/>
      <c r="V1064" s="1585"/>
      <c r="W1064" s="1646"/>
      <c r="X1064" s="1585"/>
      <c r="Y1064" s="1585"/>
      <c r="Z1064" s="1585"/>
      <c r="AA1064" s="1585"/>
      <c r="AB1064" s="1585"/>
      <c r="AC1064" s="1585"/>
      <c r="AD1064" s="1601">
        <f t="shared" si="152"/>
        <v>0</v>
      </c>
      <c r="AE1064" s="1790">
        <v>0</v>
      </c>
      <c r="AF1064" s="1792"/>
    </row>
    <row r="1065" spans="1:32" ht="27.75" customHeight="1">
      <c r="A1065" s="1640">
        <v>1.01</v>
      </c>
      <c r="B1065" s="1647" t="s">
        <v>243</v>
      </c>
      <c r="C1065" s="1596"/>
      <c r="D1065" s="1638"/>
      <c r="E1065" s="1583"/>
      <c r="F1065" s="1583"/>
      <c r="G1065" s="1583"/>
      <c r="H1065" s="1583"/>
      <c r="I1065" s="1583"/>
      <c r="J1065" s="1583"/>
      <c r="K1065" s="1583"/>
      <c r="L1065" s="1583"/>
      <c r="M1065" s="1583"/>
      <c r="N1065" s="1583"/>
      <c r="O1065" s="1583"/>
      <c r="P1065" s="1583"/>
      <c r="Q1065" s="1583"/>
      <c r="R1065" s="1583"/>
      <c r="S1065" s="1583"/>
      <c r="T1065" s="1585"/>
      <c r="U1065" s="1585"/>
      <c r="V1065" s="1585"/>
      <c r="W1065" s="1585"/>
      <c r="X1065" s="1585"/>
      <c r="Y1065" s="1585"/>
      <c r="Z1065" s="1585"/>
      <c r="AA1065" s="1585"/>
      <c r="AB1065" s="1585"/>
      <c r="AC1065" s="1585"/>
      <c r="AD1065" s="1601">
        <f t="shared" si="152"/>
        <v>0</v>
      </c>
      <c r="AE1065" s="1790">
        <v>0</v>
      </c>
      <c r="AF1065" s="1792"/>
    </row>
    <row r="1066" spans="1:32" ht="24" customHeight="1">
      <c r="A1066" s="1594" t="s">
        <v>537</v>
      </c>
      <c r="B1066" s="1645" t="s">
        <v>2512</v>
      </c>
      <c r="C1066" s="1596"/>
      <c r="D1066" s="1597"/>
      <c r="E1066" s="1599"/>
      <c r="F1066" s="1583"/>
      <c r="G1066" s="1583"/>
      <c r="H1066" s="1583"/>
      <c r="I1066" s="1583"/>
      <c r="J1066" s="1583"/>
      <c r="K1066" s="1583"/>
      <c r="L1066" s="1583"/>
      <c r="M1066" s="1583"/>
      <c r="N1066" s="1583"/>
      <c r="O1066" s="1583"/>
      <c r="P1066" s="1583"/>
      <c r="Q1066" s="1583"/>
      <c r="R1066" s="1583"/>
      <c r="S1066" s="1583"/>
      <c r="T1066" s="1585"/>
      <c r="U1066" s="1585"/>
      <c r="V1066" s="1585"/>
      <c r="W1066" s="1585"/>
      <c r="X1066" s="1585"/>
      <c r="Y1066" s="1585"/>
      <c r="Z1066" s="1585"/>
      <c r="AA1066" s="1585"/>
      <c r="AB1066" s="1585"/>
      <c r="AC1066" s="1585"/>
      <c r="AD1066" s="1601">
        <f t="shared" si="152"/>
        <v>0</v>
      </c>
      <c r="AE1066" s="1790">
        <v>0</v>
      </c>
      <c r="AF1066" s="1792"/>
    </row>
    <row r="1067" spans="1:32" ht="27.75" customHeight="1">
      <c r="A1067" s="2918" t="s">
        <v>2513</v>
      </c>
      <c r="B1067" s="2919" t="s">
        <v>2514</v>
      </c>
      <c r="C1067" s="2920" t="s">
        <v>49</v>
      </c>
      <c r="D1067" s="2917">
        <v>966.11240000000009</v>
      </c>
      <c r="E1067" s="1598" t="s">
        <v>2496</v>
      </c>
      <c r="F1067" s="1583"/>
      <c r="G1067" s="1583"/>
      <c r="H1067" s="1583"/>
      <c r="I1067" s="1583"/>
      <c r="J1067" s="1583"/>
      <c r="K1067" s="1583"/>
      <c r="L1067" s="1583"/>
      <c r="M1067" s="1583"/>
      <c r="N1067" s="1583"/>
      <c r="O1067" s="1583"/>
      <c r="P1067" s="1583"/>
      <c r="Q1067" s="1585"/>
      <c r="R1067" s="1583"/>
      <c r="S1067" s="1583"/>
      <c r="T1067" s="1585"/>
      <c r="U1067" s="1585">
        <v>363</v>
      </c>
      <c r="V1067" s="1585">
        <v>603.11</v>
      </c>
      <c r="W1067" s="1585"/>
      <c r="X1067" s="1585"/>
      <c r="Y1067" s="1585"/>
      <c r="Z1067" s="1585"/>
      <c r="AA1067" s="1585"/>
      <c r="AB1067" s="1585"/>
      <c r="AC1067" s="1585"/>
      <c r="AD1067" s="1601">
        <f t="shared" si="152"/>
        <v>966.11</v>
      </c>
      <c r="AE1067" s="1790">
        <v>966.11</v>
      </c>
      <c r="AF1067" s="1792"/>
    </row>
    <row r="1068" spans="1:32" ht="27.75" customHeight="1">
      <c r="A1068" s="2918"/>
      <c r="B1068" s="2919"/>
      <c r="C1068" s="2920"/>
      <c r="D1068" s="2917"/>
      <c r="E1068" s="1603" t="s">
        <v>2497</v>
      </c>
      <c r="F1068" s="1583"/>
      <c r="G1068" s="1583"/>
      <c r="H1068" s="1583"/>
      <c r="I1068" s="1583"/>
      <c r="J1068" s="1583"/>
      <c r="K1068" s="1583"/>
      <c r="L1068" s="1583"/>
      <c r="M1068" s="1583"/>
      <c r="N1068" s="1583"/>
      <c r="O1068" s="1583"/>
      <c r="P1068" s="1583"/>
      <c r="Q1068" s="1604"/>
      <c r="R1068" s="1583"/>
      <c r="S1068" s="1583"/>
      <c r="T1068" s="1585"/>
      <c r="U1068" s="1604">
        <v>363</v>
      </c>
      <c r="V1068" s="1604">
        <v>603.11</v>
      </c>
      <c r="W1068" s="1585"/>
      <c r="X1068" s="1585"/>
      <c r="Y1068" s="1585"/>
      <c r="Z1068" s="1585"/>
      <c r="AA1068" s="1585"/>
      <c r="AB1068" s="1585"/>
      <c r="AC1068" s="1585"/>
      <c r="AD1068" s="1601">
        <f t="shared" si="152"/>
        <v>966.11</v>
      </c>
      <c r="AE1068" s="1790">
        <v>966.11</v>
      </c>
      <c r="AF1068" s="1792"/>
    </row>
    <row r="1069" spans="1:32" ht="27.75" customHeight="1">
      <c r="A1069" s="1640">
        <v>1.01</v>
      </c>
      <c r="B1069" s="1648" t="s">
        <v>2515</v>
      </c>
      <c r="C1069" s="1596"/>
      <c r="D1069" s="1638"/>
      <c r="E1069" s="1583"/>
      <c r="F1069" s="1583"/>
      <c r="G1069" s="1583"/>
      <c r="H1069" s="1583"/>
      <c r="I1069" s="1583"/>
      <c r="J1069" s="1583"/>
      <c r="K1069" s="1583"/>
      <c r="L1069" s="1583"/>
      <c r="M1069" s="1583"/>
      <c r="N1069" s="1583"/>
      <c r="O1069" s="1583"/>
      <c r="P1069" s="1583"/>
      <c r="Q1069" s="1583"/>
      <c r="R1069" s="1583"/>
      <c r="S1069" s="1583"/>
      <c r="T1069" s="1585"/>
      <c r="U1069" s="1585"/>
      <c r="V1069" s="1585"/>
      <c r="W1069" s="1585"/>
      <c r="X1069" s="1585"/>
      <c r="Y1069" s="1585"/>
      <c r="Z1069" s="1585"/>
      <c r="AA1069" s="1585"/>
      <c r="AB1069" s="1585"/>
      <c r="AC1069" s="1585"/>
      <c r="AD1069" s="1601">
        <f t="shared" si="152"/>
        <v>0</v>
      </c>
      <c r="AE1069" s="1790">
        <v>0</v>
      </c>
      <c r="AF1069" s="1792"/>
    </row>
    <row r="1070" spans="1:32" ht="24" customHeight="1">
      <c r="A1070" s="1594" t="s">
        <v>537</v>
      </c>
      <c r="B1070" s="1645" t="s">
        <v>2516</v>
      </c>
      <c r="C1070" s="1596"/>
      <c r="D1070" s="1597"/>
      <c r="E1070" s="1599"/>
      <c r="F1070" s="1583"/>
      <c r="G1070" s="1583"/>
      <c r="H1070" s="1583"/>
      <c r="I1070" s="1583"/>
      <c r="J1070" s="1583"/>
      <c r="K1070" s="1583"/>
      <c r="L1070" s="1583"/>
      <c r="M1070" s="1583"/>
      <c r="N1070" s="1583"/>
      <c r="O1070" s="1583"/>
      <c r="P1070" s="1583"/>
      <c r="Q1070" s="1583"/>
      <c r="R1070" s="1583"/>
      <c r="S1070" s="1583"/>
      <c r="T1070" s="1585"/>
      <c r="U1070" s="1585"/>
      <c r="V1070" s="1585"/>
      <c r="W1070" s="1585"/>
      <c r="X1070" s="1585"/>
      <c r="Y1070" s="1585"/>
      <c r="Z1070" s="1585"/>
      <c r="AA1070" s="1585"/>
      <c r="AB1070" s="1585"/>
      <c r="AC1070" s="1585"/>
      <c r="AD1070" s="1601">
        <f t="shared" si="152"/>
        <v>0</v>
      </c>
      <c r="AE1070" s="1790">
        <v>0</v>
      </c>
      <c r="AF1070" s="1792"/>
    </row>
    <row r="1071" spans="1:32" ht="27.75" customHeight="1">
      <c r="A1071" s="2918" t="s">
        <v>2456</v>
      </c>
      <c r="B1071" s="2901" t="s">
        <v>2518</v>
      </c>
      <c r="C1071" s="2920" t="s">
        <v>51</v>
      </c>
      <c r="D1071" s="2917">
        <v>4299.6309000000001</v>
      </c>
      <c r="E1071" s="1598" t="s">
        <v>2496</v>
      </c>
      <c r="F1071" s="1583"/>
      <c r="G1071" s="1583"/>
      <c r="H1071" s="1583"/>
      <c r="I1071" s="1583"/>
      <c r="J1071" s="1583"/>
      <c r="K1071" s="1583"/>
      <c r="L1071" s="1583"/>
      <c r="M1071" s="1583"/>
      <c r="N1071" s="1583"/>
      <c r="O1071" s="1583"/>
      <c r="P1071" s="1583"/>
      <c r="Q1071" s="1585"/>
      <c r="R1071" s="1583"/>
      <c r="S1071" s="1583"/>
      <c r="T1071" s="1585"/>
      <c r="U1071" s="1585">
        <v>2147.1</v>
      </c>
      <c r="V1071" s="1585">
        <v>2152.5300000000002</v>
      </c>
      <c r="W1071" s="1585"/>
      <c r="X1071" s="1585"/>
      <c r="Y1071" s="1585"/>
      <c r="Z1071" s="1585"/>
      <c r="AA1071" s="1585"/>
      <c r="AB1071" s="1585"/>
      <c r="AC1071" s="1585"/>
      <c r="AD1071" s="1601">
        <f t="shared" si="152"/>
        <v>4299.63</v>
      </c>
      <c r="AE1071" s="1790">
        <v>4299.63</v>
      </c>
      <c r="AF1071" s="1792"/>
    </row>
    <row r="1072" spans="1:32" ht="27.75" customHeight="1">
      <c r="A1072" s="2918"/>
      <c r="B1072" s="2902"/>
      <c r="C1072" s="2920"/>
      <c r="D1072" s="2917"/>
      <c r="E1072" s="1603" t="s">
        <v>2497</v>
      </c>
      <c r="F1072" s="1583"/>
      <c r="G1072" s="1583"/>
      <c r="H1072" s="1583"/>
      <c r="I1072" s="1583"/>
      <c r="J1072" s="1583"/>
      <c r="K1072" s="1583"/>
      <c r="L1072" s="1583"/>
      <c r="M1072" s="1583"/>
      <c r="N1072" s="1583"/>
      <c r="O1072" s="1583"/>
      <c r="P1072" s="1583"/>
      <c r="Q1072" s="1604"/>
      <c r="R1072" s="1583"/>
      <c r="S1072" s="1583"/>
      <c r="T1072" s="1585"/>
      <c r="U1072" s="1604">
        <v>2147.1</v>
      </c>
      <c r="V1072" s="1604">
        <v>2152.5300000000002</v>
      </c>
      <c r="W1072" s="1585"/>
      <c r="X1072" s="1585"/>
      <c r="Y1072" s="1585"/>
      <c r="Z1072" s="1585"/>
      <c r="AA1072" s="1585"/>
      <c r="AB1072" s="1585"/>
      <c r="AC1072" s="1585"/>
      <c r="AD1072" s="1601">
        <f t="shared" si="152"/>
        <v>4299.63</v>
      </c>
      <c r="AE1072" s="1790">
        <v>4299.63</v>
      </c>
      <c r="AF1072" s="1792"/>
    </row>
    <row r="1073" spans="1:32" ht="24" customHeight="1">
      <c r="A1073" s="1649" t="s">
        <v>2519</v>
      </c>
      <c r="B1073" s="1645" t="s">
        <v>2520</v>
      </c>
      <c r="C1073" s="1596"/>
      <c r="D1073" s="1597"/>
      <c r="E1073" s="1599"/>
      <c r="F1073" s="1583"/>
      <c r="G1073" s="1583"/>
      <c r="H1073" s="1583"/>
      <c r="I1073" s="1583"/>
      <c r="J1073" s="1583"/>
      <c r="K1073" s="1583"/>
      <c r="L1073" s="1583"/>
      <c r="M1073" s="1583"/>
      <c r="N1073" s="1583"/>
      <c r="O1073" s="1583"/>
      <c r="P1073" s="1583"/>
      <c r="Q1073" s="1583"/>
      <c r="R1073" s="1583"/>
      <c r="S1073" s="1583"/>
      <c r="T1073" s="1585"/>
      <c r="U1073" s="1585"/>
      <c r="V1073" s="1585"/>
      <c r="W1073" s="1585"/>
      <c r="X1073" s="1585"/>
      <c r="Y1073" s="1585"/>
      <c r="Z1073" s="1585"/>
      <c r="AA1073" s="1585"/>
      <c r="AB1073" s="1585"/>
      <c r="AC1073" s="1585"/>
      <c r="AD1073" s="1601">
        <f t="shared" si="152"/>
        <v>0</v>
      </c>
      <c r="AE1073" s="1790">
        <v>0</v>
      </c>
      <c r="AF1073" s="1792"/>
    </row>
    <row r="1074" spans="1:32" ht="27.75" customHeight="1">
      <c r="A1074" s="2918" t="s">
        <v>2456</v>
      </c>
      <c r="B1074" s="2901" t="s">
        <v>2522</v>
      </c>
      <c r="C1074" s="2920" t="s">
        <v>52</v>
      </c>
      <c r="D1074" s="2917">
        <v>8134.4</v>
      </c>
      <c r="E1074" s="1598" t="s">
        <v>2496</v>
      </c>
      <c r="F1074" s="1583"/>
      <c r="G1074" s="1583"/>
      <c r="H1074" s="1583"/>
      <c r="I1074" s="1583"/>
      <c r="J1074" s="1583"/>
      <c r="K1074" s="1583"/>
      <c r="L1074" s="1583"/>
      <c r="M1074" s="1583"/>
      <c r="N1074" s="1583"/>
      <c r="O1074" s="1583"/>
      <c r="P1074" s="1583"/>
      <c r="Q1074" s="1585"/>
      <c r="R1074" s="1583"/>
      <c r="S1074" s="1583"/>
      <c r="T1074" s="1585"/>
      <c r="U1074" s="1585">
        <f>U1075</f>
        <v>8134.4</v>
      </c>
      <c r="V1074" s="1585"/>
      <c r="W1074" s="1585"/>
      <c r="X1074" s="1585"/>
      <c r="Y1074" s="1585"/>
      <c r="Z1074" s="1585"/>
      <c r="AA1074" s="1585"/>
      <c r="AB1074" s="1585"/>
      <c r="AC1074" s="1585"/>
      <c r="AD1074" s="1601">
        <f t="shared" si="152"/>
        <v>8134.4</v>
      </c>
      <c r="AE1074" s="1790">
        <v>8134.4</v>
      </c>
      <c r="AF1074" s="1792"/>
    </row>
    <row r="1075" spans="1:32" ht="27.75" customHeight="1">
      <c r="A1075" s="2918"/>
      <c r="B1075" s="2902"/>
      <c r="C1075" s="2920"/>
      <c r="D1075" s="2917"/>
      <c r="E1075" s="1603" t="s">
        <v>2497</v>
      </c>
      <c r="F1075" s="1583"/>
      <c r="G1075" s="1583"/>
      <c r="H1075" s="1583"/>
      <c r="I1075" s="1583"/>
      <c r="J1075" s="1583"/>
      <c r="K1075" s="1583"/>
      <c r="L1075" s="1583"/>
      <c r="M1075" s="1583"/>
      <c r="N1075" s="1583"/>
      <c r="O1075" s="1583"/>
      <c r="P1075" s="1583"/>
      <c r="Q1075" s="1604"/>
      <c r="R1075" s="1583"/>
      <c r="S1075" s="1583"/>
      <c r="T1075" s="1585"/>
      <c r="U1075" s="1604">
        <v>8134.4</v>
      </c>
      <c r="V1075" s="1585"/>
      <c r="W1075" s="1585"/>
      <c r="X1075" s="1585"/>
      <c r="Y1075" s="1585"/>
      <c r="Z1075" s="1585"/>
      <c r="AA1075" s="1585"/>
      <c r="AB1075" s="1585"/>
      <c r="AC1075" s="1585"/>
      <c r="AD1075" s="1601">
        <f t="shared" si="152"/>
        <v>8134.4</v>
      </c>
      <c r="AE1075" s="1790">
        <v>8134.4</v>
      </c>
      <c r="AF1075" s="1792"/>
    </row>
    <row r="1076" spans="1:32" ht="27.75" customHeight="1">
      <c r="A1076" s="2918" t="s">
        <v>2458</v>
      </c>
      <c r="B1076" s="2901" t="s">
        <v>2524</v>
      </c>
      <c r="C1076" s="2920" t="s">
        <v>52</v>
      </c>
      <c r="D1076" s="2917">
        <v>15452.08</v>
      </c>
      <c r="E1076" s="1598" t="s">
        <v>2496</v>
      </c>
      <c r="F1076" s="1583"/>
      <c r="G1076" s="1583"/>
      <c r="H1076" s="1583"/>
      <c r="I1076" s="1583"/>
      <c r="J1076" s="1583"/>
      <c r="K1076" s="1583"/>
      <c r="L1076" s="1583"/>
      <c r="M1076" s="1583"/>
      <c r="N1076" s="1583"/>
      <c r="O1076" s="1583"/>
      <c r="P1076" s="1583"/>
      <c r="Q1076" s="1583"/>
      <c r="R1076" s="1583"/>
      <c r="S1076" s="1583"/>
      <c r="T1076" s="1585"/>
      <c r="U1076" s="1585">
        <f>U1077</f>
        <v>15452.08</v>
      </c>
      <c r="V1076" s="1585"/>
      <c r="W1076" s="1585"/>
      <c r="X1076" s="1585"/>
      <c r="Y1076" s="1585"/>
      <c r="Z1076" s="1585"/>
      <c r="AA1076" s="1585"/>
      <c r="AB1076" s="1585"/>
      <c r="AC1076" s="1585"/>
      <c r="AD1076" s="1601">
        <f t="shared" si="152"/>
        <v>15452.08</v>
      </c>
      <c r="AE1076" s="1790">
        <v>15452.08</v>
      </c>
      <c r="AF1076" s="1792"/>
    </row>
    <row r="1077" spans="1:32" ht="24" customHeight="1">
      <c r="A1077" s="2918"/>
      <c r="B1077" s="2902"/>
      <c r="C1077" s="2920"/>
      <c r="D1077" s="2917"/>
      <c r="E1077" s="1603" t="s">
        <v>2497</v>
      </c>
      <c r="F1077" s="1583"/>
      <c r="G1077" s="1583"/>
      <c r="H1077" s="1583"/>
      <c r="I1077" s="1583"/>
      <c r="J1077" s="1583"/>
      <c r="K1077" s="1583"/>
      <c r="L1077" s="1583"/>
      <c r="M1077" s="1583"/>
      <c r="N1077" s="1583"/>
      <c r="O1077" s="1583"/>
      <c r="P1077" s="1583"/>
      <c r="Q1077" s="1583"/>
      <c r="R1077" s="1583"/>
      <c r="S1077" s="1583"/>
      <c r="T1077" s="1585"/>
      <c r="U1077" s="1604">
        <v>15452.08</v>
      </c>
      <c r="V1077" s="1585"/>
      <c r="W1077" s="1585"/>
      <c r="X1077" s="1585"/>
      <c r="Y1077" s="1585"/>
      <c r="Z1077" s="1585"/>
      <c r="AA1077" s="1585"/>
      <c r="AB1077" s="1585"/>
      <c r="AC1077" s="1585"/>
      <c r="AD1077" s="1601">
        <f t="shared" si="152"/>
        <v>15452.08</v>
      </c>
      <c r="AE1077" s="1790">
        <v>15452.08</v>
      </c>
      <c r="AF1077" s="1792"/>
    </row>
    <row r="1078" spans="1:32" ht="27.75" customHeight="1">
      <c r="A1078" s="2918" t="s">
        <v>2456</v>
      </c>
      <c r="B1078" s="2901" t="s">
        <v>2526</v>
      </c>
      <c r="C1078" s="2920" t="s">
        <v>52</v>
      </c>
      <c r="D1078" s="2917">
        <v>12637.62</v>
      </c>
      <c r="E1078" s="1598" t="s">
        <v>2496</v>
      </c>
      <c r="F1078" s="1583"/>
      <c r="G1078" s="1583"/>
      <c r="H1078" s="1583"/>
      <c r="I1078" s="1583"/>
      <c r="J1078" s="1583"/>
      <c r="K1078" s="1583"/>
      <c r="L1078" s="1583"/>
      <c r="M1078" s="1583"/>
      <c r="N1078" s="1583"/>
      <c r="O1078" s="1583"/>
      <c r="P1078" s="1583"/>
      <c r="Q1078" s="1585"/>
      <c r="R1078" s="1583"/>
      <c r="S1078" s="1583"/>
      <c r="T1078" s="1585"/>
      <c r="U1078" s="1585">
        <f>U1079</f>
        <v>12637.62</v>
      </c>
      <c r="V1078" s="1585"/>
      <c r="W1078" s="1585"/>
      <c r="X1078" s="1585"/>
      <c r="Y1078" s="1585"/>
      <c r="Z1078" s="1585"/>
      <c r="AA1078" s="1585"/>
      <c r="AB1078" s="1585"/>
      <c r="AC1078" s="1585"/>
      <c r="AD1078" s="1601">
        <f t="shared" si="152"/>
        <v>12637.62</v>
      </c>
      <c r="AE1078" s="1790">
        <v>12637.62</v>
      </c>
      <c r="AF1078" s="1792"/>
    </row>
    <row r="1079" spans="1:32" ht="27.75" customHeight="1">
      <c r="A1079" s="2918"/>
      <c r="B1079" s="2902"/>
      <c r="C1079" s="2920"/>
      <c r="D1079" s="2917"/>
      <c r="E1079" s="1603" t="s">
        <v>2497</v>
      </c>
      <c r="F1079" s="1583"/>
      <c r="G1079" s="1583"/>
      <c r="H1079" s="1583"/>
      <c r="I1079" s="1583"/>
      <c r="J1079" s="1583"/>
      <c r="K1079" s="1583"/>
      <c r="L1079" s="1583"/>
      <c r="M1079" s="1583"/>
      <c r="N1079" s="1583"/>
      <c r="O1079" s="1583"/>
      <c r="P1079" s="1583"/>
      <c r="Q1079" s="1604"/>
      <c r="R1079" s="1583"/>
      <c r="S1079" s="1583"/>
      <c r="T1079" s="1585"/>
      <c r="U1079" s="1604">
        <v>12637.62</v>
      </c>
      <c r="V1079" s="1604"/>
      <c r="W1079" s="1585"/>
      <c r="X1079" s="1585"/>
      <c r="Y1079" s="1585"/>
      <c r="Z1079" s="1585"/>
      <c r="AA1079" s="1585"/>
      <c r="AB1079" s="1585"/>
      <c r="AC1079" s="1585"/>
      <c r="AD1079" s="1601">
        <f t="shared" si="152"/>
        <v>12637.62</v>
      </c>
      <c r="AE1079" s="1790">
        <v>12637.62</v>
      </c>
      <c r="AF1079" s="1792"/>
    </row>
    <row r="1080" spans="1:32" ht="27.75" customHeight="1">
      <c r="A1080" s="2918" t="s">
        <v>2458</v>
      </c>
      <c r="B1080" s="2901" t="s">
        <v>2528</v>
      </c>
      <c r="C1080" s="2920" t="s">
        <v>52</v>
      </c>
      <c r="D1080" s="2917">
        <v>14553.12</v>
      </c>
      <c r="E1080" s="1598" t="s">
        <v>2496</v>
      </c>
      <c r="F1080" s="1583"/>
      <c r="G1080" s="1583"/>
      <c r="H1080" s="1583"/>
      <c r="I1080" s="1583"/>
      <c r="J1080" s="1583"/>
      <c r="K1080" s="1583"/>
      <c r="L1080" s="1583"/>
      <c r="M1080" s="1583"/>
      <c r="N1080" s="1583"/>
      <c r="O1080" s="1583"/>
      <c r="P1080" s="1583"/>
      <c r="Q1080" s="1583"/>
      <c r="R1080" s="1583"/>
      <c r="S1080" s="1583"/>
      <c r="T1080" s="1585"/>
      <c r="U1080" s="1585">
        <f>U1081</f>
        <v>14553.12</v>
      </c>
      <c r="V1080" s="1585"/>
      <c r="W1080" s="1585"/>
      <c r="X1080" s="1585"/>
      <c r="Y1080" s="1585"/>
      <c r="Z1080" s="1585"/>
      <c r="AA1080" s="1585"/>
      <c r="AB1080" s="1585"/>
      <c r="AC1080" s="1585"/>
      <c r="AD1080" s="1601">
        <f t="shared" si="152"/>
        <v>14553.12</v>
      </c>
      <c r="AE1080" s="1790">
        <v>14553.12</v>
      </c>
      <c r="AF1080" s="1792"/>
    </row>
    <row r="1081" spans="1:32" ht="24" customHeight="1">
      <c r="A1081" s="2918"/>
      <c r="B1081" s="2902"/>
      <c r="C1081" s="2920"/>
      <c r="D1081" s="2917"/>
      <c r="E1081" s="1603" t="s">
        <v>2497</v>
      </c>
      <c r="F1081" s="1583"/>
      <c r="G1081" s="1583"/>
      <c r="H1081" s="1583"/>
      <c r="I1081" s="1583"/>
      <c r="J1081" s="1583"/>
      <c r="K1081" s="1583"/>
      <c r="L1081" s="1583"/>
      <c r="M1081" s="1583"/>
      <c r="N1081" s="1583"/>
      <c r="O1081" s="1583"/>
      <c r="P1081" s="1583"/>
      <c r="Q1081" s="1583"/>
      <c r="R1081" s="1583"/>
      <c r="S1081" s="1583"/>
      <c r="T1081" s="1585"/>
      <c r="U1081" s="1604">
        <v>14553.12</v>
      </c>
      <c r="V1081" s="1585"/>
      <c r="W1081" s="1585"/>
      <c r="X1081" s="1585"/>
      <c r="Y1081" s="1585"/>
      <c r="Z1081" s="1585"/>
      <c r="AA1081" s="1585"/>
      <c r="AB1081" s="1585"/>
      <c r="AC1081" s="1585"/>
      <c r="AD1081" s="1601">
        <f t="shared" si="152"/>
        <v>14553.12</v>
      </c>
      <c r="AE1081" s="1790">
        <v>14553.12</v>
      </c>
      <c r="AF1081" s="1792"/>
    </row>
    <row r="1082" spans="1:32" ht="27.75" customHeight="1">
      <c r="A1082" s="2918" t="s">
        <v>2456</v>
      </c>
      <c r="B1082" s="2919" t="s">
        <v>2530</v>
      </c>
      <c r="C1082" s="2920" t="s">
        <v>52</v>
      </c>
      <c r="D1082" s="2917">
        <v>7498.08</v>
      </c>
      <c r="E1082" s="1598" t="s">
        <v>2496</v>
      </c>
      <c r="F1082" s="1583"/>
      <c r="G1082" s="1583"/>
      <c r="H1082" s="1583"/>
      <c r="I1082" s="1583"/>
      <c r="J1082" s="1583"/>
      <c r="K1082" s="1583"/>
      <c r="L1082" s="1583"/>
      <c r="M1082" s="1583"/>
      <c r="N1082" s="1583"/>
      <c r="O1082" s="1583"/>
      <c r="P1082" s="1583"/>
      <c r="Q1082" s="1585"/>
      <c r="R1082" s="1583"/>
      <c r="S1082" s="1583"/>
      <c r="T1082" s="1585"/>
      <c r="U1082" s="1585">
        <f>U1083</f>
        <v>7498.08</v>
      </c>
      <c r="V1082" s="1585"/>
      <c r="W1082" s="1585"/>
      <c r="X1082" s="1585"/>
      <c r="Y1082" s="1585"/>
      <c r="Z1082" s="1585"/>
      <c r="AA1082" s="1585"/>
      <c r="AB1082" s="1585"/>
      <c r="AC1082" s="1585"/>
      <c r="AD1082" s="1601">
        <f t="shared" si="152"/>
        <v>7498.08</v>
      </c>
      <c r="AE1082" s="1790">
        <v>7498.08</v>
      </c>
      <c r="AF1082" s="1792"/>
    </row>
    <row r="1083" spans="1:32" ht="27.75" customHeight="1">
      <c r="A1083" s="2918"/>
      <c r="B1083" s="2919"/>
      <c r="C1083" s="2920"/>
      <c r="D1083" s="2917"/>
      <c r="E1083" s="1603" t="s">
        <v>2497</v>
      </c>
      <c r="F1083" s="1583"/>
      <c r="G1083" s="1583"/>
      <c r="H1083" s="1583"/>
      <c r="I1083" s="1583"/>
      <c r="J1083" s="1583"/>
      <c r="K1083" s="1583"/>
      <c r="L1083" s="1583"/>
      <c r="M1083" s="1583"/>
      <c r="N1083" s="1583"/>
      <c r="O1083" s="1583"/>
      <c r="P1083" s="1583"/>
      <c r="Q1083" s="1604"/>
      <c r="R1083" s="1583"/>
      <c r="S1083" s="1583"/>
      <c r="T1083" s="1585"/>
      <c r="U1083" s="1604">
        <v>7498.08</v>
      </c>
      <c r="V1083" s="1585"/>
      <c r="W1083" s="1585"/>
      <c r="X1083" s="1585"/>
      <c r="Y1083" s="1585"/>
      <c r="Z1083" s="1585"/>
      <c r="AA1083" s="1585"/>
      <c r="AB1083" s="1585"/>
      <c r="AC1083" s="1585"/>
      <c r="AD1083" s="1601">
        <f t="shared" si="152"/>
        <v>7498.08</v>
      </c>
      <c r="AE1083" s="1790">
        <v>7498.08</v>
      </c>
      <c r="AF1083" s="1792"/>
    </row>
    <row r="1084" spans="1:32" ht="27.75" customHeight="1">
      <c r="A1084" s="2918" t="s">
        <v>2458</v>
      </c>
      <c r="B1084" s="2919" t="s">
        <v>2532</v>
      </c>
      <c r="C1084" s="2920" t="s">
        <v>52</v>
      </c>
      <c r="D1084" s="2917">
        <v>7024.73</v>
      </c>
      <c r="E1084" s="1598" t="s">
        <v>2496</v>
      </c>
      <c r="F1084" s="1583"/>
      <c r="G1084" s="1583"/>
      <c r="H1084" s="1583"/>
      <c r="I1084" s="1583"/>
      <c r="J1084" s="1583"/>
      <c r="K1084" s="1583"/>
      <c r="L1084" s="1583"/>
      <c r="M1084" s="1583"/>
      <c r="N1084" s="1583"/>
      <c r="O1084" s="1583"/>
      <c r="P1084" s="1583"/>
      <c r="Q1084" s="1583"/>
      <c r="R1084" s="1583"/>
      <c r="S1084" s="1583"/>
      <c r="T1084" s="1585"/>
      <c r="U1084" s="1585">
        <f>U1085</f>
        <v>7024.73</v>
      </c>
      <c r="V1084" s="1585"/>
      <c r="W1084" s="1585"/>
      <c r="X1084" s="1585"/>
      <c r="Y1084" s="1585"/>
      <c r="Z1084" s="1585"/>
      <c r="AA1084" s="1585"/>
      <c r="AB1084" s="1585"/>
      <c r="AC1084" s="1585"/>
      <c r="AD1084" s="1601">
        <f t="shared" si="152"/>
        <v>7024.73</v>
      </c>
      <c r="AE1084" s="1790">
        <v>7024.73</v>
      </c>
      <c r="AF1084" s="1792"/>
    </row>
    <row r="1085" spans="1:32" ht="24" customHeight="1">
      <c r="A1085" s="2918"/>
      <c r="B1085" s="2919"/>
      <c r="C1085" s="2920"/>
      <c r="D1085" s="2917"/>
      <c r="E1085" s="1603" t="s">
        <v>2497</v>
      </c>
      <c r="F1085" s="1583"/>
      <c r="G1085" s="1583"/>
      <c r="H1085" s="1583"/>
      <c r="I1085" s="1583"/>
      <c r="J1085" s="1583"/>
      <c r="K1085" s="1583"/>
      <c r="L1085" s="1583"/>
      <c r="M1085" s="1583"/>
      <c r="N1085" s="1583"/>
      <c r="O1085" s="1583"/>
      <c r="P1085" s="1583"/>
      <c r="Q1085" s="1583"/>
      <c r="R1085" s="1583"/>
      <c r="S1085" s="1583"/>
      <c r="T1085" s="1585"/>
      <c r="U1085" s="1604">
        <v>7024.73</v>
      </c>
      <c r="V1085" s="1604"/>
      <c r="W1085" s="1585"/>
      <c r="X1085" s="1585"/>
      <c r="Y1085" s="1585"/>
      <c r="Z1085" s="1585"/>
      <c r="AA1085" s="1585"/>
      <c r="AB1085" s="1585"/>
      <c r="AC1085" s="1585"/>
      <c r="AD1085" s="1601">
        <f t="shared" si="152"/>
        <v>7024.73</v>
      </c>
      <c r="AE1085" s="1790">
        <v>7024.73</v>
      </c>
      <c r="AF1085" s="1792"/>
    </row>
    <row r="1086" spans="1:32" ht="27.75" customHeight="1">
      <c r="A1086" s="2918" t="s">
        <v>2456</v>
      </c>
      <c r="B1086" s="2919" t="s">
        <v>2534</v>
      </c>
      <c r="C1086" s="2920" t="s">
        <v>52</v>
      </c>
      <c r="D1086" s="2917">
        <v>795.86</v>
      </c>
      <c r="E1086" s="1598" t="s">
        <v>2496</v>
      </c>
      <c r="F1086" s="1583"/>
      <c r="G1086" s="1583"/>
      <c r="H1086" s="1583"/>
      <c r="I1086" s="1583"/>
      <c r="J1086" s="1583"/>
      <c r="K1086" s="1583"/>
      <c r="L1086" s="1583"/>
      <c r="M1086" s="1583"/>
      <c r="N1086" s="1583"/>
      <c r="O1086" s="1583"/>
      <c r="P1086" s="1583"/>
      <c r="Q1086" s="1585"/>
      <c r="R1086" s="1583"/>
      <c r="S1086" s="1583"/>
      <c r="T1086" s="1585"/>
      <c r="V1086" s="1585">
        <v>795.86</v>
      </c>
      <c r="W1086" s="1585"/>
      <c r="X1086" s="1585"/>
      <c r="Y1086" s="1585"/>
      <c r="Z1086" s="1585"/>
      <c r="AA1086" s="1585"/>
      <c r="AB1086" s="1585"/>
      <c r="AC1086" s="1585"/>
      <c r="AD1086" s="1601">
        <f t="shared" si="152"/>
        <v>795.86</v>
      </c>
      <c r="AE1086" s="1790">
        <v>795.86</v>
      </c>
      <c r="AF1086" s="1792"/>
    </row>
    <row r="1087" spans="1:32" ht="27.75" customHeight="1">
      <c r="A1087" s="2918"/>
      <c r="B1087" s="2919"/>
      <c r="C1087" s="2920"/>
      <c r="D1087" s="2917"/>
      <c r="E1087" s="1603" t="s">
        <v>2497</v>
      </c>
      <c r="F1087" s="1583"/>
      <c r="G1087" s="1583"/>
      <c r="H1087" s="1583"/>
      <c r="I1087" s="1583"/>
      <c r="J1087" s="1583"/>
      <c r="K1087" s="1583"/>
      <c r="L1087" s="1583"/>
      <c r="M1087" s="1583"/>
      <c r="N1087" s="1583"/>
      <c r="O1087" s="1583"/>
      <c r="P1087" s="1583"/>
      <c r="Q1087" s="1604"/>
      <c r="R1087" s="1583"/>
      <c r="S1087" s="1583"/>
      <c r="T1087" s="1585"/>
      <c r="U1087" s="1585"/>
      <c r="V1087" s="1604">
        <v>795.86</v>
      </c>
      <c r="W1087" s="1585"/>
      <c r="X1087" s="1585"/>
      <c r="Y1087" s="1585"/>
      <c r="Z1087" s="1585"/>
      <c r="AA1087" s="1585"/>
      <c r="AB1087" s="1585"/>
      <c r="AC1087" s="1585"/>
      <c r="AD1087" s="1601">
        <f t="shared" si="152"/>
        <v>795.86</v>
      </c>
      <c r="AE1087" s="1790">
        <v>795.86</v>
      </c>
      <c r="AF1087" s="1792"/>
    </row>
    <row r="1088" spans="1:32" ht="27.75" customHeight="1">
      <c r="A1088" s="2918" t="s">
        <v>2458</v>
      </c>
      <c r="B1088" s="2919" t="s">
        <v>2536</v>
      </c>
      <c r="C1088" s="2920" t="s">
        <v>52</v>
      </c>
      <c r="D1088" s="2917">
        <v>1591.18</v>
      </c>
      <c r="E1088" s="1598" t="s">
        <v>2496</v>
      </c>
      <c r="F1088" s="1583"/>
      <c r="G1088" s="1583"/>
      <c r="H1088" s="1583"/>
      <c r="I1088" s="1583"/>
      <c r="J1088" s="1583"/>
      <c r="K1088" s="1583"/>
      <c r="L1088" s="1583"/>
      <c r="M1088" s="1583"/>
      <c r="N1088" s="1583"/>
      <c r="O1088" s="1583"/>
      <c r="P1088" s="1583"/>
      <c r="Q1088" s="1583"/>
      <c r="R1088" s="1583"/>
      <c r="S1088" s="1583"/>
      <c r="T1088" s="1585"/>
      <c r="U1088" s="1585">
        <f>U1089</f>
        <v>1591.18</v>
      </c>
      <c r="V1088" s="1585"/>
      <c r="W1088" s="1585"/>
      <c r="X1088" s="1585"/>
      <c r="Y1088" s="1585"/>
      <c r="Z1088" s="1585"/>
      <c r="AA1088" s="1585"/>
      <c r="AB1088" s="1585"/>
      <c r="AC1088" s="1585"/>
      <c r="AD1088" s="1601">
        <f t="shared" si="152"/>
        <v>1591.18</v>
      </c>
      <c r="AE1088" s="1790">
        <v>1591.18</v>
      </c>
      <c r="AF1088" s="1792"/>
    </row>
    <row r="1089" spans="1:32" ht="24" customHeight="1">
      <c r="A1089" s="2918"/>
      <c r="B1089" s="2919"/>
      <c r="C1089" s="2920"/>
      <c r="D1089" s="2917"/>
      <c r="E1089" s="1603" t="s">
        <v>2497</v>
      </c>
      <c r="F1089" s="1583"/>
      <c r="G1089" s="1583"/>
      <c r="H1089" s="1583"/>
      <c r="I1089" s="1583"/>
      <c r="J1089" s="1583"/>
      <c r="K1089" s="1583"/>
      <c r="L1089" s="1583"/>
      <c r="M1089" s="1583"/>
      <c r="N1089" s="1583"/>
      <c r="O1089" s="1583"/>
      <c r="P1089" s="1583"/>
      <c r="Q1089" s="1583"/>
      <c r="R1089" s="1583"/>
      <c r="S1089" s="1583"/>
      <c r="T1089" s="1585"/>
      <c r="U1089" s="1604">
        <v>1591.18</v>
      </c>
      <c r="V1089" s="1585"/>
      <c r="W1089" s="1585"/>
      <c r="X1089" s="1585"/>
      <c r="Y1089" s="1585"/>
      <c r="Z1089" s="1585"/>
      <c r="AA1089" s="1585"/>
      <c r="AB1089" s="1585"/>
      <c r="AC1089" s="1585"/>
      <c r="AD1089" s="1601">
        <f t="shared" si="152"/>
        <v>1591.18</v>
      </c>
      <c r="AE1089" s="1790">
        <v>1591.18</v>
      </c>
      <c r="AF1089" s="1792"/>
    </row>
    <row r="1090" spans="1:32" ht="24" customHeight="1">
      <c r="A1090" s="1594" t="s">
        <v>2537</v>
      </c>
      <c r="B1090" s="1650" t="s">
        <v>2538</v>
      </c>
      <c r="C1090" s="1596"/>
      <c r="D1090" s="1597"/>
      <c r="E1090" s="1599"/>
      <c r="F1090" s="1583"/>
      <c r="G1090" s="1583"/>
      <c r="H1090" s="1583"/>
      <c r="I1090" s="1583"/>
      <c r="J1090" s="1583"/>
      <c r="K1090" s="1583"/>
      <c r="L1090" s="1583"/>
      <c r="M1090" s="1583"/>
      <c r="N1090" s="1583"/>
      <c r="O1090" s="1583"/>
      <c r="P1090" s="1583"/>
      <c r="Q1090" s="1583"/>
      <c r="R1090" s="1583"/>
      <c r="S1090" s="1583"/>
      <c r="T1090" s="1585"/>
      <c r="U1090" s="1585"/>
      <c r="V1090" s="1585"/>
      <c r="W1090" s="1585"/>
      <c r="X1090" s="1585"/>
      <c r="Y1090" s="1585"/>
      <c r="Z1090" s="1585"/>
      <c r="AA1090" s="1585"/>
      <c r="AB1090" s="1585"/>
      <c r="AC1090" s="1585"/>
      <c r="AD1090" s="1601">
        <f t="shared" si="152"/>
        <v>0</v>
      </c>
      <c r="AE1090" s="1790">
        <v>0</v>
      </c>
      <c r="AF1090" s="1792"/>
    </row>
    <row r="1091" spans="1:32" ht="27.75" customHeight="1">
      <c r="A1091" s="2918" t="s">
        <v>2458</v>
      </c>
      <c r="B1091" s="2901" t="s">
        <v>2540</v>
      </c>
      <c r="C1091" s="2920" t="s">
        <v>52</v>
      </c>
      <c r="D1091" s="2917">
        <v>4351.84</v>
      </c>
      <c r="E1091" s="1598" t="s">
        <v>2496</v>
      </c>
      <c r="F1091" s="1583"/>
      <c r="G1091" s="1583"/>
      <c r="H1091" s="1583"/>
      <c r="I1091" s="1583"/>
      <c r="J1091" s="1583"/>
      <c r="K1091" s="1583"/>
      <c r="L1091" s="1583"/>
      <c r="M1091" s="1583"/>
      <c r="N1091" s="1583"/>
      <c r="O1091" s="1583"/>
      <c r="P1091" s="1583"/>
      <c r="Q1091" s="1583"/>
      <c r="R1091" s="1583"/>
      <c r="S1091" s="1583"/>
      <c r="T1091" s="1585"/>
      <c r="U1091" s="1585"/>
      <c r="V1091" s="1585">
        <v>4351.84</v>
      </c>
      <c r="W1091" s="1585"/>
      <c r="X1091" s="1585"/>
      <c r="Y1091" s="1585"/>
      <c r="Z1091" s="1585"/>
      <c r="AA1091" s="1585"/>
      <c r="AB1091" s="1585"/>
      <c r="AC1091" s="1585"/>
      <c r="AD1091" s="1601">
        <f t="shared" si="152"/>
        <v>4351.84</v>
      </c>
      <c r="AE1091" s="1790">
        <v>4351.84</v>
      </c>
      <c r="AF1091" s="1792"/>
    </row>
    <row r="1092" spans="1:32" ht="24" customHeight="1">
      <c r="A1092" s="2918"/>
      <c r="B1092" s="2902"/>
      <c r="C1092" s="2920"/>
      <c r="D1092" s="2917"/>
      <c r="E1092" s="1603" t="s">
        <v>2497</v>
      </c>
      <c r="F1092" s="1583"/>
      <c r="G1092" s="1583"/>
      <c r="H1092" s="1583"/>
      <c r="I1092" s="1583"/>
      <c r="J1092" s="1583"/>
      <c r="K1092" s="1583"/>
      <c r="L1092" s="1583"/>
      <c r="M1092" s="1583"/>
      <c r="N1092" s="1583"/>
      <c r="O1092" s="1583"/>
      <c r="P1092" s="1583"/>
      <c r="Q1092" s="1583"/>
      <c r="R1092" s="1583"/>
      <c r="S1092" s="1583"/>
      <c r="T1092" s="1585"/>
      <c r="U1092" s="1585"/>
      <c r="V1092" s="1592">
        <v>4351.84</v>
      </c>
      <c r="W1092" s="1585"/>
      <c r="X1092" s="1585"/>
      <c r="Y1092" s="1585"/>
      <c r="Z1092" s="1585"/>
      <c r="AA1092" s="1585"/>
      <c r="AB1092" s="1585"/>
      <c r="AC1092" s="1585"/>
      <c r="AD1092" s="1601">
        <f t="shared" si="152"/>
        <v>4351.84</v>
      </c>
      <c r="AE1092" s="1790">
        <v>4351.84</v>
      </c>
      <c r="AF1092" s="1792"/>
    </row>
    <row r="1093" spans="1:32" ht="27.75" customHeight="1">
      <c r="A1093" s="2918" t="s">
        <v>2456</v>
      </c>
      <c r="B1093" s="2919" t="s">
        <v>2542</v>
      </c>
      <c r="C1093" s="2920" t="s">
        <v>52</v>
      </c>
      <c r="D1093" s="2917">
        <v>2727.6</v>
      </c>
      <c r="E1093" s="1598" t="s">
        <v>2496</v>
      </c>
      <c r="F1093" s="1583"/>
      <c r="G1093" s="1583"/>
      <c r="H1093" s="1583"/>
      <c r="I1093" s="1583"/>
      <c r="J1093" s="1583"/>
      <c r="K1093" s="1583"/>
      <c r="L1093" s="1583"/>
      <c r="M1093" s="1583"/>
      <c r="N1093" s="1583"/>
      <c r="O1093" s="1583"/>
      <c r="P1093" s="1583"/>
      <c r="Q1093" s="1585"/>
      <c r="R1093" s="1583"/>
      <c r="S1093" s="1583"/>
      <c r="T1093" s="1585"/>
      <c r="U1093" s="1585"/>
      <c r="V1093" s="1585">
        <v>2727.6</v>
      </c>
      <c r="W1093" s="1585"/>
      <c r="X1093" s="1585"/>
      <c r="Y1093" s="1585"/>
      <c r="Z1093" s="1585"/>
      <c r="AA1093" s="1585"/>
      <c r="AB1093" s="1585"/>
      <c r="AC1093" s="1585"/>
      <c r="AD1093" s="1601">
        <f t="shared" si="152"/>
        <v>2727.6</v>
      </c>
      <c r="AE1093" s="1790">
        <v>2727.6</v>
      </c>
      <c r="AF1093" s="1792"/>
    </row>
    <row r="1094" spans="1:32" ht="27.75" customHeight="1">
      <c r="A1094" s="2918"/>
      <c r="B1094" s="2919"/>
      <c r="C1094" s="2920"/>
      <c r="D1094" s="2917"/>
      <c r="E1094" s="1603" t="s">
        <v>2497</v>
      </c>
      <c r="F1094" s="1583"/>
      <c r="G1094" s="1583"/>
      <c r="H1094" s="1583"/>
      <c r="I1094" s="1583"/>
      <c r="J1094" s="1583"/>
      <c r="K1094" s="1583"/>
      <c r="L1094" s="1583"/>
      <c r="M1094" s="1583"/>
      <c r="N1094" s="1583"/>
      <c r="O1094" s="1583"/>
      <c r="P1094" s="1583"/>
      <c r="Q1094" s="1604"/>
      <c r="R1094" s="1583"/>
      <c r="S1094" s="1583"/>
      <c r="T1094" s="1585"/>
      <c r="U1094" s="1585"/>
      <c r="V1094" s="1592">
        <v>2727.6</v>
      </c>
      <c r="W1094" s="1585"/>
      <c r="X1094" s="1585"/>
      <c r="Y1094" s="1585"/>
      <c r="Z1094" s="1585"/>
      <c r="AA1094" s="1585"/>
      <c r="AB1094" s="1585"/>
      <c r="AC1094" s="1585"/>
      <c r="AD1094" s="1601">
        <f t="shared" si="152"/>
        <v>2727.6</v>
      </c>
      <c r="AE1094" s="1790">
        <v>2727.6</v>
      </c>
      <c r="AF1094" s="1792"/>
    </row>
    <row r="1095" spans="1:32" ht="27.75" customHeight="1">
      <c r="A1095" s="2918" t="s">
        <v>2458</v>
      </c>
      <c r="B1095" s="2919" t="s">
        <v>2544</v>
      </c>
      <c r="C1095" s="2920" t="s">
        <v>52</v>
      </c>
      <c r="D1095" s="2917">
        <v>3344.88</v>
      </c>
      <c r="E1095" s="1598" t="s">
        <v>2496</v>
      </c>
      <c r="F1095" s="1583"/>
      <c r="G1095" s="1583"/>
      <c r="H1095" s="1583"/>
      <c r="I1095" s="1583"/>
      <c r="J1095" s="1583"/>
      <c r="K1095" s="1583"/>
      <c r="L1095" s="1583"/>
      <c r="M1095" s="1583"/>
      <c r="N1095" s="1583"/>
      <c r="O1095" s="1583"/>
      <c r="P1095" s="1583"/>
      <c r="Q1095" s="1583"/>
      <c r="R1095" s="1583"/>
      <c r="S1095" s="1583"/>
      <c r="T1095" s="1585"/>
      <c r="U1095" s="1585"/>
      <c r="V1095" s="1585">
        <v>3344.88</v>
      </c>
      <c r="W1095" s="1585"/>
      <c r="X1095" s="1585"/>
      <c r="Y1095" s="1585"/>
      <c r="Z1095" s="1585"/>
      <c r="AA1095" s="1585"/>
      <c r="AB1095" s="1585"/>
      <c r="AC1095" s="1585"/>
      <c r="AD1095" s="1601">
        <f t="shared" si="152"/>
        <v>3344.88</v>
      </c>
      <c r="AE1095" s="1790">
        <v>3344.88</v>
      </c>
      <c r="AF1095" s="1792"/>
    </row>
    <row r="1096" spans="1:32" ht="24" customHeight="1">
      <c r="A1096" s="2918"/>
      <c r="B1096" s="2919"/>
      <c r="C1096" s="2920"/>
      <c r="D1096" s="2917"/>
      <c r="E1096" s="1603" t="s">
        <v>2497</v>
      </c>
      <c r="F1096" s="1583"/>
      <c r="G1096" s="1583"/>
      <c r="H1096" s="1583"/>
      <c r="I1096" s="1583"/>
      <c r="J1096" s="1583"/>
      <c r="K1096" s="1583"/>
      <c r="L1096" s="1583"/>
      <c r="M1096" s="1583"/>
      <c r="N1096" s="1583"/>
      <c r="O1096" s="1583"/>
      <c r="P1096" s="1583"/>
      <c r="Q1096" s="1583"/>
      <c r="R1096" s="1583"/>
      <c r="S1096" s="1583"/>
      <c r="T1096" s="1585"/>
      <c r="U1096" s="1585"/>
      <c r="V1096" s="1592">
        <v>3344.88</v>
      </c>
      <c r="W1096" s="1585"/>
      <c r="X1096" s="1585"/>
      <c r="Y1096" s="1585"/>
      <c r="Z1096" s="1585"/>
      <c r="AA1096" s="1585"/>
      <c r="AB1096" s="1585"/>
      <c r="AC1096" s="1585"/>
      <c r="AD1096" s="1601">
        <f t="shared" si="152"/>
        <v>3344.88</v>
      </c>
      <c r="AE1096" s="1790">
        <v>3344.88</v>
      </c>
      <c r="AF1096" s="1792"/>
    </row>
    <row r="1097" spans="1:32" ht="27.75" customHeight="1">
      <c r="A1097" s="2918" t="s">
        <v>2456</v>
      </c>
      <c r="B1097" s="2919" t="s">
        <v>2546</v>
      </c>
      <c r="C1097" s="2920" t="s">
        <v>52</v>
      </c>
      <c r="D1097" s="2917">
        <v>2829.28</v>
      </c>
      <c r="E1097" s="1598" t="s">
        <v>2496</v>
      </c>
      <c r="F1097" s="1583"/>
      <c r="G1097" s="1583"/>
      <c r="H1097" s="1583"/>
      <c r="I1097" s="1583"/>
      <c r="J1097" s="1583"/>
      <c r="K1097" s="1583"/>
      <c r="L1097" s="1583"/>
      <c r="M1097" s="1583"/>
      <c r="N1097" s="1583"/>
      <c r="O1097" s="1583"/>
      <c r="P1097" s="1583"/>
      <c r="Q1097" s="1585"/>
      <c r="R1097" s="1583"/>
      <c r="S1097" s="1583"/>
      <c r="T1097" s="1585"/>
      <c r="U1097" s="1585"/>
      <c r="V1097" s="1585">
        <v>2829.28</v>
      </c>
      <c r="W1097" s="1585"/>
      <c r="X1097" s="1585"/>
      <c r="Y1097" s="1585"/>
      <c r="Z1097" s="1585"/>
      <c r="AA1097" s="1585"/>
      <c r="AB1097" s="1585"/>
      <c r="AC1097" s="1585"/>
      <c r="AD1097" s="1601">
        <f t="shared" si="152"/>
        <v>2829.28</v>
      </c>
      <c r="AE1097" s="1790">
        <v>2829.28</v>
      </c>
      <c r="AF1097" s="1792"/>
    </row>
    <row r="1098" spans="1:32" ht="27.75" customHeight="1">
      <c r="A1098" s="2918"/>
      <c r="B1098" s="2919"/>
      <c r="C1098" s="2920"/>
      <c r="D1098" s="2917"/>
      <c r="E1098" s="1603" t="s">
        <v>2497</v>
      </c>
      <c r="F1098" s="1583"/>
      <c r="G1098" s="1583"/>
      <c r="H1098" s="1583"/>
      <c r="I1098" s="1583"/>
      <c r="J1098" s="1583"/>
      <c r="K1098" s="1583"/>
      <c r="L1098" s="1583"/>
      <c r="M1098" s="1583"/>
      <c r="N1098" s="1583"/>
      <c r="O1098" s="1583"/>
      <c r="P1098" s="1583"/>
      <c r="Q1098" s="1604"/>
      <c r="R1098" s="1583"/>
      <c r="S1098" s="1583"/>
      <c r="T1098" s="1585"/>
      <c r="U1098" s="1585"/>
      <c r="V1098" s="1592">
        <v>2829.28</v>
      </c>
      <c r="W1098" s="1585"/>
      <c r="X1098" s="1585"/>
      <c r="Y1098" s="1585"/>
      <c r="Z1098" s="1585"/>
      <c r="AA1098" s="1585"/>
      <c r="AB1098" s="1585"/>
      <c r="AC1098" s="1585"/>
      <c r="AD1098" s="1601">
        <f t="shared" si="152"/>
        <v>2829.28</v>
      </c>
      <c r="AE1098" s="1790">
        <v>2829.28</v>
      </c>
      <c r="AF1098" s="1792"/>
    </row>
    <row r="1099" spans="1:32" ht="27.75" customHeight="1">
      <c r="A1099" s="2918" t="s">
        <v>2456</v>
      </c>
      <c r="B1099" s="2919" t="s">
        <v>2548</v>
      </c>
      <c r="C1099" s="2920" t="s">
        <v>52</v>
      </c>
      <c r="D1099" s="2917">
        <v>707.32</v>
      </c>
      <c r="E1099" s="1598" t="s">
        <v>2496</v>
      </c>
      <c r="F1099" s="1583"/>
      <c r="G1099" s="1583"/>
      <c r="H1099" s="1583"/>
      <c r="I1099" s="1583"/>
      <c r="J1099" s="1583"/>
      <c r="K1099" s="1583"/>
      <c r="L1099" s="1583"/>
      <c r="M1099" s="1583"/>
      <c r="N1099" s="1583"/>
      <c r="O1099" s="1583"/>
      <c r="P1099" s="1583"/>
      <c r="Q1099" s="1585"/>
      <c r="R1099" s="1583"/>
      <c r="S1099" s="1583"/>
      <c r="T1099" s="1585"/>
      <c r="U1099" s="1585"/>
      <c r="V1099" s="1585">
        <v>707.32</v>
      </c>
      <c r="W1099" s="1585"/>
      <c r="X1099" s="1585"/>
      <c r="Y1099" s="1585"/>
      <c r="Z1099" s="1585"/>
      <c r="AA1099" s="1585"/>
      <c r="AB1099" s="1585"/>
      <c r="AC1099" s="1585"/>
      <c r="AD1099" s="1601">
        <f t="shared" si="152"/>
        <v>707.32</v>
      </c>
      <c r="AE1099" s="1790">
        <v>707.32</v>
      </c>
      <c r="AF1099" s="1792"/>
    </row>
    <row r="1100" spans="1:32" ht="27.75" customHeight="1">
      <c r="A1100" s="2918"/>
      <c r="B1100" s="2919"/>
      <c r="C1100" s="2920"/>
      <c r="D1100" s="2917"/>
      <c r="E1100" s="1603" t="s">
        <v>2497</v>
      </c>
      <c r="F1100" s="1583"/>
      <c r="G1100" s="1583"/>
      <c r="H1100" s="1583"/>
      <c r="I1100" s="1583"/>
      <c r="J1100" s="1583"/>
      <c r="K1100" s="1583"/>
      <c r="L1100" s="1583"/>
      <c r="M1100" s="1583"/>
      <c r="N1100" s="1583"/>
      <c r="O1100" s="1583"/>
      <c r="P1100" s="1583"/>
      <c r="Q1100" s="1604"/>
      <c r="R1100" s="1583"/>
      <c r="S1100" s="1583"/>
      <c r="T1100" s="1585"/>
      <c r="U1100" s="1585"/>
      <c r="V1100" s="1592">
        <v>707.32</v>
      </c>
      <c r="W1100" s="1585"/>
      <c r="X1100" s="1585"/>
      <c r="Y1100" s="1585"/>
      <c r="Z1100" s="1585"/>
      <c r="AA1100" s="1585"/>
      <c r="AB1100" s="1585"/>
      <c r="AC1100" s="1585"/>
      <c r="AD1100" s="1601">
        <f t="shared" si="152"/>
        <v>707.32</v>
      </c>
      <c r="AE1100" s="1790">
        <v>707.32</v>
      </c>
      <c r="AF1100" s="1792"/>
    </row>
    <row r="1101" spans="1:32" ht="24" customHeight="1">
      <c r="A1101" s="1594" t="s">
        <v>2549</v>
      </c>
      <c r="B1101" s="1650" t="s">
        <v>2550</v>
      </c>
      <c r="C1101" s="1596"/>
      <c r="D1101" s="1597"/>
      <c r="E1101" s="1599"/>
      <c r="F1101" s="1583"/>
      <c r="G1101" s="1583"/>
      <c r="H1101" s="1583"/>
      <c r="I1101" s="1583"/>
      <c r="J1101" s="1583"/>
      <c r="K1101" s="1583"/>
      <c r="L1101" s="1583"/>
      <c r="M1101" s="1583"/>
      <c r="N1101" s="1583"/>
      <c r="O1101" s="1583"/>
      <c r="P1101" s="1583"/>
      <c r="Q1101" s="1583"/>
      <c r="R1101" s="1583"/>
      <c r="S1101" s="1583"/>
      <c r="T1101" s="1585"/>
      <c r="U1101" s="1585"/>
      <c r="V1101" s="1585"/>
      <c r="W1101" s="1585"/>
      <c r="X1101" s="1585"/>
      <c r="Y1101" s="1585"/>
      <c r="Z1101" s="1585"/>
      <c r="AA1101" s="1585"/>
      <c r="AB1101" s="1585"/>
      <c r="AC1101" s="1585"/>
      <c r="AD1101" s="1601">
        <f t="shared" si="152"/>
        <v>0</v>
      </c>
      <c r="AE1101" s="1790">
        <v>0</v>
      </c>
      <c r="AF1101" s="1792"/>
    </row>
    <row r="1102" spans="1:32" ht="27.75" customHeight="1">
      <c r="A1102" s="2918" t="s">
        <v>2551</v>
      </c>
      <c r="B1102" s="2919" t="s">
        <v>2552</v>
      </c>
      <c r="C1102" s="2920" t="s">
        <v>52</v>
      </c>
      <c r="D1102" s="2917">
        <v>332.94</v>
      </c>
      <c r="E1102" s="1598" t="s">
        <v>2496</v>
      </c>
      <c r="F1102" s="1583"/>
      <c r="G1102" s="1583"/>
      <c r="H1102" s="1583"/>
      <c r="I1102" s="1583"/>
      <c r="J1102" s="1583"/>
      <c r="K1102" s="1583"/>
      <c r="L1102" s="1583"/>
      <c r="M1102" s="1583"/>
      <c r="N1102" s="1583"/>
      <c r="O1102" s="1583"/>
      <c r="P1102" s="1583"/>
      <c r="Q1102" s="1585"/>
      <c r="R1102" s="1583"/>
      <c r="S1102" s="1583"/>
      <c r="T1102" s="1585"/>
      <c r="U1102" s="1585"/>
      <c r="V1102" s="1585"/>
      <c r="W1102" s="1585"/>
      <c r="X1102" s="1585"/>
      <c r="Y1102" s="1585"/>
      <c r="Z1102" s="1585">
        <v>332.94</v>
      </c>
      <c r="AA1102" s="1585"/>
      <c r="AB1102" s="1585"/>
      <c r="AC1102" s="1585"/>
      <c r="AD1102" s="1601">
        <f t="shared" si="152"/>
        <v>332.94</v>
      </c>
      <c r="AE1102" s="1790">
        <v>0</v>
      </c>
      <c r="AF1102" s="1792"/>
    </row>
    <row r="1103" spans="1:32" ht="27.75" customHeight="1">
      <c r="A1103" s="2918"/>
      <c r="B1103" s="2919"/>
      <c r="C1103" s="2920"/>
      <c r="D1103" s="2917"/>
      <c r="E1103" s="1603" t="s">
        <v>2497</v>
      </c>
      <c r="F1103" s="1583"/>
      <c r="G1103" s="1583"/>
      <c r="H1103" s="1583"/>
      <c r="I1103" s="1583"/>
      <c r="J1103" s="1583"/>
      <c r="K1103" s="1583"/>
      <c r="L1103" s="1583"/>
      <c r="M1103" s="1583"/>
      <c r="N1103" s="1583"/>
      <c r="O1103" s="1583"/>
      <c r="P1103" s="1583"/>
      <c r="Q1103" s="1604"/>
      <c r="R1103" s="1583"/>
      <c r="S1103" s="1583"/>
      <c r="T1103" s="1585"/>
      <c r="U1103" s="1585"/>
      <c r="V1103" s="1585"/>
      <c r="W1103" s="1585"/>
      <c r="X1103" s="1585"/>
      <c r="Y1103" s="1585"/>
      <c r="Z1103" s="1585"/>
      <c r="AA1103" s="1585"/>
      <c r="AB1103" s="1585"/>
      <c r="AC1103" s="1585"/>
      <c r="AD1103" s="1601">
        <f t="shared" si="152"/>
        <v>0</v>
      </c>
      <c r="AE1103" s="1790">
        <v>0</v>
      </c>
      <c r="AF1103" s="1792"/>
    </row>
    <row r="1104" spans="1:32" ht="24" customHeight="1">
      <c r="A1104" s="1594" t="s">
        <v>2549</v>
      </c>
      <c r="B1104" s="1650" t="s">
        <v>2554</v>
      </c>
      <c r="C1104" s="1596"/>
      <c r="D1104" s="1597"/>
      <c r="E1104" s="1599"/>
      <c r="F1104" s="1583"/>
      <c r="G1104" s="1583"/>
      <c r="H1104" s="1583"/>
      <c r="I1104" s="1583"/>
      <c r="J1104" s="1583"/>
      <c r="K1104" s="1583"/>
      <c r="L1104" s="1583"/>
      <c r="M1104" s="1583"/>
      <c r="N1104" s="1583"/>
      <c r="O1104" s="1583"/>
      <c r="P1104" s="1583"/>
      <c r="Q1104" s="1583"/>
      <c r="R1104" s="1583"/>
      <c r="S1104" s="1583"/>
      <c r="T1104" s="1585"/>
      <c r="U1104" s="1585"/>
      <c r="V1104" s="1585"/>
      <c r="W1104" s="1585"/>
      <c r="X1104" s="1585"/>
      <c r="Y1104" s="1585"/>
      <c r="Z1104" s="1585"/>
      <c r="AA1104" s="1585"/>
      <c r="AB1104" s="1585"/>
      <c r="AC1104" s="1585"/>
      <c r="AD1104" s="1601">
        <f t="shared" si="152"/>
        <v>0</v>
      </c>
      <c r="AE1104" s="1790">
        <v>0</v>
      </c>
      <c r="AF1104" s="1792"/>
    </row>
    <row r="1105" spans="1:32" ht="27.75" customHeight="1">
      <c r="A1105" s="2918" t="s">
        <v>2458</v>
      </c>
      <c r="B1105" s="2919" t="s">
        <v>2556</v>
      </c>
      <c r="C1105" s="2920" t="s">
        <v>52</v>
      </c>
      <c r="D1105" s="2917">
        <v>1163.1200000000001</v>
      </c>
      <c r="E1105" s="1598" t="s">
        <v>2496</v>
      </c>
      <c r="F1105" s="1583"/>
      <c r="G1105" s="1583"/>
      <c r="H1105" s="1583"/>
      <c r="I1105" s="1583"/>
      <c r="J1105" s="1583"/>
      <c r="K1105" s="1583"/>
      <c r="L1105" s="1583"/>
      <c r="M1105" s="1583"/>
      <c r="N1105" s="1583"/>
      <c r="O1105" s="1583"/>
      <c r="P1105" s="1583"/>
      <c r="Q1105" s="1583"/>
      <c r="R1105" s="1583"/>
      <c r="S1105" s="1583"/>
      <c r="T1105" s="1585"/>
      <c r="U1105" s="1585">
        <f>U1106</f>
        <v>1163.1199999999999</v>
      </c>
      <c r="V1105" s="1585"/>
      <c r="W1105" s="1585"/>
      <c r="X1105" s="1585"/>
      <c r="Y1105" s="1585"/>
      <c r="Z1105" s="1585"/>
      <c r="AA1105" s="1585"/>
      <c r="AB1105" s="1585"/>
      <c r="AC1105" s="1585"/>
      <c r="AD1105" s="1601">
        <f t="shared" ref="AD1105:AD1168" si="159">SUM(F1105:AC1105)</f>
        <v>1163.1199999999999</v>
      </c>
      <c r="AE1105" s="1790">
        <v>1163.1199999999999</v>
      </c>
      <c r="AF1105" s="1792"/>
    </row>
    <row r="1106" spans="1:32" ht="24" customHeight="1">
      <c r="A1106" s="2918"/>
      <c r="B1106" s="2919"/>
      <c r="C1106" s="2920"/>
      <c r="D1106" s="2917"/>
      <c r="E1106" s="1603" t="s">
        <v>2497</v>
      </c>
      <c r="F1106" s="1583"/>
      <c r="G1106" s="1583"/>
      <c r="H1106" s="1583"/>
      <c r="I1106" s="1583"/>
      <c r="J1106" s="1583"/>
      <c r="K1106" s="1583"/>
      <c r="L1106" s="1583"/>
      <c r="M1106" s="1583"/>
      <c r="N1106" s="1583"/>
      <c r="O1106" s="1583"/>
      <c r="P1106" s="1583"/>
      <c r="Q1106" s="1583"/>
      <c r="R1106" s="1583"/>
      <c r="S1106" s="1583"/>
      <c r="T1106" s="1585"/>
      <c r="U1106" s="1604">
        <v>1163.1199999999999</v>
      </c>
      <c r="V1106" s="1585"/>
      <c r="W1106" s="1585"/>
      <c r="X1106" s="1585"/>
      <c r="Y1106" s="1585"/>
      <c r="Z1106" s="1585"/>
      <c r="AA1106" s="1585"/>
      <c r="AB1106" s="1585"/>
      <c r="AC1106" s="1585"/>
      <c r="AD1106" s="1601">
        <f t="shared" si="159"/>
        <v>1163.1199999999999</v>
      </c>
      <c r="AE1106" s="1790">
        <v>1163.1199999999999</v>
      </c>
      <c r="AF1106" s="1792"/>
    </row>
    <row r="1107" spans="1:32" ht="27.75" customHeight="1">
      <c r="A1107" s="2918" t="s">
        <v>2456</v>
      </c>
      <c r="B1107" s="2919" t="s">
        <v>2558</v>
      </c>
      <c r="C1107" s="2920" t="s">
        <v>52</v>
      </c>
      <c r="D1107" s="2917">
        <v>981.75</v>
      </c>
      <c r="E1107" s="1598" t="s">
        <v>2496</v>
      </c>
      <c r="F1107" s="1583"/>
      <c r="G1107" s="1583"/>
      <c r="H1107" s="1583"/>
      <c r="I1107" s="1583"/>
      <c r="J1107" s="1583"/>
      <c r="K1107" s="1583"/>
      <c r="L1107" s="1583"/>
      <c r="M1107" s="1583"/>
      <c r="N1107" s="1583"/>
      <c r="O1107" s="1583"/>
      <c r="P1107" s="1583"/>
      <c r="Q1107" s="1585"/>
      <c r="R1107" s="1583"/>
      <c r="S1107" s="1583"/>
      <c r="T1107" s="1585"/>
      <c r="U1107" s="1585">
        <f>U1108</f>
        <v>981.75</v>
      </c>
      <c r="V1107" s="1585"/>
      <c r="W1107" s="1585"/>
      <c r="X1107" s="1585"/>
      <c r="Y1107" s="1585"/>
      <c r="Z1107" s="1585"/>
      <c r="AA1107" s="1585"/>
      <c r="AB1107" s="1585"/>
      <c r="AC1107" s="1585"/>
      <c r="AD1107" s="1601">
        <f t="shared" si="159"/>
        <v>981.75</v>
      </c>
      <c r="AE1107" s="1790">
        <v>981.75</v>
      </c>
      <c r="AF1107" s="1792"/>
    </row>
    <row r="1108" spans="1:32" ht="27.75" customHeight="1">
      <c r="A1108" s="2918"/>
      <c r="B1108" s="2919"/>
      <c r="C1108" s="2920"/>
      <c r="D1108" s="2917"/>
      <c r="E1108" s="1603" t="s">
        <v>2497</v>
      </c>
      <c r="F1108" s="1583"/>
      <c r="G1108" s="1583"/>
      <c r="H1108" s="1583"/>
      <c r="I1108" s="1583"/>
      <c r="J1108" s="1583"/>
      <c r="K1108" s="1583"/>
      <c r="L1108" s="1583"/>
      <c r="M1108" s="1583"/>
      <c r="N1108" s="1583"/>
      <c r="O1108" s="1583"/>
      <c r="P1108" s="1583"/>
      <c r="Q1108" s="1604"/>
      <c r="R1108" s="1583"/>
      <c r="S1108" s="1583"/>
      <c r="T1108" s="1585"/>
      <c r="U1108" s="1604">
        <v>981.75</v>
      </c>
      <c r="V1108" s="1585"/>
      <c r="W1108" s="1585"/>
      <c r="X1108" s="1585"/>
      <c r="Y1108" s="1585"/>
      <c r="Z1108" s="1585"/>
      <c r="AA1108" s="1585"/>
      <c r="AB1108" s="1585"/>
      <c r="AC1108" s="1585"/>
      <c r="AD1108" s="1601">
        <f t="shared" si="159"/>
        <v>981.75</v>
      </c>
      <c r="AE1108" s="1790">
        <v>981.75</v>
      </c>
      <c r="AF1108" s="1792"/>
    </row>
    <row r="1109" spans="1:32" ht="27.75" customHeight="1">
      <c r="A1109" s="2918" t="s">
        <v>2456</v>
      </c>
      <c r="B1109" s="2919" t="s">
        <v>2560</v>
      </c>
      <c r="C1109" s="2920" t="s">
        <v>52</v>
      </c>
      <c r="D1109" s="2917">
        <v>189.89000000000001</v>
      </c>
      <c r="E1109" s="1598" t="s">
        <v>2496</v>
      </c>
      <c r="F1109" s="1583"/>
      <c r="G1109" s="1583"/>
      <c r="H1109" s="1583"/>
      <c r="I1109" s="1583"/>
      <c r="J1109" s="1583"/>
      <c r="K1109" s="1583"/>
      <c r="L1109" s="1583"/>
      <c r="M1109" s="1583"/>
      <c r="N1109" s="1583"/>
      <c r="O1109" s="1583"/>
      <c r="P1109" s="1583"/>
      <c r="Q1109" s="1585"/>
      <c r="R1109" s="1583"/>
      <c r="S1109" s="1583"/>
      <c r="T1109" s="1585"/>
      <c r="U1109" s="1585">
        <v>189.89</v>
      </c>
      <c r="V1109" s="1585"/>
      <c r="W1109" s="1585"/>
      <c r="X1109" s="1585"/>
      <c r="Y1109" s="1585"/>
      <c r="Z1109" s="1585"/>
      <c r="AA1109" s="1585"/>
      <c r="AB1109" s="1585"/>
      <c r="AC1109" s="1585"/>
      <c r="AD1109" s="1601">
        <f t="shared" si="159"/>
        <v>189.89</v>
      </c>
      <c r="AE1109" s="1790">
        <v>189.89</v>
      </c>
      <c r="AF1109" s="1792"/>
    </row>
    <row r="1110" spans="1:32" ht="27.75" customHeight="1">
      <c r="A1110" s="2918"/>
      <c r="B1110" s="2919"/>
      <c r="C1110" s="2920"/>
      <c r="D1110" s="2917"/>
      <c r="E1110" s="1603" t="s">
        <v>2497</v>
      </c>
      <c r="F1110" s="1583"/>
      <c r="G1110" s="1583"/>
      <c r="H1110" s="1583"/>
      <c r="I1110" s="1583"/>
      <c r="J1110" s="1583"/>
      <c r="K1110" s="1583"/>
      <c r="L1110" s="1583"/>
      <c r="M1110" s="1583"/>
      <c r="N1110" s="1583"/>
      <c r="O1110" s="1583"/>
      <c r="P1110" s="1583"/>
      <c r="Q1110" s="1604"/>
      <c r="R1110" s="1583"/>
      <c r="S1110" s="1583"/>
      <c r="T1110" s="1585"/>
      <c r="U1110" s="1604">
        <v>189.89</v>
      </c>
      <c r="V1110" s="1585"/>
      <c r="W1110" s="1585"/>
      <c r="X1110" s="1585"/>
      <c r="Y1110" s="1585"/>
      <c r="Z1110" s="1585"/>
      <c r="AA1110" s="1585"/>
      <c r="AB1110" s="1585"/>
      <c r="AC1110" s="1585"/>
      <c r="AD1110" s="1601">
        <f t="shared" si="159"/>
        <v>189.89</v>
      </c>
      <c r="AE1110" s="1790">
        <v>189.89</v>
      </c>
      <c r="AF1110" s="1792"/>
    </row>
    <row r="1111" spans="1:32" ht="24" customHeight="1">
      <c r="A1111" s="1594" t="s">
        <v>2561</v>
      </c>
      <c r="B1111" s="1650" t="s">
        <v>2562</v>
      </c>
      <c r="C1111" s="1596"/>
      <c r="D1111" s="1597"/>
      <c r="E1111" s="1599"/>
      <c r="F1111" s="1583"/>
      <c r="G1111" s="1583"/>
      <c r="H1111" s="1583"/>
      <c r="I1111" s="1583"/>
      <c r="J1111" s="1583"/>
      <c r="K1111" s="1583"/>
      <c r="L1111" s="1583"/>
      <c r="M1111" s="1583"/>
      <c r="N1111" s="1583"/>
      <c r="O1111" s="1583"/>
      <c r="P1111" s="1583"/>
      <c r="Q1111" s="1583"/>
      <c r="R1111" s="1583"/>
      <c r="S1111" s="1583"/>
      <c r="T1111" s="1585"/>
      <c r="U1111" s="1585"/>
      <c r="V1111" s="1585"/>
      <c r="W1111" s="1585"/>
      <c r="X1111" s="1585"/>
      <c r="Y1111" s="1585"/>
      <c r="Z1111" s="1585"/>
      <c r="AA1111" s="1585"/>
      <c r="AB1111" s="1585"/>
      <c r="AC1111" s="1585"/>
      <c r="AD1111" s="1601">
        <f t="shared" si="159"/>
        <v>0</v>
      </c>
      <c r="AE1111" s="1790">
        <v>0</v>
      </c>
      <c r="AF1111" s="1792"/>
    </row>
    <row r="1112" spans="1:32" ht="27.75" customHeight="1">
      <c r="A1112" s="2918" t="s">
        <v>2458</v>
      </c>
      <c r="B1112" s="2919" t="s">
        <v>2564</v>
      </c>
      <c r="C1112" s="2920" t="s">
        <v>49</v>
      </c>
      <c r="D1112" s="2917">
        <v>52602.705000000002</v>
      </c>
      <c r="E1112" s="1598" t="s">
        <v>2496</v>
      </c>
      <c r="F1112" s="1583"/>
      <c r="G1112" s="1583"/>
      <c r="H1112" s="1583"/>
      <c r="I1112" s="1583"/>
      <c r="J1112" s="1583"/>
      <c r="K1112" s="1583"/>
      <c r="L1112" s="1583"/>
      <c r="M1112" s="1583"/>
      <c r="N1112" s="1583"/>
      <c r="O1112" s="1583"/>
      <c r="P1112" s="1583"/>
      <c r="Q1112" s="1583"/>
      <c r="R1112" s="1583"/>
      <c r="S1112" s="1583"/>
      <c r="T1112" s="1585"/>
      <c r="U1112" s="1585"/>
      <c r="V1112" s="1585">
        <v>52602.71</v>
      </c>
      <c r="W1112" s="1585"/>
      <c r="X1112" s="1585"/>
      <c r="Y1112" s="1585"/>
      <c r="Z1112" s="1585"/>
      <c r="AA1112" s="1585"/>
      <c r="AB1112" s="1585"/>
      <c r="AC1112" s="1585"/>
      <c r="AD1112" s="1601">
        <f t="shared" si="159"/>
        <v>52602.71</v>
      </c>
      <c r="AE1112" s="1790">
        <v>52602.71</v>
      </c>
      <c r="AF1112" s="1792"/>
    </row>
    <row r="1113" spans="1:32" ht="24" customHeight="1">
      <c r="A1113" s="2918"/>
      <c r="B1113" s="2919"/>
      <c r="C1113" s="2920"/>
      <c r="D1113" s="2917"/>
      <c r="E1113" s="1603" t="s">
        <v>2497</v>
      </c>
      <c r="F1113" s="1583"/>
      <c r="G1113" s="1583"/>
      <c r="H1113" s="1583"/>
      <c r="I1113" s="1583"/>
      <c r="J1113" s="1583"/>
      <c r="K1113" s="1583"/>
      <c r="L1113" s="1583"/>
      <c r="M1113" s="1583"/>
      <c r="N1113" s="1583"/>
      <c r="O1113" s="1583"/>
      <c r="P1113" s="1583"/>
      <c r="Q1113" s="1583"/>
      <c r="R1113" s="1583"/>
      <c r="S1113" s="1583"/>
      <c r="T1113" s="1585"/>
      <c r="U1113" s="1585"/>
      <c r="V1113" s="1604">
        <v>52602.71</v>
      </c>
      <c r="W1113" s="1585"/>
      <c r="X1113" s="1585"/>
      <c r="Y1113" s="1585"/>
      <c r="Z1113" s="1585"/>
      <c r="AA1113" s="1585"/>
      <c r="AB1113" s="1585"/>
      <c r="AC1113" s="1585"/>
      <c r="AD1113" s="1601">
        <f t="shared" si="159"/>
        <v>52602.71</v>
      </c>
      <c r="AE1113" s="1790">
        <v>52602.71</v>
      </c>
      <c r="AF1113" s="1792"/>
    </row>
    <row r="1114" spans="1:32" ht="27.75" customHeight="1">
      <c r="A1114" s="2918" t="s">
        <v>2456</v>
      </c>
      <c r="B1114" s="2919" t="s">
        <v>2566</v>
      </c>
      <c r="C1114" s="2920" t="s">
        <v>49</v>
      </c>
      <c r="D1114" s="2917">
        <v>30429.407099999997</v>
      </c>
      <c r="E1114" s="1598" t="s">
        <v>2496</v>
      </c>
      <c r="F1114" s="1583"/>
      <c r="G1114" s="1583"/>
      <c r="H1114" s="1583"/>
      <c r="I1114" s="1583"/>
      <c r="J1114" s="1583"/>
      <c r="K1114" s="1583"/>
      <c r="L1114" s="1583"/>
      <c r="M1114" s="1583"/>
      <c r="N1114" s="1583"/>
      <c r="O1114" s="1583"/>
      <c r="P1114" s="1583"/>
      <c r="Q1114" s="1585"/>
      <c r="R1114" s="1583"/>
      <c r="S1114" s="1583"/>
      <c r="T1114" s="1585"/>
      <c r="U1114" s="1585"/>
      <c r="V1114" s="1585">
        <v>30429.41</v>
      </c>
      <c r="W1114" s="1585"/>
      <c r="X1114" s="1585"/>
      <c r="Y1114" s="1585"/>
      <c r="Z1114" s="1585"/>
      <c r="AA1114" s="1585"/>
      <c r="AB1114" s="1585"/>
      <c r="AC1114" s="1585"/>
      <c r="AD1114" s="1601">
        <f t="shared" si="159"/>
        <v>30429.41</v>
      </c>
      <c r="AE1114" s="1790">
        <v>30429.41</v>
      </c>
      <c r="AF1114" s="1792"/>
    </row>
    <row r="1115" spans="1:32" ht="27.75" customHeight="1">
      <c r="A1115" s="2918"/>
      <c r="B1115" s="2919"/>
      <c r="C1115" s="2920"/>
      <c r="D1115" s="2917"/>
      <c r="E1115" s="1603" t="s">
        <v>2497</v>
      </c>
      <c r="F1115" s="1583"/>
      <c r="G1115" s="1583"/>
      <c r="H1115" s="1583"/>
      <c r="I1115" s="1583"/>
      <c r="J1115" s="1583"/>
      <c r="K1115" s="1583"/>
      <c r="L1115" s="1583"/>
      <c r="M1115" s="1583"/>
      <c r="N1115" s="1583"/>
      <c r="O1115" s="1583"/>
      <c r="P1115" s="1583"/>
      <c r="Q1115" s="1604"/>
      <c r="R1115" s="1583"/>
      <c r="S1115" s="1583"/>
      <c r="T1115" s="1585"/>
      <c r="U1115" s="1585"/>
      <c r="V1115" s="1604">
        <v>30429.41</v>
      </c>
      <c r="W1115" s="1585"/>
      <c r="X1115" s="1585"/>
      <c r="Y1115" s="1585"/>
      <c r="Z1115" s="1585"/>
      <c r="AA1115" s="1585"/>
      <c r="AB1115" s="1585"/>
      <c r="AC1115" s="1585"/>
      <c r="AD1115" s="1601">
        <f t="shared" si="159"/>
        <v>30429.41</v>
      </c>
      <c r="AE1115" s="1790">
        <v>30429.41</v>
      </c>
      <c r="AF1115" s="1792"/>
    </row>
    <row r="1116" spans="1:32" ht="27.75" customHeight="1">
      <c r="A1116" s="2918" t="s">
        <v>2456</v>
      </c>
      <c r="B1116" s="2919" t="s">
        <v>2568</v>
      </c>
      <c r="C1116" s="2920" t="s">
        <v>49</v>
      </c>
      <c r="D1116" s="2917">
        <v>2683.6974000000005</v>
      </c>
      <c r="E1116" s="1598" t="s">
        <v>2496</v>
      </c>
      <c r="F1116" s="1583"/>
      <c r="G1116" s="1583"/>
      <c r="H1116" s="1583"/>
      <c r="I1116" s="1583"/>
      <c r="J1116" s="1583"/>
      <c r="K1116" s="1583"/>
      <c r="L1116" s="1583"/>
      <c r="M1116" s="1583"/>
      <c r="N1116" s="1583"/>
      <c r="O1116" s="1583"/>
      <c r="P1116" s="1583"/>
      <c r="Q1116" s="1585"/>
      <c r="R1116" s="1583"/>
      <c r="S1116" s="1583"/>
      <c r="T1116" s="1585"/>
      <c r="U1116" s="1585"/>
      <c r="V1116" s="1585"/>
      <c r="W1116" s="1585"/>
      <c r="X1116" s="1585"/>
      <c r="Y1116" s="1585">
        <v>2683.6973999999996</v>
      </c>
      <c r="Z1116" s="1585"/>
      <c r="AA1116" s="1585"/>
      <c r="AB1116" s="1585"/>
      <c r="AC1116" s="1585"/>
      <c r="AD1116" s="1601">
        <f t="shared" si="159"/>
        <v>2683.6973999999996</v>
      </c>
      <c r="AE1116" s="1790">
        <v>2683.6973999999996</v>
      </c>
      <c r="AF1116" s="1792"/>
    </row>
    <row r="1117" spans="1:32" ht="27.75" customHeight="1">
      <c r="A1117" s="2918"/>
      <c r="B1117" s="2919"/>
      <c r="C1117" s="2920"/>
      <c r="D1117" s="2917"/>
      <c r="E1117" s="1603" t="s">
        <v>2497</v>
      </c>
      <c r="F1117" s="1583"/>
      <c r="G1117" s="1583"/>
      <c r="H1117" s="1583"/>
      <c r="I1117" s="1583"/>
      <c r="J1117" s="1583"/>
      <c r="K1117" s="1583"/>
      <c r="L1117" s="1583"/>
      <c r="M1117" s="1583"/>
      <c r="N1117" s="1583"/>
      <c r="O1117" s="1583"/>
      <c r="P1117" s="1583"/>
      <c r="Q1117" s="1604"/>
      <c r="R1117" s="1583"/>
      <c r="S1117" s="1583"/>
      <c r="T1117" s="1585"/>
      <c r="U1117" s="1585"/>
      <c r="V1117" s="1585"/>
      <c r="W1117" s="1585"/>
      <c r="X1117" s="1585"/>
      <c r="Y1117" s="1604">
        <v>2683.6973999999996</v>
      </c>
      <c r="Z1117" s="1585"/>
      <c r="AA1117" s="1585"/>
      <c r="AB1117" s="1585"/>
      <c r="AC1117" s="1585"/>
      <c r="AD1117" s="1601">
        <f t="shared" si="159"/>
        <v>2683.6973999999996</v>
      </c>
      <c r="AE1117" s="1790">
        <v>2683.6973999999996</v>
      </c>
      <c r="AF1117" s="1792"/>
    </row>
    <row r="1118" spans="1:32" ht="24" customHeight="1">
      <c r="A1118" s="1614">
        <v>2</v>
      </c>
      <c r="B1118" s="1614" t="s">
        <v>1736</v>
      </c>
      <c r="C1118" s="1596"/>
      <c r="D1118" s="1597"/>
      <c r="E1118" s="1599"/>
      <c r="F1118" s="1583"/>
      <c r="G1118" s="1583"/>
      <c r="H1118" s="1583"/>
      <c r="I1118" s="1583"/>
      <c r="J1118" s="1583"/>
      <c r="K1118" s="1583"/>
      <c r="L1118" s="1583"/>
      <c r="M1118" s="1583"/>
      <c r="N1118" s="1583"/>
      <c r="O1118" s="1583"/>
      <c r="P1118" s="1583"/>
      <c r="Q1118" s="1583"/>
      <c r="R1118" s="1583"/>
      <c r="S1118" s="1583"/>
      <c r="T1118" s="1585"/>
      <c r="U1118" s="1585"/>
      <c r="V1118" s="1585"/>
      <c r="W1118" s="1585"/>
      <c r="X1118" s="1585"/>
      <c r="Y1118" s="1585"/>
      <c r="Z1118" s="1585"/>
      <c r="AA1118" s="1585"/>
      <c r="AB1118" s="1585"/>
      <c r="AC1118" s="1585"/>
      <c r="AD1118" s="1601">
        <f t="shared" si="159"/>
        <v>0</v>
      </c>
      <c r="AE1118" s="1790">
        <v>0</v>
      </c>
      <c r="AF1118" s="1792"/>
    </row>
    <row r="1119" spans="1:32" ht="27.75" customHeight="1">
      <c r="A1119" s="1647">
        <v>2.0099999999999998</v>
      </c>
      <c r="B1119" s="1648" t="s">
        <v>2741</v>
      </c>
      <c r="C1119" s="1596"/>
      <c r="D1119" s="1638"/>
      <c r="E1119" s="1583"/>
      <c r="F1119" s="1583"/>
      <c r="G1119" s="1583"/>
      <c r="H1119" s="1583"/>
      <c r="I1119" s="1583"/>
      <c r="J1119" s="1583"/>
      <c r="K1119" s="1583"/>
      <c r="L1119" s="1583"/>
      <c r="M1119" s="1583"/>
      <c r="N1119" s="1583"/>
      <c r="O1119" s="1583"/>
      <c r="P1119" s="1583"/>
      <c r="Q1119" s="1583"/>
      <c r="R1119" s="1583"/>
      <c r="S1119" s="1583"/>
      <c r="T1119" s="1585"/>
      <c r="U1119" s="1585"/>
      <c r="V1119" s="1585"/>
      <c r="W1119" s="1585"/>
      <c r="X1119" s="1585"/>
      <c r="Y1119" s="1585"/>
      <c r="Z1119" s="1585"/>
      <c r="AA1119" s="1585"/>
      <c r="AB1119" s="1585"/>
      <c r="AC1119" s="1585"/>
      <c r="AD1119" s="1601">
        <f t="shared" si="159"/>
        <v>0</v>
      </c>
      <c r="AE1119" s="1790">
        <v>0</v>
      </c>
      <c r="AF1119" s="1792"/>
    </row>
    <row r="1120" spans="1:32" ht="27.75" customHeight="1">
      <c r="A1120" s="2918" t="s">
        <v>2458</v>
      </c>
      <c r="B1120" s="2901" t="s">
        <v>2742</v>
      </c>
      <c r="C1120" s="2920" t="s">
        <v>49</v>
      </c>
      <c r="D1120" s="2917">
        <v>16126.058300000002</v>
      </c>
      <c r="E1120" s="1598" t="s">
        <v>2496</v>
      </c>
      <c r="F1120" s="1583"/>
      <c r="G1120" s="1583"/>
      <c r="H1120" s="1583"/>
      <c r="I1120" s="1583"/>
      <c r="J1120" s="1583"/>
      <c r="K1120" s="1583"/>
      <c r="L1120" s="1583"/>
      <c r="M1120" s="1583"/>
      <c r="N1120" s="1583"/>
      <c r="O1120" s="1583"/>
      <c r="P1120" s="1583"/>
      <c r="Q1120" s="1583"/>
      <c r="R1120" s="1583"/>
      <c r="S1120" s="1583"/>
      <c r="T1120" s="1585"/>
      <c r="U1120" s="1585"/>
      <c r="V1120" s="1585"/>
      <c r="W1120" s="1585"/>
      <c r="X1120" s="1585"/>
      <c r="Y1120" s="1585">
        <v>16126.058300000002</v>
      </c>
      <c r="Z1120" s="1585"/>
      <c r="AA1120" s="1585"/>
      <c r="AB1120" s="1585"/>
      <c r="AC1120" s="1585"/>
      <c r="AD1120" s="1601">
        <f t="shared" si="159"/>
        <v>16126.058300000002</v>
      </c>
      <c r="AE1120" s="1790">
        <v>16126.058300000002</v>
      </c>
      <c r="AF1120" s="1792"/>
    </row>
    <row r="1121" spans="1:32" ht="24" customHeight="1">
      <c r="A1121" s="2918"/>
      <c r="B1121" s="2902"/>
      <c r="C1121" s="2920"/>
      <c r="D1121" s="2917"/>
      <c r="E1121" s="1603" t="s">
        <v>2497</v>
      </c>
      <c r="F1121" s="1583"/>
      <c r="G1121" s="1583"/>
      <c r="H1121" s="1583"/>
      <c r="I1121" s="1583"/>
      <c r="J1121" s="1583"/>
      <c r="K1121" s="1583"/>
      <c r="L1121" s="1583"/>
      <c r="M1121" s="1583"/>
      <c r="N1121" s="1583"/>
      <c r="O1121" s="1583"/>
      <c r="P1121" s="1583"/>
      <c r="Q1121" s="1583"/>
      <c r="R1121" s="1583"/>
      <c r="S1121" s="1583"/>
      <c r="T1121" s="1585"/>
      <c r="U1121" s="1585"/>
      <c r="V1121" s="1585"/>
      <c r="W1121" s="1585"/>
      <c r="X1121" s="1585"/>
      <c r="Y1121" s="1604">
        <v>16126.058300000002</v>
      </c>
      <c r="Z1121" s="1585"/>
      <c r="AA1121" s="1585"/>
      <c r="AB1121" s="1585"/>
      <c r="AC1121" s="1585"/>
      <c r="AD1121" s="1601">
        <f t="shared" si="159"/>
        <v>16126.058300000002</v>
      </c>
      <c r="AE1121" s="1790">
        <v>16126.058300000002</v>
      </c>
      <c r="AF1121" s="1792"/>
    </row>
    <row r="1122" spans="1:32" ht="27.75" customHeight="1">
      <c r="A1122" s="2918" t="s">
        <v>2456</v>
      </c>
      <c r="B1122" s="2901" t="s">
        <v>2743</v>
      </c>
      <c r="C1122" s="2920" t="s">
        <v>49</v>
      </c>
      <c r="D1122" s="2917">
        <v>3476.9336000000003</v>
      </c>
      <c r="E1122" s="1598" t="s">
        <v>2496</v>
      </c>
      <c r="F1122" s="1583"/>
      <c r="G1122" s="1583"/>
      <c r="H1122" s="1583"/>
      <c r="I1122" s="1583"/>
      <c r="J1122" s="1583"/>
      <c r="K1122" s="1583"/>
      <c r="L1122" s="1583"/>
      <c r="M1122" s="1583"/>
      <c r="N1122" s="1583"/>
      <c r="O1122" s="1583"/>
      <c r="P1122" s="1583"/>
      <c r="Q1122" s="1585"/>
      <c r="R1122" s="1583"/>
      <c r="S1122" s="1583"/>
      <c r="T1122" s="1585"/>
      <c r="U1122" s="1585"/>
      <c r="V1122" s="1585"/>
      <c r="W1122" s="1585"/>
      <c r="X1122" s="1585"/>
      <c r="Y1122" s="1585">
        <v>3476.9336000000003</v>
      </c>
      <c r="Z1122" s="1585"/>
      <c r="AA1122" s="1585"/>
      <c r="AB1122" s="1585"/>
      <c r="AC1122" s="1585"/>
      <c r="AD1122" s="1601">
        <f t="shared" si="159"/>
        <v>3476.9336000000003</v>
      </c>
      <c r="AE1122" s="1790">
        <v>3476.9336000000003</v>
      </c>
      <c r="AF1122" s="1792"/>
    </row>
    <row r="1123" spans="1:32" ht="27.75" customHeight="1">
      <c r="A1123" s="2918"/>
      <c r="B1123" s="2902"/>
      <c r="C1123" s="2920"/>
      <c r="D1123" s="2917"/>
      <c r="E1123" s="1603" t="s">
        <v>2497</v>
      </c>
      <c r="F1123" s="1583"/>
      <c r="G1123" s="1583"/>
      <c r="H1123" s="1583"/>
      <c r="I1123" s="1583"/>
      <c r="J1123" s="1583"/>
      <c r="K1123" s="1583"/>
      <c r="L1123" s="1583"/>
      <c r="M1123" s="1583"/>
      <c r="N1123" s="1583"/>
      <c r="O1123" s="1583"/>
      <c r="P1123" s="1583"/>
      <c r="Q1123" s="1604"/>
      <c r="R1123" s="1583"/>
      <c r="S1123" s="1583"/>
      <c r="T1123" s="1585"/>
      <c r="U1123" s="1585"/>
      <c r="V1123" s="1585"/>
      <c r="W1123" s="1585"/>
      <c r="X1123" s="1585"/>
      <c r="Y1123" s="1604">
        <v>3476.9336000000003</v>
      </c>
      <c r="Z1123" s="1585"/>
      <c r="AA1123" s="1585"/>
      <c r="AB1123" s="1585"/>
      <c r="AC1123" s="1585"/>
      <c r="AD1123" s="1601">
        <f t="shared" si="159"/>
        <v>3476.9336000000003</v>
      </c>
      <c r="AE1123" s="1790">
        <v>3476.9336000000003</v>
      </c>
      <c r="AF1123" s="1792"/>
    </row>
    <row r="1124" spans="1:32" ht="27.75" customHeight="1">
      <c r="A1124" s="1647">
        <v>2.02</v>
      </c>
      <c r="B1124" s="1651" t="s">
        <v>2572</v>
      </c>
      <c r="C1124" s="1596"/>
      <c r="D1124" s="1638"/>
      <c r="E1124" s="1583"/>
      <c r="F1124" s="1583"/>
      <c r="G1124" s="1583"/>
      <c r="H1124" s="1583"/>
      <c r="I1124" s="1583"/>
      <c r="J1124" s="1583"/>
      <c r="K1124" s="1583"/>
      <c r="L1124" s="1583"/>
      <c r="M1124" s="1583"/>
      <c r="N1124" s="1583"/>
      <c r="O1124" s="1583"/>
      <c r="P1124" s="1583"/>
      <c r="Q1124" s="1583"/>
      <c r="R1124" s="1583"/>
      <c r="S1124" s="1583"/>
      <c r="T1124" s="1585"/>
      <c r="U1124" s="1585"/>
      <c r="V1124" s="1585"/>
      <c r="W1124" s="1585"/>
      <c r="X1124" s="1585"/>
      <c r="Y1124" s="1585"/>
      <c r="Z1124" s="1585"/>
      <c r="AA1124" s="1585"/>
      <c r="AB1124" s="1585"/>
      <c r="AC1124" s="1585"/>
      <c r="AD1124" s="1601">
        <f t="shared" si="159"/>
        <v>0</v>
      </c>
      <c r="AE1124" s="1790">
        <v>0</v>
      </c>
      <c r="AF1124" s="1792"/>
    </row>
    <row r="1125" spans="1:32" ht="27.75" customHeight="1">
      <c r="A1125" s="2918" t="s">
        <v>689</v>
      </c>
      <c r="B1125" s="2919" t="s">
        <v>2744</v>
      </c>
      <c r="C1125" s="2920" t="s">
        <v>49</v>
      </c>
      <c r="D1125" s="2917">
        <v>249757.53140000001</v>
      </c>
      <c r="E1125" s="1598" t="s">
        <v>2496</v>
      </c>
      <c r="F1125" s="1583"/>
      <c r="G1125" s="1583"/>
      <c r="H1125" s="1583"/>
      <c r="I1125" s="1583"/>
      <c r="J1125" s="1583"/>
      <c r="K1125" s="1583"/>
      <c r="L1125" s="1583"/>
      <c r="M1125" s="1583"/>
      <c r="N1125" s="1583"/>
      <c r="O1125" s="1583"/>
      <c r="P1125" s="1583"/>
      <c r="Q1125" s="1583"/>
      <c r="R1125" s="1583"/>
      <c r="S1125" s="1583"/>
      <c r="T1125" s="1585"/>
      <c r="U1125" s="1585"/>
      <c r="V1125" s="1585"/>
      <c r="W1125" s="1585"/>
      <c r="X1125" s="1585">
        <v>121757.35</v>
      </c>
      <c r="Y1125" s="1585">
        <v>49448.8102</v>
      </c>
      <c r="Z1125" s="1585">
        <f>78551.3712/2</f>
        <v>39275.685599999997</v>
      </c>
      <c r="AA1125" s="1585">
        <f>78551.3712/2</f>
        <v>39275.685599999997</v>
      </c>
      <c r="AB1125" s="1585"/>
      <c r="AC1125" s="1585"/>
      <c r="AD1125" s="1601">
        <f t="shared" si="159"/>
        <v>249757.53140000001</v>
      </c>
      <c r="AE1125" s="1790">
        <v>171206.16020000001</v>
      </c>
      <c r="AF1125" s="1792"/>
    </row>
    <row r="1126" spans="1:32" ht="24" customHeight="1">
      <c r="A1126" s="2918"/>
      <c r="B1126" s="2919"/>
      <c r="C1126" s="2920"/>
      <c r="D1126" s="2917"/>
      <c r="E1126" s="1603" t="s">
        <v>2497</v>
      </c>
      <c r="F1126" s="1583"/>
      <c r="G1126" s="1583"/>
      <c r="H1126" s="1583"/>
      <c r="I1126" s="1583"/>
      <c r="J1126" s="1583"/>
      <c r="K1126" s="1583"/>
      <c r="L1126" s="1583"/>
      <c r="M1126" s="1583"/>
      <c r="N1126" s="1583"/>
      <c r="O1126" s="1583"/>
      <c r="P1126" s="1583"/>
      <c r="Q1126" s="1583"/>
      <c r="R1126" s="1583"/>
      <c r="S1126" s="1583"/>
      <c r="T1126" s="1585"/>
      <c r="U1126" s="1585"/>
      <c r="V1126" s="1585"/>
      <c r="W1126" s="1585"/>
      <c r="X1126" s="1592">
        <v>121757.35</v>
      </c>
      <c r="Y1126" s="1604">
        <v>49448.8102</v>
      </c>
      <c r="Z1126" s="1585"/>
      <c r="AA1126" s="1585"/>
      <c r="AB1126" s="1585"/>
      <c r="AC1126" s="1585"/>
      <c r="AD1126" s="1601">
        <f t="shared" si="159"/>
        <v>171206.16020000001</v>
      </c>
      <c r="AE1126" s="1790">
        <v>171206.16020000001</v>
      </c>
      <c r="AF1126" s="1792"/>
    </row>
    <row r="1127" spans="1:32" ht="27.75" customHeight="1">
      <c r="A1127" s="2918" t="s">
        <v>693</v>
      </c>
      <c r="B1127" s="2919" t="s">
        <v>2724</v>
      </c>
      <c r="C1127" s="2920" t="s">
        <v>49</v>
      </c>
      <c r="D1127" s="2917">
        <v>32676.767100000001</v>
      </c>
      <c r="E1127" s="1598" t="s">
        <v>2496</v>
      </c>
      <c r="F1127" s="1583"/>
      <c r="G1127" s="1583"/>
      <c r="H1127" s="1583"/>
      <c r="I1127" s="1583"/>
      <c r="J1127" s="1583"/>
      <c r="K1127" s="1583"/>
      <c r="L1127" s="1583"/>
      <c r="M1127" s="1583"/>
      <c r="N1127" s="1583"/>
      <c r="O1127" s="1583"/>
      <c r="P1127" s="1583"/>
      <c r="Q1127" s="1585"/>
      <c r="R1127" s="1583"/>
      <c r="S1127" s="1583"/>
      <c r="T1127" s="1585"/>
      <c r="U1127" s="1585"/>
      <c r="V1127" s="1585"/>
      <c r="W1127" s="1585">
        <v>23496.37</v>
      </c>
      <c r="X1127" s="1585"/>
      <c r="Y1127" s="1585">
        <v>9180.3968999999997</v>
      </c>
      <c r="Z1127" s="1585"/>
      <c r="AA1127" s="1585"/>
      <c r="AB1127" s="1585"/>
      <c r="AC1127" s="1585"/>
      <c r="AD1127" s="1601">
        <f t="shared" si="159"/>
        <v>32676.766899999999</v>
      </c>
      <c r="AE1127" s="1790">
        <v>32676.766899999999</v>
      </c>
      <c r="AF1127" s="1792"/>
    </row>
    <row r="1128" spans="1:32" ht="27.75" customHeight="1">
      <c r="A1128" s="2918"/>
      <c r="B1128" s="2919"/>
      <c r="C1128" s="2920"/>
      <c r="D1128" s="2917"/>
      <c r="E1128" s="1603" t="s">
        <v>2497</v>
      </c>
      <c r="F1128" s="1583"/>
      <c r="G1128" s="1583"/>
      <c r="H1128" s="1583"/>
      <c r="I1128" s="1583"/>
      <c r="J1128" s="1583"/>
      <c r="K1128" s="1583"/>
      <c r="L1128" s="1583"/>
      <c r="M1128" s="1583"/>
      <c r="N1128" s="1583"/>
      <c r="O1128" s="1583"/>
      <c r="P1128" s="1583"/>
      <c r="Q1128" s="1604"/>
      <c r="R1128" s="1583"/>
      <c r="S1128" s="1583"/>
      <c r="T1128" s="1585"/>
      <c r="U1128" s="1585"/>
      <c r="V1128" s="1585"/>
      <c r="W1128" s="1604">
        <v>23496.37</v>
      </c>
      <c r="X1128" s="1585"/>
      <c r="Y1128" s="1604">
        <v>9180.3968999999997</v>
      </c>
      <c r="Z1128" s="1585"/>
      <c r="AA1128" s="1585"/>
      <c r="AB1128" s="1585"/>
      <c r="AC1128" s="1585"/>
      <c r="AD1128" s="1601">
        <f t="shared" si="159"/>
        <v>32676.766899999999</v>
      </c>
      <c r="AE1128" s="1790">
        <v>32676.766899999999</v>
      </c>
      <c r="AF1128" s="1792"/>
    </row>
    <row r="1129" spans="1:32" ht="27.75" customHeight="1">
      <c r="A1129" s="2918" t="s">
        <v>1068</v>
      </c>
      <c r="B1129" s="2919" t="s">
        <v>2745</v>
      </c>
      <c r="C1129" s="2920" t="s">
        <v>51</v>
      </c>
      <c r="D1129" s="2917">
        <v>82274.067999999999</v>
      </c>
      <c r="E1129" s="1598" t="s">
        <v>2496</v>
      </c>
      <c r="F1129" s="1583"/>
      <c r="G1129" s="1583"/>
      <c r="H1129" s="1583"/>
      <c r="I1129" s="1583"/>
      <c r="J1129" s="1583"/>
      <c r="K1129" s="1583"/>
      <c r="L1129" s="1583"/>
      <c r="M1129" s="1583"/>
      <c r="N1129" s="1583"/>
      <c r="O1129" s="1583"/>
      <c r="P1129" s="1583"/>
      <c r="Q1129" s="1585"/>
      <c r="R1129" s="1583"/>
      <c r="S1129" s="1583"/>
      <c r="T1129" s="1585"/>
      <c r="U1129" s="1585"/>
      <c r="V1129" s="1585"/>
      <c r="W1129" s="1585"/>
      <c r="X1129" s="1585">
        <v>30425</v>
      </c>
      <c r="Y1129" s="1585">
        <v>32250.5</v>
      </c>
      <c r="Z1129" s="1585">
        <v>19598.567999999999</v>
      </c>
      <c r="AA1129" s="1585"/>
      <c r="AB1129" s="1585"/>
      <c r="AC1129" s="1585"/>
      <c r="AD1129" s="1601">
        <f t="shared" si="159"/>
        <v>82274.067999999999</v>
      </c>
      <c r="AE1129" s="1790">
        <v>62675.5</v>
      </c>
      <c r="AF1129" s="1792"/>
    </row>
    <row r="1130" spans="1:32" ht="27.75" customHeight="1">
      <c r="A1130" s="2918"/>
      <c r="B1130" s="2919"/>
      <c r="C1130" s="2920"/>
      <c r="D1130" s="2917"/>
      <c r="E1130" s="1603" t="s">
        <v>2497</v>
      </c>
      <c r="F1130" s="1583"/>
      <c r="G1130" s="1583"/>
      <c r="H1130" s="1583"/>
      <c r="I1130" s="1583"/>
      <c r="J1130" s="1583"/>
      <c r="K1130" s="1583"/>
      <c r="L1130" s="1583"/>
      <c r="M1130" s="1583"/>
      <c r="N1130" s="1583"/>
      <c r="O1130" s="1583"/>
      <c r="P1130" s="1583"/>
      <c r="Q1130" s="1604"/>
      <c r="R1130" s="1583"/>
      <c r="S1130" s="1583"/>
      <c r="T1130" s="1585"/>
      <c r="U1130" s="1585"/>
      <c r="V1130" s="1585"/>
      <c r="W1130" s="1585"/>
      <c r="X1130" s="1592">
        <v>30425</v>
      </c>
      <c r="Y1130" s="1604">
        <v>32250.5</v>
      </c>
      <c r="Z1130" s="1585"/>
      <c r="AA1130" s="1585"/>
      <c r="AB1130" s="1585"/>
      <c r="AC1130" s="1585"/>
      <c r="AD1130" s="1601">
        <f t="shared" si="159"/>
        <v>62675.5</v>
      </c>
      <c r="AE1130" s="1790">
        <v>62675.5</v>
      </c>
      <c r="AF1130" s="1792"/>
    </row>
    <row r="1131" spans="1:32" ht="27.75" customHeight="1">
      <c r="A1131" s="1647">
        <v>2.0299999999999998</v>
      </c>
      <c r="B1131" s="1651" t="s">
        <v>2725</v>
      </c>
      <c r="C1131" s="1596"/>
      <c r="D1131" s="1597"/>
      <c r="E1131" s="1599"/>
      <c r="F1131" s="1583"/>
      <c r="G1131" s="1583"/>
      <c r="H1131" s="1583"/>
      <c r="I1131" s="1583"/>
      <c r="J1131" s="1583"/>
      <c r="K1131" s="1583"/>
      <c r="L1131" s="1583"/>
      <c r="M1131" s="1583"/>
      <c r="N1131" s="1583"/>
      <c r="O1131" s="1583"/>
      <c r="P1131" s="1583"/>
      <c r="Q1131" s="1604"/>
      <c r="R1131" s="1583"/>
      <c r="S1131" s="1583"/>
      <c r="T1131" s="1585"/>
      <c r="U1131" s="1585"/>
      <c r="V1131" s="1585"/>
      <c r="W1131" s="1585"/>
      <c r="X1131" s="1585"/>
      <c r="Y1131" s="1585"/>
      <c r="Z1131" s="1585"/>
      <c r="AA1131" s="1585"/>
      <c r="AB1131" s="1585"/>
      <c r="AC1131" s="1585"/>
      <c r="AD1131" s="1601">
        <f t="shared" si="159"/>
        <v>0</v>
      </c>
      <c r="AE1131" s="1790">
        <v>0</v>
      </c>
      <c r="AF1131" s="1792"/>
    </row>
    <row r="1132" spans="1:32" ht="27.75" customHeight="1">
      <c r="A1132" s="2918" t="s">
        <v>700</v>
      </c>
      <c r="B1132" s="2919" t="s">
        <v>2746</v>
      </c>
      <c r="C1132" s="2920" t="s">
        <v>49</v>
      </c>
      <c r="D1132" s="2917">
        <v>322556.37760000001</v>
      </c>
      <c r="E1132" s="1598" t="s">
        <v>2496</v>
      </c>
      <c r="F1132" s="1583"/>
      <c r="G1132" s="1583"/>
      <c r="H1132" s="1583"/>
      <c r="I1132" s="1583"/>
      <c r="J1132" s="1583"/>
      <c r="K1132" s="1583"/>
      <c r="L1132" s="1583"/>
      <c r="M1132" s="1583"/>
      <c r="N1132" s="1583"/>
      <c r="O1132" s="1583"/>
      <c r="P1132" s="1583"/>
      <c r="Q1132" s="1583"/>
      <c r="R1132" s="1583"/>
      <c r="S1132" s="1583"/>
      <c r="T1132" s="1585"/>
      <c r="U1132" s="1585"/>
      <c r="V1132" s="1585"/>
      <c r="W1132" s="1585"/>
      <c r="X1132" s="1585"/>
      <c r="Y1132" s="1585"/>
      <c r="Z1132" s="1585">
        <v>161278.1888</v>
      </c>
      <c r="AA1132" s="1585">
        <v>161278.1888</v>
      </c>
      <c r="AB1132" s="1585"/>
      <c r="AC1132" s="1585"/>
      <c r="AD1132" s="1601">
        <f t="shared" si="159"/>
        <v>322556.37760000001</v>
      </c>
      <c r="AE1132" s="1790">
        <v>0</v>
      </c>
      <c r="AF1132" s="1792"/>
    </row>
    <row r="1133" spans="1:32" ht="24" customHeight="1">
      <c r="A1133" s="2918"/>
      <c r="B1133" s="2919"/>
      <c r="C1133" s="2920"/>
      <c r="D1133" s="2917"/>
      <c r="E1133" s="1603" t="s">
        <v>2497</v>
      </c>
      <c r="F1133" s="1583"/>
      <c r="G1133" s="1583"/>
      <c r="H1133" s="1583"/>
      <c r="I1133" s="1583"/>
      <c r="J1133" s="1583"/>
      <c r="K1133" s="1583"/>
      <c r="L1133" s="1583"/>
      <c r="M1133" s="1583"/>
      <c r="N1133" s="1583"/>
      <c r="O1133" s="1583"/>
      <c r="P1133" s="1583"/>
      <c r="Q1133" s="1583"/>
      <c r="R1133" s="1583"/>
      <c r="S1133" s="1583"/>
      <c r="T1133" s="1585"/>
      <c r="U1133" s="1585"/>
      <c r="V1133" s="1585"/>
      <c r="X1133" s="1585"/>
      <c r="Y1133" s="1585"/>
      <c r="Z1133" s="1585"/>
      <c r="AA1133" s="1585"/>
      <c r="AB1133" s="1585"/>
      <c r="AC1133" s="1585"/>
      <c r="AD1133" s="1601">
        <f t="shared" si="159"/>
        <v>0</v>
      </c>
      <c r="AE1133" s="1790">
        <v>0</v>
      </c>
      <c r="AF1133" s="1792"/>
    </row>
    <row r="1134" spans="1:32" ht="27.75" customHeight="1">
      <c r="A1134" s="2918" t="s">
        <v>701</v>
      </c>
      <c r="B1134" s="2919" t="s">
        <v>2747</v>
      </c>
      <c r="C1134" s="2920" t="s">
        <v>49</v>
      </c>
      <c r="D1134" s="2917">
        <v>42443.1924</v>
      </c>
      <c r="E1134" s="1598" t="s">
        <v>2496</v>
      </c>
      <c r="F1134" s="1583"/>
      <c r="G1134" s="1583"/>
      <c r="H1134" s="1583"/>
      <c r="I1134" s="1583"/>
      <c r="J1134" s="1583"/>
      <c r="K1134" s="1583"/>
      <c r="L1134" s="1583"/>
      <c r="M1134" s="1583"/>
      <c r="N1134" s="1583"/>
      <c r="O1134" s="1583"/>
      <c r="P1134" s="1583"/>
      <c r="Q1134" s="1585"/>
      <c r="R1134" s="1583"/>
      <c r="S1134" s="1583"/>
      <c r="T1134" s="1585"/>
      <c r="U1134" s="1585"/>
      <c r="V1134" s="1585"/>
      <c r="W1134" s="1585"/>
      <c r="X1134" s="1585">
        <v>42443.19</v>
      </c>
      <c r="Y1134" s="1585"/>
      <c r="Z1134" s="1585"/>
      <c r="AA1134" s="1585"/>
      <c r="AB1134" s="1585"/>
      <c r="AC1134" s="1585"/>
      <c r="AD1134" s="1601">
        <f t="shared" si="159"/>
        <v>42443.19</v>
      </c>
      <c r="AE1134" s="1790">
        <v>42443.19</v>
      </c>
      <c r="AF1134" s="1792"/>
    </row>
    <row r="1135" spans="1:32" ht="27.75" customHeight="1">
      <c r="A1135" s="2918"/>
      <c r="B1135" s="2919"/>
      <c r="C1135" s="2920"/>
      <c r="D1135" s="2917"/>
      <c r="E1135" s="1603" t="s">
        <v>2497</v>
      </c>
      <c r="F1135" s="1583"/>
      <c r="G1135" s="1583"/>
      <c r="H1135" s="1583"/>
      <c r="I1135" s="1583"/>
      <c r="J1135" s="1583"/>
      <c r="K1135" s="1583"/>
      <c r="L1135" s="1583"/>
      <c r="M1135" s="1583"/>
      <c r="N1135" s="1583"/>
      <c r="O1135" s="1583"/>
      <c r="P1135" s="1583"/>
      <c r="Q1135" s="1604"/>
      <c r="R1135" s="1583"/>
      <c r="S1135" s="1583"/>
      <c r="T1135" s="1585"/>
      <c r="U1135" s="1585"/>
      <c r="V1135" s="1585"/>
      <c r="W1135" s="1585"/>
      <c r="X1135" s="1592">
        <v>42443.19</v>
      </c>
      <c r="Y1135" s="1585"/>
      <c r="Z1135" s="1585"/>
      <c r="AA1135" s="1585"/>
      <c r="AB1135" s="1585"/>
      <c r="AC1135" s="1585"/>
      <c r="AD1135" s="1601">
        <f t="shared" si="159"/>
        <v>42443.19</v>
      </c>
      <c r="AE1135" s="1790">
        <v>42443.19</v>
      </c>
      <c r="AF1135" s="1792"/>
    </row>
    <row r="1136" spans="1:32" ht="27.75" customHeight="1">
      <c r="A1136" s="2918" t="s">
        <v>2579</v>
      </c>
      <c r="B1136" s="2919" t="s">
        <v>2748</v>
      </c>
      <c r="C1136" s="2920" t="s">
        <v>49</v>
      </c>
      <c r="D1136" s="2917">
        <v>42094.432200000003</v>
      </c>
      <c r="E1136" s="1598" t="s">
        <v>2496</v>
      </c>
      <c r="F1136" s="1583"/>
      <c r="G1136" s="1583"/>
      <c r="H1136" s="1583"/>
      <c r="I1136" s="1583"/>
      <c r="J1136" s="1583"/>
      <c r="K1136" s="1583"/>
      <c r="L1136" s="1583"/>
      <c r="M1136" s="1583"/>
      <c r="N1136" s="1583"/>
      <c r="O1136" s="1583"/>
      <c r="P1136" s="1583"/>
      <c r="Q1136" s="1585"/>
      <c r="R1136" s="1583"/>
      <c r="S1136" s="1583"/>
      <c r="T1136" s="1585"/>
      <c r="U1136" s="1585"/>
      <c r="V1136" s="1585"/>
      <c r="W1136" s="1585">
        <v>14101.2</v>
      </c>
      <c r="X1136" s="1585">
        <v>27993.23</v>
      </c>
      <c r="Y1136" s="1585"/>
      <c r="Z1136" s="1585"/>
      <c r="AA1136" s="1585"/>
      <c r="AB1136" s="1585"/>
      <c r="AC1136" s="1585"/>
      <c r="AD1136" s="1601">
        <f t="shared" si="159"/>
        <v>42094.43</v>
      </c>
      <c r="AE1136" s="1790">
        <v>42094.43</v>
      </c>
      <c r="AF1136" s="1792"/>
    </row>
    <row r="1137" spans="1:32" ht="27.75" customHeight="1">
      <c r="A1137" s="2918"/>
      <c r="B1137" s="2919"/>
      <c r="C1137" s="2920"/>
      <c r="D1137" s="2917"/>
      <c r="E1137" s="1603" t="s">
        <v>2497</v>
      </c>
      <c r="F1137" s="1583"/>
      <c r="G1137" s="1583"/>
      <c r="H1137" s="1583"/>
      <c r="I1137" s="1583"/>
      <c r="J1137" s="1583"/>
      <c r="K1137" s="1583"/>
      <c r="L1137" s="1583"/>
      <c r="M1137" s="1583"/>
      <c r="N1137" s="1583"/>
      <c r="O1137" s="1583"/>
      <c r="P1137" s="1583"/>
      <c r="Q1137" s="1604"/>
      <c r="R1137" s="1583"/>
      <c r="S1137" s="1583"/>
      <c r="T1137" s="1585"/>
      <c r="U1137" s="1585"/>
      <c r="V1137" s="1585"/>
      <c r="W1137" s="1604">
        <v>14101.2</v>
      </c>
      <c r="X1137" s="1592">
        <v>27993.23</v>
      </c>
      <c r="Y1137" s="1585"/>
      <c r="Z1137" s="1585"/>
      <c r="AA1137" s="1585"/>
      <c r="AB1137" s="1585"/>
      <c r="AC1137" s="1585"/>
      <c r="AD1137" s="1601">
        <f t="shared" si="159"/>
        <v>42094.43</v>
      </c>
      <c r="AE1137" s="1790">
        <v>42094.43</v>
      </c>
      <c r="AF1137" s="1792"/>
    </row>
    <row r="1138" spans="1:32" ht="27.75" customHeight="1">
      <c r="A1138" s="2918" t="s">
        <v>2581</v>
      </c>
      <c r="B1138" s="2919" t="s">
        <v>2749</v>
      </c>
      <c r="C1138" s="2920" t="s">
        <v>49</v>
      </c>
      <c r="D1138" s="2917">
        <v>43289.417600000001</v>
      </c>
      <c r="E1138" s="1598" t="s">
        <v>2496</v>
      </c>
      <c r="F1138" s="1583"/>
      <c r="G1138" s="1583"/>
      <c r="H1138" s="1583"/>
      <c r="I1138" s="1583"/>
      <c r="J1138" s="1583"/>
      <c r="K1138" s="1583"/>
      <c r="L1138" s="1583"/>
      <c r="M1138" s="1583"/>
      <c r="N1138" s="1583"/>
      <c r="O1138" s="1583"/>
      <c r="P1138" s="1583"/>
      <c r="Q1138" s="1585"/>
      <c r="R1138" s="1583"/>
      <c r="S1138" s="1583"/>
      <c r="T1138" s="1585"/>
      <c r="U1138" s="1585"/>
      <c r="V1138" s="1585"/>
      <c r="W1138" s="1585"/>
      <c r="X1138" s="1585"/>
      <c r="Y1138" s="1585">
        <v>43289.417600000001</v>
      </c>
      <c r="Z1138" s="1585"/>
      <c r="AA1138" s="1585"/>
      <c r="AB1138" s="1585"/>
      <c r="AC1138" s="1585"/>
      <c r="AD1138" s="1601">
        <f t="shared" si="159"/>
        <v>43289.417600000001</v>
      </c>
      <c r="AE1138" s="1790">
        <v>43289.417600000001</v>
      </c>
      <c r="AF1138" s="1792"/>
    </row>
    <row r="1139" spans="1:32" ht="27.75" customHeight="1">
      <c r="A1139" s="2918"/>
      <c r="B1139" s="2919"/>
      <c r="C1139" s="2920"/>
      <c r="D1139" s="2917"/>
      <c r="E1139" s="1603" t="s">
        <v>2497</v>
      </c>
      <c r="F1139" s="1583"/>
      <c r="G1139" s="1583"/>
      <c r="H1139" s="1583"/>
      <c r="I1139" s="1583"/>
      <c r="J1139" s="1583"/>
      <c r="K1139" s="1583"/>
      <c r="L1139" s="1583"/>
      <c r="M1139" s="1583"/>
      <c r="N1139" s="1583"/>
      <c r="O1139" s="1583"/>
      <c r="P1139" s="1583"/>
      <c r="Q1139" s="1604"/>
      <c r="R1139" s="1583"/>
      <c r="S1139" s="1583"/>
      <c r="T1139" s="1585"/>
      <c r="U1139" s="1585"/>
      <c r="V1139" s="1585"/>
      <c r="W1139" s="1585"/>
      <c r="X1139" s="1585"/>
      <c r="Y1139" s="1604">
        <v>43289.417600000001</v>
      </c>
      <c r="Z1139" s="1585"/>
      <c r="AA1139" s="1585"/>
      <c r="AB1139" s="1585"/>
      <c r="AC1139" s="1585"/>
      <c r="AD1139" s="1601">
        <f t="shared" si="159"/>
        <v>43289.417600000001</v>
      </c>
      <c r="AE1139" s="1790">
        <v>43289.417600000001</v>
      </c>
      <c r="AF1139" s="1792"/>
    </row>
    <row r="1140" spans="1:32" ht="27.75" customHeight="1">
      <c r="A1140" s="2918" t="s">
        <v>2583</v>
      </c>
      <c r="B1140" s="2919" t="s">
        <v>2750</v>
      </c>
      <c r="C1140" s="2920" t="s">
        <v>49</v>
      </c>
      <c r="D1140" s="2917">
        <v>9901.0303999999996</v>
      </c>
      <c r="E1140" s="1598" t="s">
        <v>2496</v>
      </c>
      <c r="F1140" s="1583"/>
      <c r="G1140" s="1583"/>
      <c r="H1140" s="1583"/>
      <c r="I1140" s="1583"/>
      <c r="J1140" s="1583"/>
      <c r="K1140" s="1583"/>
      <c r="L1140" s="1583"/>
      <c r="M1140" s="1583"/>
      <c r="N1140" s="1583"/>
      <c r="O1140" s="1583"/>
      <c r="P1140" s="1583"/>
      <c r="Q1140" s="1585"/>
      <c r="R1140" s="1583"/>
      <c r="S1140" s="1583"/>
      <c r="T1140" s="1585"/>
      <c r="U1140" s="1585"/>
      <c r="V1140" s="1585"/>
      <c r="W1140" s="1585">
        <v>3963.64</v>
      </c>
      <c r="X1140" s="1585">
        <v>5937.39</v>
      </c>
      <c r="Y1140" s="1585"/>
      <c r="Z1140" s="1585"/>
      <c r="AA1140" s="1585"/>
      <c r="AB1140" s="1585"/>
      <c r="AC1140" s="1585"/>
      <c r="AD1140" s="1601">
        <f t="shared" si="159"/>
        <v>9901.0300000000007</v>
      </c>
      <c r="AE1140" s="1790">
        <v>9901.0300000000007</v>
      </c>
      <c r="AF1140" s="1792"/>
    </row>
    <row r="1141" spans="1:32" ht="27.75" customHeight="1">
      <c r="A1141" s="2918"/>
      <c r="B1141" s="2919"/>
      <c r="C1141" s="2920"/>
      <c r="D1141" s="2917"/>
      <c r="E1141" s="1603" t="s">
        <v>2497</v>
      </c>
      <c r="F1141" s="1583"/>
      <c r="G1141" s="1583"/>
      <c r="H1141" s="1583"/>
      <c r="I1141" s="1583"/>
      <c r="J1141" s="1583"/>
      <c r="K1141" s="1583"/>
      <c r="L1141" s="1583"/>
      <c r="M1141" s="1583"/>
      <c r="N1141" s="1583"/>
      <c r="O1141" s="1583"/>
      <c r="P1141" s="1583"/>
      <c r="Q1141" s="1604"/>
      <c r="R1141" s="1583"/>
      <c r="S1141" s="1583"/>
      <c r="T1141" s="1585"/>
      <c r="U1141" s="1585"/>
      <c r="V1141" s="1585"/>
      <c r="W1141" s="1604">
        <v>3963.64</v>
      </c>
      <c r="X1141" s="1592">
        <v>5937.39</v>
      </c>
      <c r="Y1141" s="1585"/>
      <c r="Z1141" s="1585"/>
      <c r="AA1141" s="1585"/>
      <c r="AB1141" s="1585"/>
      <c r="AC1141" s="1585"/>
      <c r="AD1141" s="1601">
        <f t="shared" si="159"/>
        <v>9901.0300000000007</v>
      </c>
      <c r="AE1141" s="1790">
        <v>9901.0300000000007</v>
      </c>
      <c r="AF1141" s="1792"/>
    </row>
    <row r="1142" spans="1:32" ht="27.75" customHeight="1">
      <c r="A1142" s="2918" t="s">
        <v>2585</v>
      </c>
      <c r="B1142" s="2919" t="s">
        <v>2751</v>
      </c>
      <c r="C1142" s="2920" t="s">
        <v>49</v>
      </c>
      <c r="D1142" s="2917">
        <v>28298.673900000005</v>
      </c>
      <c r="E1142" s="1598" t="s">
        <v>2496</v>
      </c>
      <c r="F1142" s="1583"/>
      <c r="G1142" s="1583"/>
      <c r="H1142" s="1583"/>
      <c r="I1142" s="1583"/>
      <c r="J1142" s="1583"/>
      <c r="K1142" s="1583"/>
      <c r="L1142" s="1583"/>
      <c r="M1142" s="1583"/>
      <c r="N1142" s="1583"/>
      <c r="O1142" s="1583"/>
      <c r="P1142" s="1583"/>
      <c r="Q1142" s="1585"/>
      <c r="R1142" s="1583"/>
      <c r="S1142" s="1583"/>
      <c r="T1142" s="1585"/>
      <c r="U1142" s="1585"/>
      <c r="V1142" s="1585"/>
      <c r="W1142" s="1585">
        <v>14478.12</v>
      </c>
      <c r="X1142" s="1585">
        <v>13820.56</v>
      </c>
      <c r="Y1142" s="1585"/>
      <c r="Z1142" s="1585"/>
      <c r="AA1142" s="1585"/>
      <c r="AB1142" s="1585"/>
      <c r="AC1142" s="1585"/>
      <c r="AD1142" s="1601">
        <f t="shared" si="159"/>
        <v>28298.68</v>
      </c>
      <c r="AE1142" s="1790">
        <v>28298.68</v>
      </c>
      <c r="AF1142" s="1792"/>
    </row>
    <row r="1143" spans="1:32" ht="27.75" customHeight="1">
      <c r="A1143" s="2918"/>
      <c r="B1143" s="2919"/>
      <c r="C1143" s="2920"/>
      <c r="D1143" s="2917"/>
      <c r="E1143" s="1603" t="s">
        <v>2497</v>
      </c>
      <c r="F1143" s="1583"/>
      <c r="G1143" s="1583"/>
      <c r="H1143" s="1583"/>
      <c r="I1143" s="1583"/>
      <c r="J1143" s="1583"/>
      <c r="K1143" s="1583"/>
      <c r="L1143" s="1583"/>
      <c r="M1143" s="1583"/>
      <c r="N1143" s="1583"/>
      <c r="O1143" s="1583"/>
      <c r="P1143" s="1583"/>
      <c r="Q1143" s="1604"/>
      <c r="R1143" s="1583"/>
      <c r="S1143" s="1583"/>
      <c r="T1143" s="1585"/>
      <c r="U1143" s="1585"/>
      <c r="V1143" s="1585"/>
      <c r="W1143" s="1604">
        <v>14478.12</v>
      </c>
      <c r="X1143" s="1592">
        <v>13820.56</v>
      </c>
      <c r="Y1143" s="1585"/>
      <c r="Z1143" s="1585"/>
      <c r="AA1143" s="1585"/>
      <c r="AB1143" s="1585"/>
      <c r="AC1143" s="1585"/>
      <c r="AD1143" s="1601">
        <f t="shared" si="159"/>
        <v>28298.68</v>
      </c>
      <c r="AE1143" s="1790">
        <v>28298.68</v>
      </c>
      <c r="AF1143" s="1792"/>
    </row>
    <row r="1144" spans="1:32" ht="27.75" customHeight="1">
      <c r="A1144" s="2918" t="s">
        <v>2587</v>
      </c>
      <c r="B1144" s="2919" t="s">
        <v>2752</v>
      </c>
      <c r="C1144" s="2920" t="s">
        <v>49</v>
      </c>
      <c r="D1144" s="2917">
        <v>39058.763599999998</v>
      </c>
      <c r="E1144" s="1598" t="s">
        <v>2496</v>
      </c>
      <c r="F1144" s="1583"/>
      <c r="G1144" s="1583"/>
      <c r="H1144" s="1583"/>
      <c r="I1144" s="1583"/>
      <c r="J1144" s="1583"/>
      <c r="K1144" s="1583"/>
      <c r="L1144" s="1583"/>
      <c r="M1144" s="1583"/>
      <c r="N1144" s="1583"/>
      <c r="O1144" s="1583"/>
      <c r="P1144" s="1583"/>
      <c r="Q1144" s="1585"/>
      <c r="R1144" s="1583"/>
      <c r="S1144" s="1583"/>
      <c r="T1144" s="1585"/>
      <c r="U1144" s="1585"/>
      <c r="V1144" s="1585"/>
      <c r="W1144" s="1585">
        <v>20333.47</v>
      </c>
      <c r="X1144" s="1585">
        <v>18725.3</v>
      </c>
      <c r="Y1144" s="1585"/>
      <c r="Z1144" s="1585"/>
      <c r="AA1144" s="1585"/>
      <c r="AB1144" s="1585"/>
      <c r="AC1144" s="1585"/>
      <c r="AD1144" s="1601">
        <f t="shared" si="159"/>
        <v>39058.770000000004</v>
      </c>
      <c r="AE1144" s="1790">
        <v>39058.770000000004</v>
      </c>
      <c r="AF1144" s="1792"/>
    </row>
    <row r="1145" spans="1:32" ht="27.75" customHeight="1">
      <c r="A1145" s="2918"/>
      <c r="B1145" s="2919"/>
      <c r="C1145" s="2920"/>
      <c r="D1145" s="2917"/>
      <c r="E1145" s="1603" t="s">
        <v>2497</v>
      </c>
      <c r="F1145" s="1583"/>
      <c r="G1145" s="1583"/>
      <c r="H1145" s="1583"/>
      <c r="I1145" s="1583"/>
      <c r="J1145" s="1583"/>
      <c r="K1145" s="1583"/>
      <c r="L1145" s="1583"/>
      <c r="M1145" s="1583"/>
      <c r="N1145" s="1583"/>
      <c r="O1145" s="1583"/>
      <c r="P1145" s="1583"/>
      <c r="Q1145" s="1604"/>
      <c r="R1145" s="1583"/>
      <c r="S1145" s="1583"/>
      <c r="T1145" s="1585"/>
      <c r="U1145" s="1585"/>
      <c r="V1145" s="1585"/>
      <c r="W1145" s="1604">
        <v>20333.47</v>
      </c>
      <c r="X1145" s="1592">
        <v>18725.3</v>
      </c>
      <c r="Y1145" s="1585"/>
      <c r="Z1145" s="1585"/>
      <c r="AA1145" s="1585"/>
      <c r="AB1145" s="1585"/>
      <c r="AC1145" s="1585"/>
      <c r="AD1145" s="1601">
        <f t="shared" si="159"/>
        <v>39058.770000000004</v>
      </c>
      <c r="AE1145" s="1790">
        <v>39058.770000000004</v>
      </c>
      <c r="AF1145" s="1792"/>
    </row>
    <row r="1146" spans="1:32" ht="27.75" customHeight="1">
      <c r="A1146" s="2918" t="s">
        <v>2589</v>
      </c>
      <c r="B1146" s="2919" t="s">
        <v>2753</v>
      </c>
      <c r="C1146" s="2920" t="s">
        <v>49</v>
      </c>
      <c r="D1146" s="2917">
        <v>4734.2285000000002</v>
      </c>
      <c r="E1146" s="1598" t="s">
        <v>2496</v>
      </c>
      <c r="F1146" s="1583"/>
      <c r="G1146" s="1583"/>
      <c r="H1146" s="1583"/>
      <c r="I1146" s="1583"/>
      <c r="J1146" s="1583"/>
      <c r="K1146" s="1583"/>
      <c r="L1146" s="1583"/>
      <c r="M1146" s="1583"/>
      <c r="N1146" s="1583"/>
      <c r="O1146" s="1583"/>
      <c r="P1146" s="1583"/>
      <c r="Q1146" s="1585"/>
      <c r="R1146" s="1583"/>
      <c r="S1146" s="1583"/>
      <c r="T1146" s="1585"/>
      <c r="U1146" s="1585"/>
      <c r="V1146" s="1585"/>
      <c r="W1146" s="1585"/>
      <c r="X1146" s="1585">
        <v>4734.2299999999996</v>
      </c>
      <c r="Y1146" s="1585"/>
      <c r="Z1146" s="1585"/>
      <c r="AA1146" s="1585"/>
      <c r="AB1146" s="1585"/>
      <c r="AC1146" s="1585"/>
      <c r="AD1146" s="1601">
        <f t="shared" si="159"/>
        <v>4734.2299999999996</v>
      </c>
      <c r="AE1146" s="1790">
        <v>4734.2299999999996</v>
      </c>
      <c r="AF1146" s="1792"/>
    </row>
    <row r="1147" spans="1:32" ht="27.75" customHeight="1">
      <c r="A1147" s="2918"/>
      <c r="B1147" s="2919"/>
      <c r="C1147" s="2920"/>
      <c r="D1147" s="2917"/>
      <c r="E1147" s="1603" t="s">
        <v>2497</v>
      </c>
      <c r="F1147" s="1583"/>
      <c r="G1147" s="1583"/>
      <c r="H1147" s="1583"/>
      <c r="I1147" s="1583"/>
      <c r="J1147" s="1583"/>
      <c r="K1147" s="1583"/>
      <c r="L1147" s="1583"/>
      <c r="M1147" s="1583"/>
      <c r="N1147" s="1583"/>
      <c r="O1147" s="1583"/>
      <c r="P1147" s="1583"/>
      <c r="Q1147" s="1604"/>
      <c r="R1147" s="1583"/>
      <c r="S1147" s="1583"/>
      <c r="T1147" s="1585"/>
      <c r="U1147" s="1585"/>
      <c r="V1147" s="1585"/>
      <c r="W1147" s="1585"/>
      <c r="X1147" s="1592">
        <v>4734.2299999999996</v>
      </c>
      <c r="Y1147" s="1585"/>
      <c r="Z1147" s="1585"/>
      <c r="AA1147" s="1585"/>
      <c r="AB1147" s="1585"/>
      <c r="AC1147" s="1585"/>
      <c r="AD1147" s="1601">
        <f t="shared" si="159"/>
        <v>4734.2299999999996</v>
      </c>
      <c r="AE1147" s="1790">
        <v>4734.2299999999996</v>
      </c>
      <c r="AF1147" s="1792"/>
    </row>
    <row r="1148" spans="1:32" ht="27.75" customHeight="1">
      <c r="A1148" s="1647">
        <v>2.04</v>
      </c>
      <c r="B1148" s="1651" t="s">
        <v>2591</v>
      </c>
      <c r="C1148" s="1596"/>
      <c r="D1148" s="1597"/>
      <c r="E1148" s="1599"/>
      <c r="F1148" s="1583"/>
      <c r="G1148" s="1583"/>
      <c r="H1148" s="1583"/>
      <c r="I1148" s="1583"/>
      <c r="J1148" s="1583"/>
      <c r="K1148" s="1583"/>
      <c r="L1148" s="1583"/>
      <c r="M1148" s="1583"/>
      <c r="N1148" s="1583"/>
      <c r="O1148" s="1583"/>
      <c r="P1148" s="1583"/>
      <c r="Q1148" s="1604"/>
      <c r="R1148" s="1583"/>
      <c r="S1148" s="1583"/>
      <c r="T1148" s="1585"/>
      <c r="U1148" s="1585"/>
      <c r="V1148" s="1585"/>
      <c r="W1148" s="1585"/>
      <c r="X1148" s="1585"/>
      <c r="Y1148" s="1585"/>
      <c r="Z1148" s="1585"/>
      <c r="AA1148" s="1585"/>
      <c r="AB1148" s="1585"/>
      <c r="AC1148" s="1585"/>
      <c r="AD1148" s="1601">
        <f t="shared" si="159"/>
        <v>0</v>
      </c>
      <c r="AE1148" s="1790">
        <v>0</v>
      </c>
      <c r="AF1148" s="1792"/>
    </row>
    <row r="1149" spans="1:32" ht="27.75" customHeight="1">
      <c r="A1149" s="2918" t="s">
        <v>700</v>
      </c>
      <c r="B1149" s="2919" t="s">
        <v>2754</v>
      </c>
      <c r="C1149" s="2920" t="s">
        <v>49</v>
      </c>
      <c r="D1149" s="2917">
        <v>42889.643400000001</v>
      </c>
      <c r="E1149" s="1598" t="s">
        <v>2496</v>
      </c>
      <c r="F1149" s="1583"/>
      <c r="G1149" s="1583"/>
      <c r="H1149" s="1583"/>
      <c r="I1149" s="1583"/>
      <c r="J1149" s="1583"/>
      <c r="K1149" s="1583"/>
      <c r="L1149" s="1583"/>
      <c r="M1149" s="1583"/>
      <c r="N1149" s="1583"/>
      <c r="O1149" s="1583"/>
      <c r="P1149" s="1583"/>
      <c r="Q1149" s="1583"/>
      <c r="R1149" s="1583"/>
      <c r="S1149" s="1583"/>
      <c r="T1149" s="1585">
        <v>21459.09</v>
      </c>
      <c r="U1149" s="1585">
        <v>12588.79</v>
      </c>
      <c r="V1149" s="1585">
        <v>8841.77</v>
      </c>
      <c r="W1149" s="1585"/>
      <c r="X1149" s="1585"/>
      <c r="Y1149" s="1585"/>
      <c r="Z1149" s="1585"/>
      <c r="AA1149" s="1585"/>
      <c r="AB1149" s="1585"/>
      <c r="AC1149" s="1585"/>
      <c r="AD1149" s="1601">
        <f t="shared" si="159"/>
        <v>42889.650000000009</v>
      </c>
      <c r="AE1149" s="1790">
        <v>42889.650000000009</v>
      </c>
      <c r="AF1149" s="1792"/>
    </row>
    <row r="1150" spans="1:32" ht="24" customHeight="1">
      <c r="A1150" s="2918"/>
      <c r="B1150" s="2919"/>
      <c r="C1150" s="2920"/>
      <c r="D1150" s="2917"/>
      <c r="E1150" s="1603" t="s">
        <v>2497</v>
      </c>
      <c r="F1150" s="1583"/>
      <c r="G1150" s="1583"/>
      <c r="H1150" s="1583"/>
      <c r="I1150" s="1583"/>
      <c r="J1150" s="1583"/>
      <c r="K1150" s="1583"/>
      <c r="L1150" s="1583"/>
      <c r="M1150" s="1583"/>
      <c r="N1150" s="1583"/>
      <c r="O1150" s="1583"/>
      <c r="P1150" s="1583"/>
      <c r="Q1150" s="1583"/>
      <c r="R1150" s="1583"/>
      <c r="S1150" s="1583"/>
      <c r="T1150" s="1604">
        <f>T1149</f>
        <v>21459.09</v>
      </c>
      <c r="U1150" s="1604">
        <v>12588.79</v>
      </c>
      <c r="V1150" s="1604">
        <v>8841.77</v>
      </c>
      <c r="W1150" s="1585"/>
      <c r="X1150" s="1585"/>
      <c r="Y1150" s="1585"/>
      <c r="Z1150" s="1585"/>
      <c r="AA1150" s="1585"/>
      <c r="AB1150" s="1585"/>
      <c r="AC1150" s="1585"/>
      <c r="AD1150" s="1601">
        <f t="shared" si="159"/>
        <v>42889.650000000009</v>
      </c>
      <c r="AE1150" s="1790">
        <v>42889.650000000009</v>
      </c>
      <c r="AF1150" s="1792"/>
    </row>
    <row r="1151" spans="1:32" ht="27.75" customHeight="1">
      <c r="A1151" s="2918" t="s">
        <v>701</v>
      </c>
      <c r="B1151" s="2919" t="s">
        <v>2755</v>
      </c>
      <c r="C1151" s="2920" t="s">
        <v>49</v>
      </c>
      <c r="D1151" s="2917">
        <v>57993.616299999994</v>
      </c>
      <c r="E1151" s="1598" t="s">
        <v>2496</v>
      </c>
      <c r="F1151" s="1583"/>
      <c r="G1151" s="1583"/>
      <c r="H1151" s="1583"/>
      <c r="I1151" s="1583"/>
      <c r="J1151" s="1583"/>
      <c r="K1151" s="1583"/>
      <c r="L1151" s="1583"/>
      <c r="M1151" s="1583"/>
      <c r="N1151" s="1583"/>
      <c r="O1151" s="1583"/>
      <c r="P1151" s="1583"/>
      <c r="Q1151" s="1585"/>
      <c r="R1151" s="1583"/>
      <c r="S1151" s="1583"/>
      <c r="T1151" s="1585"/>
      <c r="U1151" s="1585">
        <v>51534.95</v>
      </c>
      <c r="V1151" s="1585">
        <v>6458.67</v>
      </c>
      <c r="W1151" s="1585"/>
      <c r="X1151" s="1585"/>
      <c r="Y1151" s="1585"/>
      <c r="Z1151" s="1585"/>
      <c r="AA1151" s="1585"/>
      <c r="AB1151" s="1585"/>
      <c r="AC1151" s="1585"/>
      <c r="AD1151" s="1601">
        <f t="shared" si="159"/>
        <v>57993.619999999995</v>
      </c>
      <c r="AE1151" s="1790">
        <v>57993.619999999995</v>
      </c>
      <c r="AF1151" s="1792"/>
    </row>
    <row r="1152" spans="1:32" ht="27.75" customHeight="1">
      <c r="A1152" s="2918"/>
      <c r="B1152" s="2919"/>
      <c r="C1152" s="2920"/>
      <c r="D1152" s="2917"/>
      <c r="E1152" s="1603" t="s">
        <v>2497</v>
      </c>
      <c r="F1152" s="1583"/>
      <c r="G1152" s="1583"/>
      <c r="H1152" s="1583"/>
      <c r="I1152" s="1583"/>
      <c r="J1152" s="1583"/>
      <c r="K1152" s="1583"/>
      <c r="L1152" s="1583"/>
      <c r="M1152" s="1583"/>
      <c r="N1152" s="1583"/>
      <c r="O1152" s="1583"/>
      <c r="P1152" s="1583"/>
      <c r="Q1152" s="1604"/>
      <c r="R1152" s="1583"/>
      <c r="S1152" s="1583"/>
      <c r="T1152" s="1585"/>
      <c r="U1152" s="1604">
        <v>51534.95</v>
      </c>
      <c r="V1152" s="1604">
        <v>6458.67</v>
      </c>
      <c r="W1152" s="1585"/>
      <c r="X1152" s="1585"/>
      <c r="Y1152" s="1585"/>
      <c r="Z1152" s="1585"/>
      <c r="AA1152" s="1585"/>
      <c r="AB1152" s="1585"/>
      <c r="AC1152" s="1585"/>
      <c r="AD1152" s="1601">
        <f t="shared" si="159"/>
        <v>57993.619999999995</v>
      </c>
      <c r="AE1152" s="1790">
        <v>57993.619999999995</v>
      </c>
      <c r="AF1152" s="1792"/>
    </row>
    <row r="1153" spans="1:32" ht="27.75" customHeight="1">
      <c r="A1153" s="2918" t="s">
        <v>2579</v>
      </c>
      <c r="B1153" s="2919" t="s">
        <v>2756</v>
      </c>
      <c r="C1153" s="2920" t="s">
        <v>51</v>
      </c>
      <c r="D1153" s="2917">
        <v>3286.7580000000003</v>
      </c>
      <c r="E1153" s="1598" t="s">
        <v>2496</v>
      </c>
      <c r="F1153" s="1583"/>
      <c r="G1153" s="1583"/>
      <c r="H1153" s="1583"/>
      <c r="I1153" s="1583"/>
      <c r="J1153" s="1583"/>
      <c r="K1153" s="1583"/>
      <c r="L1153" s="1583"/>
      <c r="M1153" s="1583"/>
      <c r="N1153" s="1583"/>
      <c r="O1153" s="1583"/>
      <c r="P1153" s="1583"/>
      <c r="Q1153" s="1585"/>
      <c r="R1153" s="1583"/>
      <c r="S1153" s="1583"/>
      <c r="T1153" s="1585"/>
      <c r="U1153" s="1585"/>
      <c r="V1153" s="1585"/>
      <c r="W1153" s="1585"/>
      <c r="X1153" s="1585"/>
      <c r="Y1153" s="1585"/>
      <c r="Z1153" s="1585">
        <v>3286.7580000000003</v>
      </c>
      <c r="AA1153" s="1585"/>
      <c r="AB1153" s="1585"/>
      <c r="AC1153" s="1585"/>
      <c r="AD1153" s="1601">
        <f t="shared" si="159"/>
        <v>3286.7580000000003</v>
      </c>
      <c r="AE1153" s="1790">
        <v>0</v>
      </c>
      <c r="AF1153" s="1792"/>
    </row>
    <row r="1154" spans="1:32" ht="27.75" customHeight="1">
      <c r="A1154" s="2918"/>
      <c r="B1154" s="2919"/>
      <c r="C1154" s="2920"/>
      <c r="D1154" s="2917"/>
      <c r="E1154" s="1603" t="s">
        <v>2497</v>
      </c>
      <c r="F1154" s="1583"/>
      <c r="G1154" s="1583"/>
      <c r="H1154" s="1583"/>
      <c r="I1154" s="1583"/>
      <c r="J1154" s="1583"/>
      <c r="K1154" s="1583"/>
      <c r="L1154" s="1583"/>
      <c r="M1154" s="1583"/>
      <c r="N1154" s="1583"/>
      <c r="O1154" s="1583"/>
      <c r="P1154" s="1583"/>
      <c r="Q1154" s="1604"/>
      <c r="R1154" s="1583"/>
      <c r="S1154" s="1583"/>
      <c r="T1154" s="1585"/>
      <c r="U1154" s="1585"/>
      <c r="V1154" s="1585"/>
      <c r="W1154" s="1604"/>
      <c r="X1154" s="1585"/>
      <c r="Y1154" s="1585"/>
      <c r="Z1154" s="1585"/>
      <c r="AA1154" s="1585"/>
      <c r="AB1154" s="1585"/>
      <c r="AC1154" s="1585"/>
      <c r="AD1154" s="1601">
        <f t="shared" si="159"/>
        <v>0</v>
      </c>
      <c r="AE1154" s="1790">
        <v>0</v>
      </c>
      <c r="AF1154" s="1792"/>
    </row>
    <row r="1155" spans="1:32" ht="27.75" customHeight="1">
      <c r="A1155" s="2918" t="s">
        <v>2581</v>
      </c>
      <c r="B1155" s="2919" t="s">
        <v>2757</v>
      </c>
      <c r="C1155" s="2920" t="s">
        <v>49</v>
      </c>
      <c r="D1155" s="2917">
        <v>23741.951999999997</v>
      </c>
      <c r="E1155" s="1598" t="s">
        <v>2496</v>
      </c>
      <c r="F1155" s="1583"/>
      <c r="G1155" s="1583"/>
      <c r="H1155" s="1583"/>
      <c r="I1155" s="1583"/>
      <c r="J1155" s="1583"/>
      <c r="K1155" s="1583"/>
      <c r="L1155" s="1583"/>
      <c r="M1155" s="1583"/>
      <c r="N1155" s="1583"/>
      <c r="O1155" s="1583"/>
      <c r="P1155" s="1583"/>
      <c r="Q1155" s="1585"/>
      <c r="R1155" s="1583"/>
      <c r="S1155" s="1583"/>
      <c r="T1155" s="1585"/>
      <c r="U1155" s="1585"/>
      <c r="V1155" s="1585"/>
      <c r="W1155" s="1585"/>
      <c r="X1155" s="1585"/>
      <c r="Y1155" s="1585">
        <v>20623.871999999999</v>
      </c>
      <c r="Z1155" s="1585">
        <v>3118.0799999999981</v>
      </c>
      <c r="AA1155" s="1585"/>
      <c r="AB1155" s="1585"/>
      <c r="AC1155" s="1585"/>
      <c r="AD1155" s="1601">
        <f t="shared" si="159"/>
        <v>23741.951999999997</v>
      </c>
      <c r="AE1155" s="1790">
        <v>20623.871999999999</v>
      </c>
      <c r="AF1155" s="1792"/>
    </row>
    <row r="1156" spans="1:32" ht="27.75" customHeight="1">
      <c r="A1156" s="2918"/>
      <c r="B1156" s="2919"/>
      <c r="C1156" s="2920"/>
      <c r="D1156" s="2917"/>
      <c r="E1156" s="1603" t="s">
        <v>2497</v>
      </c>
      <c r="F1156" s="1583"/>
      <c r="G1156" s="1583"/>
      <c r="H1156" s="1583"/>
      <c r="I1156" s="1583"/>
      <c r="J1156" s="1583"/>
      <c r="K1156" s="1583"/>
      <c r="L1156" s="1583"/>
      <c r="M1156" s="1583"/>
      <c r="N1156" s="1583"/>
      <c r="O1156" s="1583"/>
      <c r="P1156" s="1583"/>
      <c r="Q1156" s="1604"/>
      <c r="R1156" s="1583"/>
      <c r="S1156" s="1583"/>
      <c r="T1156" s="1585"/>
      <c r="U1156" s="1585"/>
      <c r="V1156" s="1585"/>
      <c r="W1156" s="1585"/>
      <c r="X1156" s="1585"/>
      <c r="Y1156" s="1604">
        <v>20623.871999999999</v>
      </c>
      <c r="Z1156" s="1585"/>
      <c r="AA1156" s="1585"/>
      <c r="AB1156" s="1585"/>
      <c r="AC1156" s="1585"/>
      <c r="AD1156" s="1601">
        <f t="shared" si="159"/>
        <v>20623.871999999999</v>
      </c>
      <c r="AE1156" s="1790">
        <v>20623.871999999999</v>
      </c>
      <c r="AF1156" s="1792"/>
    </row>
    <row r="1157" spans="1:32" ht="27.75" customHeight="1">
      <c r="A1157" s="2918" t="s">
        <v>2583</v>
      </c>
      <c r="B1157" s="2919" t="s">
        <v>2758</v>
      </c>
      <c r="C1157" s="2920" t="s">
        <v>49</v>
      </c>
      <c r="D1157" s="2917">
        <v>5084.6171999999997</v>
      </c>
      <c r="E1157" s="1598" t="s">
        <v>2496</v>
      </c>
      <c r="F1157" s="1583"/>
      <c r="G1157" s="1583"/>
      <c r="H1157" s="1583"/>
      <c r="I1157" s="1583"/>
      <c r="J1157" s="1583"/>
      <c r="K1157" s="1583"/>
      <c r="L1157" s="1583"/>
      <c r="M1157" s="1583"/>
      <c r="N1157" s="1583"/>
      <c r="O1157" s="1583"/>
      <c r="P1157" s="1583"/>
      <c r="Q1157" s="1585"/>
      <c r="R1157" s="1583"/>
      <c r="S1157" s="1583"/>
      <c r="T1157" s="1585"/>
      <c r="U1157" s="1585"/>
      <c r="V1157" s="1585"/>
      <c r="W1157" s="1585"/>
      <c r="X1157" s="1585"/>
      <c r="Y1157" s="1585">
        <v>5084.6171999999997</v>
      </c>
      <c r="Z1157" s="1585"/>
      <c r="AA1157" s="1585"/>
      <c r="AB1157" s="1585"/>
      <c r="AC1157" s="1585"/>
      <c r="AD1157" s="1601">
        <f t="shared" si="159"/>
        <v>5084.6171999999997</v>
      </c>
      <c r="AE1157" s="1790">
        <v>5084.6171999999997</v>
      </c>
      <c r="AF1157" s="1792"/>
    </row>
    <row r="1158" spans="1:32" ht="27.75" customHeight="1">
      <c r="A1158" s="2918"/>
      <c r="B1158" s="2919"/>
      <c r="C1158" s="2920"/>
      <c r="D1158" s="2917"/>
      <c r="E1158" s="1603" t="s">
        <v>2497</v>
      </c>
      <c r="F1158" s="1583"/>
      <c r="G1158" s="1583"/>
      <c r="H1158" s="1583"/>
      <c r="I1158" s="1583"/>
      <c r="J1158" s="1583"/>
      <c r="K1158" s="1583"/>
      <c r="L1158" s="1583"/>
      <c r="M1158" s="1583"/>
      <c r="N1158" s="1583"/>
      <c r="O1158" s="1583"/>
      <c r="P1158" s="1583"/>
      <c r="Q1158" s="1604"/>
      <c r="R1158" s="1583"/>
      <c r="S1158" s="1583"/>
      <c r="T1158" s="1585"/>
      <c r="U1158" s="1585"/>
      <c r="V1158" s="1585"/>
      <c r="W1158" s="1585"/>
      <c r="X1158" s="1585"/>
      <c r="Y1158" s="1604">
        <v>5084.6171999999997</v>
      </c>
      <c r="Z1158" s="1585"/>
      <c r="AA1158" s="1585"/>
      <c r="AB1158" s="1585"/>
      <c r="AC1158" s="1585"/>
      <c r="AD1158" s="1601">
        <f t="shared" si="159"/>
        <v>5084.6171999999997</v>
      </c>
      <c r="AE1158" s="1790">
        <v>5084.6171999999997</v>
      </c>
      <c r="AF1158" s="1792"/>
    </row>
    <row r="1159" spans="1:32" ht="27.75" customHeight="1">
      <c r="A1159" s="2918" t="s">
        <v>2585</v>
      </c>
      <c r="B1159" s="2919" t="s">
        <v>2759</v>
      </c>
      <c r="C1159" s="2920" t="s">
        <v>49</v>
      </c>
      <c r="D1159" s="2917">
        <v>69107.023300000001</v>
      </c>
      <c r="E1159" s="1598" t="s">
        <v>2496</v>
      </c>
      <c r="F1159" s="1583"/>
      <c r="G1159" s="1583"/>
      <c r="H1159" s="1583"/>
      <c r="I1159" s="1583"/>
      <c r="J1159" s="1583"/>
      <c r="K1159" s="1583"/>
      <c r="L1159" s="1583"/>
      <c r="M1159" s="1583"/>
      <c r="N1159" s="1583"/>
      <c r="O1159" s="1583"/>
      <c r="P1159" s="1583"/>
      <c r="Q1159" s="1585"/>
      <c r="R1159" s="1583"/>
      <c r="S1159" s="1583"/>
      <c r="T1159" s="1585"/>
      <c r="U1159" s="1585"/>
      <c r="V1159" s="1585"/>
      <c r="W1159" s="1585"/>
      <c r="X1159" s="1585"/>
      <c r="Y1159" s="1585"/>
      <c r="Z1159" s="1585"/>
      <c r="AA1159" s="1585">
        <v>34553.51165</v>
      </c>
      <c r="AB1159" s="1585"/>
      <c r="AC1159" s="1585">
        <v>34553.51165</v>
      </c>
      <c r="AD1159" s="1601">
        <f t="shared" si="159"/>
        <v>69107.023300000001</v>
      </c>
      <c r="AE1159" s="1790">
        <v>0</v>
      </c>
      <c r="AF1159" s="1792"/>
    </row>
    <row r="1160" spans="1:32" ht="27.75" customHeight="1">
      <c r="A1160" s="2918"/>
      <c r="B1160" s="2919"/>
      <c r="C1160" s="2920"/>
      <c r="D1160" s="2917"/>
      <c r="E1160" s="1603" t="s">
        <v>2497</v>
      </c>
      <c r="F1160" s="1583"/>
      <c r="G1160" s="1583"/>
      <c r="H1160" s="1583"/>
      <c r="I1160" s="1583"/>
      <c r="J1160" s="1583"/>
      <c r="K1160" s="1583"/>
      <c r="L1160" s="1583"/>
      <c r="M1160" s="1583"/>
      <c r="N1160" s="1583"/>
      <c r="O1160" s="1583"/>
      <c r="P1160" s="1583"/>
      <c r="Q1160" s="1604"/>
      <c r="R1160" s="1583"/>
      <c r="S1160" s="1583"/>
      <c r="T1160" s="1585"/>
      <c r="U1160" s="1585"/>
      <c r="V1160" s="1585"/>
      <c r="W1160" s="1585"/>
      <c r="X1160" s="1585"/>
      <c r="Y1160" s="1585"/>
      <c r="Z1160" s="1585"/>
      <c r="AA1160" s="1585"/>
      <c r="AB1160" s="1585"/>
      <c r="AC1160" s="1585"/>
      <c r="AD1160" s="1601">
        <f t="shared" si="159"/>
        <v>0</v>
      </c>
      <c r="AE1160" s="1790">
        <v>0</v>
      </c>
      <c r="AF1160" s="1792"/>
    </row>
    <row r="1161" spans="1:32" ht="27.75" customHeight="1">
      <c r="A1161" s="2918" t="s">
        <v>2587</v>
      </c>
      <c r="B1161" s="2919" t="s">
        <v>2760</v>
      </c>
      <c r="C1161" s="2920" t="s">
        <v>51</v>
      </c>
      <c r="D1161" s="2917">
        <v>4723.9920000000002</v>
      </c>
      <c r="E1161" s="1598" t="s">
        <v>2496</v>
      </c>
      <c r="F1161" s="1583"/>
      <c r="G1161" s="1583"/>
      <c r="H1161" s="1583"/>
      <c r="I1161" s="1583"/>
      <c r="J1161" s="1583"/>
      <c r="K1161" s="1583"/>
      <c r="L1161" s="1583"/>
      <c r="M1161" s="1583"/>
      <c r="N1161" s="1583"/>
      <c r="O1161" s="1583"/>
      <c r="P1161" s="1583"/>
      <c r="Q1161" s="1585"/>
      <c r="R1161" s="1583"/>
      <c r="S1161" s="1583"/>
      <c r="T1161" s="1585"/>
      <c r="U1161" s="1585"/>
      <c r="V1161" s="1585"/>
      <c r="W1161" s="1585"/>
      <c r="X1161" s="1585"/>
      <c r="Y1161" s="1585"/>
      <c r="Z1161" s="1585">
        <v>4723.9920000000002</v>
      </c>
      <c r="AA1161" s="1585"/>
      <c r="AB1161" s="1585"/>
      <c r="AC1161" s="1585"/>
      <c r="AD1161" s="1601">
        <f t="shared" si="159"/>
        <v>4723.9920000000002</v>
      </c>
      <c r="AE1161" s="1790">
        <v>0</v>
      </c>
      <c r="AF1161" s="1792"/>
    </row>
    <row r="1162" spans="1:32" ht="27.75" customHeight="1">
      <c r="A1162" s="2918"/>
      <c r="B1162" s="2919"/>
      <c r="C1162" s="2920"/>
      <c r="D1162" s="2917"/>
      <c r="E1162" s="1603" t="s">
        <v>2497</v>
      </c>
      <c r="F1162" s="1583"/>
      <c r="G1162" s="1583"/>
      <c r="H1162" s="1583"/>
      <c r="I1162" s="1583"/>
      <c r="J1162" s="1583"/>
      <c r="K1162" s="1583"/>
      <c r="L1162" s="1583"/>
      <c r="M1162" s="1583"/>
      <c r="N1162" s="1583"/>
      <c r="O1162" s="1583"/>
      <c r="P1162" s="1583"/>
      <c r="Q1162" s="1604"/>
      <c r="R1162" s="1583"/>
      <c r="S1162" s="1583"/>
      <c r="T1162" s="1585"/>
      <c r="U1162" s="1585"/>
      <c r="V1162" s="1585"/>
      <c r="W1162" s="1585"/>
      <c r="X1162" s="1585"/>
      <c r="Y1162" s="1585"/>
      <c r="Z1162" s="1585"/>
      <c r="AA1162" s="1585"/>
      <c r="AB1162" s="1585"/>
      <c r="AC1162" s="1585"/>
      <c r="AD1162" s="1601">
        <f t="shared" si="159"/>
        <v>0</v>
      </c>
      <c r="AE1162" s="1790">
        <v>0</v>
      </c>
      <c r="AF1162" s="1792"/>
    </row>
    <row r="1163" spans="1:32" ht="24" customHeight="1">
      <c r="A1163" s="1594" t="s">
        <v>2561</v>
      </c>
      <c r="B1163" s="1650" t="s">
        <v>2726</v>
      </c>
      <c r="C1163" s="1596"/>
      <c r="D1163" s="1597"/>
      <c r="E1163" s="1599"/>
      <c r="F1163" s="1583"/>
      <c r="G1163" s="1583"/>
      <c r="H1163" s="1583"/>
      <c r="I1163" s="1583"/>
      <c r="J1163" s="1583"/>
      <c r="K1163" s="1583"/>
      <c r="L1163" s="1583"/>
      <c r="M1163" s="1583"/>
      <c r="N1163" s="1583"/>
      <c r="O1163" s="1583"/>
      <c r="P1163" s="1583"/>
      <c r="Q1163" s="1583"/>
      <c r="R1163" s="1583"/>
      <c r="S1163" s="1583"/>
      <c r="T1163" s="1585"/>
      <c r="U1163" s="1585"/>
      <c r="V1163" s="1585"/>
      <c r="W1163" s="1585"/>
      <c r="X1163" s="1585"/>
      <c r="Y1163" s="1585"/>
      <c r="Z1163" s="1585"/>
      <c r="AA1163" s="1585"/>
      <c r="AB1163" s="1585"/>
      <c r="AC1163" s="1585"/>
      <c r="AD1163" s="1601">
        <f t="shared" si="159"/>
        <v>0</v>
      </c>
      <c r="AE1163" s="1790">
        <v>0</v>
      </c>
      <c r="AF1163" s="1792"/>
    </row>
    <row r="1164" spans="1:32" ht="27.75" customHeight="1">
      <c r="A1164" s="2918" t="s">
        <v>2585</v>
      </c>
      <c r="B1164" s="2919" t="s">
        <v>2727</v>
      </c>
      <c r="C1164" s="2920" t="s">
        <v>50</v>
      </c>
      <c r="D1164" s="2917">
        <v>2592.9088000000002</v>
      </c>
      <c r="E1164" s="1598" t="s">
        <v>2496</v>
      </c>
      <c r="F1164" s="1583"/>
      <c r="G1164" s="1583"/>
      <c r="H1164" s="1583"/>
      <c r="I1164" s="1583"/>
      <c r="J1164" s="1583"/>
      <c r="K1164" s="1583"/>
      <c r="L1164" s="1583"/>
      <c r="M1164" s="1583"/>
      <c r="N1164" s="1583"/>
      <c r="O1164" s="1583"/>
      <c r="P1164" s="1583"/>
      <c r="Q1164" s="1585"/>
      <c r="R1164" s="1583"/>
      <c r="S1164" s="1583"/>
      <c r="T1164" s="1585"/>
      <c r="U1164" s="1585"/>
      <c r="V1164" s="1585"/>
      <c r="W1164" s="1585">
        <v>2592.91</v>
      </c>
      <c r="X1164" s="1585"/>
      <c r="Y1164" s="1585"/>
      <c r="Z1164" s="1585"/>
      <c r="AA1164" s="1585"/>
      <c r="AB1164" s="1585"/>
      <c r="AC1164" s="1585"/>
      <c r="AD1164" s="1601">
        <f t="shared" si="159"/>
        <v>2592.91</v>
      </c>
      <c r="AE1164" s="1790">
        <v>2592.91</v>
      </c>
      <c r="AF1164" s="1792"/>
    </row>
    <row r="1165" spans="1:32" ht="27.75" customHeight="1">
      <c r="A1165" s="2918"/>
      <c r="B1165" s="2919"/>
      <c r="C1165" s="2920"/>
      <c r="D1165" s="2917"/>
      <c r="E1165" s="1603" t="s">
        <v>2497</v>
      </c>
      <c r="F1165" s="1583"/>
      <c r="G1165" s="1583"/>
      <c r="H1165" s="1583"/>
      <c r="I1165" s="1583"/>
      <c r="J1165" s="1583"/>
      <c r="K1165" s="1583"/>
      <c r="L1165" s="1583"/>
      <c r="M1165" s="1583"/>
      <c r="N1165" s="1583"/>
      <c r="O1165" s="1583"/>
      <c r="P1165" s="1583"/>
      <c r="Q1165" s="1604"/>
      <c r="R1165" s="1583"/>
      <c r="S1165" s="1583"/>
      <c r="T1165" s="1585"/>
      <c r="U1165" s="1585"/>
      <c r="V1165" s="1585"/>
      <c r="W1165" s="1604">
        <v>2592.91</v>
      </c>
      <c r="X1165" s="1585"/>
      <c r="Y1165" s="1585"/>
      <c r="Z1165" s="1585"/>
      <c r="AA1165" s="1585"/>
      <c r="AB1165" s="1585"/>
      <c r="AC1165" s="1585"/>
      <c r="AD1165" s="1601">
        <f t="shared" si="159"/>
        <v>2592.91</v>
      </c>
      <c r="AE1165" s="1790">
        <v>2592.91</v>
      </c>
      <c r="AF1165" s="1792"/>
    </row>
    <row r="1166" spans="1:32" ht="27.75" customHeight="1">
      <c r="A1166" s="2918" t="s">
        <v>2587</v>
      </c>
      <c r="B1166" s="2919" t="s">
        <v>2728</v>
      </c>
      <c r="C1166" s="2920" t="s">
        <v>50</v>
      </c>
      <c r="D1166" s="2917">
        <v>33396.215400000001</v>
      </c>
      <c r="E1166" s="1598" t="s">
        <v>2496</v>
      </c>
      <c r="F1166" s="1583"/>
      <c r="G1166" s="1583"/>
      <c r="H1166" s="1583"/>
      <c r="I1166" s="1583"/>
      <c r="J1166" s="1583"/>
      <c r="K1166" s="1583"/>
      <c r="L1166" s="1583"/>
      <c r="M1166" s="1583"/>
      <c r="N1166" s="1583"/>
      <c r="O1166" s="1583"/>
      <c r="P1166" s="1583"/>
      <c r="Q1166" s="1585"/>
      <c r="R1166" s="1583"/>
      <c r="S1166" s="1583"/>
      <c r="T1166" s="1585"/>
      <c r="U1166" s="1585"/>
      <c r="V1166" s="1585"/>
      <c r="W1166" s="1585">
        <v>33396.22</v>
      </c>
      <c r="X1166" s="1585"/>
      <c r="Y1166" s="1585"/>
      <c r="Z1166" s="1585"/>
      <c r="AA1166" s="1585"/>
      <c r="AB1166" s="1585"/>
      <c r="AC1166" s="1585"/>
      <c r="AD1166" s="1601">
        <f t="shared" si="159"/>
        <v>33396.22</v>
      </c>
      <c r="AE1166" s="1790">
        <v>33396.22</v>
      </c>
      <c r="AF1166" s="1792"/>
    </row>
    <row r="1167" spans="1:32" ht="27.75" customHeight="1">
      <c r="A1167" s="2918"/>
      <c r="B1167" s="2919"/>
      <c r="C1167" s="2920"/>
      <c r="D1167" s="2917"/>
      <c r="E1167" s="1603" t="s">
        <v>2497</v>
      </c>
      <c r="F1167" s="1583"/>
      <c r="G1167" s="1583"/>
      <c r="H1167" s="1583"/>
      <c r="I1167" s="1583"/>
      <c r="J1167" s="1583"/>
      <c r="K1167" s="1583"/>
      <c r="L1167" s="1583"/>
      <c r="M1167" s="1583"/>
      <c r="N1167" s="1583"/>
      <c r="O1167" s="1583"/>
      <c r="P1167" s="1583"/>
      <c r="Q1167" s="1604"/>
      <c r="R1167" s="1583"/>
      <c r="S1167" s="1583"/>
      <c r="T1167" s="1585"/>
      <c r="U1167" s="1585"/>
      <c r="V1167" s="1585"/>
      <c r="W1167" s="1604">
        <v>33396.22</v>
      </c>
      <c r="X1167" s="1585"/>
      <c r="Y1167" s="1585"/>
      <c r="Z1167" s="1585"/>
      <c r="AA1167" s="1585"/>
      <c r="AB1167" s="1585"/>
      <c r="AC1167" s="1585"/>
      <c r="AD1167" s="1601">
        <f t="shared" si="159"/>
        <v>33396.22</v>
      </c>
      <c r="AE1167" s="1790">
        <v>33396.22</v>
      </c>
      <c r="AF1167" s="1792"/>
    </row>
    <row r="1168" spans="1:32" ht="27.75" customHeight="1">
      <c r="A1168" s="1647">
        <v>2.0499999999999998</v>
      </c>
      <c r="B1168" s="1651" t="s">
        <v>433</v>
      </c>
      <c r="C1168" s="1596"/>
      <c r="D1168" s="1597"/>
      <c r="E1168" s="1599"/>
      <c r="F1168" s="1583"/>
      <c r="G1168" s="1583"/>
      <c r="H1168" s="1583"/>
      <c r="I1168" s="1583"/>
      <c r="J1168" s="1583"/>
      <c r="K1168" s="1583"/>
      <c r="L1168" s="1583"/>
      <c r="M1168" s="1583"/>
      <c r="N1168" s="1583"/>
      <c r="O1168" s="1583"/>
      <c r="P1168" s="1583"/>
      <c r="Q1168" s="1604"/>
      <c r="R1168" s="1583"/>
      <c r="S1168" s="1583"/>
      <c r="T1168" s="1585"/>
      <c r="U1168" s="1585"/>
      <c r="V1168" s="1585"/>
      <c r="W1168" s="1585"/>
      <c r="X1168" s="1585"/>
      <c r="Y1168" s="1585"/>
      <c r="Z1168" s="1585"/>
      <c r="AA1168" s="1585"/>
      <c r="AB1168" s="1585"/>
      <c r="AC1168" s="1585"/>
      <c r="AD1168" s="1601">
        <f t="shared" si="159"/>
        <v>0</v>
      </c>
      <c r="AE1168" s="1790">
        <v>0</v>
      </c>
      <c r="AF1168" s="1792"/>
    </row>
    <row r="1169" spans="1:32" ht="27.75" customHeight="1">
      <c r="A1169" s="2918" t="s">
        <v>2612</v>
      </c>
      <c r="B1169" s="2919" t="s">
        <v>2714</v>
      </c>
      <c r="C1169" s="2920" t="s">
        <v>49</v>
      </c>
      <c r="D1169" s="2917">
        <v>13309.818200000002</v>
      </c>
      <c r="E1169" s="1598" t="s">
        <v>2496</v>
      </c>
      <c r="F1169" s="1583"/>
      <c r="G1169" s="1583"/>
      <c r="H1169" s="1583"/>
      <c r="I1169" s="1583"/>
      <c r="J1169" s="1583"/>
      <c r="K1169" s="1583"/>
      <c r="L1169" s="1583"/>
      <c r="M1169" s="1583"/>
      <c r="N1169" s="1583"/>
      <c r="O1169" s="1583"/>
      <c r="P1169" s="1583"/>
      <c r="Q1169" s="1585"/>
      <c r="R1169" s="1583"/>
      <c r="S1169" s="1583"/>
      <c r="T1169" s="1585">
        <v>819.47670000000005</v>
      </c>
      <c r="U1169" s="1585"/>
      <c r="V1169" s="1585">
        <v>3290.83</v>
      </c>
      <c r="W1169" s="1585">
        <v>9199.51</v>
      </c>
      <c r="X1169" s="1585">
        <v>2129.2600000000002</v>
      </c>
      <c r="Y1169" s="1585"/>
      <c r="Z1169" s="1585"/>
      <c r="AA1169" s="1585"/>
      <c r="AB1169" s="1585"/>
      <c r="AC1169" s="1585"/>
      <c r="AD1169" s="1601">
        <f t="shared" ref="AD1169:AD1232" si="160">SUM(F1169:AC1169)</f>
        <v>15439.0767</v>
      </c>
      <c r="AE1169" s="1790">
        <v>15439.0767</v>
      </c>
      <c r="AF1169" s="1792"/>
    </row>
    <row r="1170" spans="1:32" ht="27.75" customHeight="1">
      <c r="A1170" s="2918"/>
      <c r="B1170" s="2919"/>
      <c r="C1170" s="2920"/>
      <c r="D1170" s="2917"/>
      <c r="E1170" s="1603" t="s">
        <v>2497</v>
      </c>
      <c r="F1170" s="1583"/>
      <c r="G1170" s="1583"/>
      <c r="H1170" s="1583"/>
      <c r="I1170" s="1583"/>
      <c r="J1170" s="1583"/>
      <c r="K1170" s="1583"/>
      <c r="L1170" s="1583"/>
      <c r="M1170" s="1583"/>
      <c r="N1170" s="1583"/>
      <c r="O1170" s="1583"/>
      <c r="P1170" s="1583"/>
      <c r="Q1170" s="1604"/>
      <c r="R1170" s="1583"/>
      <c r="S1170" s="1583"/>
      <c r="T1170" s="1604">
        <f>T1169</f>
        <v>819.47670000000005</v>
      </c>
      <c r="U1170" s="1604"/>
      <c r="V1170" s="1604">
        <v>3290.83</v>
      </c>
      <c r="W1170" s="1604">
        <v>9199.51</v>
      </c>
      <c r="X1170" s="1592">
        <v>2129.2600000000002</v>
      </c>
      <c r="Y1170" s="1585"/>
      <c r="Z1170" s="1585"/>
      <c r="AA1170" s="1585"/>
      <c r="AB1170" s="1585"/>
      <c r="AC1170" s="1585"/>
      <c r="AD1170" s="1601">
        <f t="shared" si="160"/>
        <v>15439.0767</v>
      </c>
      <c r="AE1170" s="1790">
        <v>15439.0767</v>
      </c>
      <c r="AF1170" s="1792"/>
    </row>
    <row r="1171" spans="1:32" ht="27.75" customHeight="1">
      <c r="A1171" s="2918" t="s">
        <v>2614</v>
      </c>
      <c r="B1171" s="2919" t="s">
        <v>2715</v>
      </c>
      <c r="C1171" s="2920" t="s">
        <v>50</v>
      </c>
      <c r="D1171" s="2917">
        <v>6510.3444</v>
      </c>
      <c r="E1171" s="1598" t="s">
        <v>2496</v>
      </c>
      <c r="F1171" s="1583"/>
      <c r="G1171" s="1583"/>
      <c r="H1171" s="1583"/>
      <c r="I1171" s="1583"/>
      <c r="J1171" s="1583"/>
      <c r="K1171" s="1583"/>
      <c r="L1171" s="1583"/>
      <c r="M1171" s="1583"/>
      <c r="N1171" s="1583"/>
      <c r="O1171" s="1583"/>
      <c r="P1171" s="1583"/>
      <c r="Q1171" s="1585"/>
      <c r="R1171" s="1583"/>
      <c r="S1171" s="1583"/>
      <c r="T1171" s="1585">
        <v>1268.3776</v>
      </c>
      <c r="U1171" s="1585"/>
      <c r="V1171" s="1585">
        <v>460.78</v>
      </c>
      <c r="W1171" s="1585">
        <v>4781.1899999999996</v>
      </c>
      <c r="X1171" s="1585"/>
      <c r="Y1171" s="1585"/>
      <c r="Z1171" s="1585"/>
      <c r="AA1171" s="1585"/>
      <c r="AB1171" s="1585"/>
      <c r="AC1171" s="1585"/>
      <c r="AD1171" s="1601">
        <f t="shared" si="160"/>
        <v>6510.3475999999991</v>
      </c>
      <c r="AE1171" s="1790">
        <v>7258.4875999999995</v>
      </c>
      <c r="AF1171" s="1792"/>
    </row>
    <row r="1172" spans="1:32" ht="27.75" customHeight="1">
      <c r="A1172" s="2918"/>
      <c r="B1172" s="2919"/>
      <c r="C1172" s="2920"/>
      <c r="D1172" s="2917"/>
      <c r="E1172" s="1603" t="s">
        <v>2497</v>
      </c>
      <c r="F1172" s="1583"/>
      <c r="G1172" s="1583"/>
      <c r="H1172" s="1583"/>
      <c r="I1172" s="1583"/>
      <c r="J1172" s="1583"/>
      <c r="K1172" s="1583"/>
      <c r="L1172" s="1583"/>
      <c r="M1172" s="1583"/>
      <c r="N1172" s="1583"/>
      <c r="O1172" s="1583"/>
      <c r="P1172" s="1583"/>
      <c r="Q1172" s="1604"/>
      <c r="R1172" s="1583"/>
      <c r="S1172" s="1583"/>
      <c r="T1172" s="1604">
        <f>T1171</f>
        <v>1268.3776</v>
      </c>
      <c r="U1172" s="1604"/>
      <c r="V1172" s="1604">
        <v>460.78</v>
      </c>
      <c r="W1172" s="1604">
        <v>4781.1899999999996</v>
      </c>
      <c r="X1172" s="1592">
        <v>748.14</v>
      </c>
      <c r="Y1172" s="1585"/>
      <c r="Z1172" s="1585"/>
      <c r="AA1172" s="1585"/>
      <c r="AB1172" s="1585"/>
      <c r="AC1172" s="1585"/>
      <c r="AD1172" s="1601">
        <f t="shared" si="160"/>
        <v>7258.4875999999995</v>
      </c>
      <c r="AE1172" s="1790">
        <v>7258.4875999999995</v>
      </c>
      <c r="AF1172" s="1792"/>
    </row>
    <row r="1173" spans="1:32" ht="27.75" customHeight="1">
      <c r="A1173" s="1647">
        <v>2.06</v>
      </c>
      <c r="B1173" s="1651" t="s">
        <v>368</v>
      </c>
      <c r="C1173" s="1596"/>
      <c r="D1173" s="1597"/>
      <c r="E1173" s="1599"/>
      <c r="F1173" s="1583"/>
      <c r="G1173" s="1583"/>
      <c r="H1173" s="1583"/>
      <c r="I1173" s="1583"/>
      <c r="J1173" s="1583"/>
      <c r="K1173" s="1583"/>
      <c r="L1173" s="1583"/>
      <c r="M1173" s="1583"/>
      <c r="N1173" s="1583"/>
      <c r="O1173" s="1583"/>
      <c r="P1173" s="1583"/>
      <c r="Q1173" s="1604"/>
      <c r="R1173" s="1583"/>
      <c r="S1173" s="1583"/>
      <c r="T1173" s="1585"/>
      <c r="U1173" s="1585"/>
      <c r="V1173" s="1585"/>
      <c r="W1173" s="1585"/>
      <c r="X1173" s="1585"/>
      <c r="Y1173" s="1585"/>
      <c r="Z1173" s="1585"/>
      <c r="AA1173" s="1585"/>
      <c r="AB1173" s="1585"/>
      <c r="AC1173" s="1585"/>
      <c r="AD1173" s="1601">
        <f t="shared" si="160"/>
        <v>0</v>
      </c>
      <c r="AE1173" s="1790">
        <v>0</v>
      </c>
      <c r="AF1173" s="1792"/>
    </row>
    <row r="1174" spans="1:32" ht="27.75" customHeight="1">
      <c r="A1174" s="2918" t="s">
        <v>2612</v>
      </c>
      <c r="B1174" s="2919" t="s">
        <v>2729</v>
      </c>
      <c r="C1174" s="2920" t="s">
        <v>50</v>
      </c>
      <c r="D1174" s="2917">
        <v>3627.6019999999999</v>
      </c>
      <c r="E1174" s="1598" t="s">
        <v>2496</v>
      </c>
      <c r="F1174" s="1583"/>
      <c r="G1174" s="1583"/>
      <c r="H1174" s="1583"/>
      <c r="I1174" s="1583"/>
      <c r="J1174" s="1583"/>
      <c r="K1174" s="1583"/>
      <c r="L1174" s="1583"/>
      <c r="M1174" s="1583"/>
      <c r="N1174" s="1583"/>
      <c r="O1174" s="1583"/>
      <c r="P1174" s="1583"/>
      <c r="Q1174" s="1585"/>
      <c r="R1174" s="1583"/>
      <c r="S1174" s="1583"/>
      <c r="T1174" s="1585"/>
      <c r="U1174" s="1585"/>
      <c r="V1174" s="1585"/>
      <c r="W1174" s="1585">
        <v>3627.6</v>
      </c>
      <c r="X1174" s="1585"/>
      <c r="Y1174" s="1585"/>
      <c r="Z1174" s="1585"/>
      <c r="AA1174" s="1585"/>
      <c r="AB1174" s="1585"/>
      <c r="AC1174" s="1585"/>
      <c r="AD1174" s="1601">
        <f t="shared" si="160"/>
        <v>3627.6</v>
      </c>
      <c r="AE1174" s="1790">
        <v>3627.6</v>
      </c>
      <c r="AF1174" s="1792"/>
    </row>
    <row r="1175" spans="1:32" ht="27.75" customHeight="1">
      <c r="A1175" s="2918"/>
      <c r="B1175" s="2919"/>
      <c r="C1175" s="2920"/>
      <c r="D1175" s="2917"/>
      <c r="E1175" s="1603" t="s">
        <v>2497</v>
      </c>
      <c r="F1175" s="1583"/>
      <c r="G1175" s="1583"/>
      <c r="H1175" s="1583"/>
      <c r="I1175" s="1583"/>
      <c r="J1175" s="1583"/>
      <c r="K1175" s="1583"/>
      <c r="L1175" s="1583"/>
      <c r="M1175" s="1583"/>
      <c r="N1175" s="1583"/>
      <c r="O1175" s="1583"/>
      <c r="P1175" s="1583"/>
      <c r="Q1175" s="1604"/>
      <c r="R1175" s="1583"/>
      <c r="S1175" s="1583"/>
      <c r="T1175" s="1585"/>
      <c r="U1175" s="1585"/>
      <c r="V1175" s="1604"/>
      <c r="W1175" s="1604">
        <v>3627.6</v>
      </c>
      <c r="X1175" s="1585"/>
      <c r="Y1175" s="1585"/>
      <c r="Z1175" s="1585"/>
      <c r="AA1175" s="1585"/>
      <c r="AB1175" s="1585"/>
      <c r="AC1175" s="1585"/>
      <c r="AD1175" s="1601">
        <f t="shared" si="160"/>
        <v>3627.6</v>
      </c>
      <c r="AE1175" s="1790">
        <v>3627.6</v>
      </c>
      <c r="AF1175" s="1792"/>
    </row>
    <row r="1176" spans="1:32" ht="27.75" customHeight="1">
      <c r="A1176" s="2918" t="s">
        <v>2614</v>
      </c>
      <c r="B1176" s="2919" t="s">
        <v>2730</v>
      </c>
      <c r="C1176" s="2920" t="s">
        <v>50</v>
      </c>
      <c r="D1176" s="2917">
        <v>12940.4112</v>
      </c>
      <c r="E1176" s="1598" t="s">
        <v>2496</v>
      </c>
      <c r="F1176" s="1583"/>
      <c r="G1176" s="1583"/>
      <c r="H1176" s="1583"/>
      <c r="I1176" s="1583"/>
      <c r="J1176" s="1583"/>
      <c r="K1176" s="1583"/>
      <c r="L1176" s="1583"/>
      <c r="M1176" s="1583"/>
      <c r="N1176" s="1583"/>
      <c r="O1176" s="1583"/>
      <c r="P1176" s="1583"/>
      <c r="Q1176" s="1585"/>
      <c r="R1176" s="1583"/>
      <c r="S1176" s="1583"/>
      <c r="T1176" s="1585"/>
      <c r="U1176" s="1585"/>
      <c r="V1176" s="1585"/>
      <c r="W1176" s="1585">
        <v>12940.41</v>
      </c>
      <c r="X1176" s="1585"/>
      <c r="Y1176" s="1585"/>
      <c r="Z1176" s="1585"/>
      <c r="AA1176" s="1585"/>
      <c r="AB1176" s="1585"/>
      <c r="AC1176" s="1585"/>
      <c r="AD1176" s="1601">
        <f t="shared" si="160"/>
        <v>12940.41</v>
      </c>
      <c r="AE1176" s="1790">
        <v>12940.41</v>
      </c>
      <c r="AF1176" s="1792"/>
    </row>
    <row r="1177" spans="1:32" ht="27.75" customHeight="1">
      <c r="A1177" s="2918"/>
      <c r="B1177" s="2919"/>
      <c r="C1177" s="2920"/>
      <c r="D1177" s="2917"/>
      <c r="E1177" s="1603" t="s">
        <v>2497</v>
      </c>
      <c r="F1177" s="1583"/>
      <c r="G1177" s="1583"/>
      <c r="H1177" s="1583"/>
      <c r="I1177" s="1583"/>
      <c r="J1177" s="1583"/>
      <c r="K1177" s="1583"/>
      <c r="L1177" s="1583"/>
      <c r="M1177" s="1583"/>
      <c r="N1177" s="1583"/>
      <c r="O1177" s="1583"/>
      <c r="P1177" s="1583"/>
      <c r="Q1177" s="1604"/>
      <c r="R1177" s="1583"/>
      <c r="S1177" s="1583"/>
      <c r="T1177" s="1585"/>
      <c r="U1177" s="1585"/>
      <c r="W1177" s="1604">
        <v>12940.41</v>
      </c>
      <c r="X1177" s="1585"/>
      <c r="Y1177" s="1585"/>
      <c r="Z1177" s="1585"/>
      <c r="AA1177" s="1585"/>
      <c r="AB1177" s="1585"/>
      <c r="AC1177" s="1585"/>
      <c r="AD1177" s="1601">
        <f t="shared" si="160"/>
        <v>12940.41</v>
      </c>
      <c r="AE1177" s="1790">
        <v>12940.41</v>
      </c>
      <c r="AF1177" s="1792"/>
    </row>
    <row r="1178" spans="1:32" ht="27.75" customHeight="1">
      <c r="A1178" s="2918" t="s">
        <v>2614</v>
      </c>
      <c r="B1178" s="2919" t="s">
        <v>2731</v>
      </c>
      <c r="C1178" s="2920" t="s">
        <v>49</v>
      </c>
      <c r="D1178" s="2917">
        <v>9983.75</v>
      </c>
      <c r="E1178" s="1598" t="s">
        <v>2496</v>
      </c>
      <c r="F1178" s="1583"/>
      <c r="G1178" s="1583"/>
      <c r="H1178" s="1583"/>
      <c r="I1178" s="1583"/>
      <c r="J1178" s="1583"/>
      <c r="K1178" s="1583"/>
      <c r="L1178" s="1583"/>
      <c r="M1178" s="1583"/>
      <c r="N1178" s="1583"/>
      <c r="O1178" s="1583"/>
      <c r="P1178" s="1583"/>
      <c r="Q1178" s="1585"/>
      <c r="R1178" s="1583"/>
      <c r="S1178" s="1583"/>
      <c r="T1178" s="1585"/>
      <c r="U1178" s="1585"/>
      <c r="V1178" s="1585"/>
      <c r="W1178" s="1585">
        <v>5191.55</v>
      </c>
      <c r="X1178" s="1585">
        <v>2180.4499999999998</v>
      </c>
      <c r="Y1178" s="1585">
        <v>710.84300000000007</v>
      </c>
      <c r="Z1178" s="1585">
        <v>1900.9070000000002</v>
      </c>
      <c r="AA1178" s="1585"/>
      <c r="AB1178" s="1585"/>
      <c r="AC1178" s="1585"/>
      <c r="AD1178" s="1601">
        <f t="shared" si="160"/>
        <v>9983.75</v>
      </c>
      <c r="AE1178" s="1790">
        <v>8082.8429999999998</v>
      </c>
      <c r="AF1178" s="1792"/>
    </row>
    <row r="1179" spans="1:32" ht="27.75" customHeight="1">
      <c r="A1179" s="2918"/>
      <c r="B1179" s="2919"/>
      <c r="C1179" s="2920"/>
      <c r="D1179" s="2917"/>
      <c r="E1179" s="1603" t="s">
        <v>2497</v>
      </c>
      <c r="F1179" s="1583"/>
      <c r="G1179" s="1583"/>
      <c r="H1179" s="1583"/>
      <c r="I1179" s="1583"/>
      <c r="J1179" s="1583"/>
      <c r="K1179" s="1583"/>
      <c r="L1179" s="1583"/>
      <c r="M1179" s="1583"/>
      <c r="N1179" s="1583"/>
      <c r="O1179" s="1583"/>
      <c r="P1179" s="1583"/>
      <c r="Q1179" s="1604"/>
      <c r="R1179" s="1583"/>
      <c r="S1179" s="1583"/>
      <c r="T1179" s="1585"/>
      <c r="U1179" s="1585"/>
      <c r="W1179" s="1604">
        <v>5191.55</v>
      </c>
      <c r="X1179" s="1592">
        <v>2180.4499999999998</v>
      </c>
      <c r="Y1179" s="1604">
        <v>710.84300000000007</v>
      </c>
      <c r="Z1179" s="1585"/>
      <c r="AA1179" s="1585"/>
      <c r="AB1179" s="1585"/>
      <c r="AC1179" s="1585"/>
      <c r="AD1179" s="1601">
        <f t="shared" si="160"/>
        <v>8082.8429999999998</v>
      </c>
      <c r="AE1179" s="1790">
        <v>8082.8429999999998</v>
      </c>
      <c r="AF1179" s="1792"/>
    </row>
    <row r="1180" spans="1:32" ht="27.75" customHeight="1">
      <c r="A1180" s="1647">
        <v>2.0699999999999998</v>
      </c>
      <c r="B1180" s="1651" t="s">
        <v>2624</v>
      </c>
      <c r="C1180" s="1596"/>
      <c r="D1180" s="1597"/>
      <c r="E1180" s="1599"/>
      <c r="F1180" s="1583"/>
      <c r="G1180" s="1583"/>
      <c r="H1180" s="1583"/>
      <c r="I1180" s="1583"/>
      <c r="J1180" s="1583"/>
      <c r="K1180" s="1583"/>
      <c r="L1180" s="1583"/>
      <c r="M1180" s="1583"/>
      <c r="N1180" s="1583"/>
      <c r="O1180" s="1583"/>
      <c r="P1180" s="1583"/>
      <c r="Q1180" s="1604"/>
      <c r="R1180" s="1583"/>
      <c r="S1180" s="1583"/>
      <c r="T1180" s="1585"/>
      <c r="U1180" s="1585"/>
      <c r="V1180" s="1585"/>
      <c r="W1180" s="1585"/>
      <c r="X1180" s="1585"/>
      <c r="Y1180" s="1585"/>
      <c r="Z1180" s="1585"/>
      <c r="AA1180" s="1585"/>
      <c r="AB1180" s="1585"/>
      <c r="AC1180" s="1585"/>
      <c r="AD1180" s="1601">
        <f t="shared" si="160"/>
        <v>0</v>
      </c>
      <c r="AE1180" s="1790">
        <v>0</v>
      </c>
      <c r="AF1180" s="1792"/>
    </row>
    <row r="1181" spans="1:32" ht="24" customHeight="1">
      <c r="A1181" s="1594" t="s">
        <v>2561</v>
      </c>
      <c r="B1181" s="1650" t="s">
        <v>2761</v>
      </c>
      <c r="C1181" s="1596"/>
      <c r="D1181" s="1597"/>
      <c r="E1181" s="1599"/>
      <c r="F1181" s="1583"/>
      <c r="G1181" s="1583"/>
      <c r="H1181" s="1583"/>
      <c r="I1181" s="1583"/>
      <c r="J1181" s="1583"/>
      <c r="K1181" s="1583"/>
      <c r="L1181" s="1583"/>
      <c r="M1181" s="1583"/>
      <c r="N1181" s="1583"/>
      <c r="O1181" s="1583"/>
      <c r="P1181" s="1583"/>
      <c r="Q1181" s="1583"/>
      <c r="R1181" s="1583"/>
      <c r="S1181" s="1583"/>
      <c r="T1181" s="1585"/>
      <c r="U1181" s="1585"/>
      <c r="V1181" s="1585"/>
      <c r="W1181" s="1585"/>
      <c r="X1181" s="1585"/>
      <c r="Y1181" s="1585"/>
      <c r="Z1181" s="1585"/>
      <c r="AA1181" s="1585"/>
      <c r="AB1181" s="1585"/>
      <c r="AC1181" s="1585"/>
      <c r="AD1181" s="1601">
        <f t="shared" si="160"/>
        <v>0</v>
      </c>
      <c r="AE1181" s="1790">
        <v>0</v>
      </c>
      <c r="AF1181" s="1792"/>
    </row>
    <row r="1182" spans="1:32" ht="27.75" customHeight="1">
      <c r="A1182" s="2918" t="s">
        <v>2612</v>
      </c>
      <c r="B1182" s="2919" t="s">
        <v>2762</v>
      </c>
      <c r="C1182" s="2920" t="s">
        <v>49</v>
      </c>
      <c r="D1182" s="2917">
        <v>59748.2166</v>
      </c>
      <c r="E1182" s="1598" t="s">
        <v>2496</v>
      </c>
      <c r="F1182" s="1583"/>
      <c r="G1182" s="1583"/>
      <c r="H1182" s="1583"/>
      <c r="I1182" s="1583"/>
      <c r="J1182" s="1583"/>
      <c r="K1182" s="1583"/>
      <c r="L1182" s="1583"/>
      <c r="M1182" s="1583"/>
      <c r="N1182" s="1583"/>
      <c r="O1182" s="1583"/>
      <c r="P1182" s="1583"/>
      <c r="Q1182" s="1585"/>
      <c r="R1182" s="1583"/>
      <c r="S1182" s="1583"/>
      <c r="T1182" s="1585"/>
      <c r="V1182" s="1585"/>
      <c r="W1182" s="1585">
        <v>29836.94</v>
      </c>
      <c r="X1182" s="1585">
        <v>21191.51</v>
      </c>
      <c r="Y1182" s="1585">
        <v>8719.7615000000005</v>
      </c>
      <c r="Z1182" s="1585"/>
      <c r="AA1182" s="1585"/>
      <c r="AB1182" s="1585"/>
      <c r="AC1182" s="1585"/>
      <c r="AD1182" s="1601">
        <f t="shared" si="160"/>
        <v>59748.211499999998</v>
      </c>
      <c r="AE1182" s="1790">
        <v>59748.211499999998</v>
      </c>
      <c r="AF1182" s="1792"/>
    </row>
    <row r="1183" spans="1:32" ht="27.75" customHeight="1">
      <c r="A1183" s="2918"/>
      <c r="B1183" s="2919"/>
      <c r="C1183" s="2920"/>
      <c r="D1183" s="2917"/>
      <c r="E1183" s="1603" t="s">
        <v>2497</v>
      </c>
      <c r="F1183" s="1583"/>
      <c r="G1183" s="1583"/>
      <c r="H1183" s="1583"/>
      <c r="I1183" s="1583"/>
      <c r="J1183" s="1583"/>
      <c r="K1183" s="1583"/>
      <c r="L1183" s="1583"/>
      <c r="M1183" s="1583"/>
      <c r="N1183" s="1583"/>
      <c r="O1183" s="1583"/>
      <c r="P1183" s="1583"/>
      <c r="Q1183" s="1604"/>
      <c r="R1183" s="1583"/>
      <c r="S1183" s="1583"/>
      <c r="T1183" s="1585"/>
      <c r="U1183" s="1585"/>
      <c r="V1183" s="1585"/>
      <c r="W1183" s="1604">
        <v>29836.94</v>
      </c>
      <c r="X1183" s="1592">
        <v>21191.51</v>
      </c>
      <c r="Y1183" s="1604">
        <v>8719.7615000000005</v>
      </c>
      <c r="Z1183" s="1585"/>
      <c r="AA1183" s="1585"/>
      <c r="AB1183" s="1585"/>
      <c r="AC1183" s="1585"/>
      <c r="AD1183" s="1601">
        <f t="shared" si="160"/>
        <v>59748.211499999998</v>
      </c>
      <c r="AE1183" s="1790">
        <v>59748.211499999998</v>
      </c>
      <c r="AF1183" s="1792"/>
    </row>
    <row r="1184" spans="1:32" ht="27.75" customHeight="1">
      <c r="A1184" s="2918" t="s">
        <v>2614</v>
      </c>
      <c r="B1184" s="2919" t="s">
        <v>2763</v>
      </c>
      <c r="C1184" s="2920" t="s">
        <v>49</v>
      </c>
      <c r="D1184" s="2917">
        <v>3559.6918000000001</v>
      </c>
      <c r="E1184" s="1598" t="s">
        <v>2496</v>
      </c>
      <c r="F1184" s="1583"/>
      <c r="G1184" s="1583"/>
      <c r="H1184" s="1583"/>
      <c r="I1184" s="1583"/>
      <c r="J1184" s="1583"/>
      <c r="K1184" s="1583"/>
      <c r="L1184" s="1583"/>
      <c r="M1184" s="1583"/>
      <c r="N1184" s="1583"/>
      <c r="O1184" s="1583"/>
      <c r="P1184" s="1583"/>
      <c r="Q1184" s="1585"/>
      <c r="R1184" s="1583"/>
      <c r="S1184" s="1583"/>
      <c r="T1184" s="1585"/>
      <c r="V1184" s="1585"/>
      <c r="W1184" s="1585"/>
      <c r="X1184" s="1585"/>
      <c r="Y1184" s="1585"/>
      <c r="Z1184" s="1585">
        <v>3559.6918000000001</v>
      </c>
      <c r="AA1184" s="1585"/>
      <c r="AB1184" s="1585"/>
      <c r="AC1184" s="1585"/>
      <c r="AD1184" s="1601">
        <f t="shared" si="160"/>
        <v>3559.6918000000001</v>
      </c>
      <c r="AE1184" s="1790">
        <v>0</v>
      </c>
      <c r="AF1184" s="1792"/>
    </row>
    <row r="1185" spans="1:32" ht="27.75" customHeight="1">
      <c r="A1185" s="2918"/>
      <c r="B1185" s="2919"/>
      <c r="C1185" s="2920"/>
      <c r="D1185" s="2917"/>
      <c r="E1185" s="1603" t="s">
        <v>2497</v>
      </c>
      <c r="F1185" s="1583"/>
      <c r="G1185" s="1583"/>
      <c r="H1185" s="1583"/>
      <c r="I1185" s="1583"/>
      <c r="J1185" s="1583"/>
      <c r="K1185" s="1583"/>
      <c r="L1185" s="1583"/>
      <c r="M1185" s="1583"/>
      <c r="N1185" s="1583"/>
      <c r="O1185" s="1583"/>
      <c r="P1185" s="1583"/>
      <c r="Q1185" s="1604"/>
      <c r="R1185" s="1583"/>
      <c r="S1185" s="1583"/>
      <c r="T1185" s="1585"/>
      <c r="U1185" s="1585"/>
      <c r="V1185" s="1585"/>
      <c r="W1185" s="1585"/>
      <c r="X1185" s="1585"/>
      <c r="Y1185" s="1585"/>
      <c r="Z1185" s="1585"/>
      <c r="AA1185" s="1585"/>
      <c r="AB1185" s="1585"/>
      <c r="AC1185" s="1585"/>
      <c r="AD1185" s="1601">
        <f t="shared" si="160"/>
        <v>0</v>
      </c>
      <c r="AE1185" s="1790">
        <v>0</v>
      </c>
      <c r="AF1185" s="1792"/>
    </row>
    <row r="1186" spans="1:32" ht="27.75" customHeight="1">
      <c r="A1186" s="2918" t="s">
        <v>2614</v>
      </c>
      <c r="B1186" s="2919" t="s">
        <v>2764</v>
      </c>
      <c r="C1186" s="2920" t="s">
        <v>49</v>
      </c>
      <c r="D1186" s="2917">
        <v>3266.4945000000002</v>
      </c>
      <c r="E1186" s="1598" t="s">
        <v>2496</v>
      </c>
      <c r="F1186" s="1583"/>
      <c r="G1186" s="1583"/>
      <c r="H1186" s="1583"/>
      <c r="I1186" s="1583"/>
      <c r="J1186" s="1583"/>
      <c r="K1186" s="1583"/>
      <c r="L1186" s="1583"/>
      <c r="M1186" s="1583"/>
      <c r="N1186" s="1583"/>
      <c r="O1186" s="1583"/>
      <c r="P1186" s="1583"/>
      <c r="Q1186" s="1585"/>
      <c r="R1186" s="1583"/>
      <c r="S1186" s="1583"/>
      <c r="T1186" s="1585"/>
      <c r="U1186" s="1585"/>
      <c r="V1186" s="1585"/>
      <c r="W1186" s="1585"/>
      <c r="X1186" s="1585"/>
      <c r="Y1186" s="1585"/>
      <c r="Z1186" s="1585">
        <v>3266.4945000000002</v>
      </c>
      <c r="AA1186" s="1585"/>
      <c r="AB1186" s="1585"/>
      <c r="AC1186" s="1585"/>
      <c r="AD1186" s="1601">
        <f t="shared" si="160"/>
        <v>3266.4945000000002</v>
      </c>
      <c r="AE1186" s="1790">
        <v>0</v>
      </c>
      <c r="AF1186" s="1792"/>
    </row>
    <row r="1187" spans="1:32" ht="27.75" customHeight="1">
      <c r="A1187" s="2918"/>
      <c r="B1187" s="2919"/>
      <c r="C1187" s="2920"/>
      <c r="D1187" s="2917"/>
      <c r="E1187" s="1603" t="s">
        <v>2497</v>
      </c>
      <c r="F1187" s="1583"/>
      <c r="G1187" s="1583"/>
      <c r="H1187" s="1583"/>
      <c r="I1187" s="1583"/>
      <c r="J1187" s="1583"/>
      <c r="K1187" s="1583"/>
      <c r="L1187" s="1583"/>
      <c r="M1187" s="1583"/>
      <c r="N1187" s="1583"/>
      <c r="O1187" s="1583"/>
      <c r="P1187" s="1583"/>
      <c r="Q1187" s="1604"/>
      <c r="R1187" s="1583"/>
      <c r="S1187" s="1583"/>
      <c r="T1187" s="1585"/>
      <c r="U1187" s="1585"/>
      <c r="V1187" s="1585"/>
      <c r="W1187" s="1585"/>
      <c r="X1187" s="1585"/>
      <c r="Y1187" s="1585"/>
      <c r="Z1187" s="1585"/>
      <c r="AA1187" s="1585"/>
      <c r="AB1187" s="1585"/>
      <c r="AC1187" s="1585"/>
      <c r="AD1187" s="1601">
        <f t="shared" si="160"/>
        <v>0</v>
      </c>
      <c r="AE1187" s="1790">
        <v>0</v>
      </c>
      <c r="AF1187" s="1792"/>
    </row>
    <row r="1188" spans="1:32" ht="24" customHeight="1">
      <c r="A1188" s="1594" t="s">
        <v>2633</v>
      </c>
      <c r="B1188" s="1650" t="s">
        <v>2765</v>
      </c>
      <c r="C1188" s="1596"/>
      <c r="D1188" s="1597"/>
      <c r="E1188" s="1599"/>
      <c r="F1188" s="1583"/>
      <c r="G1188" s="1583"/>
      <c r="H1188" s="1583"/>
      <c r="I1188" s="1583"/>
      <c r="J1188" s="1583"/>
      <c r="K1188" s="1583"/>
      <c r="L1188" s="1583"/>
      <c r="M1188" s="1583"/>
      <c r="N1188" s="1583"/>
      <c r="O1188" s="1583"/>
      <c r="P1188" s="1583"/>
      <c r="Q1188" s="1583"/>
      <c r="R1188" s="1583"/>
      <c r="S1188" s="1583"/>
      <c r="T1188" s="1585"/>
      <c r="U1188" s="1585"/>
      <c r="V1188" s="1585"/>
      <c r="W1188" s="1585"/>
      <c r="X1188" s="1585"/>
      <c r="Y1188" s="1585"/>
      <c r="Z1188" s="1585"/>
      <c r="AA1188" s="1585"/>
      <c r="AB1188" s="1585"/>
      <c r="AC1188" s="1585"/>
      <c r="AD1188" s="1601">
        <f t="shared" si="160"/>
        <v>0</v>
      </c>
      <c r="AE1188" s="1790">
        <v>0</v>
      </c>
      <c r="AF1188" s="1792"/>
    </row>
    <row r="1189" spans="1:32" ht="27.75" customHeight="1">
      <c r="A1189" s="2918" t="s">
        <v>2612</v>
      </c>
      <c r="B1189" s="2919" t="s">
        <v>2766</v>
      </c>
      <c r="C1189" s="2920" t="s">
        <v>49</v>
      </c>
      <c r="D1189" s="2917">
        <v>29380.028399999999</v>
      </c>
      <c r="E1189" s="1598" t="s">
        <v>2496</v>
      </c>
      <c r="F1189" s="1583"/>
      <c r="G1189" s="1583"/>
      <c r="H1189" s="1583"/>
      <c r="I1189" s="1583"/>
      <c r="J1189" s="1583"/>
      <c r="K1189" s="1583"/>
      <c r="L1189" s="1583"/>
      <c r="M1189" s="1583"/>
      <c r="N1189" s="1583"/>
      <c r="O1189" s="1583"/>
      <c r="P1189" s="1583"/>
      <c r="Q1189" s="1585"/>
      <c r="R1189" s="1583"/>
      <c r="S1189" s="1583"/>
      <c r="T1189" s="1585"/>
      <c r="U1189" s="1585"/>
      <c r="V1189" s="1585"/>
      <c r="W1189" s="1585"/>
      <c r="X1189" s="1585"/>
      <c r="Y1189" s="1585">
        <v>29380.028399999999</v>
      </c>
      <c r="Z1189" s="1585"/>
      <c r="AA1189" s="1585"/>
      <c r="AB1189" s="1585"/>
      <c r="AC1189" s="1585"/>
      <c r="AD1189" s="1601">
        <f t="shared" si="160"/>
        <v>29380.028399999999</v>
      </c>
      <c r="AE1189" s="1790">
        <v>29380.028399999999</v>
      </c>
      <c r="AF1189" s="1792"/>
    </row>
    <row r="1190" spans="1:32" ht="27.75" customHeight="1">
      <c r="A1190" s="2918"/>
      <c r="B1190" s="2919"/>
      <c r="C1190" s="2920"/>
      <c r="D1190" s="2917"/>
      <c r="E1190" s="1603" t="s">
        <v>2497</v>
      </c>
      <c r="F1190" s="1583"/>
      <c r="G1190" s="1583"/>
      <c r="H1190" s="1583"/>
      <c r="I1190" s="1583"/>
      <c r="J1190" s="1583"/>
      <c r="K1190" s="1583"/>
      <c r="L1190" s="1583"/>
      <c r="M1190" s="1583"/>
      <c r="N1190" s="1583"/>
      <c r="O1190" s="1583"/>
      <c r="P1190" s="1583"/>
      <c r="Q1190" s="1604"/>
      <c r="R1190" s="1583"/>
      <c r="S1190" s="1583"/>
      <c r="T1190" s="1585"/>
      <c r="U1190" s="1585"/>
      <c r="V1190" s="1585"/>
      <c r="W1190" s="1585"/>
      <c r="X1190" s="1585"/>
      <c r="Y1190" s="1604">
        <v>29380.028399999999</v>
      </c>
      <c r="Z1190" s="1585"/>
      <c r="AA1190" s="1585"/>
      <c r="AB1190" s="1585"/>
      <c r="AC1190" s="1585"/>
      <c r="AD1190" s="1601">
        <f t="shared" si="160"/>
        <v>29380.028399999999</v>
      </c>
      <c r="AE1190" s="1790">
        <v>29380.028399999999</v>
      </c>
      <c r="AF1190" s="1792"/>
    </row>
    <row r="1191" spans="1:32" ht="27.75" customHeight="1">
      <c r="A1191" s="2918" t="s">
        <v>2614</v>
      </c>
      <c r="B1191" s="2919" t="s">
        <v>2707</v>
      </c>
      <c r="C1191" s="2920" t="s">
        <v>49</v>
      </c>
      <c r="D1191" s="2917">
        <v>86941.983999999997</v>
      </c>
      <c r="E1191" s="1598" t="s">
        <v>2496</v>
      </c>
      <c r="F1191" s="1583"/>
      <c r="G1191" s="1583"/>
      <c r="H1191" s="1583"/>
      <c r="I1191" s="1583"/>
      <c r="J1191" s="1583"/>
      <c r="K1191" s="1583"/>
      <c r="L1191" s="1583"/>
      <c r="M1191" s="1583"/>
      <c r="N1191" s="1583"/>
      <c r="O1191" s="1583"/>
      <c r="P1191" s="1583"/>
      <c r="Q1191" s="1585"/>
      <c r="R1191" s="1583"/>
      <c r="S1191" s="1583"/>
      <c r="T1191" s="1585">
        <v>35054.212999999996</v>
      </c>
      <c r="U1191" s="1585">
        <v>21565.94</v>
      </c>
      <c r="V1191" s="1585">
        <v>7539.08</v>
      </c>
      <c r="W1191" s="1585">
        <v>4751.96</v>
      </c>
      <c r="X1191" s="1585">
        <v>1352.37</v>
      </c>
      <c r="Y1191" s="1585">
        <v>2392.9731999999999</v>
      </c>
      <c r="Z1191" s="1585"/>
      <c r="AA1191" s="1585"/>
      <c r="AB1191" s="1585"/>
      <c r="AC1191" s="1585">
        <v>14285.447800000009</v>
      </c>
      <c r="AD1191" s="1601">
        <f t="shared" si="160"/>
        <v>86941.983999999997</v>
      </c>
      <c r="AE1191" s="1790">
        <v>72656.536199999988</v>
      </c>
      <c r="AF1191" s="1792"/>
    </row>
    <row r="1192" spans="1:32" ht="27.75" customHeight="1">
      <c r="A1192" s="2918"/>
      <c r="B1192" s="2919"/>
      <c r="C1192" s="2920"/>
      <c r="D1192" s="2917"/>
      <c r="E1192" s="1603" t="s">
        <v>2497</v>
      </c>
      <c r="F1192" s="1583"/>
      <c r="G1192" s="1583"/>
      <c r="H1192" s="1583"/>
      <c r="I1192" s="1583"/>
      <c r="J1192" s="1583"/>
      <c r="K1192" s="1583"/>
      <c r="L1192" s="1583"/>
      <c r="M1192" s="1583"/>
      <c r="N1192" s="1583"/>
      <c r="O1192" s="1583"/>
      <c r="P1192" s="1583"/>
      <c r="Q1192" s="1604"/>
      <c r="R1192" s="1583"/>
      <c r="S1192" s="1583"/>
      <c r="T1192" s="1604">
        <f>T1191</f>
        <v>35054.212999999996</v>
      </c>
      <c r="U1192" s="1604">
        <v>21565.94</v>
      </c>
      <c r="V1192" s="1604">
        <v>7539.08</v>
      </c>
      <c r="W1192" s="1604">
        <v>4751.96</v>
      </c>
      <c r="X1192" s="1592">
        <v>1352.37</v>
      </c>
      <c r="Y1192" s="1604">
        <v>2392.9731999999999</v>
      </c>
      <c r="Z1192" s="1585"/>
      <c r="AA1192" s="1585"/>
      <c r="AB1192" s="1585"/>
      <c r="AC1192" s="1585"/>
      <c r="AD1192" s="1601">
        <f t="shared" si="160"/>
        <v>72656.536199999988</v>
      </c>
      <c r="AE1192" s="1790">
        <v>72656.536199999988</v>
      </c>
      <c r="AF1192" s="1792"/>
    </row>
    <row r="1193" spans="1:32" ht="27.75" customHeight="1">
      <c r="A1193" s="2918" t="s">
        <v>2767</v>
      </c>
      <c r="B1193" s="2919" t="s">
        <v>2708</v>
      </c>
      <c r="C1193" s="2920" t="s">
        <v>49</v>
      </c>
      <c r="D1193" s="2917">
        <v>11766.935599999999</v>
      </c>
      <c r="E1193" s="1598" t="s">
        <v>2496</v>
      </c>
      <c r="F1193" s="1583"/>
      <c r="G1193" s="1583"/>
      <c r="H1193" s="1583"/>
      <c r="I1193" s="1583"/>
      <c r="J1193" s="1583"/>
      <c r="K1193" s="1583"/>
      <c r="L1193" s="1583"/>
      <c r="M1193" s="1583"/>
      <c r="N1193" s="1583"/>
      <c r="O1193" s="1583"/>
      <c r="P1193" s="1583"/>
      <c r="Q1193" s="1585"/>
      <c r="R1193" s="1583"/>
      <c r="S1193" s="1583"/>
      <c r="T1193" s="1585"/>
      <c r="U1193" s="1585">
        <v>2180.54</v>
      </c>
      <c r="V1193" s="1585">
        <v>6173.7</v>
      </c>
      <c r="W1193" s="1585"/>
      <c r="X1193" s="1585">
        <v>3412.69</v>
      </c>
      <c r="Y1193" s="1585"/>
      <c r="Z1193" s="1585"/>
      <c r="AA1193" s="1585"/>
      <c r="AB1193" s="1585"/>
      <c r="AC1193" s="1585"/>
      <c r="AD1193" s="1601">
        <f t="shared" si="160"/>
        <v>11766.93</v>
      </c>
      <c r="AE1193" s="1790">
        <v>11766.93</v>
      </c>
      <c r="AF1193" s="1792"/>
    </row>
    <row r="1194" spans="1:32" ht="27.75" customHeight="1">
      <c r="A1194" s="2918"/>
      <c r="B1194" s="2919"/>
      <c r="C1194" s="2920"/>
      <c r="D1194" s="2917"/>
      <c r="E1194" s="1603" t="s">
        <v>2497</v>
      </c>
      <c r="F1194" s="1583"/>
      <c r="G1194" s="1583"/>
      <c r="H1194" s="1583"/>
      <c r="I1194" s="1583"/>
      <c r="J1194" s="1583"/>
      <c r="K1194" s="1583"/>
      <c r="L1194" s="1583"/>
      <c r="M1194" s="1583"/>
      <c r="N1194" s="1583"/>
      <c r="O1194" s="1583"/>
      <c r="P1194" s="1583"/>
      <c r="Q1194" s="1604"/>
      <c r="R1194" s="1583"/>
      <c r="S1194" s="1583"/>
      <c r="T1194" s="1585"/>
      <c r="U1194" s="1604">
        <v>2180.54</v>
      </c>
      <c r="V1194" s="1604">
        <v>6173.7</v>
      </c>
      <c r="W1194" s="1585"/>
      <c r="X1194" s="1592">
        <v>3412.69</v>
      </c>
      <c r="Y1194" s="1585"/>
      <c r="Z1194" s="1585"/>
      <c r="AA1194" s="1585"/>
      <c r="AB1194" s="1585"/>
      <c r="AC1194" s="1585"/>
      <c r="AD1194" s="1601">
        <f t="shared" si="160"/>
        <v>11766.93</v>
      </c>
      <c r="AE1194" s="1790">
        <v>11766.93</v>
      </c>
      <c r="AF1194" s="1792"/>
    </row>
    <row r="1195" spans="1:32" ht="27.75" customHeight="1">
      <c r="A1195" s="2918" t="s">
        <v>2768</v>
      </c>
      <c r="B1195" s="2919" t="s">
        <v>2769</v>
      </c>
      <c r="C1195" s="2920" t="s">
        <v>49</v>
      </c>
      <c r="D1195" s="2917">
        <v>1713.02</v>
      </c>
      <c r="E1195" s="1598" t="s">
        <v>2496</v>
      </c>
      <c r="F1195" s="1583"/>
      <c r="G1195" s="1583"/>
      <c r="H1195" s="1583"/>
      <c r="I1195" s="1583"/>
      <c r="J1195" s="1583"/>
      <c r="K1195" s="1583"/>
      <c r="L1195" s="1583"/>
      <c r="M1195" s="1583"/>
      <c r="N1195" s="1583"/>
      <c r="O1195" s="1583"/>
      <c r="P1195" s="1583"/>
      <c r="Q1195" s="1585"/>
      <c r="R1195" s="1583"/>
      <c r="S1195" s="1583"/>
      <c r="T1195" s="1585"/>
      <c r="U1195" s="1585"/>
      <c r="V1195" s="1585">
        <v>1648.27</v>
      </c>
      <c r="W1195" s="1585">
        <v>64.75</v>
      </c>
      <c r="X1195" s="1585"/>
      <c r="Y1195" s="1585"/>
      <c r="Z1195" s="1585"/>
      <c r="AA1195" s="1585"/>
      <c r="AB1195" s="1585"/>
      <c r="AC1195" s="1585"/>
      <c r="AD1195" s="1601">
        <f t="shared" si="160"/>
        <v>1713.02</v>
      </c>
      <c r="AE1195" s="1790">
        <v>1713.02</v>
      </c>
      <c r="AF1195" s="1792"/>
    </row>
    <row r="1196" spans="1:32" ht="27.75" customHeight="1">
      <c r="A1196" s="2918"/>
      <c r="B1196" s="2919"/>
      <c r="C1196" s="2920"/>
      <c r="D1196" s="2917"/>
      <c r="E1196" s="1603" t="s">
        <v>2497</v>
      </c>
      <c r="F1196" s="1583"/>
      <c r="G1196" s="1583"/>
      <c r="H1196" s="1583"/>
      <c r="I1196" s="1583"/>
      <c r="J1196" s="1583"/>
      <c r="K1196" s="1583"/>
      <c r="L1196" s="1583"/>
      <c r="M1196" s="1583"/>
      <c r="N1196" s="1583"/>
      <c r="O1196" s="1583"/>
      <c r="P1196" s="1583"/>
      <c r="Q1196" s="1604"/>
      <c r="R1196" s="1583"/>
      <c r="S1196" s="1583"/>
      <c r="T1196" s="1585"/>
      <c r="U1196" s="1585"/>
      <c r="V1196" s="1604">
        <v>1648.27</v>
      </c>
      <c r="W1196" s="1604">
        <v>64.75</v>
      </c>
      <c r="X1196" s="1585"/>
      <c r="Y1196" s="1585"/>
      <c r="Z1196" s="1585"/>
      <c r="AA1196" s="1585"/>
      <c r="AB1196" s="1585"/>
      <c r="AC1196" s="1585"/>
      <c r="AD1196" s="1601">
        <f t="shared" si="160"/>
        <v>1713.02</v>
      </c>
      <c r="AE1196" s="1790">
        <v>1713.02</v>
      </c>
      <c r="AF1196" s="1792"/>
    </row>
    <row r="1197" spans="1:32" ht="27.75" customHeight="1">
      <c r="A1197" s="2918" t="s">
        <v>2770</v>
      </c>
      <c r="B1197" s="2919" t="s">
        <v>2771</v>
      </c>
      <c r="C1197" s="2920" t="s">
        <v>49</v>
      </c>
      <c r="D1197" s="2917">
        <v>7747.8093000000017</v>
      </c>
      <c r="E1197" s="1598" t="s">
        <v>2496</v>
      </c>
      <c r="F1197" s="1583"/>
      <c r="G1197" s="1583"/>
      <c r="H1197" s="1583"/>
      <c r="I1197" s="1583"/>
      <c r="J1197" s="1583"/>
      <c r="K1197" s="1583"/>
      <c r="L1197" s="1583"/>
      <c r="M1197" s="1583"/>
      <c r="N1197" s="1583"/>
      <c r="O1197" s="1583"/>
      <c r="P1197" s="1583"/>
      <c r="Q1197" s="1585"/>
      <c r="R1197" s="1583"/>
      <c r="S1197" s="1583"/>
      <c r="T1197" s="1585"/>
      <c r="U1197" s="1585"/>
      <c r="V1197" s="1585"/>
      <c r="W1197" s="1585"/>
      <c r="X1197" s="1585"/>
      <c r="Y1197" s="1585"/>
      <c r="Z1197" s="1585">
        <v>7747.8093000000017</v>
      </c>
      <c r="AA1197" s="1585"/>
      <c r="AB1197" s="1585"/>
      <c r="AC1197" s="1585"/>
      <c r="AD1197" s="1601">
        <f t="shared" si="160"/>
        <v>7747.8093000000017</v>
      </c>
      <c r="AE1197" s="1790">
        <v>0</v>
      </c>
      <c r="AF1197" s="1792"/>
    </row>
    <row r="1198" spans="1:32" ht="27.75" customHeight="1">
      <c r="A1198" s="2918"/>
      <c r="B1198" s="2919"/>
      <c r="C1198" s="2920"/>
      <c r="D1198" s="2917"/>
      <c r="E1198" s="1603" t="s">
        <v>2497</v>
      </c>
      <c r="F1198" s="1583"/>
      <c r="G1198" s="1583"/>
      <c r="H1198" s="1583"/>
      <c r="I1198" s="1583"/>
      <c r="J1198" s="1583"/>
      <c r="K1198" s="1583"/>
      <c r="L1198" s="1583"/>
      <c r="M1198" s="1583"/>
      <c r="N1198" s="1583"/>
      <c r="O1198" s="1583"/>
      <c r="P1198" s="1583"/>
      <c r="Q1198" s="1604"/>
      <c r="R1198" s="1583"/>
      <c r="S1198" s="1583"/>
      <c r="T1198" s="1585"/>
      <c r="U1198" s="1585"/>
      <c r="V1198" s="1585"/>
      <c r="W1198" s="1585"/>
      <c r="X1198" s="1585"/>
      <c r="Y1198" s="1585"/>
      <c r="Z1198" s="1585"/>
      <c r="AA1198" s="1585"/>
      <c r="AB1198" s="1585"/>
      <c r="AC1198" s="1585"/>
      <c r="AD1198" s="1601">
        <f t="shared" si="160"/>
        <v>0</v>
      </c>
      <c r="AE1198" s="1790">
        <v>0</v>
      </c>
      <c r="AF1198" s="1792"/>
    </row>
    <row r="1199" spans="1:32" ht="27.75" customHeight="1">
      <c r="A1199" s="1647">
        <v>2.08</v>
      </c>
      <c r="B1199" s="1651" t="s">
        <v>2646</v>
      </c>
      <c r="C1199" s="1596"/>
      <c r="D1199" s="1597"/>
      <c r="E1199" s="1599"/>
      <c r="F1199" s="1583"/>
      <c r="G1199" s="1583"/>
      <c r="H1199" s="1583"/>
      <c r="I1199" s="1583"/>
      <c r="J1199" s="1583"/>
      <c r="K1199" s="1583"/>
      <c r="L1199" s="1583"/>
      <c r="M1199" s="1583"/>
      <c r="N1199" s="1583"/>
      <c r="O1199" s="1583"/>
      <c r="P1199" s="1583"/>
      <c r="Q1199" s="1604"/>
      <c r="R1199" s="1583"/>
      <c r="S1199" s="1583"/>
      <c r="T1199" s="1585"/>
      <c r="U1199" s="1585"/>
      <c r="V1199" s="1585"/>
      <c r="W1199" s="1585"/>
      <c r="X1199" s="1585"/>
      <c r="Y1199" s="1585"/>
      <c r="Z1199" s="1585"/>
      <c r="AA1199" s="1585"/>
      <c r="AB1199" s="1585"/>
      <c r="AC1199" s="1585"/>
      <c r="AD1199" s="1601">
        <f t="shared" si="160"/>
        <v>0</v>
      </c>
      <c r="AE1199" s="1790">
        <v>0</v>
      </c>
      <c r="AF1199" s="1792"/>
    </row>
    <row r="1200" spans="1:32" ht="24" customHeight="1">
      <c r="A1200" s="1594" t="s">
        <v>2647</v>
      </c>
      <c r="B1200" s="1650" t="s">
        <v>2772</v>
      </c>
      <c r="C1200" s="1596"/>
      <c r="D1200" s="1597"/>
      <c r="E1200" s="1599"/>
      <c r="F1200" s="1583"/>
      <c r="G1200" s="1583"/>
      <c r="H1200" s="1583"/>
      <c r="I1200" s="1583"/>
      <c r="J1200" s="1583"/>
      <c r="K1200" s="1583"/>
      <c r="L1200" s="1583"/>
      <c r="M1200" s="1583"/>
      <c r="N1200" s="1583"/>
      <c r="O1200" s="1583"/>
      <c r="P1200" s="1583"/>
      <c r="Q1200" s="1583"/>
      <c r="R1200" s="1583"/>
      <c r="S1200" s="1583"/>
      <c r="T1200" s="1585"/>
      <c r="U1200" s="1585"/>
      <c r="V1200" s="1585"/>
      <c r="W1200" s="1585"/>
      <c r="X1200" s="1585"/>
      <c r="Y1200" s="1585"/>
      <c r="Z1200" s="1585"/>
      <c r="AA1200" s="1585"/>
      <c r="AB1200" s="1585"/>
      <c r="AC1200" s="1585"/>
      <c r="AD1200" s="1601">
        <f t="shared" si="160"/>
        <v>0</v>
      </c>
      <c r="AE1200" s="1790">
        <v>0</v>
      </c>
      <c r="AF1200" s="1792"/>
    </row>
    <row r="1201" spans="1:32" ht="27.75" customHeight="1">
      <c r="A1201" s="2918" t="s">
        <v>2649</v>
      </c>
      <c r="B1201" s="2919" t="s">
        <v>2773</v>
      </c>
      <c r="C1201" s="2920" t="s">
        <v>51</v>
      </c>
      <c r="D1201" s="2917">
        <v>8934.5571</v>
      </c>
      <c r="E1201" s="1598" t="s">
        <v>2496</v>
      </c>
      <c r="F1201" s="1583"/>
      <c r="G1201" s="1583"/>
      <c r="H1201" s="1583"/>
      <c r="I1201" s="1583"/>
      <c r="J1201" s="1583"/>
      <c r="K1201" s="1583"/>
      <c r="L1201" s="1583"/>
      <c r="M1201" s="1583"/>
      <c r="N1201" s="1583"/>
      <c r="O1201" s="1583"/>
      <c r="P1201" s="1583"/>
      <c r="Q1201" s="1585"/>
      <c r="R1201" s="1583"/>
      <c r="S1201" s="1583"/>
      <c r="T1201" s="1585"/>
      <c r="U1201" s="1585"/>
      <c r="V1201" s="1585"/>
      <c r="W1201" s="1585"/>
      <c r="X1201" s="1585"/>
      <c r="Y1201" s="1585"/>
      <c r="Z1201" s="1585"/>
      <c r="AA1201" s="1585">
        <v>8934.5571</v>
      </c>
      <c r="AB1201" s="1585"/>
      <c r="AC1201" s="1585"/>
      <c r="AD1201" s="1601">
        <f t="shared" si="160"/>
        <v>8934.5571</v>
      </c>
      <c r="AE1201" s="1790">
        <v>0</v>
      </c>
      <c r="AF1201" s="1792"/>
    </row>
    <row r="1202" spans="1:32" ht="27.75" customHeight="1">
      <c r="A1202" s="2918"/>
      <c r="B1202" s="2919"/>
      <c r="C1202" s="2920"/>
      <c r="D1202" s="2917"/>
      <c r="E1202" s="1603" t="s">
        <v>2497</v>
      </c>
      <c r="F1202" s="1583"/>
      <c r="G1202" s="1583"/>
      <c r="H1202" s="1583"/>
      <c r="I1202" s="1583"/>
      <c r="J1202" s="1583"/>
      <c r="K1202" s="1583"/>
      <c r="L1202" s="1583"/>
      <c r="M1202" s="1583"/>
      <c r="N1202" s="1583"/>
      <c r="O1202" s="1583"/>
      <c r="P1202" s="1583"/>
      <c r="Q1202" s="1604"/>
      <c r="R1202" s="1583"/>
      <c r="S1202" s="1583"/>
      <c r="T1202" s="1585"/>
      <c r="U1202" s="1585"/>
      <c r="V1202" s="1585"/>
      <c r="W1202" s="1585"/>
      <c r="X1202" s="1585"/>
      <c r="Y1202" s="1585"/>
      <c r="Z1202" s="1585"/>
      <c r="AA1202" s="1585"/>
      <c r="AB1202" s="1585"/>
      <c r="AC1202" s="1585"/>
      <c r="AD1202" s="1601">
        <f t="shared" si="160"/>
        <v>0</v>
      </c>
      <c r="AE1202" s="1790">
        <v>0</v>
      </c>
      <c r="AF1202" s="1792"/>
    </row>
    <row r="1203" spans="1:32" ht="27.75" customHeight="1">
      <c r="A1203" s="2918" t="s">
        <v>2651</v>
      </c>
      <c r="B1203" s="2919" t="s">
        <v>2774</v>
      </c>
      <c r="C1203" s="2920" t="s">
        <v>51</v>
      </c>
      <c r="D1203" s="2917">
        <v>54561.251199999999</v>
      </c>
      <c r="E1203" s="1598" t="s">
        <v>2496</v>
      </c>
      <c r="F1203" s="1583"/>
      <c r="G1203" s="1583"/>
      <c r="H1203" s="1583"/>
      <c r="I1203" s="1583"/>
      <c r="J1203" s="1583"/>
      <c r="K1203" s="1583"/>
      <c r="L1203" s="1583"/>
      <c r="M1203" s="1583"/>
      <c r="N1203" s="1583"/>
      <c r="O1203" s="1583"/>
      <c r="P1203" s="1583"/>
      <c r="Q1203" s="1585"/>
      <c r="R1203" s="1583"/>
      <c r="S1203" s="1583"/>
      <c r="T1203" s="1585"/>
      <c r="U1203" s="1585"/>
      <c r="V1203" s="1585"/>
      <c r="W1203" s="1585"/>
      <c r="X1203" s="1585"/>
      <c r="Y1203" s="1585"/>
      <c r="Z1203" s="1585"/>
      <c r="AA1203" s="1585">
        <v>54561.251199999999</v>
      </c>
      <c r="AB1203" s="1585"/>
      <c r="AC1203" s="1585"/>
      <c r="AD1203" s="1601">
        <f t="shared" si="160"/>
        <v>54561.251199999999</v>
      </c>
      <c r="AE1203" s="1790">
        <v>0</v>
      </c>
      <c r="AF1203" s="1792"/>
    </row>
    <row r="1204" spans="1:32" ht="27.75" customHeight="1">
      <c r="A1204" s="2918"/>
      <c r="B1204" s="2919"/>
      <c r="C1204" s="2920"/>
      <c r="D1204" s="2917"/>
      <c r="E1204" s="1603" t="s">
        <v>2497</v>
      </c>
      <c r="F1204" s="1583"/>
      <c r="G1204" s="1583"/>
      <c r="H1204" s="1583"/>
      <c r="I1204" s="1583"/>
      <c r="J1204" s="1583"/>
      <c r="K1204" s="1583"/>
      <c r="L1204" s="1583"/>
      <c r="M1204" s="1583"/>
      <c r="N1204" s="1583"/>
      <c r="O1204" s="1583"/>
      <c r="P1204" s="1583"/>
      <c r="Q1204" s="1604"/>
      <c r="R1204" s="1583"/>
      <c r="S1204" s="1583"/>
      <c r="T1204" s="1585"/>
      <c r="U1204" s="1585"/>
      <c r="V1204" s="1585"/>
      <c r="W1204" s="1585"/>
      <c r="X1204" s="1585"/>
      <c r="Y1204" s="1585"/>
      <c r="Z1204" s="1585"/>
      <c r="AA1204" s="1585"/>
      <c r="AB1204" s="1585"/>
      <c r="AC1204" s="1585"/>
      <c r="AD1204" s="1601">
        <f t="shared" si="160"/>
        <v>0</v>
      </c>
      <c r="AE1204" s="1790">
        <v>0</v>
      </c>
      <c r="AF1204" s="1792"/>
    </row>
    <row r="1205" spans="1:32" ht="27.75" customHeight="1">
      <c r="A1205" s="2918" t="s">
        <v>2653</v>
      </c>
      <c r="B1205" s="2919" t="s">
        <v>2775</v>
      </c>
      <c r="C1205" s="2920" t="s">
        <v>49</v>
      </c>
      <c r="D1205" s="2917">
        <v>7717.5454</v>
      </c>
      <c r="E1205" s="1598" t="s">
        <v>2496</v>
      </c>
      <c r="F1205" s="1583"/>
      <c r="G1205" s="1583"/>
      <c r="H1205" s="1583"/>
      <c r="I1205" s="1583"/>
      <c r="J1205" s="1583"/>
      <c r="K1205" s="1583"/>
      <c r="L1205" s="1583"/>
      <c r="M1205" s="1583"/>
      <c r="N1205" s="1583"/>
      <c r="O1205" s="1583"/>
      <c r="P1205" s="1583"/>
      <c r="Q1205" s="1585"/>
      <c r="R1205" s="1583"/>
      <c r="S1205" s="1583"/>
      <c r="T1205" s="1585"/>
      <c r="U1205" s="1585"/>
      <c r="V1205" s="1585"/>
      <c r="W1205" s="1585"/>
      <c r="X1205" s="1585"/>
      <c r="Y1205" s="1585"/>
      <c r="Z1205" s="1585">
        <v>7717.5454</v>
      </c>
      <c r="AA1205" s="1585"/>
      <c r="AB1205" s="1585"/>
      <c r="AC1205" s="1585"/>
      <c r="AD1205" s="1601">
        <f t="shared" si="160"/>
        <v>7717.5454</v>
      </c>
      <c r="AE1205" s="1790">
        <v>0</v>
      </c>
      <c r="AF1205" s="1792"/>
    </row>
    <row r="1206" spans="1:32" ht="27.75" customHeight="1">
      <c r="A1206" s="2918"/>
      <c r="B1206" s="2919"/>
      <c r="C1206" s="2920"/>
      <c r="D1206" s="2917"/>
      <c r="E1206" s="1603" t="s">
        <v>2497</v>
      </c>
      <c r="F1206" s="1583"/>
      <c r="G1206" s="1583"/>
      <c r="H1206" s="1583"/>
      <c r="I1206" s="1583"/>
      <c r="J1206" s="1583"/>
      <c r="K1206" s="1583"/>
      <c r="L1206" s="1583"/>
      <c r="M1206" s="1583"/>
      <c r="N1206" s="1583"/>
      <c r="O1206" s="1583"/>
      <c r="P1206" s="1583"/>
      <c r="Q1206" s="1604"/>
      <c r="R1206" s="1583"/>
      <c r="S1206" s="1583"/>
      <c r="T1206" s="1585"/>
      <c r="U1206" s="1585"/>
      <c r="V1206" s="1585"/>
      <c r="W1206" s="1585"/>
      <c r="X1206" s="1585"/>
      <c r="Y1206" s="1585"/>
      <c r="Z1206" s="1585"/>
      <c r="AA1206" s="1585"/>
      <c r="AB1206" s="1585"/>
      <c r="AC1206" s="1585"/>
      <c r="AD1206" s="1601">
        <f t="shared" si="160"/>
        <v>0</v>
      </c>
      <c r="AE1206" s="1790">
        <v>0</v>
      </c>
      <c r="AF1206" s="1792"/>
    </row>
    <row r="1207" spans="1:32" ht="27.75" customHeight="1">
      <c r="A1207" s="2918" t="s">
        <v>2655</v>
      </c>
      <c r="B1207" s="2919" t="s">
        <v>2776</v>
      </c>
      <c r="C1207" s="2920" t="s">
        <v>51</v>
      </c>
      <c r="D1207" s="2917">
        <v>41734.581900000005</v>
      </c>
      <c r="E1207" s="1598" t="s">
        <v>2496</v>
      </c>
      <c r="F1207" s="1583"/>
      <c r="G1207" s="1583"/>
      <c r="H1207" s="1583"/>
      <c r="I1207" s="1583"/>
      <c r="J1207" s="1583"/>
      <c r="K1207" s="1583"/>
      <c r="L1207" s="1583"/>
      <c r="M1207" s="1583"/>
      <c r="N1207" s="1583"/>
      <c r="O1207" s="1583"/>
      <c r="P1207" s="1583"/>
      <c r="Q1207" s="1585"/>
      <c r="R1207" s="1583"/>
      <c r="S1207" s="1583"/>
      <c r="T1207" s="1585"/>
      <c r="U1207" s="1585"/>
      <c r="V1207" s="1585"/>
      <c r="W1207" s="1585"/>
      <c r="X1207" s="1585"/>
      <c r="Y1207" s="1585"/>
      <c r="Z1207" s="1585">
        <v>41734.581900000005</v>
      </c>
      <c r="AA1207" s="1585"/>
      <c r="AB1207" s="1585"/>
      <c r="AC1207" s="1585"/>
      <c r="AD1207" s="1601">
        <f t="shared" si="160"/>
        <v>41734.581900000005</v>
      </c>
      <c r="AE1207" s="1790">
        <v>0</v>
      </c>
      <c r="AF1207" s="1792"/>
    </row>
    <row r="1208" spans="1:32" ht="27.75" customHeight="1">
      <c r="A1208" s="2918"/>
      <c r="B1208" s="2919"/>
      <c r="C1208" s="2920"/>
      <c r="D1208" s="2917"/>
      <c r="E1208" s="1603" t="s">
        <v>2497</v>
      </c>
      <c r="F1208" s="1583"/>
      <c r="G1208" s="1583"/>
      <c r="H1208" s="1583"/>
      <c r="I1208" s="1583"/>
      <c r="J1208" s="1583"/>
      <c r="K1208" s="1583"/>
      <c r="L1208" s="1583"/>
      <c r="M1208" s="1583"/>
      <c r="N1208" s="1583"/>
      <c r="O1208" s="1583"/>
      <c r="P1208" s="1583"/>
      <c r="Q1208" s="1604"/>
      <c r="R1208" s="1583"/>
      <c r="S1208" s="1583"/>
      <c r="T1208" s="1585"/>
      <c r="U1208" s="1585"/>
      <c r="V1208" s="1585"/>
      <c r="W1208" s="1585"/>
      <c r="X1208" s="1585"/>
      <c r="Y1208" s="1585"/>
      <c r="Z1208" s="1585"/>
      <c r="AA1208" s="1585"/>
      <c r="AB1208" s="1585"/>
      <c r="AC1208" s="1585"/>
      <c r="AD1208" s="1601">
        <f t="shared" si="160"/>
        <v>0</v>
      </c>
      <c r="AE1208" s="1790">
        <v>0</v>
      </c>
      <c r="AF1208" s="1792"/>
    </row>
    <row r="1209" spans="1:32" ht="27.75" customHeight="1">
      <c r="A1209" s="2918" t="s">
        <v>2657</v>
      </c>
      <c r="B1209" s="2919" t="s">
        <v>2777</v>
      </c>
      <c r="C1209" s="2920" t="s">
        <v>52</v>
      </c>
      <c r="D1209" s="2917">
        <v>4514.58</v>
      </c>
      <c r="E1209" s="1598" t="s">
        <v>2496</v>
      </c>
      <c r="F1209" s="1583"/>
      <c r="G1209" s="1583"/>
      <c r="H1209" s="1583"/>
      <c r="I1209" s="1583"/>
      <c r="J1209" s="1583"/>
      <c r="K1209" s="1583"/>
      <c r="L1209" s="1583"/>
      <c r="M1209" s="1583"/>
      <c r="N1209" s="1583"/>
      <c r="O1209" s="1583"/>
      <c r="P1209" s="1583"/>
      <c r="Q1209" s="1585"/>
      <c r="R1209" s="1583"/>
      <c r="S1209" s="1583"/>
      <c r="T1209" s="1585"/>
      <c r="U1209" s="1585"/>
      <c r="V1209" s="1585"/>
      <c r="W1209" s="1585"/>
      <c r="X1209" s="1585"/>
      <c r="Y1209" s="1585"/>
      <c r="Z1209" s="1585">
        <v>4514.58</v>
      </c>
      <c r="AA1209" s="1585"/>
      <c r="AB1209" s="1585"/>
      <c r="AC1209" s="1585"/>
      <c r="AD1209" s="1601">
        <f t="shared" si="160"/>
        <v>4514.58</v>
      </c>
      <c r="AE1209" s="1790">
        <v>0</v>
      </c>
      <c r="AF1209" s="1792"/>
    </row>
    <row r="1210" spans="1:32" ht="27.75" customHeight="1">
      <c r="A1210" s="2918"/>
      <c r="B1210" s="2919"/>
      <c r="C1210" s="2920"/>
      <c r="D1210" s="2917"/>
      <c r="E1210" s="1603" t="s">
        <v>2497</v>
      </c>
      <c r="F1210" s="1583"/>
      <c r="G1210" s="1583"/>
      <c r="H1210" s="1583"/>
      <c r="I1210" s="1583"/>
      <c r="J1210" s="1583"/>
      <c r="K1210" s="1583"/>
      <c r="L1210" s="1583"/>
      <c r="M1210" s="1583"/>
      <c r="N1210" s="1583"/>
      <c r="O1210" s="1583"/>
      <c r="P1210" s="1583"/>
      <c r="Q1210" s="1604"/>
      <c r="R1210" s="1583"/>
      <c r="S1210" s="1583"/>
      <c r="T1210" s="1585"/>
      <c r="U1210" s="1585"/>
      <c r="V1210" s="1585"/>
      <c r="W1210" s="1585"/>
      <c r="X1210" s="1585"/>
      <c r="Y1210" s="1585"/>
      <c r="Z1210" s="1585"/>
      <c r="AA1210" s="1585"/>
      <c r="AB1210" s="1585"/>
      <c r="AC1210" s="1585"/>
      <c r="AD1210" s="1601">
        <f t="shared" si="160"/>
        <v>0</v>
      </c>
      <c r="AE1210" s="1790">
        <v>0</v>
      </c>
      <c r="AF1210" s="1792"/>
    </row>
    <row r="1211" spans="1:32" ht="27.75" customHeight="1">
      <c r="A1211" s="2918" t="s">
        <v>2778</v>
      </c>
      <c r="B1211" s="2919" t="s">
        <v>2779</v>
      </c>
      <c r="C1211" s="2920" t="s">
        <v>52</v>
      </c>
      <c r="D1211" s="2917">
        <v>804.57999999999993</v>
      </c>
      <c r="E1211" s="1598" t="s">
        <v>2496</v>
      </c>
      <c r="F1211" s="1583"/>
      <c r="G1211" s="1583"/>
      <c r="H1211" s="1583"/>
      <c r="I1211" s="1583"/>
      <c r="J1211" s="1583"/>
      <c r="K1211" s="1583"/>
      <c r="L1211" s="1583"/>
      <c r="M1211" s="1583"/>
      <c r="N1211" s="1583"/>
      <c r="O1211" s="1583"/>
      <c r="P1211" s="1583"/>
      <c r="Q1211" s="1585"/>
      <c r="R1211" s="1583"/>
      <c r="S1211" s="1583"/>
      <c r="T1211" s="1585"/>
      <c r="U1211" s="1585"/>
      <c r="V1211" s="1585"/>
      <c r="W1211" s="1585"/>
      <c r="X1211" s="1585"/>
      <c r="Y1211" s="1585"/>
      <c r="Z1211" s="1585">
        <v>804.57999999999993</v>
      </c>
      <c r="AA1211" s="1585"/>
      <c r="AB1211" s="1585"/>
      <c r="AC1211" s="1585"/>
      <c r="AD1211" s="1601">
        <f t="shared" si="160"/>
        <v>804.57999999999993</v>
      </c>
      <c r="AE1211" s="1790">
        <v>0</v>
      </c>
      <c r="AF1211" s="1792"/>
    </row>
    <row r="1212" spans="1:32" ht="27.75" customHeight="1">
      <c r="A1212" s="2918"/>
      <c r="B1212" s="2919"/>
      <c r="C1212" s="2920"/>
      <c r="D1212" s="2917"/>
      <c r="E1212" s="1603" t="s">
        <v>2497</v>
      </c>
      <c r="F1212" s="1583"/>
      <c r="G1212" s="1583"/>
      <c r="H1212" s="1583"/>
      <c r="I1212" s="1583"/>
      <c r="J1212" s="1583"/>
      <c r="K1212" s="1583"/>
      <c r="L1212" s="1583"/>
      <c r="M1212" s="1583"/>
      <c r="N1212" s="1583"/>
      <c r="O1212" s="1583"/>
      <c r="P1212" s="1583"/>
      <c r="Q1212" s="1604"/>
      <c r="R1212" s="1583"/>
      <c r="S1212" s="1583"/>
      <c r="T1212" s="1585"/>
      <c r="U1212" s="1585"/>
      <c r="V1212" s="1585"/>
      <c r="W1212" s="1585"/>
      <c r="X1212" s="1585"/>
      <c r="Y1212" s="1585"/>
      <c r="Z1212" s="1585"/>
      <c r="AA1212" s="1585"/>
      <c r="AB1212" s="1585"/>
      <c r="AC1212" s="1585"/>
      <c r="AD1212" s="1601">
        <f t="shared" si="160"/>
        <v>0</v>
      </c>
      <c r="AE1212" s="1790">
        <v>0</v>
      </c>
      <c r="AF1212" s="1792"/>
    </row>
    <row r="1213" spans="1:32" ht="27.75" customHeight="1">
      <c r="A1213" s="1647">
        <v>2.09</v>
      </c>
      <c r="B1213" s="1651" t="s">
        <v>2554</v>
      </c>
      <c r="C1213" s="1596"/>
      <c r="D1213" s="1597"/>
      <c r="E1213" s="1599"/>
      <c r="F1213" s="1583"/>
      <c r="G1213" s="1583"/>
      <c r="H1213" s="1583"/>
      <c r="I1213" s="1583"/>
      <c r="J1213" s="1583"/>
      <c r="K1213" s="1583"/>
      <c r="L1213" s="1583"/>
      <c r="M1213" s="1583"/>
      <c r="N1213" s="1583"/>
      <c r="O1213" s="1583"/>
      <c r="P1213" s="1583"/>
      <c r="Q1213" s="1604"/>
      <c r="R1213" s="1583"/>
      <c r="S1213" s="1583"/>
      <c r="T1213" s="1585"/>
      <c r="U1213" s="1585"/>
      <c r="V1213" s="1585"/>
      <c r="W1213" s="1585"/>
      <c r="X1213" s="1585"/>
      <c r="Y1213" s="1585"/>
      <c r="Z1213" s="1585"/>
      <c r="AA1213" s="1585"/>
      <c r="AB1213" s="1585"/>
      <c r="AC1213" s="1585"/>
      <c r="AD1213" s="1601">
        <f t="shared" si="160"/>
        <v>0</v>
      </c>
      <c r="AE1213" s="1790">
        <v>0</v>
      </c>
      <c r="AF1213" s="1792"/>
    </row>
    <row r="1214" spans="1:32" ht="27.75" customHeight="1">
      <c r="A1214" s="2918" t="s">
        <v>2649</v>
      </c>
      <c r="B1214" s="2919" t="s">
        <v>2709</v>
      </c>
      <c r="C1214" s="2920" t="s">
        <v>49</v>
      </c>
      <c r="D1214" s="2917">
        <v>105665.2879</v>
      </c>
      <c r="E1214" s="1598" t="s">
        <v>2496</v>
      </c>
      <c r="F1214" s="1583"/>
      <c r="G1214" s="1583"/>
      <c r="H1214" s="1583"/>
      <c r="I1214" s="1583"/>
      <c r="J1214" s="1583"/>
      <c r="K1214" s="1583"/>
      <c r="L1214" s="1583"/>
      <c r="M1214" s="1583"/>
      <c r="N1214" s="1583"/>
      <c r="O1214" s="1583"/>
      <c r="P1214" s="1583"/>
      <c r="Q1214" s="1585"/>
      <c r="R1214" s="1583"/>
      <c r="S1214" s="1583"/>
      <c r="T1214" s="1585">
        <v>11345</v>
      </c>
      <c r="U1214" s="1585">
        <v>15447.81</v>
      </c>
      <c r="V1214" s="1585">
        <v>6358.65</v>
      </c>
      <c r="W1214" s="1585">
        <v>5372.77</v>
      </c>
      <c r="X1214" s="1585">
        <v>5445.6</v>
      </c>
      <c r="Y1214" s="1585">
        <v>18494.619000000002</v>
      </c>
      <c r="Z1214" s="1585">
        <v>43200.838900000002</v>
      </c>
      <c r="AA1214" s="1585"/>
      <c r="AB1214" s="1585"/>
      <c r="AC1214" s="1585"/>
      <c r="AD1214" s="1601">
        <f t="shared" si="160"/>
        <v>105665.2879</v>
      </c>
      <c r="AE1214" s="1790">
        <v>62464.448999999993</v>
      </c>
      <c r="AF1214" s="1792"/>
    </row>
    <row r="1215" spans="1:32" ht="27.75" customHeight="1">
      <c r="A1215" s="2918"/>
      <c r="B1215" s="2919"/>
      <c r="C1215" s="2920"/>
      <c r="D1215" s="2917"/>
      <c r="E1215" s="1603" t="s">
        <v>2497</v>
      </c>
      <c r="F1215" s="1583"/>
      <c r="G1215" s="1583"/>
      <c r="H1215" s="1583"/>
      <c r="I1215" s="1583"/>
      <c r="J1215" s="1583"/>
      <c r="K1215" s="1583"/>
      <c r="L1215" s="1583"/>
      <c r="M1215" s="1583"/>
      <c r="N1215" s="1583"/>
      <c r="O1215" s="1583"/>
      <c r="P1215" s="1583"/>
      <c r="Q1215" s="1604"/>
      <c r="R1215" s="1583"/>
      <c r="S1215" s="1583"/>
      <c r="T1215" s="1604">
        <f>T1214</f>
        <v>11345</v>
      </c>
      <c r="U1215" s="1604">
        <v>15447.81</v>
      </c>
      <c r="V1215" s="1604">
        <v>6358.65</v>
      </c>
      <c r="W1215" s="1604">
        <v>5372.77</v>
      </c>
      <c r="X1215" s="1592">
        <v>5445.6</v>
      </c>
      <c r="Y1215" s="1604">
        <v>18494.619000000002</v>
      </c>
      <c r="Z1215" s="1585"/>
      <c r="AA1215" s="1585"/>
      <c r="AB1215" s="1585"/>
      <c r="AC1215" s="1585"/>
      <c r="AD1215" s="1601">
        <f t="shared" si="160"/>
        <v>62464.448999999993</v>
      </c>
      <c r="AE1215" s="1790">
        <v>62464.448999999993</v>
      </c>
      <c r="AF1215" s="1792"/>
    </row>
    <row r="1216" spans="1:32" ht="27.75" customHeight="1">
      <c r="A1216" s="2918" t="s">
        <v>2651</v>
      </c>
      <c r="B1216" s="2919" t="s">
        <v>2710</v>
      </c>
      <c r="C1216" s="2920" t="s">
        <v>49</v>
      </c>
      <c r="D1216" s="2917">
        <v>54435.176399999997</v>
      </c>
      <c r="E1216" s="1598" t="s">
        <v>2496</v>
      </c>
      <c r="F1216" s="1583"/>
      <c r="G1216" s="1583"/>
      <c r="H1216" s="1583"/>
      <c r="I1216" s="1583"/>
      <c r="J1216" s="1583"/>
      <c r="K1216" s="1583"/>
      <c r="L1216" s="1583"/>
      <c r="M1216" s="1583"/>
      <c r="N1216" s="1583"/>
      <c r="O1216" s="1583"/>
      <c r="P1216" s="1583"/>
      <c r="Q1216" s="1585"/>
      <c r="R1216" s="1583"/>
      <c r="S1216" s="1583"/>
      <c r="T1216" s="1585">
        <v>3498</v>
      </c>
      <c r="U1216" s="1585">
        <v>6283.81</v>
      </c>
      <c r="V1216" s="1585">
        <v>3547.44</v>
      </c>
      <c r="W1216" s="1585">
        <v>3872.29</v>
      </c>
      <c r="X1216" s="1585">
        <v>1822.92</v>
      </c>
      <c r="Y1216" s="1585">
        <v>8537.6851999999999</v>
      </c>
      <c r="Z1216" s="1585">
        <v>26873.031199999998</v>
      </c>
      <c r="AA1216" s="1585"/>
      <c r="AB1216" s="1585"/>
      <c r="AC1216" s="1585"/>
      <c r="AD1216" s="1601">
        <f t="shared" si="160"/>
        <v>54435.176399999997</v>
      </c>
      <c r="AE1216" s="1790">
        <v>27562.145199999999</v>
      </c>
      <c r="AF1216" s="1792"/>
    </row>
    <row r="1217" spans="1:32" ht="27.75" customHeight="1">
      <c r="A1217" s="2918"/>
      <c r="B1217" s="2919"/>
      <c r="C1217" s="2920"/>
      <c r="D1217" s="2917"/>
      <c r="E1217" s="1603" t="s">
        <v>2497</v>
      </c>
      <c r="F1217" s="1583"/>
      <c r="G1217" s="1583"/>
      <c r="H1217" s="1583"/>
      <c r="I1217" s="1583"/>
      <c r="J1217" s="1583"/>
      <c r="K1217" s="1583"/>
      <c r="L1217" s="1583"/>
      <c r="M1217" s="1583"/>
      <c r="N1217" s="1583"/>
      <c r="O1217" s="1583"/>
      <c r="P1217" s="1583"/>
      <c r="Q1217" s="1604"/>
      <c r="R1217" s="1583"/>
      <c r="S1217" s="1583"/>
      <c r="T1217" s="1604">
        <f>T1216</f>
        <v>3498</v>
      </c>
      <c r="U1217" s="1604">
        <v>6283.81</v>
      </c>
      <c r="V1217" s="1604">
        <v>3547.44</v>
      </c>
      <c r="W1217" s="1604">
        <v>3872.29</v>
      </c>
      <c r="X1217" s="1592">
        <v>1822.92</v>
      </c>
      <c r="Y1217" s="1604">
        <v>8537.6851999999999</v>
      </c>
      <c r="Z1217" s="1585"/>
      <c r="AA1217" s="1585"/>
      <c r="AB1217" s="1585"/>
      <c r="AC1217" s="1585"/>
      <c r="AD1217" s="1601">
        <f t="shared" si="160"/>
        <v>27562.145199999999</v>
      </c>
      <c r="AE1217" s="1790">
        <v>27562.145199999999</v>
      </c>
      <c r="AF1217" s="1792"/>
    </row>
    <row r="1218" spans="1:32" ht="27.75" customHeight="1">
      <c r="A1218" s="2918" t="s">
        <v>2653</v>
      </c>
      <c r="B1218" s="2919" t="s">
        <v>2711</v>
      </c>
      <c r="C1218" s="2920" t="s">
        <v>49</v>
      </c>
      <c r="D1218" s="2917">
        <v>23754.99</v>
      </c>
      <c r="E1218" s="1598" t="s">
        <v>2496</v>
      </c>
      <c r="F1218" s="1583"/>
      <c r="G1218" s="1583"/>
      <c r="H1218" s="1583"/>
      <c r="I1218" s="1583"/>
      <c r="J1218" s="1583"/>
      <c r="K1218" s="1583"/>
      <c r="L1218" s="1583"/>
      <c r="M1218" s="1583"/>
      <c r="N1218" s="1583"/>
      <c r="O1218" s="1583"/>
      <c r="P1218" s="1583"/>
      <c r="Q1218" s="1585"/>
      <c r="R1218" s="1583"/>
      <c r="S1218" s="1583"/>
      <c r="T1218" s="1585">
        <v>3255</v>
      </c>
      <c r="U1218" s="1585">
        <v>3053.41</v>
      </c>
      <c r="V1218" s="1585">
        <v>1267.93</v>
      </c>
      <c r="W1218" s="1585">
        <v>1389.02</v>
      </c>
      <c r="X1218" s="1585">
        <v>279.93</v>
      </c>
      <c r="Y1218" s="1585">
        <v>1986.6349999999998</v>
      </c>
      <c r="Z1218" s="1585">
        <v>12523.065000000001</v>
      </c>
      <c r="AA1218" s="1585"/>
      <c r="AB1218" s="1585"/>
      <c r="AC1218" s="1585"/>
      <c r="AD1218" s="1601">
        <f t="shared" si="160"/>
        <v>23754.99</v>
      </c>
      <c r="AE1218" s="1790">
        <v>11231.925000000001</v>
      </c>
      <c r="AF1218" s="1792"/>
    </row>
    <row r="1219" spans="1:32" ht="27.75" customHeight="1">
      <c r="A1219" s="2918"/>
      <c r="B1219" s="2919"/>
      <c r="C1219" s="2920"/>
      <c r="D1219" s="2917"/>
      <c r="E1219" s="1603" t="s">
        <v>2497</v>
      </c>
      <c r="F1219" s="1583"/>
      <c r="G1219" s="1583"/>
      <c r="H1219" s="1583"/>
      <c r="I1219" s="1583"/>
      <c r="J1219" s="1583"/>
      <c r="K1219" s="1583"/>
      <c r="L1219" s="1583"/>
      <c r="M1219" s="1583"/>
      <c r="N1219" s="1583"/>
      <c r="O1219" s="1583"/>
      <c r="P1219" s="1583"/>
      <c r="Q1219" s="1604"/>
      <c r="R1219" s="1583"/>
      <c r="S1219" s="1583"/>
      <c r="T1219" s="1604">
        <f>T1218</f>
        <v>3255</v>
      </c>
      <c r="U1219" s="1604">
        <v>3053.41</v>
      </c>
      <c r="V1219" s="1604">
        <v>1267.93</v>
      </c>
      <c r="W1219" s="1604">
        <v>1389.02</v>
      </c>
      <c r="X1219" s="1592">
        <v>279.93</v>
      </c>
      <c r="Y1219" s="1604">
        <v>1986.6349999999998</v>
      </c>
      <c r="Z1219" s="1585"/>
      <c r="AA1219" s="1585"/>
      <c r="AB1219" s="1585"/>
      <c r="AC1219" s="1585"/>
      <c r="AD1219" s="1601">
        <f t="shared" si="160"/>
        <v>11231.925000000001</v>
      </c>
      <c r="AE1219" s="1790">
        <v>11231.925000000001</v>
      </c>
      <c r="AF1219" s="1792"/>
    </row>
    <row r="1220" spans="1:32" ht="27.75" customHeight="1">
      <c r="A1220" s="2918" t="s">
        <v>2655</v>
      </c>
      <c r="B1220" s="2919" t="s">
        <v>2712</v>
      </c>
      <c r="C1220" s="2920" t="s">
        <v>49</v>
      </c>
      <c r="D1220" s="2917">
        <v>24681.274400000002</v>
      </c>
      <c r="E1220" s="1598" t="s">
        <v>2496</v>
      </c>
      <c r="F1220" s="1583"/>
      <c r="G1220" s="1583"/>
      <c r="H1220" s="1583"/>
      <c r="I1220" s="1583"/>
      <c r="J1220" s="1583"/>
      <c r="K1220" s="1583"/>
      <c r="L1220" s="1583"/>
      <c r="M1220" s="1583"/>
      <c r="N1220" s="1583"/>
      <c r="O1220" s="1583"/>
      <c r="P1220" s="1583"/>
      <c r="Q1220" s="1585"/>
      <c r="R1220" s="1583"/>
      <c r="S1220" s="1583"/>
      <c r="T1220" s="1585"/>
      <c r="U1220" s="1585">
        <v>862.22</v>
      </c>
      <c r="V1220" s="1585">
        <v>1568.79</v>
      </c>
      <c r="W1220" s="1585">
        <v>585.86</v>
      </c>
      <c r="X1220" s="1585">
        <v>958.88</v>
      </c>
      <c r="Y1220" s="1585">
        <v>4248.9294</v>
      </c>
      <c r="Z1220" s="1585">
        <v>16456.595000000001</v>
      </c>
      <c r="AA1220" s="1585"/>
      <c r="AB1220" s="1585"/>
      <c r="AC1220" s="1585"/>
      <c r="AD1220" s="1601">
        <f t="shared" si="160"/>
        <v>24681.274400000002</v>
      </c>
      <c r="AE1220" s="1790">
        <v>8224.6794000000009</v>
      </c>
      <c r="AF1220" s="1792"/>
    </row>
    <row r="1221" spans="1:32" ht="27.75" customHeight="1">
      <c r="A1221" s="2918"/>
      <c r="B1221" s="2919"/>
      <c r="C1221" s="2920"/>
      <c r="D1221" s="2917"/>
      <c r="E1221" s="1603" t="s">
        <v>2497</v>
      </c>
      <c r="F1221" s="1583"/>
      <c r="G1221" s="1583"/>
      <c r="H1221" s="1583"/>
      <c r="I1221" s="1583"/>
      <c r="J1221" s="1583"/>
      <c r="K1221" s="1583"/>
      <c r="L1221" s="1583"/>
      <c r="M1221" s="1583"/>
      <c r="N1221" s="1583"/>
      <c r="O1221" s="1583"/>
      <c r="P1221" s="1583"/>
      <c r="Q1221" s="1604"/>
      <c r="R1221" s="1583"/>
      <c r="S1221" s="1583"/>
      <c r="T1221" s="1585"/>
      <c r="U1221" s="1604">
        <v>862.22</v>
      </c>
      <c r="V1221" s="1604">
        <v>1568.79</v>
      </c>
      <c r="W1221" s="1604">
        <v>585.86</v>
      </c>
      <c r="X1221" s="1592">
        <v>958.88</v>
      </c>
      <c r="Y1221" s="1604">
        <v>4248.9294</v>
      </c>
      <c r="Z1221" s="1585"/>
      <c r="AA1221" s="1585"/>
      <c r="AB1221" s="1585"/>
      <c r="AC1221" s="1585"/>
      <c r="AD1221" s="1601">
        <f t="shared" si="160"/>
        <v>8224.6794000000009</v>
      </c>
      <c r="AE1221" s="1790">
        <v>8224.6794000000009</v>
      </c>
      <c r="AF1221" s="1792"/>
    </row>
    <row r="1222" spans="1:32" ht="27.75" customHeight="1">
      <c r="A1222" s="2918" t="s">
        <v>2657</v>
      </c>
      <c r="B1222" s="2919" t="s">
        <v>2713</v>
      </c>
      <c r="C1222" s="2920" t="s">
        <v>49</v>
      </c>
      <c r="D1222" s="2917">
        <v>36029.015399999997</v>
      </c>
      <c r="E1222" s="1598" t="s">
        <v>2496</v>
      </c>
      <c r="F1222" s="1583"/>
      <c r="G1222" s="1583"/>
      <c r="H1222" s="1583"/>
      <c r="I1222" s="1583"/>
      <c r="J1222" s="1583"/>
      <c r="K1222" s="1583"/>
      <c r="L1222" s="1583"/>
      <c r="M1222" s="1583"/>
      <c r="N1222" s="1583"/>
      <c r="O1222" s="1583"/>
      <c r="P1222" s="1583"/>
      <c r="Q1222" s="1585"/>
      <c r="R1222" s="1583"/>
      <c r="S1222" s="1583"/>
      <c r="T1222" s="1585"/>
      <c r="U1222" s="1585">
        <v>1758.78</v>
      </c>
      <c r="V1222" s="1585">
        <v>1296.21</v>
      </c>
      <c r="W1222" s="1585">
        <v>2285.25</v>
      </c>
      <c r="X1222" s="1585">
        <v>198.38</v>
      </c>
      <c r="Y1222" s="1585">
        <v>1453.8887999999999</v>
      </c>
      <c r="Z1222" s="1585"/>
      <c r="AA1222" s="1585">
        <v>29036.506599999997</v>
      </c>
      <c r="AB1222" s="1585"/>
      <c r="AC1222" s="1585"/>
      <c r="AD1222" s="1601">
        <f t="shared" si="160"/>
        <v>36029.015399999997</v>
      </c>
      <c r="AE1222" s="1790">
        <v>6992.5087999999996</v>
      </c>
      <c r="AF1222" s="1792"/>
    </row>
    <row r="1223" spans="1:32" ht="27.75" customHeight="1">
      <c r="A1223" s="2918"/>
      <c r="B1223" s="2919"/>
      <c r="C1223" s="2920"/>
      <c r="D1223" s="2917"/>
      <c r="E1223" s="1603" t="s">
        <v>2497</v>
      </c>
      <c r="F1223" s="1583"/>
      <c r="G1223" s="1583"/>
      <c r="H1223" s="1583"/>
      <c r="I1223" s="1583"/>
      <c r="J1223" s="1583"/>
      <c r="K1223" s="1583"/>
      <c r="L1223" s="1583"/>
      <c r="M1223" s="1583"/>
      <c r="N1223" s="1583"/>
      <c r="O1223" s="1583"/>
      <c r="P1223" s="1583"/>
      <c r="Q1223" s="1604"/>
      <c r="R1223" s="1583"/>
      <c r="S1223" s="1583"/>
      <c r="T1223" s="1585"/>
      <c r="U1223" s="1604">
        <v>1758.78</v>
      </c>
      <c r="V1223" s="1604">
        <v>1296.21</v>
      </c>
      <c r="W1223" s="1604">
        <v>2285.25</v>
      </c>
      <c r="X1223" s="1592">
        <v>198.38</v>
      </c>
      <c r="Y1223" s="1604">
        <v>1453.8887999999999</v>
      </c>
      <c r="Z1223" s="1585"/>
      <c r="AA1223" s="1585"/>
      <c r="AB1223" s="1585"/>
      <c r="AC1223" s="1585"/>
      <c r="AD1223" s="1601">
        <f t="shared" si="160"/>
        <v>6992.5087999999996</v>
      </c>
      <c r="AE1223" s="1790">
        <v>6992.5087999999996</v>
      </c>
      <c r="AF1223" s="1792"/>
    </row>
    <row r="1224" spans="1:32" ht="27.75" customHeight="1">
      <c r="A1224" s="2918" t="s">
        <v>2778</v>
      </c>
      <c r="B1224" s="2919" t="s">
        <v>2780</v>
      </c>
      <c r="C1224" s="2920" t="s">
        <v>49</v>
      </c>
      <c r="D1224" s="2917">
        <v>7582.2292000000007</v>
      </c>
      <c r="E1224" s="1598" t="s">
        <v>2496</v>
      </c>
      <c r="F1224" s="1583"/>
      <c r="G1224" s="1583"/>
      <c r="H1224" s="1583"/>
      <c r="I1224" s="1583"/>
      <c r="J1224" s="1583"/>
      <c r="K1224" s="1583"/>
      <c r="L1224" s="1583"/>
      <c r="M1224" s="1583"/>
      <c r="N1224" s="1583"/>
      <c r="O1224" s="1583"/>
      <c r="P1224" s="1583"/>
      <c r="Q1224" s="1585"/>
      <c r="R1224" s="1583"/>
      <c r="S1224" s="1583"/>
      <c r="T1224" s="1585"/>
      <c r="U1224" s="1585"/>
      <c r="V1224" s="1585"/>
      <c r="W1224" s="1585"/>
      <c r="X1224" s="1585"/>
      <c r="Y1224" s="1585"/>
      <c r="Z1224" s="1585"/>
      <c r="AA1224" s="1585">
        <v>7582.2292000000007</v>
      </c>
      <c r="AB1224" s="1585"/>
      <c r="AC1224" s="1585"/>
      <c r="AD1224" s="1601">
        <f t="shared" si="160"/>
        <v>7582.2292000000007</v>
      </c>
      <c r="AE1224" s="1790">
        <v>0</v>
      </c>
      <c r="AF1224" s="1792"/>
    </row>
    <row r="1225" spans="1:32" ht="27.75" customHeight="1">
      <c r="A1225" s="2918"/>
      <c r="B1225" s="2919"/>
      <c r="C1225" s="2920"/>
      <c r="D1225" s="2917"/>
      <c r="E1225" s="1603" t="s">
        <v>2497</v>
      </c>
      <c r="F1225" s="1583"/>
      <c r="G1225" s="1583"/>
      <c r="H1225" s="1583"/>
      <c r="I1225" s="1583"/>
      <c r="J1225" s="1583"/>
      <c r="K1225" s="1583"/>
      <c r="L1225" s="1583"/>
      <c r="M1225" s="1583"/>
      <c r="N1225" s="1583"/>
      <c r="O1225" s="1583"/>
      <c r="P1225" s="1583"/>
      <c r="Q1225" s="1604"/>
      <c r="R1225" s="1583"/>
      <c r="S1225" s="1583"/>
      <c r="T1225" s="1585"/>
      <c r="U1225" s="1585"/>
      <c r="V1225" s="1585"/>
      <c r="W1225" s="1585"/>
      <c r="X1225" s="1585"/>
      <c r="Y1225" s="1585"/>
      <c r="Z1225" s="1585"/>
      <c r="AA1225" s="1585"/>
      <c r="AB1225" s="1585"/>
      <c r="AC1225" s="1585"/>
      <c r="AD1225" s="1601">
        <f t="shared" si="160"/>
        <v>0</v>
      </c>
      <c r="AE1225" s="1790">
        <v>0</v>
      </c>
      <c r="AF1225" s="1792"/>
    </row>
    <row r="1226" spans="1:32" ht="27.75" customHeight="1">
      <c r="A1226" s="2918" t="s">
        <v>2655</v>
      </c>
      <c r="B1226" s="2919" t="s">
        <v>2781</v>
      </c>
      <c r="C1226" s="2920" t="s">
        <v>49</v>
      </c>
      <c r="D1226" s="2917">
        <v>5661.81</v>
      </c>
      <c r="E1226" s="1598" t="s">
        <v>2496</v>
      </c>
      <c r="F1226" s="1583"/>
      <c r="G1226" s="1583"/>
      <c r="H1226" s="1583"/>
      <c r="I1226" s="1583"/>
      <c r="J1226" s="1583"/>
      <c r="K1226" s="1583"/>
      <c r="L1226" s="1583"/>
      <c r="M1226" s="1583"/>
      <c r="N1226" s="1583"/>
      <c r="O1226" s="1583"/>
      <c r="P1226" s="1583"/>
      <c r="Q1226" s="1585"/>
      <c r="R1226" s="1583"/>
      <c r="S1226" s="1583"/>
      <c r="T1226" s="1585"/>
      <c r="U1226" s="1585"/>
      <c r="V1226" s="1585"/>
      <c r="W1226" s="1585"/>
      <c r="X1226" s="1585"/>
      <c r="Y1226" s="1585"/>
      <c r="Z1226" s="1585"/>
      <c r="AA1226" s="1585">
        <v>5661.81</v>
      </c>
      <c r="AB1226" s="1585"/>
      <c r="AC1226" s="1585"/>
      <c r="AD1226" s="1601">
        <f t="shared" si="160"/>
        <v>5661.81</v>
      </c>
      <c r="AE1226" s="1790">
        <v>0</v>
      </c>
      <c r="AF1226" s="1792"/>
    </row>
    <row r="1227" spans="1:32" ht="27.75" customHeight="1">
      <c r="A1227" s="2918"/>
      <c r="B1227" s="2919"/>
      <c r="C1227" s="2920"/>
      <c r="D1227" s="2917"/>
      <c r="E1227" s="1603" t="s">
        <v>2497</v>
      </c>
      <c r="F1227" s="1583"/>
      <c r="G1227" s="1583"/>
      <c r="H1227" s="1583"/>
      <c r="I1227" s="1583"/>
      <c r="J1227" s="1583"/>
      <c r="K1227" s="1583"/>
      <c r="L1227" s="1583"/>
      <c r="M1227" s="1583"/>
      <c r="N1227" s="1583"/>
      <c r="O1227" s="1583"/>
      <c r="P1227" s="1583"/>
      <c r="Q1227" s="1604"/>
      <c r="R1227" s="1583"/>
      <c r="S1227" s="1583"/>
      <c r="T1227" s="1585"/>
      <c r="U1227" s="1585"/>
      <c r="V1227" s="1585"/>
      <c r="W1227" s="1585"/>
      <c r="X1227" s="1585"/>
      <c r="Y1227" s="1585"/>
      <c r="Z1227" s="1585"/>
      <c r="AA1227" s="1585"/>
      <c r="AB1227" s="1585"/>
      <c r="AC1227" s="1585"/>
      <c r="AD1227" s="1601">
        <f t="shared" si="160"/>
        <v>0</v>
      </c>
      <c r="AE1227" s="1790">
        <v>0</v>
      </c>
      <c r="AF1227" s="1792"/>
    </row>
    <row r="1228" spans="1:32" ht="27.75" customHeight="1">
      <c r="A1228" s="2918" t="s">
        <v>2657</v>
      </c>
      <c r="B1228" s="2919" t="s">
        <v>2782</v>
      </c>
      <c r="C1228" s="2920" t="s">
        <v>49</v>
      </c>
      <c r="D1228" s="2917">
        <v>19881.9306</v>
      </c>
      <c r="E1228" s="1598" t="s">
        <v>2496</v>
      </c>
      <c r="F1228" s="1583"/>
      <c r="G1228" s="1583"/>
      <c r="H1228" s="1583"/>
      <c r="I1228" s="1583"/>
      <c r="J1228" s="1583"/>
      <c r="K1228" s="1583"/>
      <c r="L1228" s="1583"/>
      <c r="M1228" s="1583"/>
      <c r="N1228" s="1583"/>
      <c r="O1228" s="1583"/>
      <c r="P1228" s="1583"/>
      <c r="Q1228" s="1585"/>
      <c r="R1228" s="1583"/>
      <c r="S1228" s="1583"/>
      <c r="T1228" s="1585"/>
      <c r="V1228" s="1585"/>
      <c r="W1228" s="1585"/>
      <c r="X1228" s="1585"/>
      <c r="Y1228" s="1585">
        <v>5089.6668</v>
      </c>
      <c r="Z1228" s="1585"/>
      <c r="AA1228" s="1585">
        <v>14792.263800000001</v>
      </c>
      <c r="AB1228" s="1585"/>
      <c r="AC1228" s="1585"/>
      <c r="AD1228" s="1601">
        <f t="shared" si="160"/>
        <v>19881.9306</v>
      </c>
      <c r="AE1228" s="1790">
        <v>5089.6668</v>
      </c>
      <c r="AF1228" s="1792"/>
    </row>
    <row r="1229" spans="1:32" ht="27.75" customHeight="1">
      <c r="A1229" s="2918"/>
      <c r="B1229" s="2919"/>
      <c r="C1229" s="2920"/>
      <c r="D1229" s="2917"/>
      <c r="E1229" s="1603" t="s">
        <v>2497</v>
      </c>
      <c r="F1229" s="1583"/>
      <c r="G1229" s="1583"/>
      <c r="H1229" s="1583"/>
      <c r="I1229" s="1583"/>
      <c r="J1229" s="1583"/>
      <c r="K1229" s="1583"/>
      <c r="L1229" s="1583"/>
      <c r="M1229" s="1583"/>
      <c r="N1229" s="1583"/>
      <c r="O1229" s="1583"/>
      <c r="P1229" s="1583"/>
      <c r="Q1229" s="1604"/>
      <c r="R1229" s="1583"/>
      <c r="S1229" s="1583"/>
      <c r="T1229" s="1585"/>
      <c r="U1229" s="1585"/>
      <c r="V1229" s="1585"/>
      <c r="W1229" s="1585"/>
      <c r="X1229" s="1585"/>
      <c r="Y1229" s="1604">
        <v>5089.6668</v>
      </c>
      <c r="Z1229" s="1585"/>
      <c r="AA1229" s="1585"/>
      <c r="AB1229" s="1585"/>
      <c r="AC1229" s="1585"/>
      <c r="AD1229" s="1601">
        <f t="shared" si="160"/>
        <v>5089.6668</v>
      </c>
      <c r="AE1229" s="1790">
        <v>5089.6668</v>
      </c>
      <c r="AF1229" s="1792"/>
    </row>
    <row r="1230" spans="1:32" ht="27.75" customHeight="1">
      <c r="A1230" s="2918" t="s">
        <v>2778</v>
      </c>
      <c r="B1230" s="2919" t="s">
        <v>2783</v>
      </c>
      <c r="C1230" s="2920" t="s">
        <v>49</v>
      </c>
      <c r="D1230" s="2917">
        <v>4183.9740000000002</v>
      </c>
      <c r="E1230" s="1598" t="s">
        <v>2496</v>
      </c>
      <c r="F1230" s="1583"/>
      <c r="G1230" s="1583"/>
      <c r="H1230" s="1583"/>
      <c r="I1230" s="1583"/>
      <c r="J1230" s="1583"/>
      <c r="K1230" s="1583"/>
      <c r="L1230" s="1583"/>
      <c r="M1230" s="1583"/>
      <c r="N1230" s="1583"/>
      <c r="O1230" s="1583"/>
      <c r="P1230" s="1583"/>
      <c r="Q1230" s="1585"/>
      <c r="R1230" s="1583"/>
      <c r="S1230" s="1583"/>
      <c r="T1230" s="1585"/>
      <c r="U1230" s="1585"/>
      <c r="V1230" s="1585"/>
      <c r="W1230" s="1585"/>
      <c r="X1230" s="1585"/>
      <c r="Y1230" s="1585">
        <v>2269.134</v>
      </c>
      <c r="Z1230" s="1585"/>
      <c r="AA1230" s="1585">
        <v>1914.8400000000001</v>
      </c>
      <c r="AB1230" s="1585"/>
      <c r="AC1230" s="1585"/>
      <c r="AD1230" s="1601">
        <f t="shared" si="160"/>
        <v>4183.9740000000002</v>
      </c>
      <c r="AE1230" s="1790">
        <v>2269.134</v>
      </c>
      <c r="AF1230" s="1792"/>
    </row>
    <row r="1231" spans="1:32" ht="27.75" customHeight="1">
      <c r="A1231" s="2918"/>
      <c r="B1231" s="2919"/>
      <c r="C1231" s="2920"/>
      <c r="D1231" s="2917"/>
      <c r="E1231" s="1603" t="s">
        <v>2497</v>
      </c>
      <c r="F1231" s="1583"/>
      <c r="G1231" s="1583"/>
      <c r="H1231" s="1583"/>
      <c r="I1231" s="1583"/>
      <c r="J1231" s="1583"/>
      <c r="K1231" s="1583"/>
      <c r="L1231" s="1583"/>
      <c r="M1231" s="1583"/>
      <c r="N1231" s="1583"/>
      <c r="O1231" s="1583"/>
      <c r="P1231" s="1583"/>
      <c r="Q1231" s="1604"/>
      <c r="R1231" s="1583"/>
      <c r="S1231" s="1583"/>
      <c r="T1231" s="1585"/>
      <c r="U1231" s="1585"/>
      <c r="V1231" s="1585"/>
      <c r="W1231" s="1585"/>
      <c r="X1231" s="1585"/>
      <c r="Y1231" s="1604">
        <v>2269.134</v>
      </c>
      <c r="Z1231" s="1585"/>
      <c r="AA1231" s="1585"/>
      <c r="AB1231" s="1585"/>
      <c r="AC1231" s="1585"/>
      <c r="AD1231" s="1601">
        <f t="shared" si="160"/>
        <v>2269.134</v>
      </c>
      <c r="AE1231" s="1790">
        <v>2269.134</v>
      </c>
      <c r="AF1231" s="1792"/>
    </row>
    <row r="1232" spans="1:32" ht="27.75" customHeight="1">
      <c r="A1232" s="2918" t="s">
        <v>2655</v>
      </c>
      <c r="B1232" s="2919" t="s">
        <v>2784</v>
      </c>
      <c r="C1232" s="2920" t="s">
        <v>49</v>
      </c>
      <c r="D1232" s="2917">
        <v>17072.463000000003</v>
      </c>
      <c r="E1232" s="1598" t="s">
        <v>2496</v>
      </c>
      <c r="F1232" s="1583"/>
      <c r="G1232" s="1583"/>
      <c r="H1232" s="1583"/>
      <c r="I1232" s="1583"/>
      <c r="J1232" s="1583"/>
      <c r="K1232" s="1583"/>
      <c r="L1232" s="1583"/>
      <c r="M1232" s="1583"/>
      <c r="N1232" s="1583"/>
      <c r="O1232" s="1583"/>
      <c r="P1232" s="1583"/>
      <c r="Q1232" s="1585"/>
      <c r="R1232" s="1583"/>
      <c r="S1232" s="1583"/>
      <c r="T1232" s="1585"/>
      <c r="U1232" s="1585"/>
      <c r="V1232" s="1585"/>
      <c r="W1232" s="1585"/>
      <c r="X1232" s="1585"/>
      <c r="Y1232" s="1585">
        <v>5455.7020000000011</v>
      </c>
      <c r="Z1232" s="1585"/>
      <c r="AA1232" s="1585">
        <v>11616.761000000002</v>
      </c>
      <c r="AB1232" s="1585"/>
      <c r="AC1232" s="1585"/>
      <c r="AD1232" s="1601">
        <f t="shared" si="160"/>
        <v>17072.463000000003</v>
      </c>
      <c r="AE1232" s="1790">
        <v>5455.7020000000011</v>
      </c>
      <c r="AF1232" s="1792"/>
    </row>
    <row r="1233" spans="1:32" ht="27.75" customHeight="1">
      <c r="A1233" s="2918"/>
      <c r="B1233" s="2919"/>
      <c r="C1233" s="2920"/>
      <c r="D1233" s="2917"/>
      <c r="E1233" s="1603" t="s">
        <v>2497</v>
      </c>
      <c r="F1233" s="1583"/>
      <c r="G1233" s="1583"/>
      <c r="H1233" s="1583"/>
      <c r="I1233" s="1583"/>
      <c r="J1233" s="1583"/>
      <c r="K1233" s="1583"/>
      <c r="L1233" s="1583"/>
      <c r="M1233" s="1583"/>
      <c r="N1233" s="1583"/>
      <c r="O1233" s="1583"/>
      <c r="P1233" s="1583"/>
      <c r="Q1233" s="1604"/>
      <c r="R1233" s="1583"/>
      <c r="S1233" s="1583"/>
      <c r="T1233" s="1585"/>
      <c r="U1233" s="1585"/>
      <c r="V1233" s="1585"/>
      <c r="W1233" s="1585"/>
      <c r="X1233" s="1585"/>
      <c r="Y1233" s="1604">
        <v>5455.7020000000011</v>
      </c>
      <c r="Z1233" s="1585"/>
      <c r="AA1233" s="1585"/>
      <c r="AB1233" s="1585"/>
      <c r="AC1233" s="1585"/>
      <c r="AD1233" s="1601">
        <f t="shared" ref="AD1233:AD1296" si="161">SUM(F1233:AC1233)</f>
        <v>5455.7020000000011</v>
      </c>
      <c r="AE1233" s="1790">
        <v>5455.7020000000011</v>
      </c>
      <c r="AF1233" s="1792"/>
    </row>
    <row r="1234" spans="1:32" ht="27.75" customHeight="1">
      <c r="A1234" s="2918" t="s">
        <v>2657</v>
      </c>
      <c r="B1234" s="2919" t="s">
        <v>2785</v>
      </c>
      <c r="C1234" s="2920" t="s">
        <v>49</v>
      </c>
      <c r="D1234" s="2917">
        <v>1459.1232</v>
      </c>
      <c r="E1234" s="1598" t="s">
        <v>2496</v>
      </c>
      <c r="F1234" s="1583"/>
      <c r="G1234" s="1583"/>
      <c r="H1234" s="1583"/>
      <c r="I1234" s="1583"/>
      <c r="J1234" s="1583"/>
      <c r="K1234" s="1583"/>
      <c r="L1234" s="1583"/>
      <c r="M1234" s="1583"/>
      <c r="N1234" s="1583"/>
      <c r="O1234" s="1583"/>
      <c r="P1234" s="1583"/>
      <c r="Q1234" s="1585"/>
      <c r="R1234" s="1583"/>
      <c r="S1234" s="1583"/>
      <c r="T1234" s="1585"/>
      <c r="U1234" s="1585"/>
      <c r="V1234" s="1585"/>
      <c r="W1234" s="1585"/>
      <c r="X1234" s="1585"/>
      <c r="Y1234" s="1585">
        <v>245.72160000000002</v>
      </c>
      <c r="Z1234" s="1585"/>
      <c r="AA1234" s="1585">
        <v>1213.4015999999999</v>
      </c>
      <c r="AB1234" s="1585"/>
      <c r="AC1234" s="1585"/>
      <c r="AD1234" s="1601">
        <f t="shared" si="161"/>
        <v>1459.1232</v>
      </c>
      <c r="AE1234" s="1790">
        <v>245.72160000000002</v>
      </c>
      <c r="AF1234" s="1792"/>
    </row>
    <row r="1235" spans="1:32" ht="27.75" customHeight="1">
      <c r="A1235" s="2918"/>
      <c r="B1235" s="2919"/>
      <c r="C1235" s="2920"/>
      <c r="D1235" s="2917"/>
      <c r="E1235" s="1603" t="s">
        <v>2497</v>
      </c>
      <c r="F1235" s="1583"/>
      <c r="G1235" s="1583"/>
      <c r="H1235" s="1583"/>
      <c r="I1235" s="1583"/>
      <c r="J1235" s="1583"/>
      <c r="K1235" s="1583"/>
      <c r="L1235" s="1583"/>
      <c r="M1235" s="1583"/>
      <c r="N1235" s="1583"/>
      <c r="O1235" s="1583"/>
      <c r="P1235" s="1583"/>
      <c r="Q1235" s="1604"/>
      <c r="R1235" s="1583"/>
      <c r="S1235" s="1583"/>
      <c r="T1235" s="1585"/>
      <c r="U1235" s="1585"/>
      <c r="V1235" s="1585"/>
      <c r="W1235" s="1585"/>
      <c r="X1235" s="1585"/>
      <c r="Y1235" s="1604">
        <v>245.72160000000002</v>
      </c>
      <c r="Z1235" s="1585"/>
      <c r="AA1235" s="1585"/>
      <c r="AB1235" s="1585"/>
      <c r="AC1235" s="1585"/>
      <c r="AD1235" s="1601">
        <f t="shared" si="161"/>
        <v>245.72160000000002</v>
      </c>
      <c r="AE1235" s="1790">
        <v>245.72160000000002</v>
      </c>
      <c r="AF1235" s="1792"/>
    </row>
    <row r="1236" spans="1:32" ht="27.75" customHeight="1">
      <c r="A1236" s="2918" t="s">
        <v>2778</v>
      </c>
      <c r="B1236" s="2919" t="s">
        <v>2786</v>
      </c>
      <c r="C1236" s="2920" t="s">
        <v>49</v>
      </c>
      <c r="D1236" s="2917">
        <v>18548.7192</v>
      </c>
      <c r="E1236" s="1598" t="s">
        <v>2496</v>
      </c>
      <c r="F1236" s="1583"/>
      <c r="G1236" s="1583"/>
      <c r="H1236" s="1583"/>
      <c r="I1236" s="1583"/>
      <c r="J1236" s="1583"/>
      <c r="K1236" s="1583"/>
      <c r="L1236" s="1583"/>
      <c r="M1236" s="1583"/>
      <c r="N1236" s="1583"/>
      <c r="O1236" s="1583"/>
      <c r="P1236" s="1583"/>
      <c r="Q1236" s="1585"/>
      <c r="R1236" s="1583"/>
      <c r="S1236" s="1583"/>
      <c r="T1236" s="1585"/>
      <c r="U1236" s="1585"/>
      <c r="V1236" s="1585"/>
      <c r="W1236" s="1585"/>
      <c r="X1236" s="1585"/>
      <c r="Y1236" s="1585">
        <v>2654.3813999999998</v>
      </c>
      <c r="Z1236" s="1585"/>
      <c r="AA1236" s="1585">
        <v>15894.337799999999</v>
      </c>
      <c r="AB1236" s="1585"/>
      <c r="AC1236" s="1585"/>
      <c r="AD1236" s="1601">
        <f t="shared" si="161"/>
        <v>18548.7192</v>
      </c>
      <c r="AE1236" s="1790">
        <v>2654.3813999999998</v>
      </c>
      <c r="AF1236" s="1792"/>
    </row>
    <row r="1237" spans="1:32" ht="27.75" customHeight="1">
      <c r="A1237" s="2918"/>
      <c r="B1237" s="2919"/>
      <c r="C1237" s="2920"/>
      <c r="D1237" s="2917"/>
      <c r="E1237" s="1603" t="s">
        <v>2497</v>
      </c>
      <c r="F1237" s="1583"/>
      <c r="G1237" s="1583"/>
      <c r="H1237" s="1583"/>
      <c r="I1237" s="1583"/>
      <c r="J1237" s="1583"/>
      <c r="K1237" s="1583"/>
      <c r="L1237" s="1583"/>
      <c r="M1237" s="1583"/>
      <c r="N1237" s="1583"/>
      <c r="O1237" s="1583"/>
      <c r="P1237" s="1583"/>
      <c r="Q1237" s="1604"/>
      <c r="R1237" s="1583"/>
      <c r="S1237" s="1583"/>
      <c r="T1237" s="1585"/>
      <c r="U1237" s="1585"/>
      <c r="V1237" s="1585"/>
      <c r="W1237" s="1585"/>
      <c r="X1237" s="1585"/>
      <c r="Y1237" s="1604">
        <v>2654.3813999999998</v>
      </c>
      <c r="AD1237" s="1601">
        <f t="shared" si="161"/>
        <v>2654.3813999999998</v>
      </c>
      <c r="AE1237" s="1790">
        <v>2654.3813999999998</v>
      </c>
      <c r="AF1237" s="1792"/>
    </row>
    <row r="1238" spans="1:32" ht="27.75" customHeight="1">
      <c r="A1238" s="1594"/>
      <c r="B1238" s="1627" t="s">
        <v>2787</v>
      </c>
      <c r="C1238" s="1596"/>
      <c r="D1238" s="1628"/>
      <c r="E1238" s="1583"/>
      <c r="F1238" s="1583"/>
      <c r="G1238" s="1583"/>
      <c r="H1238" s="1583"/>
      <c r="I1238" s="1583"/>
      <c r="J1238" s="1583"/>
      <c r="K1238" s="1583"/>
      <c r="L1238" s="1583"/>
      <c r="M1238" s="1583"/>
      <c r="N1238" s="1583"/>
      <c r="O1238" s="1583"/>
      <c r="P1238" s="1583"/>
      <c r="Q1238" s="1583"/>
      <c r="R1238" s="1583"/>
      <c r="S1238" s="1583"/>
      <c r="T1238" s="1585"/>
      <c r="U1238" s="1585"/>
      <c r="V1238" s="1585"/>
      <c r="W1238" s="1585"/>
      <c r="X1238" s="1585"/>
      <c r="Y1238" s="1585"/>
      <c r="Z1238" s="1585"/>
      <c r="AA1238" s="1585"/>
      <c r="AB1238" s="1585"/>
      <c r="AC1238" s="1585"/>
      <c r="AD1238" s="1601">
        <f t="shared" si="161"/>
        <v>0</v>
      </c>
      <c r="AE1238" s="1790">
        <v>0</v>
      </c>
      <c r="AF1238" s="1792"/>
    </row>
    <row r="1239" spans="1:32" ht="35.25" customHeight="1">
      <c r="A1239" s="1652">
        <v>1</v>
      </c>
      <c r="B1239" s="1301" t="s">
        <v>1671</v>
      </c>
      <c r="C1239" s="1596"/>
      <c r="D1239" s="1597"/>
      <c r="E1239" s="1599"/>
      <c r="F1239" s="1583"/>
      <c r="G1239" s="1583"/>
      <c r="H1239" s="1583"/>
      <c r="I1239" s="1583"/>
      <c r="J1239" s="1583"/>
      <c r="K1239" s="1583"/>
      <c r="L1239" s="1583"/>
      <c r="M1239" s="1583"/>
      <c r="N1239" s="1583"/>
      <c r="O1239" s="1583"/>
      <c r="P1239" s="1583"/>
      <c r="Q1239" s="1583"/>
      <c r="R1239" s="1583"/>
      <c r="S1239" s="1583"/>
      <c r="T1239" s="1585"/>
      <c r="U1239" s="1585"/>
      <c r="V1239" s="1585"/>
      <c r="W1239" s="1585"/>
      <c r="X1239" s="1585"/>
      <c r="Y1239" s="1585"/>
      <c r="Z1239" s="1585"/>
      <c r="AA1239" s="1585"/>
      <c r="AB1239" s="1585"/>
      <c r="AC1239" s="1585"/>
      <c r="AD1239" s="1601">
        <f t="shared" si="161"/>
        <v>0</v>
      </c>
      <c r="AE1239" s="1790">
        <v>0</v>
      </c>
      <c r="AF1239" s="1792"/>
    </row>
    <row r="1240" spans="1:32" ht="27.75" customHeight="1">
      <c r="A1240" s="1647">
        <v>1.01</v>
      </c>
      <c r="B1240" s="1651" t="s">
        <v>1672</v>
      </c>
      <c r="C1240" s="1596"/>
      <c r="D1240" s="1597"/>
      <c r="E1240" s="1599"/>
      <c r="F1240" s="1583"/>
      <c r="G1240" s="1583"/>
      <c r="H1240" s="1583"/>
      <c r="I1240" s="1583"/>
      <c r="J1240" s="1583"/>
      <c r="K1240" s="1583"/>
      <c r="L1240" s="1583"/>
      <c r="M1240" s="1583"/>
      <c r="N1240" s="1583"/>
      <c r="O1240" s="1583"/>
      <c r="P1240" s="1583"/>
      <c r="Q1240" s="1604"/>
      <c r="R1240" s="1583"/>
      <c r="S1240" s="1583"/>
      <c r="T1240" s="1585"/>
      <c r="U1240" s="1585"/>
      <c r="V1240" s="1585"/>
      <c r="W1240" s="1585"/>
      <c r="X1240" s="1585"/>
      <c r="Y1240" s="1585"/>
      <c r="Z1240" s="1585"/>
      <c r="AA1240" s="1585"/>
      <c r="AB1240" s="1585"/>
      <c r="AC1240" s="1585"/>
      <c r="AD1240" s="1601">
        <f t="shared" si="161"/>
        <v>0</v>
      </c>
      <c r="AE1240" s="1790">
        <v>0</v>
      </c>
      <c r="AF1240" s="1792"/>
    </row>
    <row r="1241" spans="1:32" ht="24" customHeight="1">
      <c r="A1241" s="1594" t="s">
        <v>2647</v>
      </c>
      <c r="B1241" s="1650" t="s">
        <v>1685</v>
      </c>
      <c r="C1241" s="1596"/>
      <c r="D1241" s="1597"/>
      <c r="E1241" s="1599"/>
      <c r="F1241" s="1583"/>
      <c r="G1241" s="1583"/>
      <c r="H1241" s="1583"/>
      <c r="I1241" s="1583"/>
      <c r="J1241" s="1583"/>
      <c r="K1241" s="1583"/>
      <c r="L1241" s="1583"/>
      <c r="M1241" s="1583"/>
      <c r="N1241" s="1583"/>
      <c r="O1241" s="1583"/>
      <c r="P1241" s="1583"/>
      <c r="Q1241" s="1583"/>
      <c r="R1241" s="1583"/>
      <c r="S1241" s="1583"/>
      <c r="T1241" s="1585"/>
      <c r="U1241" s="1585"/>
      <c r="V1241" s="1585"/>
      <c r="W1241" s="1585"/>
      <c r="X1241" s="1585"/>
      <c r="Y1241" s="1585"/>
      <c r="Z1241" s="1585"/>
      <c r="AA1241" s="1585"/>
      <c r="AB1241" s="1585"/>
      <c r="AC1241" s="1585"/>
      <c r="AD1241" s="1601">
        <f t="shared" si="161"/>
        <v>0</v>
      </c>
      <c r="AE1241" s="1790">
        <v>0</v>
      </c>
      <c r="AF1241" s="1792"/>
    </row>
    <row r="1242" spans="1:32" ht="27.75" customHeight="1">
      <c r="A1242" s="2918" t="s">
        <v>2655</v>
      </c>
      <c r="B1242" s="2919" t="s">
        <v>1687</v>
      </c>
      <c r="C1242" s="2920" t="s">
        <v>49</v>
      </c>
      <c r="D1242" s="2917">
        <v>9053.7900000000009</v>
      </c>
      <c r="E1242" s="1598" t="s">
        <v>2496</v>
      </c>
      <c r="F1242" s="1583"/>
      <c r="G1242" s="1583"/>
      <c r="H1242" s="1583"/>
      <c r="I1242" s="1583"/>
      <c r="J1242" s="1583"/>
      <c r="K1242" s="1583"/>
      <c r="L1242" s="1583"/>
      <c r="M1242" s="1583"/>
      <c r="N1242" s="1583"/>
      <c r="O1242" s="1583"/>
      <c r="P1242" s="1583"/>
      <c r="Q1242" s="1585"/>
      <c r="R1242" s="1583"/>
      <c r="S1242" s="1583"/>
      <c r="T1242" s="1585">
        <v>9053.7900000000009</v>
      </c>
      <c r="U1242" s="1585"/>
      <c r="V1242" s="1585"/>
      <c r="W1242" s="1585"/>
      <c r="X1242" s="1585"/>
      <c r="Y1242" s="1585"/>
      <c r="Z1242" s="1585"/>
      <c r="AA1242" s="1585"/>
      <c r="AB1242" s="1585"/>
      <c r="AC1242" s="1585"/>
      <c r="AD1242" s="1601">
        <f t="shared" si="161"/>
        <v>9053.7900000000009</v>
      </c>
      <c r="AE1242" s="1790">
        <v>9053.7900000000009</v>
      </c>
      <c r="AF1242" s="1792"/>
    </row>
    <row r="1243" spans="1:32" ht="27.75" customHeight="1">
      <c r="A1243" s="2918"/>
      <c r="B1243" s="2919"/>
      <c r="C1243" s="2920"/>
      <c r="D1243" s="2917"/>
      <c r="E1243" s="1603" t="s">
        <v>2497</v>
      </c>
      <c r="F1243" s="1583"/>
      <c r="G1243" s="1583"/>
      <c r="H1243" s="1583"/>
      <c r="I1243" s="1583"/>
      <c r="J1243" s="1583"/>
      <c r="K1243" s="1583"/>
      <c r="L1243" s="1583"/>
      <c r="M1243" s="1583"/>
      <c r="N1243" s="1583"/>
      <c r="O1243" s="1583"/>
      <c r="P1243" s="1583"/>
      <c r="Q1243" s="1604"/>
      <c r="R1243" s="1583"/>
      <c r="S1243" s="1583"/>
      <c r="T1243" s="1604">
        <f>T1242</f>
        <v>9053.7900000000009</v>
      </c>
      <c r="U1243" s="1585"/>
      <c r="V1243" s="1585"/>
      <c r="W1243" s="1585"/>
      <c r="X1243" s="1585"/>
      <c r="Y1243" s="1585"/>
      <c r="Z1243" s="1585"/>
      <c r="AA1243" s="1585"/>
      <c r="AB1243" s="1585"/>
      <c r="AC1243" s="1585"/>
      <c r="AD1243" s="1601">
        <f t="shared" si="161"/>
        <v>9053.7900000000009</v>
      </c>
      <c r="AE1243" s="1790">
        <v>9053.7900000000009</v>
      </c>
      <c r="AF1243" s="1792"/>
    </row>
    <row r="1244" spans="1:32" ht="27.75" customHeight="1">
      <c r="A1244" s="1647">
        <v>1.01</v>
      </c>
      <c r="B1244" s="1651" t="s">
        <v>1688</v>
      </c>
      <c r="C1244" s="1596"/>
      <c r="D1244" s="1597"/>
      <c r="E1244" s="1599"/>
      <c r="F1244" s="1583"/>
      <c r="G1244" s="1583"/>
      <c r="H1244" s="1583"/>
      <c r="I1244" s="1583"/>
      <c r="J1244" s="1583"/>
      <c r="K1244" s="1583"/>
      <c r="L1244" s="1583"/>
      <c r="M1244" s="1583"/>
      <c r="N1244" s="1583"/>
      <c r="O1244" s="1583"/>
      <c r="P1244" s="1583"/>
      <c r="Q1244" s="1604"/>
      <c r="R1244" s="1583"/>
      <c r="S1244" s="1583"/>
      <c r="T1244" s="1585"/>
      <c r="U1244" s="1585"/>
      <c r="V1244" s="1585"/>
      <c r="W1244" s="1585"/>
      <c r="X1244" s="1585"/>
      <c r="Y1244" s="1585"/>
      <c r="Z1244" s="1585"/>
      <c r="AA1244" s="1585"/>
      <c r="AB1244" s="1585"/>
      <c r="AC1244" s="1585"/>
      <c r="AD1244" s="1601">
        <f t="shared" si="161"/>
        <v>0</v>
      </c>
      <c r="AE1244" s="1790">
        <v>0</v>
      </c>
      <c r="AF1244" s="1792"/>
    </row>
    <row r="1245" spans="1:32" ht="27.75" customHeight="1">
      <c r="A1245" s="2918" t="s">
        <v>2655</v>
      </c>
      <c r="B1245" s="2919" t="s">
        <v>1690</v>
      </c>
      <c r="C1245" s="2920" t="s">
        <v>52</v>
      </c>
      <c r="D1245" s="2917">
        <v>45200</v>
      </c>
      <c r="E1245" s="1598" t="s">
        <v>2496</v>
      </c>
      <c r="F1245" s="1583"/>
      <c r="G1245" s="1583"/>
      <c r="H1245" s="1583"/>
      <c r="I1245" s="1583"/>
      <c r="J1245" s="1583"/>
      <c r="K1245" s="1583"/>
      <c r="L1245" s="1583"/>
      <c r="M1245" s="1583"/>
      <c r="N1245" s="1583"/>
      <c r="O1245" s="1583"/>
      <c r="P1245" s="1583"/>
      <c r="Q1245" s="1585"/>
      <c r="R1245" s="1583"/>
      <c r="S1245" s="1583"/>
      <c r="T1245" s="1585">
        <v>28928</v>
      </c>
      <c r="U1245" s="1585">
        <v>3842</v>
      </c>
      <c r="V1245" s="1585">
        <v>2034</v>
      </c>
      <c r="W1245" s="1585">
        <v>5198</v>
      </c>
      <c r="X1245" s="1585"/>
      <c r="Y1245" s="1585">
        <v>5198</v>
      </c>
      <c r="Z1245" s="1585"/>
      <c r="AA1245" s="1585"/>
      <c r="AB1245" s="1585"/>
      <c r="AC1245" s="1585"/>
      <c r="AD1245" s="1601">
        <f t="shared" si="161"/>
        <v>45200</v>
      </c>
      <c r="AE1245" s="1790">
        <v>45200</v>
      </c>
      <c r="AF1245" s="1792"/>
    </row>
    <row r="1246" spans="1:32" ht="27.75" customHeight="1">
      <c r="A1246" s="2918"/>
      <c r="B1246" s="2919"/>
      <c r="C1246" s="2920"/>
      <c r="D1246" s="2917"/>
      <c r="E1246" s="1603" t="s">
        <v>2497</v>
      </c>
      <c r="F1246" s="1583"/>
      <c r="G1246" s="1583"/>
      <c r="H1246" s="1583"/>
      <c r="I1246" s="1583"/>
      <c r="J1246" s="1583"/>
      <c r="K1246" s="1583"/>
      <c r="L1246" s="1583"/>
      <c r="M1246" s="1583"/>
      <c r="N1246" s="1583"/>
      <c r="O1246" s="1583"/>
      <c r="P1246" s="1583"/>
      <c r="Q1246" s="1604"/>
      <c r="R1246" s="1583"/>
      <c r="S1246" s="1583"/>
      <c r="T1246" s="1604">
        <f>T1245</f>
        <v>28928</v>
      </c>
      <c r="U1246" s="1592">
        <v>3842</v>
      </c>
      <c r="V1246" s="1592">
        <v>2034</v>
      </c>
      <c r="W1246" s="1592">
        <v>5198</v>
      </c>
      <c r="X1246" s="1585"/>
      <c r="Y1246" s="1592">
        <v>5198</v>
      </c>
      <c r="Z1246" s="1585"/>
      <c r="AA1246" s="1585"/>
      <c r="AB1246" s="1585"/>
      <c r="AC1246" s="1585"/>
      <c r="AD1246" s="1601">
        <f t="shared" si="161"/>
        <v>45200</v>
      </c>
      <c r="AE1246" s="1790">
        <v>45200</v>
      </c>
      <c r="AF1246" s="1792"/>
    </row>
    <row r="1247" spans="1:32" ht="27.75" customHeight="1">
      <c r="A1247" s="2918" t="s">
        <v>2655</v>
      </c>
      <c r="B1247" s="2919" t="s">
        <v>1691</v>
      </c>
      <c r="C1247" s="2920" t="s">
        <v>268</v>
      </c>
      <c r="D1247" s="2917">
        <v>13500</v>
      </c>
      <c r="E1247" s="1598" t="s">
        <v>2496</v>
      </c>
      <c r="F1247" s="1583"/>
      <c r="G1247" s="1583"/>
      <c r="H1247" s="1583"/>
      <c r="I1247" s="1583"/>
      <c r="J1247" s="1583"/>
      <c r="K1247" s="1583"/>
      <c r="L1247" s="1583"/>
      <c r="M1247" s="1583"/>
      <c r="N1247" s="1583"/>
      <c r="O1247" s="1583"/>
      <c r="P1247" s="1583"/>
      <c r="Q1247" s="1585"/>
      <c r="R1247" s="1583"/>
      <c r="S1247" s="1583"/>
      <c r="T1247" s="1585">
        <v>9000</v>
      </c>
      <c r="U1247" s="1585">
        <v>2250</v>
      </c>
      <c r="V1247" s="1585">
        <v>675</v>
      </c>
      <c r="W1247" s="1585">
        <v>1575</v>
      </c>
      <c r="X1247" s="1585"/>
      <c r="Y1247" s="1585"/>
      <c r="Z1247" s="1585"/>
      <c r="AA1247" s="1585"/>
      <c r="AB1247" s="1585"/>
      <c r="AC1247" s="1585"/>
      <c r="AD1247" s="1601">
        <f t="shared" si="161"/>
        <v>13500</v>
      </c>
      <c r="AE1247" s="1790">
        <v>13500</v>
      </c>
      <c r="AF1247" s="1792"/>
    </row>
    <row r="1248" spans="1:32" ht="27.75" customHeight="1">
      <c r="A1248" s="2918"/>
      <c r="B1248" s="2919"/>
      <c r="C1248" s="2920"/>
      <c r="D1248" s="2917"/>
      <c r="E1248" s="1603" t="s">
        <v>2497</v>
      </c>
      <c r="F1248" s="1583"/>
      <c r="G1248" s="1583"/>
      <c r="H1248" s="1583"/>
      <c r="I1248" s="1583"/>
      <c r="J1248" s="1583"/>
      <c r="K1248" s="1583"/>
      <c r="L1248" s="1583"/>
      <c r="M1248" s="1583"/>
      <c r="N1248" s="1583"/>
      <c r="O1248" s="1583"/>
      <c r="P1248" s="1583"/>
      <c r="Q1248" s="1604"/>
      <c r="R1248" s="1583"/>
      <c r="S1248" s="1583"/>
      <c r="T1248" s="1604">
        <f>T1247</f>
        <v>9000</v>
      </c>
      <c r="U1248" s="1592">
        <v>2250</v>
      </c>
      <c r="V1248" s="1592">
        <v>675</v>
      </c>
      <c r="W1248" s="1592">
        <v>1575</v>
      </c>
      <c r="X1248" s="1585"/>
      <c r="Y1248" s="1585"/>
      <c r="Z1248" s="1585"/>
      <c r="AA1248" s="1585"/>
      <c r="AB1248" s="1585"/>
      <c r="AC1248" s="1585"/>
      <c r="AD1248" s="1601">
        <f t="shared" si="161"/>
        <v>13500</v>
      </c>
      <c r="AE1248" s="1790">
        <v>13500</v>
      </c>
      <c r="AF1248" s="1792"/>
    </row>
    <row r="1249" spans="1:32" ht="27.75" customHeight="1">
      <c r="A1249" s="2918" t="s">
        <v>2655</v>
      </c>
      <c r="B1249" s="2919" t="s">
        <v>1694</v>
      </c>
      <c r="C1249" s="2920" t="s">
        <v>268</v>
      </c>
      <c r="D1249" s="2917">
        <v>1282.8</v>
      </c>
      <c r="E1249" s="1598" t="s">
        <v>2496</v>
      </c>
      <c r="F1249" s="1583"/>
      <c r="G1249" s="1583"/>
      <c r="H1249" s="1583"/>
      <c r="I1249" s="1583"/>
      <c r="J1249" s="1583"/>
      <c r="K1249" s="1583"/>
      <c r="L1249" s="1583"/>
      <c r="M1249" s="1583"/>
      <c r="N1249" s="1583"/>
      <c r="O1249" s="1583"/>
      <c r="P1249" s="1583"/>
      <c r="Q1249" s="1585"/>
      <c r="R1249" s="1583"/>
      <c r="S1249" s="1583"/>
      <c r="T1249" s="1585">
        <v>1282.8</v>
      </c>
      <c r="U1249" s="1585"/>
      <c r="V1249" s="1585"/>
      <c r="W1249" s="1585"/>
      <c r="X1249" s="1585"/>
      <c r="Y1249" s="1585"/>
      <c r="Z1249" s="1585"/>
      <c r="AA1249" s="1585"/>
      <c r="AB1249" s="1585"/>
      <c r="AC1249" s="1585"/>
      <c r="AD1249" s="1601">
        <f t="shared" si="161"/>
        <v>1282.8</v>
      </c>
      <c r="AE1249" s="1790">
        <v>1282.8</v>
      </c>
      <c r="AF1249" s="1792"/>
    </row>
    <row r="1250" spans="1:32" ht="27.75" customHeight="1">
      <c r="A1250" s="2918"/>
      <c r="B1250" s="2919"/>
      <c r="C1250" s="2920"/>
      <c r="D1250" s="2917"/>
      <c r="E1250" s="1603" t="s">
        <v>2497</v>
      </c>
      <c r="F1250" s="1583"/>
      <c r="G1250" s="1583"/>
      <c r="H1250" s="1583"/>
      <c r="I1250" s="1583"/>
      <c r="J1250" s="1583"/>
      <c r="K1250" s="1583"/>
      <c r="L1250" s="1583"/>
      <c r="M1250" s="1583"/>
      <c r="N1250" s="1583"/>
      <c r="O1250" s="1583"/>
      <c r="P1250" s="1583"/>
      <c r="Q1250" s="1604"/>
      <c r="R1250" s="1583"/>
      <c r="S1250" s="1583"/>
      <c r="T1250" s="1604">
        <f>T1249</f>
        <v>1282.8</v>
      </c>
      <c r="U1250" s="1585"/>
      <c r="V1250" s="1585"/>
      <c r="W1250" s="1585"/>
      <c r="X1250" s="1585"/>
      <c r="Y1250" s="1585"/>
      <c r="Z1250" s="1585"/>
      <c r="AA1250" s="1585"/>
      <c r="AB1250" s="1585"/>
      <c r="AC1250" s="1585"/>
      <c r="AD1250" s="1601">
        <f t="shared" si="161"/>
        <v>1282.8</v>
      </c>
      <c r="AE1250" s="1790">
        <v>1282.8</v>
      </c>
      <c r="AF1250" s="1792"/>
    </row>
    <row r="1251" spans="1:32" ht="24" customHeight="1">
      <c r="A1251" s="1614" t="s">
        <v>34</v>
      </c>
      <c r="B1251" s="1614" t="s">
        <v>1695</v>
      </c>
      <c r="C1251" s="1596"/>
      <c r="D1251" s="1597"/>
      <c r="E1251" s="1599"/>
      <c r="F1251" s="1583"/>
      <c r="G1251" s="1583"/>
      <c r="H1251" s="1583"/>
      <c r="I1251" s="1583"/>
      <c r="J1251" s="1583"/>
      <c r="K1251" s="1583"/>
      <c r="L1251" s="1583"/>
      <c r="M1251" s="1583"/>
      <c r="N1251" s="1583"/>
      <c r="O1251" s="1583"/>
      <c r="P1251" s="1583"/>
      <c r="Q1251" s="1583"/>
      <c r="R1251" s="1583"/>
      <c r="S1251" s="1583"/>
      <c r="T1251" s="1585"/>
      <c r="U1251" s="1585"/>
      <c r="V1251" s="1585"/>
      <c r="W1251" s="1585"/>
      <c r="X1251" s="1585"/>
      <c r="Y1251" s="1585"/>
      <c r="Z1251" s="1585"/>
      <c r="AA1251" s="1585"/>
      <c r="AB1251" s="1585"/>
      <c r="AC1251" s="1585"/>
      <c r="AD1251" s="1601">
        <f t="shared" si="161"/>
        <v>0</v>
      </c>
      <c r="AE1251" s="1790">
        <v>0</v>
      </c>
      <c r="AF1251" s="1792"/>
    </row>
    <row r="1252" spans="1:32" ht="27.75" customHeight="1">
      <c r="A1252" s="1647">
        <v>2.0099999999999998</v>
      </c>
      <c r="B1252" s="1651" t="s">
        <v>1701</v>
      </c>
      <c r="C1252" s="1596"/>
      <c r="D1252" s="1638"/>
      <c r="E1252" s="1583"/>
      <c r="F1252" s="1583"/>
      <c r="G1252" s="1583"/>
      <c r="H1252" s="1583"/>
      <c r="I1252" s="1583"/>
      <c r="J1252" s="1583"/>
      <c r="K1252" s="1583"/>
      <c r="L1252" s="1583"/>
      <c r="M1252" s="1583"/>
      <c r="N1252" s="1583"/>
      <c r="O1252" s="1583"/>
      <c r="P1252" s="1583"/>
      <c r="Q1252" s="1583"/>
      <c r="R1252" s="1583"/>
      <c r="S1252" s="1583"/>
      <c r="T1252" s="1585"/>
      <c r="U1252" s="1585"/>
      <c r="V1252" s="1585"/>
      <c r="W1252" s="1585"/>
      <c r="X1252" s="1585"/>
      <c r="Y1252" s="1585"/>
      <c r="Z1252" s="1585"/>
      <c r="AA1252" s="1585"/>
      <c r="AB1252" s="1585"/>
      <c r="AC1252" s="1585"/>
      <c r="AD1252" s="1601">
        <f t="shared" si="161"/>
        <v>0</v>
      </c>
      <c r="AE1252" s="1790">
        <v>0</v>
      </c>
      <c r="AF1252" s="1792"/>
    </row>
    <row r="1253" spans="1:32" ht="24" customHeight="1">
      <c r="A1253" s="1594" t="s">
        <v>2647</v>
      </c>
      <c r="B1253" s="1650" t="s">
        <v>2377</v>
      </c>
      <c r="C1253" s="1596"/>
      <c r="D1253" s="1597"/>
      <c r="E1253" s="1599"/>
      <c r="F1253" s="1583"/>
      <c r="G1253" s="1583"/>
      <c r="H1253" s="1583"/>
      <c r="I1253" s="1583"/>
      <c r="J1253" s="1583"/>
      <c r="K1253" s="1583"/>
      <c r="L1253" s="1583"/>
      <c r="M1253" s="1583"/>
      <c r="N1253" s="1583"/>
      <c r="O1253" s="1583"/>
      <c r="P1253" s="1583"/>
      <c r="Q1253" s="1583"/>
      <c r="R1253" s="1583"/>
      <c r="S1253" s="1583"/>
      <c r="T1253" s="1585"/>
      <c r="U1253" s="1585"/>
      <c r="V1253" s="1585"/>
      <c r="W1253" s="1585"/>
      <c r="X1253" s="1585"/>
      <c r="Y1253" s="1585"/>
      <c r="Z1253" s="1585"/>
      <c r="AA1253" s="1585"/>
      <c r="AB1253" s="1585"/>
      <c r="AC1253" s="1585"/>
      <c r="AD1253" s="1601">
        <f t="shared" si="161"/>
        <v>0</v>
      </c>
      <c r="AE1253" s="1790">
        <v>0</v>
      </c>
      <c r="AF1253" s="1792"/>
    </row>
    <row r="1254" spans="1:32" ht="27.75" customHeight="1">
      <c r="A1254" s="2918" t="s">
        <v>2655</v>
      </c>
      <c r="B1254" s="2919" t="s">
        <v>2380</v>
      </c>
      <c r="C1254" s="2920" t="s">
        <v>50</v>
      </c>
      <c r="D1254" s="2917">
        <v>1022.49</v>
      </c>
      <c r="E1254" s="1598" t="s">
        <v>2496</v>
      </c>
      <c r="F1254" s="1583"/>
      <c r="G1254" s="1583"/>
      <c r="H1254" s="1583"/>
      <c r="I1254" s="1583"/>
      <c r="J1254" s="1583"/>
      <c r="K1254" s="1583"/>
      <c r="L1254" s="1583"/>
      <c r="M1254" s="1583"/>
      <c r="N1254" s="1583"/>
      <c r="O1254" s="1583"/>
      <c r="P1254" s="1583"/>
      <c r="Q1254" s="1585"/>
      <c r="R1254" s="1583"/>
      <c r="S1254" s="1583"/>
      <c r="T1254" s="1585">
        <v>1022.49</v>
      </c>
      <c r="U1254" s="1585"/>
      <c r="V1254" s="1585"/>
      <c r="W1254" s="1585"/>
      <c r="X1254" s="1585"/>
      <c r="Y1254" s="1585"/>
      <c r="Z1254" s="1585"/>
      <c r="AA1254" s="1585"/>
      <c r="AB1254" s="1585"/>
      <c r="AC1254" s="1585"/>
      <c r="AD1254" s="1601">
        <f t="shared" si="161"/>
        <v>1022.49</v>
      </c>
      <c r="AE1254" s="1790">
        <v>1022.49</v>
      </c>
      <c r="AF1254" s="1792"/>
    </row>
    <row r="1255" spans="1:32" ht="27.75" customHeight="1">
      <c r="A1255" s="2918"/>
      <c r="B1255" s="2919"/>
      <c r="C1255" s="2920"/>
      <c r="D1255" s="2917"/>
      <c r="E1255" s="1603" t="s">
        <v>2497</v>
      </c>
      <c r="F1255" s="1583"/>
      <c r="G1255" s="1583"/>
      <c r="H1255" s="1583"/>
      <c r="I1255" s="1583"/>
      <c r="J1255" s="1583"/>
      <c r="K1255" s="1583"/>
      <c r="L1255" s="1583"/>
      <c r="M1255" s="1583"/>
      <c r="N1255" s="1583"/>
      <c r="O1255" s="1583"/>
      <c r="P1255" s="1583"/>
      <c r="Q1255" s="1604"/>
      <c r="R1255" s="1583"/>
      <c r="S1255" s="1583"/>
      <c r="T1255" s="1604">
        <f>T1254</f>
        <v>1022.49</v>
      </c>
      <c r="U1255" s="1585"/>
      <c r="V1255" s="1585"/>
      <c r="W1255" s="1585"/>
      <c r="X1255" s="1585"/>
      <c r="Y1255" s="1585"/>
      <c r="Z1255" s="1585"/>
      <c r="AA1255" s="1585"/>
      <c r="AB1255" s="1585"/>
      <c r="AC1255" s="1585"/>
      <c r="AD1255" s="1601">
        <f t="shared" si="161"/>
        <v>1022.49</v>
      </c>
      <c r="AE1255" s="1790">
        <v>1022.49</v>
      </c>
      <c r="AF1255" s="1792"/>
    </row>
    <row r="1256" spans="1:32" ht="24" customHeight="1">
      <c r="A1256" s="1594" t="s">
        <v>2647</v>
      </c>
      <c r="B1256" s="1650" t="s">
        <v>2382</v>
      </c>
      <c r="C1256" s="1596"/>
      <c r="D1256" s="1597"/>
      <c r="E1256" s="1599"/>
      <c r="F1256" s="1583"/>
      <c r="G1256" s="1583"/>
      <c r="H1256" s="1583"/>
      <c r="I1256" s="1583"/>
      <c r="J1256" s="1583"/>
      <c r="K1256" s="1583"/>
      <c r="L1256" s="1583"/>
      <c r="M1256" s="1583"/>
      <c r="N1256" s="1583"/>
      <c r="O1256" s="1583"/>
      <c r="P1256" s="1583"/>
      <c r="Q1256" s="1583"/>
      <c r="R1256" s="1583"/>
      <c r="S1256" s="1583"/>
      <c r="T1256" s="1585"/>
      <c r="U1256" s="1585"/>
      <c r="V1256" s="1585"/>
      <c r="W1256" s="1585"/>
      <c r="X1256" s="1585"/>
      <c r="Y1256" s="1585"/>
      <c r="Z1256" s="1585"/>
      <c r="AA1256" s="1585"/>
      <c r="AB1256" s="1585"/>
      <c r="AC1256" s="1585"/>
      <c r="AD1256" s="1601">
        <f t="shared" si="161"/>
        <v>0</v>
      </c>
      <c r="AE1256" s="1790">
        <v>0</v>
      </c>
      <c r="AF1256" s="1792"/>
    </row>
    <row r="1257" spans="1:32" ht="27.75" customHeight="1">
      <c r="A1257" s="2899" t="s">
        <v>2655</v>
      </c>
      <c r="B1257" s="2901" t="s">
        <v>2384</v>
      </c>
      <c r="C1257" s="2903" t="s">
        <v>49</v>
      </c>
      <c r="D1257" s="2905">
        <v>232.3</v>
      </c>
      <c r="E1257" s="1598" t="s">
        <v>2496</v>
      </c>
      <c r="F1257" s="1583"/>
      <c r="G1257" s="1583"/>
      <c r="H1257" s="1583"/>
      <c r="I1257" s="1583"/>
      <c r="J1257" s="1583"/>
      <c r="K1257" s="1583"/>
      <c r="L1257" s="1583"/>
      <c r="M1257" s="1583"/>
      <c r="N1257" s="1583"/>
      <c r="O1257" s="1583"/>
      <c r="P1257" s="1583"/>
      <c r="Q1257" s="1585"/>
      <c r="R1257" s="1583"/>
      <c r="S1257" s="1583"/>
      <c r="T1257" s="1585">
        <v>232.3</v>
      </c>
      <c r="U1257" s="1585"/>
      <c r="V1257" s="1585"/>
      <c r="W1257" s="1585"/>
      <c r="X1257" s="1585"/>
      <c r="Y1257" s="1585"/>
      <c r="Z1257" s="1585"/>
      <c r="AA1257" s="1585"/>
      <c r="AB1257" s="1585"/>
      <c r="AC1257" s="1585"/>
      <c r="AD1257" s="1601">
        <f t="shared" si="161"/>
        <v>232.3</v>
      </c>
      <c r="AE1257" s="1790">
        <v>232.3</v>
      </c>
      <c r="AF1257" s="1792"/>
    </row>
    <row r="1258" spans="1:32" ht="27.75" customHeight="1">
      <c r="A1258" s="2900"/>
      <c r="B1258" s="2902"/>
      <c r="C1258" s="2904"/>
      <c r="D1258" s="2906"/>
      <c r="E1258" s="1603" t="s">
        <v>2497</v>
      </c>
      <c r="F1258" s="1583"/>
      <c r="G1258" s="1583"/>
      <c r="H1258" s="1583"/>
      <c r="I1258" s="1583"/>
      <c r="J1258" s="1583"/>
      <c r="K1258" s="1583"/>
      <c r="L1258" s="1583"/>
      <c r="M1258" s="1583"/>
      <c r="N1258" s="1583"/>
      <c r="O1258" s="1583"/>
      <c r="P1258" s="1583"/>
      <c r="Q1258" s="1604"/>
      <c r="R1258" s="1583"/>
      <c r="S1258" s="1583"/>
      <c r="T1258" s="1604">
        <f>T1257</f>
        <v>232.3</v>
      </c>
      <c r="U1258" s="1585"/>
      <c r="V1258" s="1585"/>
      <c r="W1258" s="1585"/>
      <c r="X1258" s="1585"/>
      <c r="Y1258" s="1585"/>
      <c r="Z1258" s="1585"/>
      <c r="AA1258" s="1585"/>
      <c r="AB1258" s="1585"/>
      <c r="AC1258" s="1585"/>
      <c r="AD1258" s="1601">
        <f t="shared" si="161"/>
        <v>232.3</v>
      </c>
      <c r="AE1258" s="1790">
        <v>232.3</v>
      </c>
      <c r="AF1258" s="1792"/>
    </row>
    <row r="1259" spans="1:32" ht="24" customHeight="1">
      <c r="A1259" s="1614">
        <v>3</v>
      </c>
      <c r="B1259" s="1325" t="s">
        <v>1736</v>
      </c>
      <c r="C1259" s="1596"/>
      <c r="D1259" s="1597"/>
      <c r="E1259" s="1599"/>
      <c r="F1259" s="1583"/>
      <c r="G1259" s="1583"/>
      <c r="H1259" s="1583"/>
      <c r="I1259" s="1583"/>
      <c r="J1259" s="1583"/>
      <c r="K1259" s="1583"/>
      <c r="L1259" s="1583"/>
      <c r="M1259" s="1583"/>
      <c r="N1259" s="1583"/>
      <c r="O1259" s="1583"/>
      <c r="P1259" s="1583"/>
      <c r="Q1259" s="1583"/>
      <c r="R1259" s="1583"/>
      <c r="S1259" s="1583"/>
      <c r="T1259" s="1585"/>
      <c r="U1259" s="1585"/>
      <c r="V1259" s="1585"/>
      <c r="W1259" s="1585"/>
      <c r="X1259" s="1585"/>
      <c r="Y1259" s="1585"/>
      <c r="Z1259" s="1585"/>
      <c r="AA1259" s="1585"/>
      <c r="AB1259" s="1585"/>
      <c r="AC1259" s="1585"/>
      <c r="AD1259" s="1601">
        <f t="shared" si="161"/>
        <v>0</v>
      </c>
      <c r="AE1259" s="1790">
        <v>0</v>
      </c>
      <c r="AF1259" s="1792"/>
    </row>
    <row r="1260" spans="1:32" ht="27.75" customHeight="1">
      <c r="A1260" s="1647">
        <v>3.02</v>
      </c>
      <c r="B1260" s="1651" t="s">
        <v>1744</v>
      </c>
      <c r="C1260" s="1596"/>
      <c r="D1260" s="1638"/>
      <c r="E1260" s="1583"/>
      <c r="F1260" s="1583"/>
      <c r="G1260" s="1583"/>
      <c r="H1260" s="1583"/>
      <c r="I1260" s="1583"/>
      <c r="J1260" s="1583"/>
      <c r="K1260" s="1583"/>
      <c r="L1260" s="1583"/>
      <c r="M1260" s="1583"/>
      <c r="N1260" s="1583"/>
      <c r="O1260" s="1583"/>
      <c r="P1260" s="1583"/>
      <c r="Q1260" s="1583"/>
      <c r="R1260" s="1583"/>
      <c r="S1260" s="1583"/>
      <c r="T1260" s="1585"/>
      <c r="U1260" s="1585"/>
      <c r="V1260" s="1585"/>
      <c r="W1260" s="1585"/>
      <c r="X1260" s="1585"/>
      <c r="Y1260" s="1585"/>
      <c r="Z1260" s="1585"/>
      <c r="AA1260" s="1585"/>
      <c r="AB1260" s="1585"/>
      <c r="AC1260" s="1585"/>
      <c r="AD1260" s="1601">
        <f t="shared" si="161"/>
        <v>0</v>
      </c>
      <c r="AE1260" s="1790">
        <v>0</v>
      </c>
      <c r="AF1260" s="1792"/>
    </row>
    <row r="1261" spans="1:32" ht="27.75" customHeight="1">
      <c r="A1261" s="2918" t="s">
        <v>2655</v>
      </c>
      <c r="B1261" s="2919" t="s">
        <v>2391</v>
      </c>
      <c r="C1261" s="2920" t="s">
        <v>51</v>
      </c>
      <c r="D1261" s="2917">
        <v>2915</v>
      </c>
      <c r="E1261" s="1598" t="s">
        <v>2496</v>
      </c>
      <c r="F1261" s="1583"/>
      <c r="G1261" s="1583"/>
      <c r="H1261" s="1583"/>
      <c r="I1261" s="1583"/>
      <c r="J1261" s="1583"/>
      <c r="K1261" s="1583"/>
      <c r="L1261" s="1583"/>
      <c r="M1261" s="1583"/>
      <c r="N1261" s="1583"/>
      <c r="O1261" s="1583"/>
      <c r="P1261" s="1583"/>
      <c r="Q1261" s="1585"/>
      <c r="R1261" s="1583"/>
      <c r="S1261" s="1583"/>
      <c r="T1261" s="1585">
        <v>2210.1</v>
      </c>
      <c r="U1261" s="1585">
        <v>704.9</v>
      </c>
      <c r="V1261" s="1585"/>
      <c r="W1261" s="1585"/>
      <c r="X1261" s="1585"/>
      <c r="Y1261" s="1585"/>
      <c r="Z1261" s="1585"/>
      <c r="AA1261" s="1585"/>
      <c r="AB1261" s="1585"/>
      <c r="AC1261" s="1585"/>
      <c r="AD1261" s="1601">
        <f t="shared" si="161"/>
        <v>2915</v>
      </c>
      <c r="AE1261" s="1790">
        <v>2915</v>
      </c>
      <c r="AF1261" s="1792"/>
    </row>
    <row r="1262" spans="1:32" ht="27.75" customHeight="1">
      <c r="A1262" s="2918"/>
      <c r="B1262" s="2919"/>
      <c r="C1262" s="2920"/>
      <c r="D1262" s="2917"/>
      <c r="E1262" s="1603" t="s">
        <v>2497</v>
      </c>
      <c r="F1262" s="1583"/>
      <c r="G1262" s="1583"/>
      <c r="H1262" s="1583"/>
      <c r="I1262" s="1583"/>
      <c r="J1262" s="1583"/>
      <c r="K1262" s="1583"/>
      <c r="L1262" s="1583"/>
      <c r="M1262" s="1583"/>
      <c r="N1262" s="1583"/>
      <c r="O1262" s="1583"/>
      <c r="P1262" s="1583"/>
      <c r="Q1262" s="1604"/>
      <c r="R1262" s="1583"/>
      <c r="S1262" s="1583"/>
      <c r="T1262" s="1604">
        <f>T1261</f>
        <v>2210.1</v>
      </c>
      <c r="U1262" s="1592">
        <v>704.9</v>
      </c>
      <c r="V1262" s="1585"/>
      <c r="W1262" s="1585"/>
      <c r="X1262" s="1585"/>
      <c r="Y1262" s="1585"/>
      <c r="Z1262" s="1585"/>
      <c r="AA1262" s="1585"/>
      <c r="AB1262" s="1585"/>
      <c r="AC1262" s="1585"/>
      <c r="AD1262" s="1601">
        <f t="shared" si="161"/>
        <v>2915</v>
      </c>
      <c r="AE1262" s="1790">
        <v>2915</v>
      </c>
      <c r="AF1262" s="1792"/>
    </row>
    <row r="1263" spans="1:32" ht="27.75" customHeight="1">
      <c r="A1263" s="2918" t="s">
        <v>2655</v>
      </c>
      <c r="B1263" s="2919" t="s">
        <v>1748</v>
      </c>
      <c r="C1263" s="2920" t="s">
        <v>49</v>
      </c>
      <c r="D1263" s="2917">
        <v>6466.95</v>
      </c>
      <c r="E1263" s="1598" t="s">
        <v>2496</v>
      </c>
      <c r="F1263" s="1583"/>
      <c r="G1263" s="1583"/>
      <c r="H1263" s="1583"/>
      <c r="I1263" s="1583"/>
      <c r="J1263" s="1583"/>
      <c r="K1263" s="1583"/>
      <c r="L1263" s="1583"/>
      <c r="M1263" s="1583"/>
      <c r="N1263" s="1583"/>
      <c r="O1263" s="1583"/>
      <c r="P1263" s="1583"/>
      <c r="Q1263" s="1585"/>
      <c r="R1263" s="1583"/>
      <c r="S1263" s="1583"/>
      <c r="T1263" s="1585">
        <v>111.33</v>
      </c>
      <c r="U1263" s="1585">
        <v>722.8</v>
      </c>
      <c r="V1263" s="1585"/>
      <c r="W1263" s="1585"/>
      <c r="X1263" s="1585"/>
      <c r="Y1263" s="1585">
        <v>720.3</v>
      </c>
      <c r="Z1263" s="1585">
        <v>4912.5200000000004</v>
      </c>
      <c r="AA1263" s="1585"/>
      <c r="AB1263" s="1585"/>
      <c r="AC1263" s="1585"/>
      <c r="AD1263" s="1601">
        <f t="shared" si="161"/>
        <v>6466.9500000000007</v>
      </c>
      <c r="AE1263" s="1790">
        <v>1554.4299999999998</v>
      </c>
      <c r="AF1263" s="1792"/>
    </row>
    <row r="1264" spans="1:32" ht="27.75" customHeight="1">
      <c r="A1264" s="2918"/>
      <c r="B1264" s="2919"/>
      <c r="C1264" s="2920"/>
      <c r="D1264" s="2917"/>
      <c r="E1264" s="1603" t="s">
        <v>2497</v>
      </c>
      <c r="F1264" s="1583"/>
      <c r="G1264" s="1583"/>
      <c r="H1264" s="1583"/>
      <c r="I1264" s="1583"/>
      <c r="J1264" s="1583"/>
      <c r="K1264" s="1583"/>
      <c r="L1264" s="1583"/>
      <c r="M1264" s="1583"/>
      <c r="N1264" s="1583"/>
      <c r="O1264" s="1583"/>
      <c r="P1264" s="1583"/>
      <c r="Q1264" s="1604"/>
      <c r="R1264" s="1583"/>
      <c r="S1264" s="1583"/>
      <c r="T1264" s="1604">
        <f>T1263</f>
        <v>111.33</v>
      </c>
      <c r="U1264" s="1592">
        <v>722.8</v>
      </c>
      <c r="V1264" s="1585"/>
      <c r="W1264" s="1585"/>
      <c r="X1264" s="1585"/>
      <c r="Y1264" s="1592">
        <v>720.3</v>
      </c>
      <c r="Z1264" s="1592"/>
      <c r="AA1264" s="1592"/>
      <c r="AB1264" s="1592"/>
      <c r="AC1264" s="1592"/>
      <c r="AD1264" s="1601">
        <f t="shared" si="161"/>
        <v>1554.4299999999998</v>
      </c>
      <c r="AE1264" s="1790">
        <v>1554.4299999999998</v>
      </c>
      <c r="AF1264" s="1792"/>
    </row>
    <row r="1265" spans="1:32" ht="27.75" customHeight="1">
      <c r="A1265" s="2918" t="s">
        <v>2655</v>
      </c>
      <c r="B1265" s="2919" t="s">
        <v>2393</v>
      </c>
      <c r="C1265" s="2920" t="s">
        <v>49</v>
      </c>
      <c r="D1265" s="2917">
        <v>1147.2</v>
      </c>
      <c r="E1265" s="1598" t="s">
        <v>2496</v>
      </c>
      <c r="F1265" s="1583"/>
      <c r="G1265" s="1583"/>
      <c r="H1265" s="1583"/>
      <c r="I1265" s="1583"/>
      <c r="J1265" s="1583"/>
      <c r="K1265" s="1583"/>
      <c r="L1265" s="1583"/>
      <c r="M1265" s="1583"/>
      <c r="N1265" s="1583"/>
      <c r="O1265" s="1583"/>
      <c r="P1265" s="1583"/>
      <c r="Q1265" s="1585"/>
      <c r="R1265" s="1583"/>
      <c r="S1265" s="1583"/>
      <c r="T1265" s="1585">
        <v>798.45</v>
      </c>
      <c r="U1265" s="1585">
        <v>111.85</v>
      </c>
      <c r="V1265" s="1585">
        <v>236.9</v>
      </c>
      <c r="W1265" s="1585"/>
      <c r="X1265" s="1585"/>
      <c r="Y1265" s="1585"/>
      <c r="Z1265" s="1585"/>
      <c r="AA1265" s="1585"/>
      <c r="AB1265" s="1585"/>
      <c r="AC1265" s="1585"/>
      <c r="AD1265" s="1601">
        <f t="shared" si="161"/>
        <v>1147.2</v>
      </c>
      <c r="AE1265" s="1790">
        <v>1147.2</v>
      </c>
      <c r="AF1265" s="1792"/>
    </row>
    <row r="1266" spans="1:32" ht="27.75" customHeight="1">
      <c r="A1266" s="2918"/>
      <c r="B1266" s="2919"/>
      <c r="C1266" s="2920"/>
      <c r="D1266" s="2917"/>
      <c r="E1266" s="1603" t="s">
        <v>2497</v>
      </c>
      <c r="F1266" s="1583"/>
      <c r="G1266" s="1583"/>
      <c r="H1266" s="1583"/>
      <c r="I1266" s="1583"/>
      <c r="J1266" s="1583"/>
      <c r="K1266" s="1583"/>
      <c r="L1266" s="1583"/>
      <c r="M1266" s="1583"/>
      <c r="N1266" s="1583"/>
      <c r="O1266" s="1583"/>
      <c r="P1266" s="1583"/>
      <c r="Q1266" s="1604"/>
      <c r="R1266" s="1583"/>
      <c r="S1266" s="1583"/>
      <c r="T1266" s="1604">
        <f>T1265</f>
        <v>798.45</v>
      </c>
      <c r="U1266" s="1592">
        <v>111.85</v>
      </c>
      <c r="V1266" s="1592">
        <v>236.9</v>
      </c>
      <c r="W1266" s="1585"/>
      <c r="X1266" s="1585"/>
      <c r="Y1266" s="1585"/>
      <c r="Z1266" s="1585"/>
      <c r="AA1266" s="1585"/>
      <c r="AB1266" s="1585"/>
      <c r="AC1266" s="1585"/>
      <c r="AD1266" s="1601">
        <f t="shared" si="161"/>
        <v>1147.2</v>
      </c>
      <c r="AE1266" s="1790">
        <v>1147.2</v>
      </c>
      <c r="AF1266" s="1792"/>
    </row>
    <row r="1267" spans="1:32" ht="27.75" customHeight="1">
      <c r="A1267" s="2918" t="s">
        <v>2655</v>
      </c>
      <c r="B1267" s="2919" t="s">
        <v>2394</v>
      </c>
      <c r="C1267" s="2920" t="s">
        <v>49</v>
      </c>
      <c r="D1267" s="2917">
        <v>24100.799999999999</v>
      </c>
      <c r="E1267" s="1598" t="s">
        <v>2496</v>
      </c>
      <c r="F1267" s="1583"/>
      <c r="G1267" s="1583"/>
      <c r="H1267" s="1583"/>
      <c r="I1267" s="1583"/>
      <c r="J1267" s="1583"/>
      <c r="K1267" s="1583"/>
      <c r="L1267" s="1583"/>
      <c r="M1267" s="1583"/>
      <c r="N1267" s="1583"/>
      <c r="O1267" s="1583"/>
      <c r="P1267" s="1583"/>
      <c r="Q1267" s="1585"/>
      <c r="R1267" s="1583"/>
      <c r="S1267" s="1583"/>
      <c r="T1267" s="1585">
        <v>2622.45</v>
      </c>
      <c r="U1267" s="1585">
        <v>112.52</v>
      </c>
      <c r="V1267" s="1585"/>
      <c r="W1267" s="1585"/>
      <c r="X1267" s="1585"/>
      <c r="Y1267" s="1585">
        <v>128.38999999999999</v>
      </c>
      <c r="Z1267" s="1585">
        <v>21237.439999999999</v>
      </c>
      <c r="AA1267" s="1585"/>
      <c r="AB1267" s="1585"/>
      <c r="AC1267" s="1585"/>
      <c r="AD1267" s="1601">
        <f t="shared" si="161"/>
        <v>24100.799999999999</v>
      </c>
      <c r="AE1267" s="1790">
        <v>2863.3599999999997</v>
      </c>
      <c r="AF1267" s="1792"/>
    </row>
    <row r="1268" spans="1:32" ht="27.75" customHeight="1">
      <c r="A1268" s="2918"/>
      <c r="B1268" s="2919"/>
      <c r="C1268" s="2920"/>
      <c r="D1268" s="2917"/>
      <c r="E1268" s="1603" t="s">
        <v>2497</v>
      </c>
      <c r="F1268" s="1583"/>
      <c r="G1268" s="1583"/>
      <c r="H1268" s="1583"/>
      <c r="I1268" s="1583"/>
      <c r="J1268" s="1583"/>
      <c r="K1268" s="1583"/>
      <c r="L1268" s="1583"/>
      <c r="M1268" s="1583"/>
      <c r="N1268" s="1583"/>
      <c r="O1268" s="1583"/>
      <c r="P1268" s="1583"/>
      <c r="Q1268" s="1604"/>
      <c r="R1268" s="1583"/>
      <c r="S1268" s="1583"/>
      <c r="T1268" s="1604">
        <f>T1267</f>
        <v>2622.45</v>
      </c>
      <c r="U1268" s="1592">
        <v>112.52</v>
      </c>
      <c r="V1268" s="1585"/>
      <c r="W1268" s="1585"/>
      <c r="X1268" s="1585"/>
      <c r="Y1268" s="1592">
        <v>128.38999999999999</v>
      </c>
      <c r="Z1268" s="1585"/>
      <c r="AA1268" s="1585"/>
      <c r="AB1268" s="1585"/>
      <c r="AC1268" s="1585"/>
      <c r="AD1268" s="1601">
        <f t="shared" si="161"/>
        <v>2863.3599999999997</v>
      </c>
      <c r="AE1268" s="1790">
        <v>2863.3599999999997</v>
      </c>
      <c r="AF1268" s="1792"/>
    </row>
    <row r="1269" spans="1:32" ht="27.75" customHeight="1">
      <c r="A1269" s="2918" t="s">
        <v>2655</v>
      </c>
      <c r="B1269" s="2919" t="s">
        <v>1750</v>
      </c>
      <c r="C1269" s="2920" t="s">
        <v>51</v>
      </c>
      <c r="D1269" s="2917">
        <v>2593.6</v>
      </c>
      <c r="E1269" s="1598" t="s">
        <v>2496</v>
      </c>
      <c r="F1269" s="1583"/>
      <c r="G1269" s="1583"/>
      <c r="H1269" s="1583"/>
      <c r="I1269" s="1583"/>
      <c r="J1269" s="1583"/>
      <c r="K1269" s="1583"/>
      <c r="L1269" s="1583"/>
      <c r="M1269" s="1583"/>
      <c r="N1269" s="1583"/>
      <c r="O1269" s="1583"/>
      <c r="P1269" s="1583"/>
      <c r="Q1269" s="1585"/>
      <c r="R1269" s="1583"/>
      <c r="S1269" s="1583"/>
      <c r="T1269" s="1585">
        <v>2593.6</v>
      </c>
      <c r="U1269" s="1585"/>
      <c r="V1269" s="1585"/>
      <c r="W1269" s="1585"/>
      <c r="X1269" s="1585"/>
      <c r="Y1269" s="1585"/>
      <c r="Z1269" s="1585"/>
      <c r="AA1269" s="1585"/>
      <c r="AB1269" s="1585"/>
      <c r="AC1269" s="1585"/>
      <c r="AD1269" s="1601">
        <f t="shared" si="161"/>
        <v>2593.6</v>
      </c>
      <c r="AE1269" s="1790">
        <v>2593.6</v>
      </c>
      <c r="AF1269" s="1792"/>
    </row>
    <row r="1270" spans="1:32" ht="27.75" customHeight="1">
      <c r="A1270" s="2918"/>
      <c r="B1270" s="2919"/>
      <c r="C1270" s="2920"/>
      <c r="D1270" s="2917"/>
      <c r="E1270" s="1603" t="s">
        <v>2497</v>
      </c>
      <c r="F1270" s="1583"/>
      <c r="G1270" s="1583"/>
      <c r="H1270" s="1583"/>
      <c r="I1270" s="1583"/>
      <c r="J1270" s="1583"/>
      <c r="K1270" s="1583"/>
      <c r="L1270" s="1583"/>
      <c r="M1270" s="1583"/>
      <c r="N1270" s="1583"/>
      <c r="O1270" s="1583"/>
      <c r="P1270" s="1583"/>
      <c r="Q1270" s="1604"/>
      <c r="R1270" s="1583"/>
      <c r="S1270" s="1583"/>
      <c r="T1270" s="1604">
        <f>T1269</f>
        <v>2593.6</v>
      </c>
      <c r="U1270" s="1585"/>
      <c r="V1270" s="1585"/>
      <c r="W1270" s="1585"/>
      <c r="X1270" s="1585"/>
      <c r="Y1270" s="1585"/>
      <c r="Z1270" s="1585"/>
      <c r="AA1270" s="1585"/>
      <c r="AB1270" s="1585"/>
      <c r="AC1270" s="1585"/>
      <c r="AD1270" s="1601">
        <f t="shared" si="161"/>
        <v>2593.6</v>
      </c>
      <c r="AE1270" s="1790">
        <v>2593.6</v>
      </c>
      <c r="AF1270" s="1792"/>
    </row>
    <row r="1271" spans="1:32" ht="27.75" customHeight="1">
      <c r="A1271" s="2918" t="s">
        <v>2655</v>
      </c>
      <c r="B1271" s="2919" t="s">
        <v>1753</v>
      </c>
      <c r="C1271" s="2920" t="s">
        <v>51</v>
      </c>
      <c r="D1271" s="2917">
        <v>22770.027000000002</v>
      </c>
      <c r="E1271" s="1598" t="s">
        <v>2496</v>
      </c>
      <c r="F1271" s="1583"/>
      <c r="G1271" s="1583"/>
      <c r="H1271" s="1583"/>
      <c r="I1271" s="1583"/>
      <c r="J1271" s="1583"/>
      <c r="K1271" s="1583"/>
      <c r="L1271" s="1583"/>
      <c r="M1271" s="1583"/>
      <c r="N1271" s="1583"/>
      <c r="O1271" s="1583"/>
      <c r="P1271" s="1583"/>
      <c r="Q1271" s="1585"/>
      <c r="R1271" s="1583"/>
      <c r="S1271" s="1583"/>
      <c r="T1271" s="1585">
        <v>22770.03</v>
      </c>
      <c r="U1271" s="1585"/>
      <c r="V1271" s="1585"/>
      <c r="W1271" s="1585"/>
      <c r="X1271" s="1585"/>
      <c r="Y1271" s="1585"/>
      <c r="Z1271" s="1585"/>
      <c r="AA1271" s="1585"/>
      <c r="AB1271" s="1585"/>
      <c r="AC1271" s="1585"/>
      <c r="AD1271" s="1601">
        <f t="shared" si="161"/>
        <v>22770.03</v>
      </c>
      <c r="AE1271" s="1790">
        <v>22770.03</v>
      </c>
      <c r="AF1271" s="1792"/>
    </row>
    <row r="1272" spans="1:32" ht="27" customHeight="1">
      <c r="A1272" s="2918"/>
      <c r="B1272" s="2919"/>
      <c r="C1272" s="2920"/>
      <c r="D1272" s="2917"/>
      <c r="E1272" s="1603" t="s">
        <v>2497</v>
      </c>
      <c r="F1272" s="1583"/>
      <c r="G1272" s="1583"/>
      <c r="H1272" s="1583"/>
      <c r="I1272" s="1583"/>
      <c r="J1272" s="1583"/>
      <c r="K1272" s="1583"/>
      <c r="L1272" s="1583"/>
      <c r="M1272" s="1583"/>
      <c r="N1272" s="1583"/>
      <c r="O1272" s="1583"/>
      <c r="P1272" s="1583"/>
      <c r="Q1272" s="1604"/>
      <c r="R1272" s="1583"/>
      <c r="S1272" s="1583"/>
      <c r="T1272" s="1604">
        <f>T1271</f>
        <v>22770.03</v>
      </c>
      <c r="U1272" s="1585"/>
      <c r="V1272" s="1585"/>
      <c r="W1272" s="1585"/>
      <c r="X1272" s="1585"/>
      <c r="Y1272" s="1585"/>
      <c r="Z1272" s="1585"/>
      <c r="AA1272" s="1585"/>
      <c r="AB1272" s="1585"/>
      <c r="AC1272" s="1585"/>
      <c r="AD1272" s="1601">
        <f t="shared" si="161"/>
        <v>22770.03</v>
      </c>
      <c r="AE1272" s="1790">
        <v>22770.03</v>
      </c>
      <c r="AF1272" s="1792"/>
    </row>
    <row r="1273" spans="1:32" ht="27.75" customHeight="1">
      <c r="A1273" s="1594"/>
      <c r="B1273" s="1614" t="s">
        <v>3797</v>
      </c>
      <c r="C1273" s="1596"/>
      <c r="D1273" s="1597"/>
      <c r="E1273" s="1593"/>
      <c r="F1273" s="1583"/>
      <c r="G1273" s="1583"/>
      <c r="H1273" s="1583"/>
      <c r="I1273" s="1583"/>
      <c r="J1273" s="1583"/>
      <c r="K1273" s="1583"/>
      <c r="L1273" s="1583"/>
      <c r="M1273" s="1583"/>
      <c r="N1273" s="1583"/>
      <c r="O1273" s="1583"/>
      <c r="P1273" s="1583"/>
      <c r="Q1273" s="1583"/>
      <c r="R1273" s="1583"/>
      <c r="S1273" s="1583"/>
      <c r="T1273" s="1585"/>
      <c r="U1273" s="1585"/>
      <c r="V1273" s="1585"/>
      <c r="W1273" s="1585"/>
      <c r="X1273" s="1585"/>
      <c r="Y1273" s="1585"/>
      <c r="Z1273" s="1585"/>
      <c r="AA1273" s="1585"/>
      <c r="AB1273" s="1585"/>
      <c r="AC1273" s="1585"/>
      <c r="AD1273" s="1601">
        <f t="shared" si="161"/>
        <v>0</v>
      </c>
      <c r="AE1273" s="1790">
        <v>0</v>
      </c>
      <c r="AF1273" s="1792"/>
    </row>
    <row r="1274" spans="1:32" ht="27.75" customHeight="1">
      <c r="A1274" s="1594"/>
      <c r="B1274" s="1627" t="s">
        <v>2302</v>
      </c>
      <c r="C1274" s="1596"/>
      <c r="D1274" s="1628"/>
      <c r="E1274" s="1583"/>
      <c r="F1274" s="1583"/>
      <c r="G1274" s="1583"/>
      <c r="H1274" s="1583"/>
      <c r="I1274" s="1583"/>
      <c r="J1274" s="1583"/>
      <c r="K1274" s="1583"/>
      <c r="L1274" s="1583"/>
      <c r="M1274" s="1583"/>
      <c r="N1274" s="1583"/>
      <c r="O1274" s="1583"/>
      <c r="P1274" s="1583"/>
      <c r="Q1274" s="1583"/>
      <c r="R1274" s="1583"/>
      <c r="S1274" s="1583"/>
      <c r="T1274" s="1585"/>
      <c r="U1274" s="1585"/>
      <c r="V1274" s="1585"/>
      <c r="W1274" s="1585"/>
      <c r="X1274" s="1585"/>
      <c r="Y1274" s="1585"/>
      <c r="Z1274" s="1585"/>
      <c r="AA1274" s="1585"/>
      <c r="AB1274" s="1585"/>
      <c r="AC1274" s="1585"/>
      <c r="AD1274" s="1601">
        <f t="shared" si="161"/>
        <v>0</v>
      </c>
      <c r="AE1274" s="1790">
        <v>0</v>
      </c>
      <c r="AF1274" s="1792"/>
    </row>
    <row r="1275" spans="1:32" ht="27.75" customHeight="1">
      <c r="A1275" s="1794" t="s">
        <v>34</v>
      </c>
      <c r="B1275" s="1794" t="s">
        <v>1695</v>
      </c>
      <c r="C1275" s="1596"/>
      <c r="D1275" s="1628"/>
      <c r="E1275" s="1583"/>
      <c r="F1275" s="1583"/>
      <c r="G1275" s="1583"/>
      <c r="H1275" s="1583"/>
      <c r="I1275" s="1583"/>
      <c r="J1275" s="1583"/>
      <c r="K1275" s="1583"/>
      <c r="L1275" s="1583"/>
      <c r="M1275" s="1583"/>
      <c r="N1275" s="1583"/>
      <c r="O1275" s="1583"/>
      <c r="P1275" s="1583"/>
      <c r="Q1275" s="1583"/>
      <c r="R1275" s="1583"/>
      <c r="S1275" s="1583"/>
      <c r="T1275" s="1585"/>
      <c r="U1275" s="1585"/>
      <c r="V1275" s="1585"/>
      <c r="W1275" s="1585"/>
      <c r="X1275" s="1585"/>
      <c r="Y1275" s="1585"/>
      <c r="Z1275" s="1585"/>
      <c r="AA1275" s="1585"/>
      <c r="AB1275" s="1585"/>
      <c r="AC1275" s="1585"/>
      <c r="AD1275" s="1601">
        <f t="shared" si="161"/>
        <v>0</v>
      </c>
      <c r="AE1275" s="1790">
        <v>0</v>
      </c>
      <c r="AF1275" s="1792"/>
    </row>
    <row r="1276" spans="1:32" ht="27.75" customHeight="1">
      <c r="A1276" s="1647" t="s">
        <v>43</v>
      </c>
      <c r="B1276" s="1647" t="s">
        <v>243</v>
      </c>
      <c r="C1276" s="1596"/>
      <c r="D1276" s="1628"/>
      <c r="E1276" s="1583"/>
      <c r="F1276" s="1583"/>
      <c r="G1276" s="1583"/>
      <c r="H1276" s="1583"/>
      <c r="I1276" s="1583"/>
      <c r="J1276" s="1583"/>
      <c r="K1276" s="1583"/>
      <c r="L1276" s="1583"/>
      <c r="M1276" s="1583"/>
      <c r="N1276" s="1583"/>
      <c r="O1276" s="1583"/>
      <c r="P1276" s="1583"/>
      <c r="Q1276" s="1583"/>
      <c r="R1276" s="1583"/>
      <c r="S1276" s="1583"/>
      <c r="T1276" s="1585"/>
      <c r="U1276" s="1585"/>
      <c r="V1276" s="1585"/>
      <c r="W1276" s="1585"/>
      <c r="X1276" s="1585"/>
      <c r="Y1276" s="1585"/>
      <c r="Z1276" s="1585"/>
      <c r="AA1276" s="1585"/>
      <c r="AB1276" s="1585"/>
      <c r="AC1276" s="1585"/>
      <c r="AD1276" s="1601">
        <f t="shared" si="161"/>
        <v>0</v>
      </c>
      <c r="AE1276" s="1790">
        <v>0</v>
      </c>
      <c r="AF1276" s="1792"/>
    </row>
    <row r="1277" spans="1:32" ht="27.75" customHeight="1">
      <c r="A1277" s="1795" t="s">
        <v>537</v>
      </c>
      <c r="B1277" s="1796" t="s">
        <v>2512</v>
      </c>
      <c r="C1277" s="1596"/>
      <c r="D1277" s="1628"/>
      <c r="E1277" s="1583"/>
      <c r="F1277" s="1583"/>
      <c r="G1277" s="1583"/>
      <c r="H1277" s="1583"/>
      <c r="I1277" s="1583"/>
      <c r="J1277" s="1583"/>
      <c r="K1277" s="1583"/>
      <c r="L1277" s="1583"/>
      <c r="M1277" s="1583"/>
      <c r="N1277" s="1583"/>
      <c r="O1277" s="1583"/>
      <c r="P1277" s="1583"/>
      <c r="Q1277" s="1583"/>
      <c r="R1277" s="1583"/>
      <c r="S1277" s="1583"/>
      <c r="T1277" s="1585"/>
      <c r="U1277" s="1585"/>
      <c r="V1277" s="1585"/>
      <c r="W1277" s="1585"/>
      <c r="X1277" s="1585"/>
      <c r="Y1277" s="1585"/>
      <c r="Z1277" s="1585"/>
      <c r="AA1277" s="1585"/>
      <c r="AB1277" s="1585"/>
      <c r="AC1277" s="1585"/>
      <c r="AD1277" s="1601">
        <f t="shared" si="161"/>
        <v>0</v>
      </c>
      <c r="AE1277" s="1790">
        <v>0</v>
      </c>
      <c r="AF1277" s="1792"/>
    </row>
    <row r="1278" spans="1:32" ht="27.75" customHeight="1">
      <c r="A1278" s="2899" t="s">
        <v>2513</v>
      </c>
      <c r="B1278" s="2901" t="s">
        <v>2793</v>
      </c>
      <c r="C1278" s="2920" t="s">
        <v>49</v>
      </c>
      <c r="D1278" s="2917">
        <v>622.55999999999995</v>
      </c>
      <c r="E1278" s="1598" t="s">
        <v>2496</v>
      </c>
      <c r="F1278" s="1583"/>
      <c r="G1278" s="1583"/>
      <c r="H1278" s="1583"/>
      <c r="I1278" s="1583"/>
      <c r="J1278" s="1583"/>
      <c r="K1278" s="1583"/>
      <c r="L1278" s="1583"/>
      <c r="M1278" s="1583"/>
      <c r="N1278" s="1583"/>
      <c r="O1278" s="1583"/>
      <c r="P1278" s="1583"/>
      <c r="Q1278" s="1585"/>
      <c r="R1278" s="1583"/>
      <c r="S1278" s="1583"/>
      <c r="T1278" s="1585"/>
      <c r="U1278" s="1585"/>
      <c r="V1278" s="1585"/>
      <c r="W1278" s="1585"/>
      <c r="X1278" s="1585"/>
      <c r="Y1278" s="1585"/>
      <c r="Z1278" s="1585">
        <v>622.55999999999995</v>
      </c>
      <c r="AA1278" s="1585"/>
      <c r="AB1278" s="1585"/>
      <c r="AC1278" s="1585"/>
      <c r="AD1278" s="1601">
        <f t="shared" si="161"/>
        <v>622.55999999999995</v>
      </c>
      <c r="AE1278" s="1790">
        <v>0</v>
      </c>
      <c r="AF1278" s="1792"/>
    </row>
    <row r="1279" spans="1:32" ht="27.75" customHeight="1">
      <c r="A1279" s="2900" t="s">
        <v>2513</v>
      </c>
      <c r="B1279" s="2902" t="s">
        <v>2793</v>
      </c>
      <c r="C1279" s="2920"/>
      <c r="D1279" s="2917"/>
      <c r="E1279" s="1603" t="s">
        <v>2497</v>
      </c>
      <c r="F1279" s="1583"/>
      <c r="G1279" s="1583"/>
      <c r="H1279" s="1583"/>
      <c r="I1279" s="1583"/>
      <c r="J1279" s="1583"/>
      <c r="K1279" s="1583"/>
      <c r="L1279" s="1583"/>
      <c r="M1279" s="1583"/>
      <c r="N1279" s="1583"/>
      <c r="O1279" s="1583"/>
      <c r="P1279" s="1583"/>
      <c r="Q1279" s="1604"/>
      <c r="R1279" s="1583"/>
      <c r="S1279" s="1583"/>
      <c r="T1279" s="1604"/>
      <c r="U1279" s="1592"/>
      <c r="V1279" s="1585"/>
      <c r="W1279" s="1585"/>
      <c r="X1279" s="1585"/>
      <c r="Y1279" s="1585"/>
      <c r="Z1279" s="1585"/>
      <c r="AA1279" s="1585"/>
      <c r="AB1279" s="1585"/>
      <c r="AC1279" s="1585"/>
      <c r="AD1279" s="1601">
        <f t="shared" si="161"/>
        <v>0</v>
      </c>
      <c r="AE1279" s="1790">
        <v>0</v>
      </c>
      <c r="AF1279" s="1792"/>
    </row>
    <row r="1280" spans="1:32" ht="27.75" customHeight="1">
      <c r="A1280" s="1647" t="s">
        <v>44</v>
      </c>
      <c r="B1280" s="1647" t="s">
        <v>2794</v>
      </c>
      <c r="C1280" s="1596"/>
      <c r="D1280" s="1628"/>
      <c r="E1280" s="1583"/>
      <c r="F1280" s="1583"/>
      <c r="G1280" s="1583"/>
      <c r="H1280" s="1583"/>
      <c r="I1280" s="1583"/>
      <c r="J1280" s="1583"/>
      <c r="K1280" s="1583"/>
      <c r="L1280" s="1583"/>
      <c r="M1280" s="1583"/>
      <c r="N1280" s="1583"/>
      <c r="O1280" s="1583"/>
      <c r="P1280" s="1583"/>
      <c r="Q1280" s="1583"/>
      <c r="R1280" s="1583"/>
      <c r="S1280" s="1583"/>
      <c r="T1280" s="1585"/>
      <c r="U1280" s="1585"/>
      <c r="V1280" s="1585"/>
      <c r="W1280" s="1585"/>
      <c r="X1280" s="1585"/>
      <c r="Y1280" s="1585"/>
      <c r="Z1280" s="1585"/>
      <c r="AA1280" s="1585"/>
      <c r="AB1280" s="1585"/>
      <c r="AC1280" s="1585"/>
      <c r="AD1280" s="1601">
        <f t="shared" si="161"/>
        <v>0</v>
      </c>
      <c r="AE1280" s="1790">
        <v>0</v>
      </c>
      <c r="AF1280" s="1792"/>
    </row>
    <row r="1281" spans="1:32" ht="27.75" customHeight="1">
      <c r="A1281" s="1795" t="s">
        <v>544</v>
      </c>
      <c r="B1281" s="1796" t="s">
        <v>2795</v>
      </c>
      <c r="C1281" s="1596"/>
      <c r="D1281" s="1628"/>
      <c r="E1281" s="1583"/>
      <c r="F1281" s="1583"/>
      <c r="G1281" s="1583"/>
      <c r="H1281" s="1583"/>
      <c r="I1281" s="1583"/>
      <c r="J1281" s="1583"/>
      <c r="K1281" s="1583"/>
      <c r="L1281" s="1583"/>
      <c r="M1281" s="1583"/>
      <c r="N1281" s="1583"/>
      <c r="O1281" s="1583"/>
      <c r="P1281" s="1583"/>
      <c r="Q1281" s="1583"/>
      <c r="R1281" s="1583"/>
      <c r="S1281" s="1583"/>
      <c r="T1281" s="1585"/>
      <c r="U1281" s="1585"/>
      <c r="V1281" s="1585"/>
      <c r="W1281" s="1585"/>
      <c r="X1281" s="1585"/>
      <c r="Y1281" s="1585"/>
      <c r="Z1281" s="1585"/>
      <c r="AA1281" s="1585"/>
      <c r="AB1281" s="1585"/>
      <c r="AC1281" s="1585"/>
      <c r="AD1281" s="1601">
        <f t="shared" si="161"/>
        <v>0</v>
      </c>
      <c r="AE1281" s="1790">
        <v>0</v>
      </c>
      <c r="AF1281" s="1792"/>
    </row>
    <row r="1282" spans="1:32" ht="27.75" customHeight="1">
      <c r="A1282" s="2899" t="s">
        <v>2517</v>
      </c>
      <c r="B1282" s="2901" t="s">
        <v>2796</v>
      </c>
      <c r="C1282" s="2903" t="s">
        <v>49</v>
      </c>
      <c r="D1282" s="2917">
        <v>8702.39</v>
      </c>
      <c r="E1282" s="1598" t="s">
        <v>2496</v>
      </c>
      <c r="F1282" s="1583"/>
      <c r="G1282" s="1583"/>
      <c r="H1282" s="1583"/>
      <c r="I1282" s="1583"/>
      <c r="J1282" s="1583"/>
      <c r="K1282" s="1583"/>
      <c r="L1282" s="1583"/>
      <c r="M1282" s="1583"/>
      <c r="N1282" s="1583"/>
      <c r="O1282" s="1583"/>
      <c r="P1282" s="1583"/>
      <c r="Q1282" s="1585"/>
      <c r="R1282" s="1583"/>
      <c r="S1282" s="1583"/>
      <c r="T1282" s="1585"/>
      <c r="U1282" s="1585"/>
      <c r="V1282" s="1585"/>
      <c r="W1282" s="1585"/>
      <c r="X1282" s="1585"/>
      <c r="Y1282" s="1585"/>
      <c r="Z1282" s="1585">
        <v>8702.39</v>
      </c>
      <c r="AA1282" s="1585"/>
      <c r="AB1282" s="1585"/>
      <c r="AC1282" s="1585"/>
      <c r="AD1282" s="1601">
        <f t="shared" si="161"/>
        <v>8702.39</v>
      </c>
      <c r="AE1282" s="1790">
        <v>0</v>
      </c>
      <c r="AF1282" s="1792"/>
    </row>
    <row r="1283" spans="1:32" ht="27.75" customHeight="1">
      <c r="A1283" s="2900" t="s">
        <v>2517</v>
      </c>
      <c r="B1283" s="2902" t="s">
        <v>2796</v>
      </c>
      <c r="C1283" s="2904" t="s">
        <v>49</v>
      </c>
      <c r="D1283" s="2917"/>
      <c r="E1283" s="1603" t="s">
        <v>2497</v>
      </c>
      <c r="F1283" s="1583"/>
      <c r="G1283" s="1583"/>
      <c r="H1283" s="1583"/>
      <c r="I1283" s="1583"/>
      <c r="J1283" s="1583"/>
      <c r="K1283" s="1583"/>
      <c r="L1283" s="1583"/>
      <c r="M1283" s="1583"/>
      <c r="N1283" s="1583"/>
      <c r="O1283" s="1583"/>
      <c r="P1283" s="1583"/>
      <c r="Q1283" s="1604"/>
      <c r="R1283" s="1583"/>
      <c r="S1283" s="1583"/>
      <c r="T1283" s="1604"/>
      <c r="U1283" s="1592"/>
      <c r="V1283" s="1585"/>
      <c r="W1283" s="1585"/>
      <c r="X1283" s="1585"/>
      <c r="Y1283" s="1592"/>
      <c r="Z1283" s="1592"/>
      <c r="AA1283" s="1592"/>
      <c r="AB1283" s="1592"/>
      <c r="AC1283" s="1592"/>
      <c r="AD1283" s="1601">
        <f t="shared" si="161"/>
        <v>0</v>
      </c>
      <c r="AE1283" s="1790">
        <v>0</v>
      </c>
      <c r="AF1283" s="1792"/>
    </row>
    <row r="1284" spans="1:32" ht="27.75" customHeight="1">
      <c r="A1284" s="2899" t="s">
        <v>2797</v>
      </c>
      <c r="B1284" s="2901" t="s">
        <v>2798</v>
      </c>
      <c r="C1284" s="2903" t="s">
        <v>50</v>
      </c>
      <c r="D1284" s="2917">
        <v>9204.94</v>
      </c>
      <c r="E1284" s="1598" t="s">
        <v>2496</v>
      </c>
      <c r="F1284" s="1583"/>
      <c r="G1284" s="1583"/>
      <c r="H1284" s="1583"/>
      <c r="I1284" s="1583"/>
      <c r="J1284" s="1583"/>
      <c r="K1284" s="1583"/>
      <c r="L1284" s="1583"/>
      <c r="M1284" s="1583"/>
      <c r="N1284" s="1583"/>
      <c r="O1284" s="1583"/>
      <c r="P1284" s="1583"/>
      <c r="Q1284" s="1585"/>
      <c r="R1284" s="1583"/>
      <c r="S1284" s="1583"/>
      <c r="T1284" s="1585"/>
      <c r="U1284" s="1585"/>
      <c r="V1284" s="1585"/>
      <c r="W1284" s="1585"/>
      <c r="X1284" s="1585"/>
      <c r="Y1284" s="1585"/>
      <c r="Z1284" s="1585">
        <v>9204.94</v>
      </c>
      <c r="AA1284" s="1585"/>
      <c r="AB1284" s="1585"/>
      <c r="AC1284" s="1585"/>
      <c r="AD1284" s="1601">
        <f t="shared" si="161"/>
        <v>9204.94</v>
      </c>
      <c r="AE1284" s="1790">
        <v>0</v>
      </c>
      <c r="AF1284" s="1792"/>
    </row>
    <row r="1285" spans="1:32" ht="27.75" customHeight="1">
      <c r="A1285" s="2900" t="s">
        <v>2797</v>
      </c>
      <c r="B1285" s="2902" t="s">
        <v>2798</v>
      </c>
      <c r="C1285" s="2904" t="s">
        <v>50</v>
      </c>
      <c r="D1285" s="2917"/>
      <c r="E1285" s="1603" t="s">
        <v>2497</v>
      </c>
      <c r="F1285" s="1583"/>
      <c r="G1285" s="1583"/>
      <c r="H1285" s="1583"/>
      <c r="I1285" s="1583"/>
      <c r="J1285" s="1583"/>
      <c r="K1285" s="1583"/>
      <c r="L1285" s="1583"/>
      <c r="M1285" s="1583"/>
      <c r="N1285" s="1583"/>
      <c r="O1285" s="1583"/>
      <c r="P1285" s="1583"/>
      <c r="Q1285" s="1604"/>
      <c r="R1285" s="1583"/>
      <c r="S1285" s="1583"/>
      <c r="T1285" s="1604"/>
      <c r="U1285" s="1592"/>
      <c r="V1285" s="1592"/>
      <c r="W1285" s="1585"/>
      <c r="X1285" s="1585"/>
      <c r="Y1285" s="1585"/>
      <c r="Z1285" s="1585"/>
      <c r="AA1285" s="1585"/>
      <c r="AB1285" s="1585"/>
      <c r="AC1285" s="1585"/>
      <c r="AD1285" s="1601">
        <f t="shared" si="161"/>
        <v>0</v>
      </c>
      <c r="AE1285" s="1790">
        <v>0</v>
      </c>
      <c r="AF1285" s="1792"/>
    </row>
    <row r="1286" spans="1:32" ht="27.75" customHeight="1">
      <c r="A1286" s="2899" t="s">
        <v>2799</v>
      </c>
      <c r="B1286" s="2901" t="s">
        <v>2800</v>
      </c>
      <c r="C1286" s="2903" t="s">
        <v>420</v>
      </c>
      <c r="D1286" s="2917">
        <v>3240.72</v>
      </c>
      <c r="E1286" s="1598" t="s">
        <v>2496</v>
      </c>
      <c r="F1286" s="1583"/>
      <c r="G1286" s="1583"/>
      <c r="H1286" s="1583"/>
      <c r="I1286" s="1583"/>
      <c r="J1286" s="1583"/>
      <c r="K1286" s="1583"/>
      <c r="L1286" s="1583"/>
      <c r="M1286" s="1583"/>
      <c r="N1286" s="1583"/>
      <c r="O1286" s="1583"/>
      <c r="P1286" s="1583"/>
      <c r="Q1286" s="1585"/>
      <c r="R1286" s="1583"/>
      <c r="S1286" s="1583"/>
      <c r="T1286" s="1585"/>
      <c r="U1286" s="1585"/>
      <c r="V1286" s="1585"/>
      <c r="W1286" s="1585"/>
      <c r="X1286" s="1585"/>
      <c r="Y1286" s="1585"/>
      <c r="Z1286" s="1585">
        <v>3240.72</v>
      </c>
      <c r="AA1286" s="1585"/>
      <c r="AB1286" s="1585"/>
      <c r="AC1286" s="1585"/>
      <c r="AD1286" s="1601">
        <f t="shared" si="161"/>
        <v>3240.72</v>
      </c>
      <c r="AE1286" s="1790">
        <v>0</v>
      </c>
      <c r="AF1286" s="1792"/>
    </row>
    <row r="1287" spans="1:32" ht="27.75" customHeight="1">
      <c r="A1287" s="2900" t="s">
        <v>2799</v>
      </c>
      <c r="B1287" s="2902" t="s">
        <v>2800</v>
      </c>
      <c r="C1287" s="2904" t="s">
        <v>420</v>
      </c>
      <c r="D1287" s="2917"/>
      <c r="E1287" s="1603" t="s">
        <v>2497</v>
      </c>
      <c r="F1287" s="1583"/>
      <c r="G1287" s="1583"/>
      <c r="H1287" s="1583"/>
      <c r="I1287" s="1583"/>
      <c r="J1287" s="1583"/>
      <c r="K1287" s="1583"/>
      <c r="L1287" s="1583"/>
      <c r="M1287" s="1583"/>
      <c r="N1287" s="1583"/>
      <c r="O1287" s="1583"/>
      <c r="P1287" s="1583"/>
      <c r="Q1287" s="1604"/>
      <c r="R1287" s="1583"/>
      <c r="S1287" s="1583"/>
      <c r="T1287" s="1604"/>
      <c r="U1287" s="1592"/>
      <c r="V1287" s="1585"/>
      <c r="W1287" s="1585"/>
      <c r="X1287" s="1585"/>
      <c r="Y1287" s="1592"/>
      <c r="Z1287" s="1585"/>
      <c r="AA1287" s="1585"/>
      <c r="AB1287" s="1585"/>
      <c r="AC1287" s="1585"/>
      <c r="AD1287" s="1601">
        <f t="shared" si="161"/>
        <v>0</v>
      </c>
      <c r="AE1287" s="1790">
        <v>0</v>
      </c>
      <c r="AF1287" s="1792"/>
    </row>
    <row r="1288" spans="1:32" ht="27.75" customHeight="1">
      <c r="A1288" s="1647" t="s">
        <v>547</v>
      </c>
      <c r="B1288" s="1647" t="s">
        <v>2801</v>
      </c>
      <c r="C1288" s="1797"/>
      <c r="D1288" s="1597"/>
      <c r="E1288" s="1599"/>
      <c r="F1288" s="1583"/>
      <c r="G1288" s="1583"/>
      <c r="H1288" s="1583"/>
      <c r="I1288" s="1583"/>
      <c r="J1288" s="1583"/>
      <c r="K1288" s="1583"/>
      <c r="L1288" s="1583"/>
      <c r="M1288" s="1583"/>
      <c r="N1288" s="1583"/>
      <c r="O1288" s="1583"/>
      <c r="P1288" s="1583"/>
      <c r="Q1288" s="1604"/>
      <c r="R1288" s="1583"/>
      <c r="S1288" s="1583"/>
      <c r="T1288" s="1604"/>
      <c r="U1288" s="1592"/>
      <c r="V1288" s="1585"/>
      <c r="W1288" s="1585"/>
      <c r="X1288" s="1585"/>
      <c r="Y1288" s="1592"/>
      <c r="Z1288" s="1585"/>
      <c r="AA1288" s="1585"/>
      <c r="AB1288" s="1585"/>
      <c r="AC1288" s="1585"/>
      <c r="AD1288" s="1601">
        <f t="shared" si="161"/>
        <v>0</v>
      </c>
      <c r="AE1288" s="1790">
        <v>0</v>
      </c>
      <c r="AF1288" s="1792"/>
    </row>
    <row r="1289" spans="1:32" ht="27.75" customHeight="1">
      <c r="A1289" s="1795" t="s">
        <v>549</v>
      </c>
      <c r="B1289" s="1796" t="s">
        <v>2802</v>
      </c>
      <c r="C1289" s="1797"/>
      <c r="D1289" s="1597"/>
      <c r="E1289" s="1599"/>
      <c r="F1289" s="1583"/>
      <c r="G1289" s="1583"/>
      <c r="H1289" s="1583"/>
      <c r="I1289" s="1583"/>
      <c r="J1289" s="1583"/>
      <c r="K1289" s="1583"/>
      <c r="L1289" s="1583"/>
      <c r="M1289" s="1583"/>
      <c r="N1289" s="1583"/>
      <c r="O1289" s="1583"/>
      <c r="P1289" s="1583"/>
      <c r="Q1289" s="1604"/>
      <c r="R1289" s="1583"/>
      <c r="S1289" s="1583"/>
      <c r="T1289" s="1604"/>
      <c r="U1289" s="1592"/>
      <c r="V1289" s="1585"/>
      <c r="W1289" s="1585"/>
      <c r="X1289" s="1585"/>
      <c r="Y1289" s="1592"/>
      <c r="Z1289" s="1585"/>
      <c r="AA1289" s="1585"/>
      <c r="AB1289" s="1585"/>
      <c r="AC1289" s="1585"/>
      <c r="AD1289" s="1601">
        <f t="shared" si="161"/>
        <v>0</v>
      </c>
      <c r="AE1289" s="1790">
        <v>0</v>
      </c>
      <c r="AF1289" s="1792"/>
    </row>
    <row r="1290" spans="1:32" ht="27.75" customHeight="1">
      <c r="A1290" s="2899" t="s">
        <v>2803</v>
      </c>
      <c r="B1290" s="2901" t="s">
        <v>3806</v>
      </c>
      <c r="C1290" s="2903" t="s">
        <v>49</v>
      </c>
      <c r="D1290" s="2917">
        <v>183.26400000000001</v>
      </c>
      <c r="E1290" s="1598" t="s">
        <v>2496</v>
      </c>
      <c r="F1290" s="1583"/>
      <c r="G1290" s="1583"/>
      <c r="H1290" s="1583"/>
      <c r="I1290" s="1583"/>
      <c r="J1290" s="1583"/>
      <c r="K1290" s="1583"/>
      <c r="L1290" s="1583"/>
      <c r="M1290" s="1583"/>
      <c r="N1290" s="1583"/>
      <c r="O1290" s="1583"/>
      <c r="P1290" s="1583"/>
      <c r="Q1290" s="1585"/>
      <c r="R1290" s="1583"/>
      <c r="S1290" s="1583"/>
      <c r="T1290" s="1585"/>
      <c r="U1290" s="1585"/>
      <c r="V1290" s="1585"/>
      <c r="W1290" s="1585"/>
      <c r="X1290" s="1585"/>
      <c r="Y1290" s="1585"/>
      <c r="Z1290" s="1585">
        <v>183.26400000000001</v>
      </c>
      <c r="AA1290" s="1585"/>
      <c r="AB1290" s="1585"/>
      <c r="AC1290" s="1585"/>
      <c r="AD1290" s="1601">
        <f t="shared" si="161"/>
        <v>183.26400000000001</v>
      </c>
      <c r="AE1290" s="1790">
        <v>0</v>
      </c>
      <c r="AF1290" s="1792"/>
    </row>
    <row r="1291" spans="1:32" ht="27.75" customHeight="1">
      <c r="A1291" s="2900" t="s">
        <v>2803</v>
      </c>
      <c r="B1291" s="2902" t="s">
        <v>2804</v>
      </c>
      <c r="C1291" s="2904" t="s">
        <v>49</v>
      </c>
      <c r="D1291" s="2917"/>
      <c r="E1291" s="1603" t="s">
        <v>2497</v>
      </c>
      <c r="F1291" s="1583"/>
      <c r="G1291" s="1583"/>
      <c r="H1291" s="1583"/>
      <c r="I1291" s="1583"/>
      <c r="J1291" s="1583"/>
      <c r="K1291" s="1583"/>
      <c r="L1291" s="1583"/>
      <c r="M1291" s="1583"/>
      <c r="N1291" s="1583"/>
      <c r="O1291" s="1583"/>
      <c r="P1291" s="1583"/>
      <c r="Q1291" s="1604"/>
      <c r="R1291" s="1583"/>
      <c r="S1291" s="1583"/>
      <c r="T1291" s="1604"/>
      <c r="U1291" s="1585"/>
      <c r="V1291" s="1585"/>
      <c r="W1291" s="1585"/>
      <c r="X1291" s="1585"/>
      <c r="Y1291" s="1585"/>
      <c r="Z1291" s="1585"/>
      <c r="AA1291" s="1585"/>
      <c r="AB1291" s="1585"/>
      <c r="AC1291" s="1585"/>
      <c r="AD1291" s="1601">
        <f t="shared" si="161"/>
        <v>0</v>
      </c>
      <c r="AE1291" s="1790">
        <v>0</v>
      </c>
      <c r="AF1291" s="1792"/>
    </row>
    <row r="1292" spans="1:32" ht="27.75" customHeight="1">
      <c r="A1292" s="2899" t="s">
        <v>2805</v>
      </c>
      <c r="B1292" s="2901" t="s">
        <v>3807</v>
      </c>
      <c r="C1292" s="2903" t="s">
        <v>420</v>
      </c>
      <c r="D1292" s="2917">
        <v>331.83370000000002</v>
      </c>
      <c r="E1292" s="1598" t="s">
        <v>2496</v>
      </c>
      <c r="F1292" s="1583"/>
      <c r="G1292" s="1583"/>
      <c r="H1292" s="1583"/>
      <c r="I1292" s="1583"/>
      <c r="J1292" s="1583"/>
      <c r="K1292" s="1583"/>
      <c r="L1292" s="1583"/>
      <c r="M1292" s="1583"/>
      <c r="N1292" s="1583"/>
      <c r="O1292" s="1583"/>
      <c r="P1292" s="1583"/>
      <c r="Q1292" s="1585"/>
      <c r="R1292" s="1583"/>
      <c r="S1292" s="1583"/>
      <c r="T1292" s="1585"/>
      <c r="U1292" s="1585"/>
      <c r="V1292" s="1585"/>
      <c r="W1292" s="1585"/>
      <c r="X1292" s="1585"/>
      <c r="Y1292" s="1585"/>
      <c r="Z1292" s="1585">
        <v>331.83370000000002</v>
      </c>
      <c r="AA1292" s="1585"/>
      <c r="AB1292" s="1585"/>
      <c r="AC1292" s="1585"/>
      <c r="AD1292" s="1601">
        <f t="shared" si="161"/>
        <v>331.83370000000002</v>
      </c>
      <c r="AE1292" s="1790">
        <v>0</v>
      </c>
      <c r="AF1292" s="1792"/>
    </row>
    <row r="1293" spans="1:32" ht="27" customHeight="1">
      <c r="A1293" s="2900" t="s">
        <v>2805</v>
      </c>
      <c r="B1293" s="2902" t="s">
        <v>2806</v>
      </c>
      <c r="C1293" s="2904" t="s">
        <v>420</v>
      </c>
      <c r="D1293" s="2917"/>
      <c r="E1293" s="1603" t="s">
        <v>2497</v>
      </c>
      <c r="F1293" s="1583"/>
      <c r="G1293" s="1583"/>
      <c r="H1293" s="1583"/>
      <c r="I1293" s="1583"/>
      <c r="J1293" s="1583"/>
      <c r="K1293" s="1583"/>
      <c r="L1293" s="1583"/>
      <c r="M1293" s="1583"/>
      <c r="N1293" s="1583"/>
      <c r="O1293" s="1583"/>
      <c r="P1293" s="1583"/>
      <c r="Q1293" s="1604"/>
      <c r="R1293" s="1583"/>
      <c r="S1293" s="1583"/>
      <c r="T1293" s="1604"/>
      <c r="U1293" s="1585"/>
      <c r="V1293" s="1585"/>
      <c r="W1293" s="1585"/>
      <c r="X1293" s="1585"/>
      <c r="Y1293" s="1585"/>
      <c r="Z1293" s="1585"/>
      <c r="AA1293" s="1585"/>
      <c r="AB1293" s="1585"/>
      <c r="AC1293" s="1585"/>
      <c r="AD1293" s="1601">
        <f t="shared" si="161"/>
        <v>0</v>
      </c>
      <c r="AE1293" s="1790">
        <v>0</v>
      </c>
      <c r="AF1293" s="1792"/>
    </row>
    <row r="1294" spans="1:32" ht="27.75" customHeight="1">
      <c r="A1294" s="2899" t="s">
        <v>2807</v>
      </c>
      <c r="B1294" s="2901" t="s">
        <v>3808</v>
      </c>
      <c r="C1294" s="2903" t="s">
        <v>50</v>
      </c>
      <c r="D1294" s="2917">
        <v>1852.9</v>
      </c>
      <c r="E1294" s="1598" t="s">
        <v>2496</v>
      </c>
      <c r="F1294" s="1583"/>
      <c r="G1294" s="1583"/>
      <c r="H1294" s="1583"/>
      <c r="I1294" s="1583"/>
      <c r="J1294" s="1583"/>
      <c r="K1294" s="1583"/>
      <c r="L1294" s="1583"/>
      <c r="M1294" s="1583"/>
      <c r="N1294" s="1583"/>
      <c r="O1294" s="1583"/>
      <c r="P1294" s="1583"/>
      <c r="Q1294" s="1585"/>
      <c r="R1294" s="1583"/>
      <c r="S1294" s="1583"/>
      <c r="T1294" s="1585"/>
      <c r="U1294" s="1585"/>
      <c r="V1294" s="1585"/>
      <c r="W1294" s="1585"/>
      <c r="X1294" s="1585"/>
      <c r="Y1294" s="1585"/>
      <c r="Z1294" s="1585">
        <v>1852.9</v>
      </c>
      <c r="AA1294" s="1585"/>
      <c r="AB1294" s="1585"/>
      <c r="AC1294" s="1585"/>
      <c r="AD1294" s="1601">
        <f t="shared" si="161"/>
        <v>1852.9</v>
      </c>
      <c r="AE1294" s="1790">
        <v>0</v>
      </c>
      <c r="AF1294" s="1792"/>
    </row>
    <row r="1295" spans="1:32" ht="27.75" customHeight="1">
      <c r="A1295" s="2900" t="s">
        <v>2807</v>
      </c>
      <c r="B1295" s="2902" t="s">
        <v>2808</v>
      </c>
      <c r="C1295" s="2904" t="s">
        <v>50</v>
      </c>
      <c r="D1295" s="2917"/>
      <c r="E1295" s="1603" t="s">
        <v>2497</v>
      </c>
      <c r="F1295" s="1583"/>
      <c r="G1295" s="1583"/>
      <c r="H1295" s="1583"/>
      <c r="I1295" s="1583"/>
      <c r="J1295" s="1583"/>
      <c r="K1295" s="1583"/>
      <c r="L1295" s="1583"/>
      <c r="M1295" s="1583"/>
      <c r="N1295" s="1583"/>
      <c r="O1295" s="1583"/>
      <c r="P1295" s="1583"/>
      <c r="Q1295" s="1604"/>
      <c r="R1295" s="1583"/>
      <c r="S1295" s="1583"/>
      <c r="T1295" s="1604"/>
      <c r="U1295" s="1592"/>
      <c r="V1295" s="1585"/>
      <c r="W1295" s="1585"/>
      <c r="X1295" s="1585"/>
      <c r="Y1295" s="1585"/>
      <c r="Z1295" s="1585"/>
      <c r="AA1295" s="1585"/>
      <c r="AB1295" s="1585"/>
      <c r="AC1295" s="1585"/>
      <c r="AD1295" s="1601">
        <f t="shared" si="161"/>
        <v>0</v>
      </c>
      <c r="AE1295" s="1790">
        <v>0</v>
      </c>
      <c r="AF1295" s="1792"/>
    </row>
    <row r="1296" spans="1:32" ht="27.75" customHeight="1">
      <c r="A1296" s="1795" t="s">
        <v>2809</v>
      </c>
      <c r="B1296" s="1796" t="s">
        <v>3809</v>
      </c>
      <c r="C1296" s="1797"/>
      <c r="D1296" s="1597"/>
      <c r="E1296" s="1599"/>
      <c r="F1296" s="1583"/>
      <c r="G1296" s="1583"/>
      <c r="H1296" s="1583"/>
      <c r="I1296" s="1583"/>
      <c r="J1296" s="1583"/>
      <c r="K1296" s="1583"/>
      <c r="L1296" s="1583"/>
      <c r="M1296" s="1583"/>
      <c r="N1296" s="1583"/>
      <c r="O1296" s="1583"/>
      <c r="P1296" s="1583"/>
      <c r="Q1296" s="1604"/>
      <c r="R1296" s="1583"/>
      <c r="S1296" s="1583"/>
      <c r="T1296" s="1604"/>
      <c r="U1296" s="1592"/>
      <c r="V1296" s="1585"/>
      <c r="W1296" s="1585"/>
      <c r="X1296" s="1585"/>
      <c r="Y1296" s="1585"/>
      <c r="Z1296" s="1585"/>
      <c r="AA1296" s="1585"/>
      <c r="AB1296" s="1585"/>
      <c r="AC1296" s="1585"/>
      <c r="AD1296" s="1601">
        <f t="shared" si="161"/>
        <v>0</v>
      </c>
      <c r="AE1296" s="1790">
        <v>0</v>
      </c>
      <c r="AF1296" s="1792"/>
    </row>
    <row r="1297" spans="1:32" ht="27.75" customHeight="1">
      <c r="A1297" s="2899" t="s">
        <v>2811</v>
      </c>
      <c r="B1297" s="2901" t="s">
        <v>3810</v>
      </c>
      <c r="C1297" s="2903" t="s">
        <v>49</v>
      </c>
      <c r="D1297" s="2917">
        <v>225.98</v>
      </c>
      <c r="E1297" s="1598" t="s">
        <v>2496</v>
      </c>
      <c r="F1297" s="1583"/>
      <c r="G1297" s="1583"/>
      <c r="H1297" s="1583"/>
      <c r="I1297" s="1583"/>
      <c r="J1297" s="1583"/>
      <c r="K1297" s="1583"/>
      <c r="L1297" s="1583"/>
      <c r="M1297" s="1583"/>
      <c r="N1297" s="1583"/>
      <c r="O1297" s="1583"/>
      <c r="P1297" s="1583"/>
      <c r="Q1297" s="1585"/>
      <c r="R1297" s="1583"/>
      <c r="S1297" s="1583"/>
      <c r="T1297" s="1585"/>
      <c r="U1297" s="1585"/>
      <c r="V1297" s="1585"/>
      <c r="W1297" s="1585"/>
      <c r="X1297" s="1585"/>
      <c r="Y1297" s="1585"/>
      <c r="Z1297" s="1585">
        <v>225.98</v>
      </c>
      <c r="AA1297" s="1585"/>
      <c r="AB1297" s="1585"/>
      <c r="AC1297" s="1585"/>
      <c r="AD1297" s="1601">
        <f t="shared" ref="AD1297:AD1360" si="162">SUM(F1297:AC1297)</f>
        <v>225.98</v>
      </c>
      <c r="AE1297" s="1790">
        <v>0</v>
      </c>
      <c r="AF1297" s="1792"/>
    </row>
    <row r="1298" spans="1:32" ht="27.75" customHeight="1">
      <c r="A1298" s="2900" t="s">
        <v>2811</v>
      </c>
      <c r="B1298" s="2902" t="s">
        <v>2812</v>
      </c>
      <c r="C1298" s="2904" t="s">
        <v>49</v>
      </c>
      <c r="D1298" s="2917"/>
      <c r="E1298" s="1603" t="s">
        <v>2497</v>
      </c>
      <c r="F1298" s="1583"/>
      <c r="G1298" s="1583"/>
      <c r="H1298" s="1583"/>
      <c r="I1298" s="1583"/>
      <c r="J1298" s="1583"/>
      <c r="K1298" s="1583"/>
      <c r="L1298" s="1583"/>
      <c r="M1298" s="1583"/>
      <c r="N1298" s="1583"/>
      <c r="O1298" s="1583"/>
      <c r="P1298" s="1583"/>
      <c r="Q1298" s="1604"/>
      <c r="R1298" s="1583"/>
      <c r="S1298" s="1583"/>
      <c r="T1298" s="1604"/>
      <c r="U1298" s="1592"/>
      <c r="V1298" s="1585"/>
      <c r="W1298" s="1585"/>
      <c r="X1298" s="1585"/>
      <c r="Y1298" s="1592"/>
      <c r="Z1298" s="1592"/>
      <c r="AA1298" s="1592"/>
      <c r="AB1298" s="1592"/>
      <c r="AC1298" s="1592"/>
      <c r="AD1298" s="1601">
        <f t="shared" si="162"/>
        <v>0</v>
      </c>
      <c r="AE1298" s="1790">
        <v>0</v>
      </c>
      <c r="AF1298" s="1792"/>
    </row>
    <row r="1299" spans="1:32" ht="27.75" customHeight="1">
      <c r="A1299" s="2899" t="s">
        <v>2813</v>
      </c>
      <c r="B1299" s="2901" t="s">
        <v>3811</v>
      </c>
      <c r="C1299" s="2903" t="s">
        <v>420</v>
      </c>
      <c r="D1299" s="2917">
        <v>366.36</v>
      </c>
      <c r="E1299" s="1598" t="s">
        <v>2496</v>
      </c>
      <c r="F1299" s="1583"/>
      <c r="G1299" s="1583"/>
      <c r="H1299" s="1583"/>
      <c r="I1299" s="1583"/>
      <c r="J1299" s="1583"/>
      <c r="K1299" s="1583"/>
      <c r="L1299" s="1583"/>
      <c r="M1299" s="1583"/>
      <c r="N1299" s="1583"/>
      <c r="O1299" s="1583"/>
      <c r="P1299" s="1583"/>
      <c r="Q1299" s="1585"/>
      <c r="R1299" s="1583"/>
      <c r="S1299" s="1583"/>
      <c r="T1299" s="1585"/>
      <c r="U1299" s="1585"/>
      <c r="V1299" s="1585"/>
      <c r="W1299" s="1585"/>
      <c r="X1299" s="1585"/>
      <c r="Y1299" s="1585"/>
      <c r="Z1299" s="1585">
        <v>366.36</v>
      </c>
      <c r="AA1299" s="1585"/>
      <c r="AB1299" s="1585"/>
      <c r="AC1299" s="1585"/>
      <c r="AD1299" s="1601">
        <f t="shared" si="162"/>
        <v>366.36</v>
      </c>
      <c r="AE1299" s="1790">
        <v>0</v>
      </c>
      <c r="AF1299" s="1792"/>
    </row>
    <row r="1300" spans="1:32" ht="27.75" customHeight="1">
      <c r="A1300" s="2900" t="s">
        <v>2813</v>
      </c>
      <c r="B1300" s="2902" t="s">
        <v>2814</v>
      </c>
      <c r="C1300" s="2904" t="s">
        <v>420</v>
      </c>
      <c r="D1300" s="2917"/>
      <c r="E1300" s="1603" t="s">
        <v>2497</v>
      </c>
      <c r="F1300" s="1583"/>
      <c r="G1300" s="1583"/>
      <c r="H1300" s="1583"/>
      <c r="I1300" s="1583"/>
      <c r="J1300" s="1583"/>
      <c r="K1300" s="1583"/>
      <c r="L1300" s="1583"/>
      <c r="M1300" s="1583"/>
      <c r="N1300" s="1583"/>
      <c r="O1300" s="1583"/>
      <c r="P1300" s="1583"/>
      <c r="Q1300" s="1604"/>
      <c r="R1300" s="1583"/>
      <c r="S1300" s="1583"/>
      <c r="T1300" s="1604"/>
      <c r="U1300" s="1592"/>
      <c r="V1300" s="1592"/>
      <c r="W1300" s="1585"/>
      <c r="X1300" s="1585"/>
      <c r="Y1300" s="1585"/>
      <c r="Z1300" s="1585"/>
      <c r="AA1300" s="1585"/>
      <c r="AB1300" s="1585"/>
      <c r="AC1300" s="1585"/>
      <c r="AD1300" s="1601">
        <f t="shared" si="162"/>
        <v>0</v>
      </c>
      <c r="AE1300" s="1790">
        <v>0</v>
      </c>
      <c r="AF1300" s="1792"/>
    </row>
    <row r="1301" spans="1:32" ht="27.75" customHeight="1">
      <c r="A1301" s="2899" t="s">
        <v>2815</v>
      </c>
      <c r="B1301" s="2901" t="s">
        <v>3812</v>
      </c>
      <c r="C1301" s="2903" t="s">
        <v>50</v>
      </c>
      <c r="D1301" s="2917">
        <v>1952.16</v>
      </c>
      <c r="E1301" s="1598" t="s">
        <v>2496</v>
      </c>
      <c r="F1301" s="1583"/>
      <c r="G1301" s="1583"/>
      <c r="H1301" s="1583"/>
      <c r="I1301" s="1583"/>
      <c r="J1301" s="1583"/>
      <c r="K1301" s="1583"/>
      <c r="L1301" s="1583"/>
      <c r="M1301" s="1583"/>
      <c r="N1301" s="1583"/>
      <c r="O1301" s="1583"/>
      <c r="P1301" s="1583"/>
      <c r="Q1301" s="1585"/>
      <c r="R1301" s="1583"/>
      <c r="S1301" s="1583"/>
      <c r="T1301" s="1585"/>
      <c r="U1301" s="1585"/>
      <c r="V1301" s="1585"/>
      <c r="W1301" s="1585"/>
      <c r="X1301" s="1585"/>
      <c r="Y1301" s="1585"/>
      <c r="Z1301" s="1585">
        <v>1952.16</v>
      </c>
      <c r="AA1301" s="1585"/>
      <c r="AB1301" s="1585"/>
      <c r="AC1301" s="1585"/>
      <c r="AD1301" s="1601">
        <f t="shared" si="162"/>
        <v>1952.16</v>
      </c>
      <c r="AE1301" s="1790">
        <v>0</v>
      </c>
      <c r="AF1301" s="1792"/>
    </row>
    <row r="1302" spans="1:32" ht="27.75" customHeight="1">
      <c r="A1302" s="2900" t="s">
        <v>2815</v>
      </c>
      <c r="B1302" s="2902" t="s">
        <v>2816</v>
      </c>
      <c r="C1302" s="2904" t="s">
        <v>50</v>
      </c>
      <c r="D1302" s="2917"/>
      <c r="E1302" s="1603" t="s">
        <v>2497</v>
      </c>
      <c r="F1302" s="1583"/>
      <c r="G1302" s="1583"/>
      <c r="H1302" s="1583"/>
      <c r="I1302" s="1583"/>
      <c r="J1302" s="1583"/>
      <c r="K1302" s="1583"/>
      <c r="L1302" s="1583"/>
      <c r="M1302" s="1583"/>
      <c r="N1302" s="1583"/>
      <c r="O1302" s="1583"/>
      <c r="P1302" s="1583"/>
      <c r="Q1302" s="1604"/>
      <c r="R1302" s="1583"/>
      <c r="S1302" s="1583"/>
      <c r="T1302" s="1604"/>
      <c r="U1302" s="1592"/>
      <c r="V1302" s="1585"/>
      <c r="W1302" s="1585"/>
      <c r="X1302" s="1585"/>
      <c r="Y1302" s="1592"/>
      <c r="Z1302" s="1585"/>
      <c r="AA1302" s="1585"/>
      <c r="AB1302" s="1585"/>
      <c r="AC1302" s="1585"/>
      <c r="AD1302" s="1601">
        <f t="shared" si="162"/>
        <v>0</v>
      </c>
      <c r="AE1302" s="1790">
        <v>0</v>
      </c>
      <c r="AF1302" s="1792"/>
    </row>
    <row r="1303" spans="1:32" ht="27.75" customHeight="1">
      <c r="A1303" s="1647" t="s">
        <v>551</v>
      </c>
      <c r="B1303" s="1647" t="s">
        <v>3813</v>
      </c>
      <c r="C1303" s="1787"/>
      <c r="D1303" s="1597"/>
      <c r="E1303" s="1603"/>
      <c r="F1303" s="1583"/>
      <c r="G1303" s="1583"/>
      <c r="H1303" s="1583"/>
      <c r="I1303" s="1583"/>
      <c r="J1303" s="1583"/>
      <c r="K1303" s="1583"/>
      <c r="L1303" s="1583"/>
      <c r="M1303" s="1583"/>
      <c r="N1303" s="1583"/>
      <c r="O1303" s="1583"/>
      <c r="P1303" s="1583"/>
      <c r="Q1303" s="1604"/>
      <c r="R1303" s="1583"/>
      <c r="S1303" s="1583"/>
      <c r="T1303" s="1604"/>
      <c r="U1303" s="1592"/>
      <c r="V1303" s="1585"/>
      <c r="W1303" s="1585"/>
      <c r="X1303" s="1585"/>
      <c r="Y1303" s="1592"/>
      <c r="Z1303" s="1585"/>
      <c r="AA1303" s="1585"/>
      <c r="AB1303" s="1585"/>
      <c r="AC1303" s="1585"/>
      <c r="AD1303" s="1601">
        <f t="shared" si="162"/>
        <v>0</v>
      </c>
      <c r="AE1303" s="1790">
        <v>0</v>
      </c>
      <c r="AF1303" s="1792"/>
    </row>
    <row r="1304" spans="1:32" ht="27.75" customHeight="1">
      <c r="A1304" s="1795" t="s">
        <v>553</v>
      </c>
      <c r="B1304" s="1796" t="s">
        <v>2516</v>
      </c>
      <c r="C1304" s="1787"/>
      <c r="D1304" s="1597"/>
      <c r="E1304" s="1603"/>
      <c r="F1304" s="1583"/>
      <c r="G1304" s="1583"/>
      <c r="H1304" s="1583"/>
      <c r="I1304" s="1583"/>
      <c r="J1304" s="1583"/>
      <c r="K1304" s="1583"/>
      <c r="L1304" s="1583"/>
      <c r="M1304" s="1583"/>
      <c r="N1304" s="1583"/>
      <c r="O1304" s="1583"/>
      <c r="P1304" s="1583"/>
      <c r="Q1304" s="1604"/>
      <c r="R1304" s="1583"/>
      <c r="S1304" s="1583"/>
      <c r="T1304" s="1604"/>
      <c r="U1304" s="1592"/>
      <c r="V1304" s="1585"/>
      <c r="W1304" s="1585"/>
      <c r="X1304" s="1585"/>
      <c r="Y1304" s="1592"/>
      <c r="Z1304" s="1585"/>
      <c r="AA1304" s="1585"/>
      <c r="AB1304" s="1585"/>
      <c r="AC1304" s="1585"/>
      <c r="AD1304" s="1601">
        <f t="shared" si="162"/>
        <v>0</v>
      </c>
      <c r="AE1304" s="1790">
        <v>0</v>
      </c>
      <c r="AF1304" s="1792"/>
    </row>
    <row r="1305" spans="1:32" ht="27.75" customHeight="1">
      <c r="A1305" s="2899" t="s">
        <v>2819</v>
      </c>
      <c r="B1305" s="2901" t="s">
        <v>2518</v>
      </c>
      <c r="C1305" s="2903" t="s">
        <v>51</v>
      </c>
      <c r="D1305" s="2905">
        <v>1383.885</v>
      </c>
      <c r="E1305" s="1598" t="s">
        <v>2496</v>
      </c>
      <c r="F1305" s="1583"/>
      <c r="G1305" s="1583"/>
      <c r="H1305" s="1583"/>
      <c r="I1305" s="1583"/>
      <c r="J1305" s="1583"/>
      <c r="K1305" s="1583"/>
      <c r="L1305" s="1583"/>
      <c r="M1305" s="1583"/>
      <c r="N1305" s="1583"/>
      <c r="O1305" s="1583"/>
      <c r="P1305" s="1583"/>
      <c r="Q1305" s="1585"/>
      <c r="R1305" s="1583"/>
      <c r="S1305" s="1583"/>
      <c r="T1305" s="1585"/>
      <c r="U1305" s="1585"/>
      <c r="V1305" s="1585"/>
      <c r="W1305" s="1585"/>
      <c r="X1305" s="1585"/>
      <c r="Y1305" s="1585"/>
      <c r="Z1305" s="1585">
        <v>1383.885</v>
      </c>
      <c r="AA1305" s="1585"/>
      <c r="AB1305" s="1585"/>
      <c r="AC1305" s="1585"/>
      <c r="AD1305" s="1601">
        <f t="shared" si="162"/>
        <v>1383.885</v>
      </c>
      <c r="AE1305" s="1790">
        <v>0</v>
      </c>
      <c r="AF1305" s="1792"/>
    </row>
    <row r="1306" spans="1:32" ht="27.75" customHeight="1">
      <c r="A1306" s="2900" t="s">
        <v>2819</v>
      </c>
      <c r="B1306" s="2902" t="s">
        <v>2820</v>
      </c>
      <c r="C1306" s="2904" t="s">
        <v>51</v>
      </c>
      <c r="D1306" s="2906">
        <v>1383.885</v>
      </c>
      <c r="E1306" s="1603" t="s">
        <v>2497</v>
      </c>
      <c r="F1306" s="1583"/>
      <c r="G1306" s="1583"/>
      <c r="H1306" s="1583"/>
      <c r="I1306" s="1583"/>
      <c r="J1306" s="1583"/>
      <c r="K1306" s="1583"/>
      <c r="L1306" s="1583"/>
      <c r="M1306" s="1583"/>
      <c r="N1306" s="1583"/>
      <c r="O1306" s="1583"/>
      <c r="P1306" s="1583"/>
      <c r="Q1306" s="1604"/>
      <c r="R1306" s="1583"/>
      <c r="S1306" s="1583"/>
      <c r="T1306" s="1604"/>
      <c r="U1306" s="1585"/>
      <c r="V1306" s="1585"/>
      <c r="W1306" s="1585"/>
      <c r="X1306" s="1585"/>
      <c r="Y1306" s="1585"/>
      <c r="Z1306" s="1585"/>
      <c r="AA1306" s="1585"/>
      <c r="AB1306" s="1585"/>
      <c r="AC1306" s="1585"/>
      <c r="AD1306" s="1601">
        <f t="shared" si="162"/>
        <v>0</v>
      </c>
      <c r="AE1306" s="1790">
        <v>0</v>
      </c>
      <c r="AF1306" s="1792"/>
    </row>
    <row r="1307" spans="1:32" ht="27.75" customHeight="1">
      <c r="A1307" s="1795" t="s">
        <v>555</v>
      </c>
      <c r="B1307" s="1796" t="s">
        <v>2520</v>
      </c>
      <c r="C1307" s="1798"/>
      <c r="D1307" s="1799"/>
      <c r="E1307" s="1599"/>
      <c r="F1307" s="1583"/>
      <c r="G1307" s="1583"/>
      <c r="H1307" s="1583"/>
      <c r="I1307" s="1583"/>
      <c r="J1307" s="1583"/>
      <c r="K1307" s="1583"/>
      <c r="L1307" s="1583"/>
      <c r="M1307" s="1583"/>
      <c r="N1307" s="1583"/>
      <c r="O1307" s="1583"/>
      <c r="P1307" s="1583"/>
      <c r="Q1307" s="1604"/>
      <c r="R1307" s="1583"/>
      <c r="S1307" s="1583"/>
      <c r="T1307" s="1604"/>
      <c r="U1307" s="1585"/>
      <c r="V1307" s="1585"/>
      <c r="W1307" s="1585"/>
      <c r="X1307" s="1585"/>
      <c r="Y1307" s="1585"/>
      <c r="Z1307" s="1585"/>
      <c r="AA1307" s="1585"/>
      <c r="AB1307" s="1585"/>
      <c r="AC1307" s="1585"/>
      <c r="AD1307" s="1601">
        <f t="shared" si="162"/>
        <v>0</v>
      </c>
      <c r="AE1307" s="1790">
        <v>0</v>
      </c>
      <c r="AF1307" s="1792"/>
    </row>
    <row r="1308" spans="1:32" ht="27.75" customHeight="1">
      <c r="A1308" s="2899" t="s">
        <v>2822</v>
      </c>
      <c r="B1308" s="2901" t="s">
        <v>3814</v>
      </c>
      <c r="C1308" s="2903" t="s">
        <v>52</v>
      </c>
      <c r="D1308" s="2905">
        <v>7560</v>
      </c>
      <c r="E1308" s="1598" t="s">
        <v>2496</v>
      </c>
      <c r="F1308" s="1583"/>
      <c r="G1308" s="1583"/>
      <c r="H1308" s="1583"/>
      <c r="I1308" s="1583"/>
      <c r="J1308" s="1583"/>
      <c r="K1308" s="1583"/>
      <c r="L1308" s="1583"/>
      <c r="M1308" s="1583"/>
      <c r="N1308" s="1583"/>
      <c r="O1308" s="1583"/>
      <c r="P1308" s="1583"/>
      <c r="Q1308" s="1585"/>
      <c r="R1308" s="1583"/>
      <c r="S1308" s="1583"/>
      <c r="T1308" s="1585"/>
      <c r="U1308" s="1585"/>
      <c r="V1308" s="1585"/>
      <c r="W1308" s="1585"/>
      <c r="X1308" s="1585"/>
      <c r="Y1308" s="1585"/>
      <c r="Z1308" s="1585">
        <v>7560</v>
      </c>
      <c r="AA1308" s="1585"/>
      <c r="AB1308" s="1585"/>
      <c r="AC1308" s="1585"/>
      <c r="AD1308" s="1601">
        <f t="shared" si="162"/>
        <v>7560</v>
      </c>
      <c r="AE1308" s="1790">
        <v>0</v>
      </c>
      <c r="AF1308" s="1792"/>
    </row>
    <row r="1309" spans="1:32" ht="27" customHeight="1">
      <c r="A1309" s="2900" t="s">
        <v>2824</v>
      </c>
      <c r="B1309" s="2902" t="s">
        <v>2825</v>
      </c>
      <c r="C1309" s="2904" t="s">
        <v>52</v>
      </c>
      <c r="D1309" s="2906">
        <v>2551.5</v>
      </c>
      <c r="E1309" s="1603" t="s">
        <v>2497</v>
      </c>
      <c r="F1309" s="1583"/>
      <c r="G1309" s="1583"/>
      <c r="H1309" s="1583"/>
      <c r="I1309" s="1583"/>
      <c r="J1309" s="1583"/>
      <c r="K1309" s="1583"/>
      <c r="L1309" s="1583"/>
      <c r="M1309" s="1583"/>
      <c r="N1309" s="1583"/>
      <c r="O1309" s="1583"/>
      <c r="P1309" s="1583"/>
      <c r="Q1309" s="1604"/>
      <c r="R1309" s="1583"/>
      <c r="S1309" s="1583"/>
      <c r="T1309" s="1604"/>
      <c r="U1309" s="1585"/>
      <c r="V1309" s="1585"/>
      <c r="W1309" s="1585"/>
      <c r="X1309" s="1585"/>
      <c r="Y1309" s="1585"/>
      <c r="Z1309" s="1585"/>
      <c r="AA1309" s="1585"/>
      <c r="AB1309" s="1585"/>
      <c r="AC1309" s="1585"/>
      <c r="AD1309" s="1601">
        <f t="shared" si="162"/>
        <v>0</v>
      </c>
      <c r="AE1309" s="1790">
        <v>0</v>
      </c>
      <c r="AF1309" s="1792"/>
    </row>
    <row r="1310" spans="1:32" ht="27.75" customHeight="1">
      <c r="A1310" s="2899" t="s">
        <v>2824</v>
      </c>
      <c r="B1310" s="2901" t="s">
        <v>3815</v>
      </c>
      <c r="C1310" s="2903" t="s">
        <v>52</v>
      </c>
      <c r="D1310" s="2905">
        <v>2551.5</v>
      </c>
      <c r="E1310" s="1598" t="s">
        <v>2496</v>
      </c>
      <c r="F1310" s="1583"/>
      <c r="G1310" s="1583"/>
      <c r="H1310" s="1583"/>
      <c r="I1310" s="1583"/>
      <c r="J1310" s="1583"/>
      <c r="K1310" s="1583"/>
      <c r="L1310" s="1583"/>
      <c r="M1310" s="1583"/>
      <c r="N1310" s="1583"/>
      <c r="O1310" s="1583"/>
      <c r="P1310" s="1583"/>
      <c r="Q1310" s="1585"/>
      <c r="R1310" s="1583"/>
      <c r="S1310" s="1583"/>
      <c r="T1310" s="1585"/>
      <c r="U1310" s="1585"/>
      <c r="V1310" s="1585"/>
      <c r="W1310" s="1585"/>
      <c r="X1310" s="1585"/>
      <c r="Y1310" s="1585"/>
      <c r="Z1310" s="1585">
        <v>2551.5</v>
      </c>
      <c r="AA1310" s="1585"/>
      <c r="AB1310" s="1585"/>
      <c r="AC1310" s="1585"/>
      <c r="AD1310" s="1601">
        <f t="shared" si="162"/>
        <v>2551.5</v>
      </c>
      <c r="AE1310" s="1790">
        <v>0</v>
      </c>
      <c r="AF1310" s="1792"/>
    </row>
    <row r="1311" spans="1:32" ht="27.75" customHeight="1">
      <c r="A1311" s="2900" t="s">
        <v>2824</v>
      </c>
      <c r="B1311" s="2902" t="s">
        <v>2825</v>
      </c>
      <c r="C1311" s="2904" t="s">
        <v>52</v>
      </c>
      <c r="D1311" s="2906">
        <v>2551.5</v>
      </c>
      <c r="E1311" s="1603" t="s">
        <v>2497</v>
      </c>
      <c r="F1311" s="1583"/>
      <c r="G1311" s="1583"/>
      <c r="H1311" s="1583"/>
      <c r="I1311" s="1583"/>
      <c r="J1311" s="1583"/>
      <c r="K1311" s="1583"/>
      <c r="L1311" s="1583"/>
      <c r="M1311" s="1583"/>
      <c r="N1311" s="1583"/>
      <c r="O1311" s="1583"/>
      <c r="P1311" s="1583"/>
      <c r="Q1311" s="1604"/>
      <c r="R1311" s="1583"/>
      <c r="S1311" s="1583"/>
      <c r="T1311" s="1604"/>
      <c r="U1311" s="1592"/>
      <c r="V1311" s="1585"/>
      <c r="W1311" s="1585"/>
      <c r="X1311" s="1585"/>
      <c r="Y1311" s="1585"/>
      <c r="Z1311" s="1585"/>
      <c r="AA1311" s="1585"/>
      <c r="AB1311" s="1585"/>
      <c r="AC1311" s="1585"/>
      <c r="AD1311" s="1601">
        <f t="shared" si="162"/>
        <v>0</v>
      </c>
      <c r="AE1311" s="1790">
        <v>0</v>
      </c>
      <c r="AF1311" s="1792"/>
    </row>
    <row r="1312" spans="1:32" ht="27.75" customHeight="1">
      <c r="A1312" s="2899" t="s">
        <v>2826</v>
      </c>
      <c r="B1312" s="2901" t="s">
        <v>3816</v>
      </c>
      <c r="C1312" s="2903" t="s">
        <v>52</v>
      </c>
      <c r="D1312" s="2905">
        <v>4549.78</v>
      </c>
      <c r="E1312" s="1598" t="s">
        <v>2496</v>
      </c>
      <c r="F1312" s="1583"/>
      <c r="G1312" s="1583"/>
      <c r="H1312" s="1583"/>
      <c r="I1312" s="1583"/>
      <c r="J1312" s="1583"/>
      <c r="K1312" s="1583"/>
      <c r="L1312" s="1583"/>
      <c r="M1312" s="1583"/>
      <c r="N1312" s="1583"/>
      <c r="O1312" s="1583"/>
      <c r="P1312" s="1583"/>
      <c r="Q1312" s="1585"/>
      <c r="R1312" s="1583"/>
      <c r="S1312" s="1583"/>
      <c r="T1312" s="1585"/>
      <c r="U1312" s="1585"/>
      <c r="V1312" s="1585"/>
      <c r="W1312" s="1585"/>
      <c r="X1312" s="1585"/>
      <c r="Y1312" s="1585"/>
      <c r="Z1312" s="1585">
        <v>4549.78</v>
      </c>
      <c r="AA1312" s="1585"/>
      <c r="AB1312" s="1585"/>
      <c r="AC1312" s="1585"/>
      <c r="AD1312" s="1601">
        <f t="shared" si="162"/>
        <v>4549.78</v>
      </c>
      <c r="AE1312" s="1790">
        <v>0</v>
      </c>
      <c r="AF1312" s="1792"/>
    </row>
    <row r="1313" spans="1:32" ht="27.75" customHeight="1">
      <c r="A1313" s="2900" t="s">
        <v>2826</v>
      </c>
      <c r="B1313" s="2902" t="s">
        <v>2827</v>
      </c>
      <c r="C1313" s="2904" t="s">
        <v>52</v>
      </c>
      <c r="D1313" s="2906">
        <v>4549.78</v>
      </c>
      <c r="E1313" s="1603" t="s">
        <v>2497</v>
      </c>
      <c r="F1313" s="1583"/>
      <c r="G1313" s="1583"/>
      <c r="H1313" s="1583"/>
      <c r="I1313" s="1583"/>
      <c r="J1313" s="1583"/>
      <c r="K1313" s="1583"/>
      <c r="L1313" s="1583"/>
      <c r="M1313" s="1583"/>
      <c r="N1313" s="1583"/>
      <c r="O1313" s="1583"/>
      <c r="P1313" s="1583"/>
      <c r="Q1313" s="1604"/>
      <c r="R1313" s="1583"/>
      <c r="S1313" s="1583"/>
      <c r="T1313" s="1604"/>
      <c r="U1313" s="1592"/>
      <c r="V1313" s="1585"/>
      <c r="W1313" s="1585"/>
      <c r="X1313" s="1585"/>
      <c r="Y1313" s="1592"/>
      <c r="Z1313" s="1592"/>
      <c r="AA1313" s="1592"/>
      <c r="AB1313" s="1592"/>
      <c r="AC1313" s="1592"/>
      <c r="AD1313" s="1601">
        <f t="shared" si="162"/>
        <v>0</v>
      </c>
      <c r="AE1313" s="1790">
        <v>0</v>
      </c>
      <c r="AF1313" s="1792"/>
    </row>
    <row r="1314" spans="1:32" ht="27.75" customHeight="1">
      <c r="A1314" s="2899" t="s">
        <v>2828</v>
      </c>
      <c r="B1314" s="2901" t="s">
        <v>3817</v>
      </c>
      <c r="C1314" s="2903" t="s">
        <v>52</v>
      </c>
      <c r="D1314" s="2905">
        <v>7092.28</v>
      </c>
      <c r="E1314" s="1598" t="s">
        <v>2496</v>
      </c>
      <c r="F1314" s="1583"/>
      <c r="G1314" s="1583"/>
      <c r="H1314" s="1583"/>
      <c r="I1314" s="1583"/>
      <c r="J1314" s="1583"/>
      <c r="K1314" s="1583"/>
      <c r="L1314" s="1583"/>
      <c r="M1314" s="1583"/>
      <c r="N1314" s="1583"/>
      <c r="O1314" s="1583"/>
      <c r="P1314" s="1583"/>
      <c r="Q1314" s="1585"/>
      <c r="R1314" s="1583"/>
      <c r="S1314" s="1583"/>
      <c r="T1314" s="1585"/>
      <c r="U1314" s="1585"/>
      <c r="V1314" s="1585"/>
      <c r="W1314" s="1585"/>
      <c r="X1314" s="1585"/>
      <c r="Y1314" s="1585"/>
      <c r="Z1314" s="1585">
        <v>7092.28</v>
      </c>
      <c r="AA1314" s="1585"/>
      <c r="AB1314" s="1585"/>
      <c r="AC1314" s="1585"/>
      <c r="AD1314" s="1601">
        <f t="shared" si="162"/>
        <v>7092.28</v>
      </c>
      <c r="AE1314" s="1790">
        <v>0</v>
      </c>
      <c r="AF1314" s="1792"/>
    </row>
    <row r="1315" spans="1:32" ht="27.75" customHeight="1">
      <c r="A1315" s="2900" t="s">
        <v>2828</v>
      </c>
      <c r="B1315" s="2902" t="s">
        <v>2829</v>
      </c>
      <c r="C1315" s="2904" t="s">
        <v>52</v>
      </c>
      <c r="D1315" s="2906">
        <v>7092.28</v>
      </c>
      <c r="E1315" s="1603" t="s">
        <v>2497</v>
      </c>
      <c r="F1315" s="1583"/>
      <c r="G1315" s="1583"/>
      <c r="H1315" s="1583"/>
      <c r="I1315" s="1583"/>
      <c r="J1315" s="1583"/>
      <c r="K1315" s="1583"/>
      <c r="L1315" s="1583"/>
      <c r="M1315" s="1583"/>
      <c r="N1315" s="1583"/>
      <c r="O1315" s="1583"/>
      <c r="P1315" s="1583"/>
      <c r="Q1315" s="1604"/>
      <c r="R1315" s="1583"/>
      <c r="S1315" s="1583"/>
      <c r="T1315" s="1604"/>
      <c r="U1315" s="1592"/>
      <c r="V1315" s="1592"/>
      <c r="W1315" s="1585"/>
      <c r="X1315" s="1585"/>
      <c r="Y1315" s="1585"/>
      <c r="Z1315" s="1585"/>
      <c r="AA1315" s="1585"/>
      <c r="AB1315" s="1585"/>
      <c r="AC1315" s="1585"/>
      <c r="AD1315" s="1601">
        <f t="shared" si="162"/>
        <v>0</v>
      </c>
      <c r="AE1315" s="1790">
        <v>0</v>
      </c>
      <c r="AF1315" s="1792"/>
    </row>
    <row r="1316" spans="1:32" s="1990" customFormat="1" ht="27.75" customHeight="1">
      <c r="A1316" s="2899" t="s">
        <v>2830</v>
      </c>
      <c r="B1316" s="2901" t="s">
        <v>3818</v>
      </c>
      <c r="C1316" s="2903" t="s">
        <v>49</v>
      </c>
      <c r="D1316" s="2905">
        <v>2266.0768000000003</v>
      </c>
      <c r="E1316" s="1978" t="s">
        <v>2496</v>
      </c>
      <c r="F1316" s="1987"/>
      <c r="G1316" s="1987"/>
      <c r="H1316" s="1987"/>
      <c r="I1316" s="1987"/>
      <c r="J1316" s="1987"/>
      <c r="K1316" s="1987"/>
      <c r="L1316" s="1987"/>
      <c r="M1316" s="1987"/>
      <c r="N1316" s="1987"/>
      <c r="O1316" s="1987"/>
      <c r="P1316" s="1987"/>
      <c r="Q1316" s="1980"/>
      <c r="R1316" s="1987"/>
      <c r="S1316" s="1987"/>
      <c r="T1316" s="1980"/>
      <c r="U1316" s="1980"/>
      <c r="V1316" s="1980"/>
      <c r="W1316" s="1980"/>
      <c r="X1316" s="1980"/>
      <c r="Y1316" s="1980"/>
      <c r="Z1316" s="1980"/>
      <c r="AA1316" s="1980"/>
      <c r="AB1316" s="1980"/>
      <c r="AC1316" s="1980">
        <v>2266.0767999999998</v>
      </c>
      <c r="AD1316" s="1982">
        <f t="shared" si="162"/>
        <v>2266.0767999999998</v>
      </c>
      <c r="AE1316" s="1983">
        <v>0</v>
      </c>
      <c r="AF1316" s="1984"/>
    </row>
    <row r="1317" spans="1:32" ht="27.6" customHeight="1">
      <c r="A1317" s="2900" t="s">
        <v>2830</v>
      </c>
      <c r="B1317" s="2902" t="s">
        <v>2831</v>
      </c>
      <c r="C1317" s="2904" t="s">
        <v>49</v>
      </c>
      <c r="D1317" s="2906">
        <v>2266.0768000000003</v>
      </c>
      <c r="E1317" s="1603" t="s">
        <v>2497</v>
      </c>
      <c r="F1317" s="1583"/>
      <c r="G1317" s="1583"/>
      <c r="H1317" s="1583"/>
      <c r="I1317" s="1583"/>
      <c r="J1317" s="1583"/>
      <c r="K1317" s="1583"/>
      <c r="L1317" s="1583"/>
      <c r="M1317" s="1583"/>
      <c r="N1317" s="1583"/>
      <c r="O1317" s="1583"/>
      <c r="P1317" s="1583"/>
      <c r="Q1317" s="1604"/>
      <c r="R1317" s="1583"/>
      <c r="S1317" s="1583"/>
      <c r="T1317" s="1604"/>
      <c r="U1317" s="1592"/>
      <c r="V1317" s="1585"/>
      <c r="W1317" s="1585"/>
      <c r="X1317" s="1585"/>
      <c r="Y1317" s="1592"/>
      <c r="Z1317" s="1585"/>
      <c r="AA1317" s="1585"/>
      <c r="AB1317" s="1585"/>
      <c r="AC1317" s="1585"/>
      <c r="AD1317" s="1601">
        <f t="shared" si="162"/>
        <v>0</v>
      </c>
      <c r="AE1317" s="1790">
        <v>0</v>
      </c>
      <c r="AF1317" s="1792"/>
    </row>
    <row r="1318" spans="1:32" s="1990" customFormat="1" ht="27.75" customHeight="1">
      <c r="A1318" s="2899" t="s">
        <v>2832</v>
      </c>
      <c r="B1318" s="2901" t="s">
        <v>3819</v>
      </c>
      <c r="C1318" s="2903" t="s">
        <v>49</v>
      </c>
      <c r="D1318" s="2905">
        <v>19274.511999999999</v>
      </c>
      <c r="E1318" s="1978" t="s">
        <v>2496</v>
      </c>
      <c r="F1318" s="1987"/>
      <c r="G1318" s="1987"/>
      <c r="H1318" s="1987"/>
      <c r="I1318" s="1987"/>
      <c r="J1318" s="1987"/>
      <c r="K1318" s="1987"/>
      <c r="L1318" s="1987"/>
      <c r="M1318" s="1987"/>
      <c r="N1318" s="1987"/>
      <c r="O1318" s="1987"/>
      <c r="P1318" s="1987"/>
      <c r="Q1318" s="1980"/>
      <c r="R1318" s="1987"/>
      <c r="S1318" s="1987"/>
      <c r="T1318" s="1980"/>
      <c r="U1318" s="1980"/>
      <c r="V1318" s="1980"/>
      <c r="W1318" s="1980"/>
      <c r="X1318" s="1980"/>
      <c r="Y1318" s="1980"/>
      <c r="Z1318" s="1980"/>
      <c r="AA1318" s="1980"/>
      <c r="AB1318" s="1980"/>
      <c r="AC1318" s="1980">
        <v>19274.511999999999</v>
      </c>
      <c r="AD1318" s="1982">
        <f t="shared" si="162"/>
        <v>19274.511999999999</v>
      </c>
      <c r="AE1318" s="1983">
        <v>0</v>
      </c>
      <c r="AF1318" s="1984"/>
    </row>
    <row r="1319" spans="1:32" ht="27.75" customHeight="1">
      <c r="A1319" s="2900" t="s">
        <v>2832</v>
      </c>
      <c r="B1319" s="2902" t="s">
        <v>2833</v>
      </c>
      <c r="C1319" s="2904" t="s">
        <v>49</v>
      </c>
      <c r="D1319" s="2906">
        <v>19274.511999999999</v>
      </c>
      <c r="E1319" s="1603" t="s">
        <v>2497</v>
      </c>
      <c r="F1319" s="1583"/>
      <c r="G1319" s="1583"/>
      <c r="H1319" s="1583"/>
      <c r="I1319" s="1583"/>
      <c r="J1319" s="1583"/>
      <c r="K1319" s="1583"/>
      <c r="L1319" s="1583"/>
      <c r="M1319" s="1583"/>
      <c r="N1319" s="1583"/>
      <c r="O1319" s="1583"/>
      <c r="P1319" s="1583"/>
      <c r="Q1319" s="1604"/>
      <c r="R1319" s="1583"/>
      <c r="S1319" s="1583"/>
      <c r="T1319" s="1604"/>
      <c r="U1319" s="1585"/>
      <c r="V1319" s="1585"/>
      <c r="W1319" s="1585"/>
      <c r="X1319" s="1585"/>
      <c r="Y1319" s="1585"/>
      <c r="Z1319" s="1585"/>
      <c r="AA1319" s="1585"/>
      <c r="AB1319" s="1585"/>
      <c r="AC1319" s="1585"/>
      <c r="AD1319" s="1601">
        <f t="shared" si="162"/>
        <v>0</v>
      </c>
      <c r="AE1319" s="1790">
        <v>0</v>
      </c>
      <c r="AF1319" s="1792"/>
    </row>
    <row r="1320" spans="1:32" ht="27.75" customHeight="1">
      <c r="A1320" s="1795" t="s">
        <v>999</v>
      </c>
      <c r="B1320" s="1796" t="s">
        <v>3820</v>
      </c>
      <c r="C1320" s="1797"/>
      <c r="D1320" s="1789"/>
      <c r="E1320" s="1599"/>
      <c r="F1320" s="1583"/>
      <c r="G1320" s="1583"/>
      <c r="H1320" s="1583"/>
      <c r="I1320" s="1583"/>
      <c r="J1320" s="1583"/>
      <c r="K1320" s="1583"/>
      <c r="L1320" s="1583"/>
      <c r="M1320" s="1583"/>
      <c r="N1320" s="1583"/>
      <c r="O1320" s="1583"/>
      <c r="P1320" s="1583"/>
      <c r="Q1320" s="1604"/>
      <c r="R1320" s="1583"/>
      <c r="S1320" s="1583"/>
      <c r="T1320" s="1604"/>
      <c r="U1320" s="1585"/>
      <c r="V1320" s="1585"/>
      <c r="W1320" s="1585"/>
      <c r="X1320" s="1585"/>
      <c r="Y1320" s="1585"/>
      <c r="Z1320" s="1585"/>
      <c r="AA1320" s="1585"/>
      <c r="AB1320" s="1585"/>
      <c r="AC1320" s="1585"/>
      <c r="AD1320" s="1601">
        <f t="shared" si="162"/>
        <v>0</v>
      </c>
      <c r="AE1320" s="1790">
        <v>0</v>
      </c>
      <c r="AF1320" s="1792"/>
    </row>
    <row r="1321" spans="1:32" ht="27.75" customHeight="1">
      <c r="A1321" s="2899" t="s">
        <v>2835</v>
      </c>
      <c r="B1321" s="2901" t="s">
        <v>3821</v>
      </c>
      <c r="C1321" s="2903" t="s">
        <v>52</v>
      </c>
      <c r="D1321" s="2905">
        <v>777.66</v>
      </c>
      <c r="E1321" s="1598" t="s">
        <v>2496</v>
      </c>
      <c r="F1321" s="1583"/>
      <c r="G1321" s="1583"/>
      <c r="H1321" s="1583"/>
      <c r="I1321" s="1583"/>
      <c r="J1321" s="1583"/>
      <c r="K1321" s="1583"/>
      <c r="L1321" s="1583"/>
      <c r="M1321" s="1583"/>
      <c r="N1321" s="1583"/>
      <c r="O1321" s="1583"/>
      <c r="P1321" s="1583"/>
      <c r="Q1321" s="1585"/>
      <c r="R1321" s="1583"/>
      <c r="S1321" s="1583"/>
      <c r="T1321" s="1585"/>
      <c r="U1321" s="1585"/>
      <c r="V1321" s="1585"/>
      <c r="W1321" s="1585"/>
      <c r="X1321" s="1585"/>
      <c r="Y1321" s="1585"/>
      <c r="Z1321" s="1585">
        <v>777.66</v>
      </c>
      <c r="AA1321" s="1585"/>
      <c r="AB1321" s="1585"/>
      <c r="AC1321" s="1585"/>
      <c r="AD1321" s="1601">
        <f t="shared" si="162"/>
        <v>777.66</v>
      </c>
      <c r="AE1321" s="1790">
        <v>0</v>
      </c>
      <c r="AF1321" s="1792"/>
    </row>
    <row r="1322" spans="1:32" ht="27" customHeight="1">
      <c r="A1322" s="2900" t="s">
        <v>2837</v>
      </c>
      <c r="B1322" s="2902" t="s">
        <v>2838</v>
      </c>
      <c r="C1322" s="2904" t="s">
        <v>52</v>
      </c>
      <c r="D1322" s="2906">
        <v>1390.31</v>
      </c>
      <c r="E1322" s="1603" t="s">
        <v>2497</v>
      </c>
      <c r="F1322" s="1583"/>
      <c r="G1322" s="1583"/>
      <c r="H1322" s="1583"/>
      <c r="I1322" s="1583"/>
      <c r="J1322" s="1583"/>
      <c r="K1322" s="1583"/>
      <c r="L1322" s="1583"/>
      <c r="M1322" s="1583"/>
      <c r="N1322" s="1583"/>
      <c r="O1322" s="1583"/>
      <c r="P1322" s="1583"/>
      <c r="Q1322" s="1604"/>
      <c r="R1322" s="1583"/>
      <c r="S1322" s="1583"/>
      <c r="T1322" s="1604"/>
      <c r="U1322" s="1585"/>
      <c r="V1322" s="1585"/>
      <c r="W1322" s="1585"/>
      <c r="X1322" s="1585"/>
      <c r="Y1322" s="1585"/>
      <c r="Z1322" s="1585"/>
      <c r="AA1322" s="1585"/>
      <c r="AB1322" s="1585"/>
      <c r="AC1322" s="1585"/>
      <c r="AD1322" s="1601">
        <f t="shared" si="162"/>
        <v>0</v>
      </c>
      <c r="AE1322" s="1790">
        <v>0</v>
      </c>
      <c r="AF1322" s="1792"/>
    </row>
    <row r="1323" spans="1:32" ht="27.75" customHeight="1">
      <c r="A1323" s="2899" t="s">
        <v>2837</v>
      </c>
      <c r="B1323" s="2901" t="s">
        <v>3822</v>
      </c>
      <c r="C1323" s="2903" t="s">
        <v>52</v>
      </c>
      <c r="D1323" s="2905">
        <v>1390.31</v>
      </c>
      <c r="E1323" s="1598" t="s">
        <v>2496</v>
      </c>
      <c r="F1323" s="1583"/>
      <c r="G1323" s="1583"/>
      <c r="H1323" s="1583"/>
      <c r="I1323" s="1583"/>
      <c r="J1323" s="1583"/>
      <c r="K1323" s="1583"/>
      <c r="L1323" s="1583"/>
      <c r="M1323" s="1583"/>
      <c r="N1323" s="1583"/>
      <c r="O1323" s="1583"/>
      <c r="P1323" s="1583"/>
      <c r="Q1323" s="1585"/>
      <c r="R1323" s="1583"/>
      <c r="S1323" s="1583"/>
      <c r="T1323" s="1585"/>
      <c r="U1323" s="1585"/>
      <c r="V1323" s="1585"/>
      <c r="W1323" s="1585"/>
      <c r="X1323" s="1585"/>
      <c r="Y1323" s="1585"/>
      <c r="Z1323" s="1585">
        <v>1390.31</v>
      </c>
      <c r="AA1323" s="1585"/>
      <c r="AB1323" s="1585"/>
      <c r="AC1323" s="1585"/>
      <c r="AD1323" s="1601">
        <f t="shared" si="162"/>
        <v>1390.31</v>
      </c>
      <c r="AE1323" s="1790">
        <v>0</v>
      </c>
      <c r="AF1323" s="1792"/>
    </row>
    <row r="1324" spans="1:32" ht="27.75" customHeight="1">
      <c r="A1324" s="2900" t="s">
        <v>2837</v>
      </c>
      <c r="B1324" s="2902" t="s">
        <v>2838</v>
      </c>
      <c r="C1324" s="2904" t="s">
        <v>52</v>
      </c>
      <c r="D1324" s="2906">
        <v>1390.31</v>
      </c>
      <c r="E1324" s="1603" t="s">
        <v>2497</v>
      </c>
      <c r="F1324" s="1583"/>
      <c r="G1324" s="1583"/>
      <c r="H1324" s="1583"/>
      <c r="I1324" s="1583"/>
      <c r="J1324" s="1583"/>
      <c r="K1324" s="1583"/>
      <c r="L1324" s="1583"/>
      <c r="M1324" s="1583"/>
      <c r="N1324" s="1583"/>
      <c r="O1324" s="1583"/>
      <c r="P1324" s="1583"/>
      <c r="Q1324" s="1604"/>
      <c r="R1324" s="1583"/>
      <c r="S1324" s="1583"/>
      <c r="T1324" s="1604"/>
      <c r="U1324" s="1592"/>
      <c r="V1324" s="1585"/>
      <c r="W1324" s="1585"/>
      <c r="X1324" s="1585"/>
      <c r="Y1324" s="1585"/>
      <c r="Z1324" s="1585"/>
      <c r="AA1324" s="1585"/>
      <c r="AB1324" s="1585"/>
      <c r="AC1324" s="1585"/>
      <c r="AD1324" s="1601">
        <f t="shared" si="162"/>
        <v>0</v>
      </c>
      <c r="AE1324" s="1790">
        <v>0</v>
      </c>
      <c r="AF1324" s="1792"/>
    </row>
    <row r="1325" spans="1:32" ht="27.75" customHeight="1">
      <c r="A1325" s="1795" t="s">
        <v>2839</v>
      </c>
      <c r="B1325" s="1796" t="s">
        <v>3823</v>
      </c>
      <c r="C1325" s="1797"/>
      <c r="D1325" s="1789"/>
      <c r="E1325" s="1599"/>
      <c r="F1325" s="1583"/>
      <c r="G1325" s="1583"/>
      <c r="H1325" s="1583"/>
      <c r="I1325" s="1583"/>
      <c r="J1325" s="1583"/>
      <c r="K1325" s="1583"/>
      <c r="L1325" s="1583"/>
      <c r="M1325" s="1583"/>
      <c r="N1325" s="1583"/>
      <c r="O1325" s="1583"/>
      <c r="P1325" s="1583"/>
      <c r="Q1325" s="1604"/>
      <c r="R1325" s="1583"/>
      <c r="S1325" s="1583"/>
      <c r="T1325" s="1604"/>
      <c r="U1325" s="1592"/>
      <c r="V1325" s="1585"/>
      <c r="W1325" s="1585"/>
      <c r="X1325" s="1585"/>
      <c r="Y1325" s="1585"/>
      <c r="Z1325" s="1585"/>
      <c r="AA1325" s="1585"/>
      <c r="AB1325" s="1585"/>
      <c r="AC1325" s="1585"/>
      <c r="AD1325" s="1601">
        <f t="shared" si="162"/>
        <v>0</v>
      </c>
      <c r="AE1325" s="1790">
        <v>0</v>
      </c>
      <c r="AF1325" s="1792"/>
    </row>
    <row r="1326" spans="1:32" ht="27.75" customHeight="1">
      <c r="A1326" s="2899" t="s">
        <v>2841</v>
      </c>
      <c r="B1326" s="2901" t="s">
        <v>3824</v>
      </c>
      <c r="C1326" s="2903" t="s">
        <v>51</v>
      </c>
      <c r="D1326" s="2905">
        <v>4757.67</v>
      </c>
      <c r="E1326" s="1598" t="s">
        <v>2496</v>
      </c>
      <c r="F1326" s="1583"/>
      <c r="G1326" s="1583"/>
      <c r="H1326" s="1583"/>
      <c r="I1326" s="1583"/>
      <c r="J1326" s="1583"/>
      <c r="K1326" s="1583"/>
      <c r="L1326" s="1583"/>
      <c r="M1326" s="1583"/>
      <c r="N1326" s="1583"/>
      <c r="O1326" s="1583"/>
      <c r="P1326" s="1583"/>
      <c r="Q1326" s="1585"/>
      <c r="R1326" s="1583"/>
      <c r="S1326" s="1583"/>
      <c r="T1326" s="1585"/>
      <c r="U1326" s="1585"/>
      <c r="V1326" s="1585"/>
      <c r="W1326" s="1585"/>
      <c r="X1326" s="1585"/>
      <c r="Y1326" s="1585"/>
      <c r="Z1326" s="1585">
        <v>4757.67</v>
      </c>
      <c r="AA1326" s="1585"/>
      <c r="AB1326" s="1585"/>
      <c r="AC1326" s="1585"/>
      <c r="AD1326" s="1601">
        <f t="shared" si="162"/>
        <v>4757.67</v>
      </c>
      <c r="AE1326" s="1790">
        <v>0</v>
      </c>
      <c r="AF1326" s="1792"/>
    </row>
    <row r="1327" spans="1:32" ht="27.75" customHeight="1">
      <c r="A1327" s="2900" t="s">
        <v>2841</v>
      </c>
      <c r="B1327" s="2902" t="s">
        <v>2842</v>
      </c>
      <c r="C1327" s="2904" t="s">
        <v>51</v>
      </c>
      <c r="D1327" s="2906">
        <v>4757.67</v>
      </c>
      <c r="E1327" s="1603" t="s">
        <v>2497</v>
      </c>
      <c r="F1327" s="1583"/>
      <c r="G1327" s="1583"/>
      <c r="H1327" s="1583"/>
      <c r="I1327" s="1583"/>
      <c r="J1327" s="1583"/>
      <c r="K1327" s="1583"/>
      <c r="L1327" s="1583"/>
      <c r="M1327" s="1583"/>
      <c r="N1327" s="1583"/>
      <c r="O1327" s="1583"/>
      <c r="P1327" s="1583"/>
      <c r="Q1327" s="1604"/>
      <c r="R1327" s="1583"/>
      <c r="S1327" s="1583"/>
      <c r="T1327" s="1604"/>
      <c r="U1327" s="1592"/>
      <c r="V1327" s="1585"/>
      <c r="W1327" s="1585"/>
      <c r="X1327" s="1585"/>
      <c r="Y1327" s="1592"/>
      <c r="Z1327" s="1592"/>
      <c r="AA1327" s="1592"/>
      <c r="AB1327" s="1592"/>
      <c r="AC1327" s="1592"/>
      <c r="AD1327" s="1601">
        <f t="shared" si="162"/>
        <v>0</v>
      </c>
      <c r="AE1327" s="1790">
        <v>0</v>
      </c>
      <c r="AF1327" s="1792"/>
    </row>
    <row r="1328" spans="1:32" ht="27.75" customHeight="1">
      <c r="A1328" s="1647" t="s">
        <v>556</v>
      </c>
      <c r="B1328" s="1647" t="s">
        <v>3825</v>
      </c>
      <c r="C1328" s="1797"/>
      <c r="D1328" s="1789"/>
      <c r="E1328" s="1599"/>
      <c r="F1328" s="1583"/>
      <c r="G1328" s="1583"/>
      <c r="H1328" s="1583"/>
      <c r="I1328" s="1583"/>
      <c r="J1328" s="1583"/>
      <c r="K1328" s="1583"/>
      <c r="L1328" s="1583"/>
      <c r="M1328" s="1583"/>
      <c r="N1328" s="1583"/>
      <c r="O1328" s="1583"/>
      <c r="P1328" s="1583"/>
      <c r="Q1328" s="1604"/>
      <c r="R1328" s="1583"/>
      <c r="S1328" s="1583"/>
      <c r="T1328" s="1604"/>
      <c r="U1328" s="1592"/>
      <c r="V1328" s="1585"/>
      <c r="W1328" s="1585"/>
      <c r="X1328" s="1585"/>
      <c r="Y1328" s="1592"/>
      <c r="Z1328" s="1592"/>
      <c r="AA1328" s="1592"/>
      <c r="AB1328" s="1592"/>
      <c r="AC1328" s="1592"/>
      <c r="AD1328" s="1601">
        <f t="shared" si="162"/>
        <v>0</v>
      </c>
      <c r="AE1328" s="1790">
        <v>0</v>
      </c>
      <c r="AF1328" s="1792"/>
    </row>
    <row r="1329" spans="1:32" ht="27.75" customHeight="1">
      <c r="A1329" s="1795" t="s">
        <v>557</v>
      </c>
      <c r="B1329" s="1795" t="s">
        <v>3826</v>
      </c>
      <c r="C1329" s="1797"/>
      <c r="D1329" s="1789"/>
      <c r="E1329" s="1599"/>
      <c r="F1329" s="1583"/>
      <c r="G1329" s="1583"/>
      <c r="H1329" s="1583"/>
      <c r="I1329" s="1583"/>
      <c r="J1329" s="1583"/>
      <c r="K1329" s="1583"/>
      <c r="L1329" s="1583"/>
      <c r="M1329" s="1583"/>
      <c r="N1329" s="1583"/>
      <c r="O1329" s="1583"/>
      <c r="P1329" s="1583"/>
      <c r="Q1329" s="1604"/>
      <c r="R1329" s="1583"/>
      <c r="S1329" s="1583"/>
      <c r="T1329" s="1604"/>
      <c r="U1329" s="1592"/>
      <c r="V1329" s="1585"/>
      <c r="W1329" s="1585"/>
      <c r="X1329" s="1585"/>
      <c r="Y1329" s="1592"/>
      <c r="Z1329" s="1592"/>
      <c r="AA1329" s="1592"/>
      <c r="AB1329" s="1592"/>
      <c r="AC1329" s="1592"/>
      <c r="AD1329" s="1601">
        <f t="shared" si="162"/>
        <v>0</v>
      </c>
      <c r="AE1329" s="1790">
        <v>0</v>
      </c>
      <c r="AF1329" s="1792"/>
    </row>
    <row r="1330" spans="1:32" ht="27.75" customHeight="1">
      <c r="A1330" s="2899" t="s">
        <v>558</v>
      </c>
      <c r="B1330" s="2901" t="s">
        <v>3827</v>
      </c>
      <c r="C1330" s="2903" t="s">
        <v>49</v>
      </c>
      <c r="D1330" s="2905">
        <v>948.31799999999998</v>
      </c>
      <c r="E1330" s="1598" t="s">
        <v>2496</v>
      </c>
      <c r="F1330" s="1583"/>
      <c r="G1330" s="1583"/>
      <c r="H1330" s="1583"/>
      <c r="I1330" s="1583"/>
      <c r="J1330" s="1583"/>
      <c r="K1330" s="1583"/>
      <c r="L1330" s="1583"/>
      <c r="M1330" s="1583"/>
      <c r="N1330" s="1583"/>
      <c r="O1330" s="1583"/>
      <c r="P1330" s="1583"/>
      <c r="Q1330" s="1585"/>
      <c r="R1330" s="1583"/>
      <c r="S1330" s="1583"/>
      <c r="T1330" s="1585"/>
      <c r="U1330" s="1585"/>
      <c r="V1330" s="1585"/>
      <c r="W1330" s="1585"/>
      <c r="X1330" s="1585"/>
      <c r="Y1330" s="1585"/>
      <c r="Z1330" s="1585">
        <v>948.31799999999998</v>
      </c>
      <c r="AA1330" s="1585"/>
      <c r="AB1330" s="1585"/>
      <c r="AC1330" s="1585"/>
      <c r="AD1330" s="1601">
        <f t="shared" si="162"/>
        <v>948.31799999999998</v>
      </c>
      <c r="AE1330" s="1790">
        <v>0</v>
      </c>
      <c r="AF1330" s="1792"/>
    </row>
    <row r="1331" spans="1:32" ht="27.75" customHeight="1">
      <c r="A1331" s="2900" t="s">
        <v>558</v>
      </c>
      <c r="B1331" s="2902" t="s">
        <v>2845</v>
      </c>
      <c r="C1331" s="2904" t="s">
        <v>49</v>
      </c>
      <c r="D1331" s="2906">
        <v>948.31799999999987</v>
      </c>
      <c r="E1331" s="1603" t="s">
        <v>2497</v>
      </c>
      <c r="F1331" s="1583"/>
      <c r="G1331" s="1583"/>
      <c r="H1331" s="1583"/>
      <c r="I1331" s="1583"/>
      <c r="J1331" s="1583"/>
      <c r="K1331" s="1583"/>
      <c r="L1331" s="1583"/>
      <c r="M1331" s="1583"/>
      <c r="N1331" s="1583"/>
      <c r="O1331" s="1583"/>
      <c r="P1331" s="1583"/>
      <c r="Q1331" s="1604"/>
      <c r="R1331" s="1583"/>
      <c r="S1331" s="1583"/>
      <c r="T1331" s="1604"/>
      <c r="U1331" s="1592"/>
      <c r="V1331" s="1592"/>
      <c r="W1331" s="1585"/>
      <c r="X1331" s="1585"/>
      <c r="Y1331" s="1585"/>
      <c r="Z1331" s="1585"/>
      <c r="AA1331" s="1585"/>
      <c r="AB1331" s="1585"/>
      <c r="AC1331" s="1585"/>
      <c r="AD1331" s="1601">
        <f t="shared" si="162"/>
        <v>0</v>
      </c>
      <c r="AE1331" s="1790">
        <v>0</v>
      </c>
      <c r="AF1331" s="1792"/>
    </row>
    <row r="1332" spans="1:32" ht="27.75" customHeight="1">
      <c r="A1332" s="2899" t="s">
        <v>2846</v>
      </c>
      <c r="B1332" s="2901" t="s">
        <v>3828</v>
      </c>
      <c r="C1332" s="2903" t="s">
        <v>49</v>
      </c>
      <c r="D1332" s="2905">
        <v>13668.195299999999</v>
      </c>
      <c r="E1332" s="1598" t="s">
        <v>2496</v>
      </c>
      <c r="F1332" s="1583"/>
      <c r="G1332" s="1583"/>
      <c r="H1332" s="1583"/>
      <c r="I1332" s="1583"/>
      <c r="J1332" s="1583"/>
      <c r="K1332" s="1583"/>
      <c r="L1332" s="1583"/>
      <c r="M1332" s="1583"/>
      <c r="N1332" s="1583"/>
      <c r="O1332" s="1583"/>
      <c r="P1332" s="1583"/>
      <c r="Q1332" s="1585"/>
      <c r="R1332" s="1583"/>
      <c r="S1332" s="1583"/>
      <c r="T1332" s="1585"/>
      <c r="U1332" s="1585"/>
      <c r="V1332" s="1585"/>
      <c r="W1332" s="1585"/>
      <c r="X1332" s="1585"/>
      <c r="Y1332" s="1585"/>
      <c r="Z1332" s="1585">
        <v>13668.195299999999</v>
      </c>
      <c r="AA1332" s="1585"/>
      <c r="AB1332" s="1585"/>
      <c r="AC1332" s="1585"/>
      <c r="AD1332" s="1601">
        <f t="shared" si="162"/>
        <v>13668.195299999999</v>
      </c>
      <c r="AE1332" s="1790">
        <v>0</v>
      </c>
      <c r="AF1332" s="1792"/>
    </row>
    <row r="1333" spans="1:32" ht="27.75" customHeight="1">
      <c r="A1333" s="2900" t="s">
        <v>2846</v>
      </c>
      <c r="B1333" s="2902" t="s">
        <v>2847</v>
      </c>
      <c r="C1333" s="2904" t="s">
        <v>49</v>
      </c>
      <c r="D1333" s="2906">
        <v>13668.195300000001</v>
      </c>
      <c r="E1333" s="1603" t="s">
        <v>2497</v>
      </c>
      <c r="F1333" s="1583"/>
      <c r="G1333" s="1583"/>
      <c r="H1333" s="1583"/>
      <c r="I1333" s="1583"/>
      <c r="J1333" s="1583"/>
      <c r="K1333" s="1583"/>
      <c r="L1333" s="1583"/>
      <c r="M1333" s="1583"/>
      <c r="N1333" s="1583"/>
      <c r="O1333" s="1583"/>
      <c r="P1333" s="1583"/>
      <c r="Q1333" s="1604"/>
      <c r="R1333" s="1583"/>
      <c r="S1333" s="1583"/>
      <c r="T1333" s="1604"/>
      <c r="U1333" s="1592"/>
      <c r="V1333" s="1585"/>
      <c r="W1333" s="1585"/>
      <c r="X1333" s="1585"/>
      <c r="Y1333" s="1592"/>
      <c r="Z1333" s="1585"/>
      <c r="AA1333" s="1585"/>
      <c r="AB1333" s="1585"/>
      <c r="AC1333" s="1585"/>
      <c r="AD1333" s="1601">
        <f t="shared" si="162"/>
        <v>0</v>
      </c>
      <c r="AE1333" s="1790">
        <v>0</v>
      </c>
      <c r="AF1333" s="1792"/>
    </row>
    <row r="1334" spans="1:32" ht="27.75" customHeight="1">
      <c r="A1334" s="2899" t="s">
        <v>2848</v>
      </c>
      <c r="B1334" s="2901" t="s">
        <v>3829</v>
      </c>
      <c r="C1334" s="2903" t="s">
        <v>50</v>
      </c>
      <c r="D1334" s="2905">
        <v>5421.5545000000002</v>
      </c>
      <c r="E1334" s="1598" t="s">
        <v>2496</v>
      </c>
      <c r="F1334" s="1583"/>
      <c r="G1334" s="1583"/>
      <c r="H1334" s="1583"/>
      <c r="I1334" s="1583"/>
      <c r="J1334" s="1583"/>
      <c r="K1334" s="1583"/>
      <c r="L1334" s="1583"/>
      <c r="M1334" s="1583"/>
      <c r="N1334" s="1583"/>
      <c r="O1334" s="1583"/>
      <c r="P1334" s="1583"/>
      <c r="Q1334" s="1585"/>
      <c r="R1334" s="1583"/>
      <c r="S1334" s="1583"/>
      <c r="T1334" s="1585"/>
      <c r="U1334" s="1585"/>
      <c r="V1334" s="1585"/>
      <c r="W1334" s="1585"/>
      <c r="X1334" s="1585"/>
      <c r="Y1334" s="1585"/>
      <c r="Z1334" s="1585">
        <f>D1334</f>
        <v>5421.5545000000002</v>
      </c>
      <c r="AA1334" s="1585"/>
      <c r="AB1334" s="1585"/>
      <c r="AC1334" s="1585"/>
      <c r="AD1334" s="1601">
        <f t="shared" si="162"/>
        <v>5421.5545000000002</v>
      </c>
      <c r="AE1334" s="1790">
        <v>0</v>
      </c>
      <c r="AF1334" s="1792"/>
    </row>
    <row r="1335" spans="1:32" ht="27.75" customHeight="1">
      <c r="A1335" s="2900" t="s">
        <v>2848</v>
      </c>
      <c r="B1335" s="2902" t="s">
        <v>2849</v>
      </c>
      <c r="C1335" s="2904" t="s">
        <v>50</v>
      </c>
      <c r="D1335" s="2906">
        <v>5421.5545000000002</v>
      </c>
      <c r="E1335" s="1603" t="s">
        <v>2497</v>
      </c>
      <c r="F1335" s="1583"/>
      <c r="G1335" s="1583"/>
      <c r="H1335" s="1583"/>
      <c r="I1335" s="1583"/>
      <c r="J1335" s="1583"/>
      <c r="K1335" s="1583"/>
      <c r="L1335" s="1583"/>
      <c r="M1335" s="1583"/>
      <c r="N1335" s="1583"/>
      <c r="O1335" s="1583"/>
      <c r="P1335" s="1583"/>
      <c r="Q1335" s="1604"/>
      <c r="R1335" s="1583"/>
      <c r="S1335" s="1583"/>
      <c r="T1335" s="1604"/>
      <c r="U1335" s="1585"/>
      <c r="V1335" s="1585"/>
      <c r="W1335" s="1585"/>
      <c r="X1335" s="1585"/>
      <c r="Y1335" s="1585"/>
      <c r="Z1335" s="1585"/>
      <c r="AA1335" s="1585"/>
      <c r="AB1335" s="1585"/>
      <c r="AC1335" s="1585"/>
      <c r="AD1335" s="1601">
        <f t="shared" si="162"/>
        <v>0</v>
      </c>
      <c r="AE1335" s="1790">
        <v>0</v>
      </c>
      <c r="AF1335" s="1792"/>
    </row>
    <row r="1336" spans="1:32" ht="27.75" customHeight="1">
      <c r="A1336" s="2899" t="s">
        <v>2850</v>
      </c>
      <c r="B1336" s="2901" t="s">
        <v>3830</v>
      </c>
      <c r="C1336" s="2903" t="s">
        <v>420</v>
      </c>
      <c r="D1336" s="2905">
        <v>5276.81</v>
      </c>
      <c r="E1336" s="1598" t="s">
        <v>2496</v>
      </c>
      <c r="F1336" s="1583"/>
      <c r="G1336" s="1583"/>
      <c r="H1336" s="1583"/>
      <c r="I1336" s="1583"/>
      <c r="J1336" s="1583"/>
      <c r="K1336" s="1583"/>
      <c r="L1336" s="1583"/>
      <c r="M1336" s="1583"/>
      <c r="N1336" s="1583"/>
      <c r="O1336" s="1583"/>
      <c r="P1336" s="1583"/>
      <c r="Q1336" s="1585"/>
      <c r="R1336" s="1583"/>
      <c r="S1336" s="1583"/>
      <c r="T1336" s="1585"/>
      <c r="U1336" s="1585"/>
      <c r="V1336" s="1585"/>
      <c r="W1336" s="1585"/>
      <c r="X1336" s="1585"/>
      <c r="Y1336" s="1585"/>
      <c r="Z1336" s="1585">
        <f>D1336</f>
        <v>5276.81</v>
      </c>
      <c r="AA1336" s="1585"/>
      <c r="AB1336" s="1585"/>
      <c r="AC1336" s="1585"/>
      <c r="AD1336" s="1601">
        <f t="shared" si="162"/>
        <v>5276.81</v>
      </c>
      <c r="AE1336" s="1790">
        <v>0</v>
      </c>
      <c r="AF1336" s="1792"/>
    </row>
    <row r="1337" spans="1:32" ht="27" customHeight="1">
      <c r="A1337" s="2900" t="s">
        <v>2850</v>
      </c>
      <c r="B1337" s="2902" t="s">
        <v>2851</v>
      </c>
      <c r="C1337" s="2904" t="s">
        <v>420</v>
      </c>
      <c r="D1337" s="2906">
        <v>5276.81</v>
      </c>
      <c r="E1337" s="1603" t="s">
        <v>2497</v>
      </c>
      <c r="F1337" s="1583"/>
      <c r="G1337" s="1583"/>
      <c r="H1337" s="1583"/>
      <c r="I1337" s="1583"/>
      <c r="J1337" s="1583"/>
      <c r="K1337" s="1583"/>
      <c r="L1337" s="1583"/>
      <c r="M1337" s="1583"/>
      <c r="N1337" s="1583"/>
      <c r="O1337" s="1583"/>
      <c r="P1337" s="1583"/>
      <c r="Q1337" s="1604"/>
      <c r="R1337" s="1583"/>
      <c r="S1337" s="1583"/>
      <c r="T1337" s="1604"/>
      <c r="U1337" s="1585"/>
      <c r="V1337" s="1585"/>
      <c r="W1337" s="1585"/>
      <c r="X1337" s="1585"/>
      <c r="Y1337" s="1585"/>
      <c r="Z1337" s="1585"/>
      <c r="AA1337" s="1585"/>
      <c r="AB1337" s="1585"/>
      <c r="AC1337" s="1585"/>
      <c r="AD1337" s="1601">
        <f t="shared" si="162"/>
        <v>0</v>
      </c>
      <c r="AE1337" s="1790">
        <v>0</v>
      </c>
      <c r="AF1337" s="1792"/>
    </row>
    <row r="1338" spans="1:32" ht="27.75" customHeight="1">
      <c r="A1338" s="2899" t="s">
        <v>2852</v>
      </c>
      <c r="B1338" s="2901" t="s">
        <v>3831</v>
      </c>
      <c r="C1338" s="2903" t="s">
        <v>50</v>
      </c>
      <c r="D1338" s="2905">
        <v>1421.5600000000002</v>
      </c>
      <c r="E1338" s="1598" t="s">
        <v>2496</v>
      </c>
      <c r="F1338" s="1583"/>
      <c r="G1338" s="1583"/>
      <c r="H1338" s="1583"/>
      <c r="I1338" s="1583"/>
      <c r="J1338" s="1583"/>
      <c r="K1338" s="1583"/>
      <c r="L1338" s="1583"/>
      <c r="M1338" s="1583"/>
      <c r="N1338" s="1583"/>
      <c r="O1338" s="1583"/>
      <c r="P1338" s="1583"/>
      <c r="Q1338" s="1585"/>
      <c r="R1338" s="1583"/>
      <c r="S1338" s="1583"/>
      <c r="T1338" s="1585"/>
      <c r="U1338" s="1585"/>
      <c r="V1338" s="1585"/>
      <c r="W1338" s="1585"/>
      <c r="X1338" s="1585"/>
      <c r="Y1338" s="1585"/>
      <c r="Z1338" s="1585">
        <f>D1338</f>
        <v>1421.5600000000002</v>
      </c>
      <c r="AA1338" s="1585"/>
      <c r="AB1338" s="1585"/>
      <c r="AC1338" s="1585"/>
      <c r="AD1338" s="1601">
        <f t="shared" si="162"/>
        <v>1421.5600000000002</v>
      </c>
      <c r="AE1338" s="1790">
        <v>0</v>
      </c>
      <c r="AF1338" s="1792"/>
    </row>
    <row r="1339" spans="1:32" ht="27.75" customHeight="1">
      <c r="A1339" s="2900" t="s">
        <v>2852</v>
      </c>
      <c r="B1339" s="2902" t="s">
        <v>2853</v>
      </c>
      <c r="C1339" s="2904" t="s">
        <v>50</v>
      </c>
      <c r="D1339" s="2906">
        <v>1421.5600000000002</v>
      </c>
      <c r="E1339" s="1603" t="s">
        <v>2497</v>
      </c>
      <c r="F1339" s="1583"/>
      <c r="G1339" s="1583"/>
      <c r="H1339" s="1583"/>
      <c r="I1339" s="1583"/>
      <c r="J1339" s="1583"/>
      <c r="K1339" s="1583"/>
      <c r="L1339" s="1583"/>
      <c r="M1339" s="1583"/>
      <c r="N1339" s="1583"/>
      <c r="O1339" s="1583"/>
      <c r="P1339" s="1583"/>
      <c r="Q1339" s="1604"/>
      <c r="R1339" s="1583"/>
      <c r="S1339" s="1583"/>
      <c r="T1339" s="1604"/>
      <c r="U1339" s="1592"/>
      <c r="V1339" s="1585"/>
      <c r="W1339" s="1585"/>
      <c r="X1339" s="1585"/>
      <c r="Y1339" s="1585"/>
      <c r="Z1339" s="1585"/>
      <c r="AA1339" s="1585"/>
      <c r="AB1339" s="1585"/>
      <c r="AC1339" s="1585"/>
      <c r="AD1339" s="1601">
        <f t="shared" si="162"/>
        <v>0</v>
      </c>
      <c r="AE1339" s="1790">
        <v>0</v>
      </c>
      <c r="AF1339" s="1792"/>
    </row>
    <row r="1340" spans="1:32" ht="27.75" customHeight="1">
      <c r="A1340" s="1795" t="s">
        <v>560</v>
      </c>
      <c r="B1340" s="1796" t="s">
        <v>3832</v>
      </c>
      <c r="C1340" s="1797"/>
      <c r="D1340" s="1789"/>
      <c r="E1340" s="1599"/>
      <c r="F1340" s="1583"/>
      <c r="G1340" s="1583"/>
      <c r="H1340" s="1583"/>
      <c r="I1340" s="1583"/>
      <c r="J1340" s="1583"/>
      <c r="K1340" s="1583"/>
      <c r="L1340" s="1583"/>
      <c r="M1340" s="1583"/>
      <c r="N1340" s="1583"/>
      <c r="O1340" s="1583"/>
      <c r="P1340" s="1583"/>
      <c r="Q1340" s="1604"/>
      <c r="R1340" s="1583"/>
      <c r="S1340" s="1583"/>
      <c r="T1340" s="1604"/>
      <c r="U1340" s="1592"/>
      <c r="V1340" s="1585"/>
      <c r="W1340" s="1585"/>
      <c r="X1340" s="1585"/>
      <c r="Y1340" s="1585"/>
      <c r="Z1340" s="1585"/>
      <c r="AA1340" s="1585"/>
      <c r="AB1340" s="1585"/>
      <c r="AC1340" s="1585"/>
      <c r="AD1340" s="1601">
        <f t="shared" si="162"/>
        <v>0</v>
      </c>
      <c r="AE1340" s="1790">
        <v>0</v>
      </c>
      <c r="AF1340" s="1792"/>
    </row>
    <row r="1341" spans="1:32" ht="27.75" customHeight="1">
      <c r="A1341" s="2899" t="s">
        <v>562</v>
      </c>
      <c r="B1341" s="2901" t="s">
        <v>3833</v>
      </c>
      <c r="C1341" s="2903" t="s">
        <v>49</v>
      </c>
      <c r="D1341" s="2905">
        <v>884.01839999999993</v>
      </c>
      <c r="E1341" s="1598" t="s">
        <v>2496</v>
      </c>
      <c r="F1341" s="1583"/>
      <c r="G1341" s="1583"/>
      <c r="H1341" s="1583"/>
      <c r="I1341" s="1583"/>
      <c r="J1341" s="1583"/>
      <c r="K1341" s="1583"/>
      <c r="L1341" s="1583"/>
      <c r="M1341" s="1583"/>
      <c r="N1341" s="1583"/>
      <c r="O1341" s="1583"/>
      <c r="P1341" s="1583"/>
      <c r="Q1341" s="1585"/>
      <c r="R1341" s="1583"/>
      <c r="S1341" s="1583"/>
      <c r="T1341" s="1585"/>
      <c r="U1341" s="1585"/>
      <c r="V1341" s="1585"/>
      <c r="W1341" s="1585"/>
      <c r="X1341" s="1585"/>
      <c r="Y1341" s="1585"/>
      <c r="Z1341" s="1585">
        <f>D1341</f>
        <v>884.01839999999993</v>
      </c>
      <c r="AA1341" s="1585"/>
      <c r="AB1341" s="1585"/>
      <c r="AC1341" s="1585"/>
      <c r="AD1341" s="1601">
        <f t="shared" si="162"/>
        <v>884.01839999999993</v>
      </c>
      <c r="AE1341" s="1790">
        <v>0</v>
      </c>
      <c r="AF1341" s="1792"/>
    </row>
    <row r="1342" spans="1:32" ht="27.75" customHeight="1">
      <c r="A1342" s="2900" t="s">
        <v>562</v>
      </c>
      <c r="B1342" s="2902" t="s">
        <v>2855</v>
      </c>
      <c r="C1342" s="2904" t="s">
        <v>49</v>
      </c>
      <c r="D1342" s="2906">
        <v>884.01839999999993</v>
      </c>
      <c r="E1342" s="1603" t="s">
        <v>2497</v>
      </c>
      <c r="F1342" s="1583"/>
      <c r="G1342" s="1583"/>
      <c r="H1342" s="1583"/>
      <c r="I1342" s="1583"/>
      <c r="J1342" s="1583"/>
      <c r="K1342" s="1583"/>
      <c r="L1342" s="1583"/>
      <c r="M1342" s="1583"/>
      <c r="N1342" s="1583"/>
      <c r="O1342" s="1583"/>
      <c r="P1342" s="1583"/>
      <c r="Q1342" s="1604"/>
      <c r="R1342" s="1583"/>
      <c r="S1342" s="1583"/>
      <c r="T1342" s="1604"/>
      <c r="U1342" s="1592"/>
      <c r="V1342" s="1585"/>
      <c r="W1342" s="1585"/>
      <c r="X1342" s="1585"/>
      <c r="Y1342" s="1592"/>
      <c r="Z1342" s="1592"/>
      <c r="AA1342" s="1592"/>
      <c r="AB1342" s="1592"/>
      <c r="AC1342" s="1592"/>
      <c r="AD1342" s="1601">
        <f t="shared" si="162"/>
        <v>0</v>
      </c>
      <c r="AE1342" s="1790">
        <v>0</v>
      </c>
      <c r="AF1342" s="1792"/>
    </row>
    <row r="1343" spans="1:32" ht="27.75" customHeight="1">
      <c r="A1343" s="2899" t="s">
        <v>564</v>
      </c>
      <c r="B1343" s="2901" t="s">
        <v>3828</v>
      </c>
      <c r="C1343" s="2903" t="s">
        <v>49</v>
      </c>
      <c r="D1343" s="2905">
        <v>3956.9225000000006</v>
      </c>
      <c r="E1343" s="1598" t="s">
        <v>2496</v>
      </c>
      <c r="F1343" s="1583"/>
      <c r="G1343" s="1583"/>
      <c r="H1343" s="1583"/>
      <c r="I1343" s="1583"/>
      <c r="J1343" s="1583"/>
      <c r="K1343" s="1583"/>
      <c r="L1343" s="1583"/>
      <c r="M1343" s="1583"/>
      <c r="N1343" s="1583"/>
      <c r="O1343" s="1583"/>
      <c r="P1343" s="1583"/>
      <c r="Q1343" s="1585"/>
      <c r="R1343" s="1583"/>
      <c r="S1343" s="1583"/>
      <c r="T1343" s="1585"/>
      <c r="U1343" s="1585"/>
      <c r="V1343" s="1585"/>
      <c r="W1343" s="1585"/>
      <c r="X1343" s="1585"/>
      <c r="Y1343" s="1585"/>
      <c r="Z1343" s="1585">
        <f>D1343</f>
        <v>3956.9225000000006</v>
      </c>
      <c r="AA1343" s="1585"/>
      <c r="AB1343" s="1585"/>
      <c r="AC1343" s="1585"/>
      <c r="AD1343" s="1601">
        <f t="shared" si="162"/>
        <v>3956.9225000000006</v>
      </c>
      <c r="AE1343" s="1790">
        <v>0</v>
      </c>
      <c r="AF1343" s="1792"/>
    </row>
    <row r="1344" spans="1:32" ht="27.75" customHeight="1">
      <c r="A1344" s="2900" t="s">
        <v>564</v>
      </c>
      <c r="B1344" s="2902" t="s">
        <v>2847</v>
      </c>
      <c r="C1344" s="2904" t="s">
        <v>49</v>
      </c>
      <c r="D1344" s="2906">
        <v>3956.9225000000006</v>
      </c>
      <c r="E1344" s="1603" t="s">
        <v>2497</v>
      </c>
      <c r="F1344" s="1583"/>
      <c r="G1344" s="1583"/>
      <c r="H1344" s="1583"/>
      <c r="I1344" s="1583"/>
      <c r="J1344" s="1583"/>
      <c r="K1344" s="1583"/>
      <c r="L1344" s="1583"/>
      <c r="M1344" s="1583"/>
      <c r="N1344" s="1583"/>
      <c r="O1344" s="1583"/>
      <c r="P1344" s="1583"/>
      <c r="Q1344" s="1604"/>
      <c r="R1344" s="1583"/>
      <c r="S1344" s="1583"/>
      <c r="T1344" s="1604"/>
      <c r="U1344" s="1592"/>
      <c r="V1344" s="1592"/>
      <c r="W1344" s="1585"/>
      <c r="X1344" s="1585"/>
      <c r="Y1344" s="1585"/>
      <c r="Z1344" s="1585"/>
      <c r="AA1344" s="1585"/>
      <c r="AB1344" s="1585"/>
      <c r="AC1344" s="1585"/>
      <c r="AD1344" s="1601">
        <f t="shared" si="162"/>
        <v>0</v>
      </c>
      <c r="AE1344" s="1790">
        <v>0</v>
      </c>
      <c r="AF1344" s="1792"/>
    </row>
    <row r="1345" spans="1:32" ht="27.75" customHeight="1">
      <c r="A1345" s="2899" t="s">
        <v>1000</v>
      </c>
      <c r="B1345" s="2901" t="s">
        <v>3829</v>
      </c>
      <c r="C1345" s="2903" t="s">
        <v>50</v>
      </c>
      <c r="D1345" s="2905">
        <v>1862.913</v>
      </c>
      <c r="E1345" s="1598" t="s">
        <v>2496</v>
      </c>
      <c r="F1345" s="1583"/>
      <c r="G1345" s="1583"/>
      <c r="H1345" s="1583"/>
      <c r="I1345" s="1583"/>
      <c r="J1345" s="1583"/>
      <c r="K1345" s="1583"/>
      <c r="L1345" s="1583"/>
      <c r="M1345" s="1583"/>
      <c r="N1345" s="1583"/>
      <c r="O1345" s="1583"/>
      <c r="P1345" s="1583"/>
      <c r="Q1345" s="1585"/>
      <c r="R1345" s="1583"/>
      <c r="S1345" s="1583"/>
      <c r="T1345" s="1585"/>
      <c r="U1345" s="1585"/>
      <c r="V1345" s="1585"/>
      <c r="W1345" s="1585"/>
      <c r="X1345" s="1585"/>
      <c r="Y1345" s="1585"/>
      <c r="Z1345" s="1585">
        <f>D1345</f>
        <v>1862.913</v>
      </c>
      <c r="AA1345" s="1585"/>
      <c r="AB1345" s="1585"/>
      <c r="AC1345" s="1585"/>
      <c r="AD1345" s="1601">
        <f t="shared" si="162"/>
        <v>1862.913</v>
      </c>
      <c r="AE1345" s="1790">
        <v>0</v>
      </c>
      <c r="AF1345" s="1792"/>
    </row>
    <row r="1346" spans="1:32" ht="27.75" customHeight="1">
      <c r="A1346" s="2900" t="s">
        <v>1000</v>
      </c>
      <c r="B1346" s="2902" t="s">
        <v>2849</v>
      </c>
      <c r="C1346" s="2904" t="s">
        <v>50</v>
      </c>
      <c r="D1346" s="2906">
        <v>1862.913</v>
      </c>
      <c r="E1346" s="1603" t="s">
        <v>2497</v>
      </c>
      <c r="F1346" s="1583"/>
      <c r="G1346" s="1583"/>
      <c r="H1346" s="1583"/>
      <c r="I1346" s="1583"/>
      <c r="J1346" s="1583"/>
      <c r="K1346" s="1583"/>
      <c r="L1346" s="1583"/>
      <c r="M1346" s="1583"/>
      <c r="N1346" s="1583"/>
      <c r="O1346" s="1583"/>
      <c r="P1346" s="1583"/>
      <c r="Q1346" s="1604"/>
      <c r="R1346" s="1583"/>
      <c r="S1346" s="1583"/>
      <c r="T1346" s="1604"/>
      <c r="U1346" s="1592"/>
      <c r="V1346" s="1585"/>
      <c r="W1346" s="1585"/>
      <c r="X1346" s="1585"/>
      <c r="Y1346" s="1592"/>
      <c r="Z1346" s="1585"/>
      <c r="AA1346" s="1585"/>
      <c r="AB1346" s="1585"/>
      <c r="AC1346" s="1585"/>
      <c r="AD1346" s="1601">
        <f t="shared" si="162"/>
        <v>0</v>
      </c>
      <c r="AE1346" s="1790">
        <v>0</v>
      </c>
      <c r="AF1346" s="1792"/>
    </row>
    <row r="1347" spans="1:32" ht="27.75" customHeight="1">
      <c r="A1347" s="2899" t="s">
        <v>2856</v>
      </c>
      <c r="B1347" s="2901" t="s">
        <v>3830</v>
      </c>
      <c r="C1347" s="2903" t="s">
        <v>420</v>
      </c>
      <c r="D1347" s="2905">
        <v>2508.33</v>
      </c>
      <c r="E1347" s="1598" t="s">
        <v>2496</v>
      </c>
      <c r="F1347" s="1583"/>
      <c r="G1347" s="1583"/>
      <c r="H1347" s="1583"/>
      <c r="I1347" s="1583"/>
      <c r="J1347" s="1583"/>
      <c r="K1347" s="1583"/>
      <c r="L1347" s="1583"/>
      <c r="M1347" s="1583"/>
      <c r="N1347" s="1583"/>
      <c r="O1347" s="1583"/>
      <c r="P1347" s="1583"/>
      <c r="Q1347" s="1585"/>
      <c r="R1347" s="1583"/>
      <c r="S1347" s="1583"/>
      <c r="T1347" s="1585"/>
      <c r="U1347" s="1585"/>
      <c r="V1347" s="1585"/>
      <c r="W1347" s="1585"/>
      <c r="X1347" s="1585"/>
      <c r="Y1347" s="1585"/>
      <c r="Z1347" s="1585">
        <f>D1347</f>
        <v>2508.33</v>
      </c>
      <c r="AA1347" s="1585"/>
      <c r="AB1347" s="1585"/>
      <c r="AC1347" s="1585"/>
      <c r="AD1347" s="1601">
        <f t="shared" si="162"/>
        <v>2508.33</v>
      </c>
      <c r="AE1347" s="1790">
        <v>0</v>
      </c>
      <c r="AF1347" s="1792"/>
    </row>
    <row r="1348" spans="1:32" ht="27.75" customHeight="1">
      <c r="A1348" s="2900" t="s">
        <v>2856</v>
      </c>
      <c r="B1348" s="2902" t="s">
        <v>2851</v>
      </c>
      <c r="C1348" s="2904" t="s">
        <v>420</v>
      </c>
      <c r="D1348" s="2906">
        <v>2508.33</v>
      </c>
      <c r="E1348" s="1603" t="s">
        <v>2497</v>
      </c>
      <c r="F1348" s="1583"/>
      <c r="G1348" s="1583"/>
      <c r="H1348" s="1583"/>
      <c r="I1348" s="1583"/>
      <c r="J1348" s="1583"/>
      <c r="K1348" s="1583"/>
      <c r="L1348" s="1583"/>
      <c r="M1348" s="1583"/>
      <c r="N1348" s="1583"/>
      <c r="O1348" s="1583"/>
      <c r="P1348" s="1583"/>
      <c r="Q1348" s="1604"/>
      <c r="R1348" s="1583"/>
      <c r="S1348" s="1583"/>
      <c r="T1348" s="1604"/>
      <c r="U1348" s="1585"/>
      <c r="V1348" s="1585"/>
      <c r="W1348" s="1585"/>
      <c r="X1348" s="1585"/>
      <c r="Y1348" s="1585"/>
      <c r="Z1348" s="1585"/>
      <c r="AA1348" s="1585"/>
      <c r="AB1348" s="1585"/>
      <c r="AC1348" s="1585"/>
      <c r="AD1348" s="1601">
        <f t="shared" si="162"/>
        <v>0</v>
      </c>
      <c r="AE1348" s="1790">
        <v>0</v>
      </c>
      <c r="AF1348" s="1792"/>
    </row>
    <row r="1349" spans="1:32" ht="27.75" customHeight="1">
      <c r="A1349" s="2899" t="s">
        <v>2857</v>
      </c>
      <c r="B1349" s="2901" t="s">
        <v>3831</v>
      </c>
      <c r="C1349" s="2903" t="s">
        <v>50</v>
      </c>
      <c r="D1349" s="2905">
        <v>2030.8000000000002</v>
      </c>
      <c r="E1349" s="1598" t="s">
        <v>2496</v>
      </c>
      <c r="F1349" s="1583"/>
      <c r="G1349" s="1583"/>
      <c r="H1349" s="1583"/>
      <c r="I1349" s="1583"/>
      <c r="J1349" s="1583"/>
      <c r="K1349" s="1583"/>
      <c r="L1349" s="1583"/>
      <c r="M1349" s="1583"/>
      <c r="N1349" s="1583"/>
      <c r="O1349" s="1583"/>
      <c r="P1349" s="1583"/>
      <c r="Q1349" s="1585"/>
      <c r="R1349" s="1583"/>
      <c r="S1349" s="1583"/>
      <c r="T1349" s="1585"/>
      <c r="U1349" s="1585"/>
      <c r="V1349" s="1585"/>
      <c r="W1349" s="1585"/>
      <c r="X1349" s="1585"/>
      <c r="Y1349" s="1585"/>
      <c r="Z1349" s="1585">
        <f>D1349</f>
        <v>2030.8000000000002</v>
      </c>
      <c r="AA1349" s="1585"/>
      <c r="AB1349" s="1585"/>
      <c r="AC1349" s="1585"/>
      <c r="AD1349" s="1601">
        <f t="shared" si="162"/>
        <v>2030.8000000000002</v>
      </c>
      <c r="AE1349" s="1790">
        <v>0</v>
      </c>
      <c r="AF1349" s="1792"/>
    </row>
    <row r="1350" spans="1:32" ht="27" customHeight="1">
      <c r="A1350" s="2900" t="s">
        <v>2857</v>
      </c>
      <c r="B1350" s="2902" t="s">
        <v>2853</v>
      </c>
      <c r="C1350" s="2904" t="s">
        <v>50</v>
      </c>
      <c r="D1350" s="2906">
        <v>2030.8000000000002</v>
      </c>
      <c r="E1350" s="1603" t="s">
        <v>2497</v>
      </c>
      <c r="F1350" s="1583"/>
      <c r="G1350" s="1583"/>
      <c r="H1350" s="1583"/>
      <c r="I1350" s="1583"/>
      <c r="J1350" s="1583"/>
      <c r="K1350" s="1583"/>
      <c r="L1350" s="1583"/>
      <c r="M1350" s="1583"/>
      <c r="N1350" s="1583"/>
      <c r="O1350" s="1583"/>
      <c r="P1350" s="1583"/>
      <c r="Q1350" s="1604"/>
      <c r="R1350" s="1583"/>
      <c r="S1350" s="1583"/>
      <c r="T1350" s="1604"/>
      <c r="U1350" s="1585"/>
      <c r="V1350" s="1585"/>
      <c r="W1350" s="1585"/>
      <c r="X1350" s="1585"/>
      <c r="Y1350" s="1585"/>
      <c r="Z1350" s="1585"/>
      <c r="AA1350" s="1585"/>
      <c r="AB1350" s="1585"/>
      <c r="AC1350" s="1585"/>
      <c r="AD1350" s="1601">
        <f t="shared" si="162"/>
        <v>0</v>
      </c>
      <c r="AE1350" s="1790">
        <v>0</v>
      </c>
      <c r="AF1350" s="1792"/>
    </row>
    <row r="1351" spans="1:32" ht="27" customHeight="1">
      <c r="A1351" s="1647" t="s">
        <v>574</v>
      </c>
      <c r="B1351" s="1647" t="s">
        <v>3834</v>
      </c>
      <c r="C1351" s="1797"/>
      <c r="D1351" s="1789"/>
      <c r="E1351" s="1599"/>
      <c r="F1351" s="1583"/>
      <c r="G1351" s="1583"/>
      <c r="H1351" s="1583"/>
      <c r="I1351" s="1583"/>
      <c r="J1351" s="1583"/>
      <c r="K1351" s="1583"/>
      <c r="L1351" s="1583"/>
      <c r="M1351" s="1583"/>
      <c r="N1351" s="1583"/>
      <c r="O1351" s="1583"/>
      <c r="P1351" s="1583"/>
      <c r="Q1351" s="1604"/>
      <c r="R1351" s="1583"/>
      <c r="S1351" s="1583"/>
      <c r="T1351" s="1604"/>
      <c r="U1351" s="1585"/>
      <c r="V1351" s="1585"/>
      <c r="W1351" s="1585"/>
      <c r="X1351" s="1585"/>
      <c r="Y1351" s="1585"/>
      <c r="Z1351" s="1585"/>
      <c r="AA1351" s="1585"/>
      <c r="AB1351" s="1585"/>
      <c r="AC1351" s="1585"/>
      <c r="AD1351" s="1601">
        <f t="shared" si="162"/>
        <v>0</v>
      </c>
      <c r="AE1351" s="1790">
        <v>0</v>
      </c>
      <c r="AF1351" s="1792"/>
    </row>
    <row r="1352" spans="1:32" ht="27" customHeight="1">
      <c r="A1352" s="1795" t="s">
        <v>575</v>
      </c>
      <c r="B1352" s="1796" t="s">
        <v>3835</v>
      </c>
      <c r="C1352" s="1797"/>
      <c r="D1352" s="1789"/>
      <c r="E1352" s="1599"/>
      <c r="F1352" s="1583"/>
      <c r="G1352" s="1583"/>
      <c r="H1352" s="1583"/>
      <c r="I1352" s="1583"/>
      <c r="J1352" s="1583"/>
      <c r="K1352" s="1583"/>
      <c r="L1352" s="1583"/>
      <c r="M1352" s="1583"/>
      <c r="N1352" s="1583"/>
      <c r="O1352" s="1583"/>
      <c r="P1352" s="1583"/>
      <c r="Q1352" s="1604"/>
      <c r="R1352" s="1583"/>
      <c r="S1352" s="1583"/>
      <c r="T1352" s="1604"/>
      <c r="U1352" s="1585"/>
      <c r="V1352" s="1585"/>
      <c r="W1352" s="1585"/>
      <c r="X1352" s="1585"/>
      <c r="Y1352" s="1585"/>
      <c r="Z1352" s="1585"/>
      <c r="AA1352" s="1585"/>
      <c r="AB1352" s="1585"/>
      <c r="AC1352" s="1585"/>
      <c r="AD1352" s="1601">
        <f t="shared" si="162"/>
        <v>0</v>
      </c>
      <c r="AE1352" s="1790">
        <v>0</v>
      </c>
      <c r="AF1352" s="1792"/>
    </row>
    <row r="1353" spans="1:32" ht="27.75" customHeight="1">
      <c r="A1353" s="2899" t="s">
        <v>576</v>
      </c>
      <c r="B1353" s="2901" t="s">
        <v>3836</v>
      </c>
      <c r="C1353" s="2903" t="s">
        <v>49</v>
      </c>
      <c r="D1353" s="2905">
        <v>173.90080000000003</v>
      </c>
      <c r="E1353" s="1598" t="s">
        <v>2496</v>
      </c>
      <c r="F1353" s="1583"/>
      <c r="G1353" s="1583"/>
      <c r="H1353" s="1583"/>
      <c r="I1353" s="1583"/>
      <c r="J1353" s="1583"/>
      <c r="K1353" s="1583"/>
      <c r="L1353" s="1583"/>
      <c r="M1353" s="1583"/>
      <c r="N1353" s="1583"/>
      <c r="O1353" s="1583"/>
      <c r="P1353" s="1583"/>
      <c r="Q1353" s="1585"/>
      <c r="R1353" s="1583"/>
      <c r="S1353" s="1583"/>
      <c r="T1353" s="1585"/>
      <c r="U1353" s="1585"/>
      <c r="V1353" s="1585"/>
      <c r="W1353" s="1585"/>
      <c r="X1353" s="1585"/>
      <c r="Y1353" s="1585"/>
      <c r="Z1353" s="1585">
        <f>D1353</f>
        <v>173.90080000000003</v>
      </c>
      <c r="AA1353" s="1585"/>
      <c r="AB1353" s="1585"/>
      <c r="AC1353" s="1585"/>
      <c r="AD1353" s="1601">
        <f t="shared" si="162"/>
        <v>173.90080000000003</v>
      </c>
      <c r="AE1353" s="1790">
        <v>0</v>
      </c>
      <c r="AF1353" s="1792"/>
    </row>
    <row r="1354" spans="1:32" ht="27.75" customHeight="1">
      <c r="A1354" s="2900" t="s">
        <v>576</v>
      </c>
      <c r="B1354" s="2902" t="s">
        <v>2860</v>
      </c>
      <c r="C1354" s="2904" t="s">
        <v>49</v>
      </c>
      <c r="D1354" s="2906">
        <v>173.90080000000003</v>
      </c>
      <c r="E1354" s="1603" t="s">
        <v>2497</v>
      </c>
      <c r="F1354" s="1583"/>
      <c r="G1354" s="1583"/>
      <c r="H1354" s="1583"/>
      <c r="I1354" s="1583"/>
      <c r="J1354" s="1583"/>
      <c r="K1354" s="1583"/>
      <c r="L1354" s="1583"/>
      <c r="M1354" s="1583"/>
      <c r="N1354" s="1583"/>
      <c r="O1354" s="1583"/>
      <c r="P1354" s="1583"/>
      <c r="Q1354" s="1604"/>
      <c r="R1354" s="1583"/>
      <c r="S1354" s="1583"/>
      <c r="T1354" s="1604"/>
      <c r="U1354" s="1592"/>
      <c r="V1354" s="1585"/>
      <c r="W1354" s="1585"/>
      <c r="X1354" s="1585"/>
      <c r="Y1354" s="1585"/>
      <c r="Z1354" s="1585"/>
      <c r="AA1354" s="1585"/>
      <c r="AB1354" s="1585"/>
      <c r="AC1354" s="1585"/>
      <c r="AD1354" s="1601">
        <f t="shared" si="162"/>
        <v>0</v>
      </c>
      <c r="AE1354" s="1790">
        <v>0</v>
      </c>
      <c r="AF1354" s="1792"/>
    </row>
    <row r="1355" spans="1:32" ht="27.75" customHeight="1">
      <c r="A1355" s="2899" t="s">
        <v>2861</v>
      </c>
      <c r="B1355" s="2901" t="s">
        <v>3837</v>
      </c>
      <c r="C1355" s="2903" t="s">
        <v>420</v>
      </c>
      <c r="D1355" s="2905">
        <v>390.22499999999997</v>
      </c>
      <c r="E1355" s="1598" t="s">
        <v>2496</v>
      </c>
      <c r="F1355" s="1583"/>
      <c r="G1355" s="1583"/>
      <c r="H1355" s="1583"/>
      <c r="I1355" s="1583"/>
      <c r="J1355" s="1583"/>
      <c r="K1355" s="1583"/>
      <c r="L1355" s="1583"/>
      <c r="M1355" s="1583"/>
      <c r="N1355" s="1583"/>
      <c r="O1355" s="1583"/>
      <c r="P1355" s="1583"/>
      <c r="Q1355" s="1585"/>
      <c r="R1355" s="1583"/>
      <c r="S1355" s="1583"/>
      <c r="T1355" s="1585"/>
      <c r="U1355" s="1585"/>
      <c r="V1355" s="1585"/>
      <c r="W1355" s="1585"/>
      <c r="X1355" s="1585"/>
      <c r="Y1355" s="1585"/>
      <c r="Z1355" s="1585">
        <f>D1355</f>
        <v>390.22499999999997</v>
      </c>
      <c r="AA1355" s="1585"/>
      <c r="AB1355" s="1585"/>
      <c r="AC1355" s="1585"/>
      <c r="AD1355" s="1601">
        <f t="shared" si="162"/>
        <v>390.22499999999997</v>
      </c>
      <c r="AE1355" s="1790">
        <v>0</v>
      </c>
      <c r="AF1355" s="1792"/>
    </row>
    <row r="1356" spans="1:32" ht="27.75" customHeight="1">
      <c r="A1356" s="2900" t="s">
        <v>2861</v>
      </c>
      <c r="B1356" s="2902" t="s">
        <v>2862</v>
      </c>
      <c r="C1356" s="2904" t="s">
        <v>420</v>
      </c>
      <c r="D1356" s="2906">
        <v>390.22499999999997</v>
      </c>
      <c r="E1356" s="1603" t="s">
        <v>2497</v>
      </c>
      <c r="F1356" s="1583"/>
      <c r="G1356" s="1583"/>
      <c r="H1356" s="1583"/>
      <c r="I1356" s="1583"/>
      <c r="J1356" s="1583"/>
      <c r="K1356" s="1583"/>
      <c r="L1356" s="1583"/>
      <c r="M1356" s="1583"/>
      <c r="N1356" s="1583"/>
      <c r="O1356" s="1583"/>
      <c r="P1356" s="1583"/>
      <c r="Q1356" s="1604"/>
      <c r="R1356" s="1583"/>
      <c r="S1356" s="1583"/>
      <c r="T1356" s="1604"/>
      <c r="U1356" s="1592"/>
      <c r="V1356" s="1585"/>
      <c r="W1356" s="1585"/>
      <c r="X1356" s="1585"/>
      <c r="Y1356" s="1592"/>
      <c r="Z1356" s="1592"/>
      <c r="AA1356" s="1592"/>
      <c r="AB1356" s="1592"/>
      <c r="AC1356" s="1592"/>
      <c r="AD1356" s="1601">
        <f t="shared" si="162"/>
        <v>0</v>
      </c>
      <c r="AE1356" s="1790">
        <v>0</v>
      </c>
      <c r="AF1356" s="1792"/>
    </row>
    <row r="1357" spans="1:32" ht="27.75" customHeight="1">
      <c r="A1357" s="2899" t="s">
        <v>2863</v>
      </c>
      <c r="B1357" s="2901" t="s">
        <v>3838</v>
      </c>
      <c r="C1357" s="2903" t="s">
        <v>50</v>
      </c>
      <c r="D1357" s="2905">
        <v>125.595</v>
      </c>
      <c r="E1357" s="1598" t="s">
        <v>2496</v>
      </c>
      <c r="F1357" s="1583"/>
      <c r="G1357" s="1583"/>
      <c r="H1357" s="1583"/>
      <c r="I1357" s="1583"/>
      <c r="J1357" s="1583"/>
      <c r="K1357" s="1583"/>
      <c r="L1357" s="1583"/>
      <c r="M1357" s="1583"/>
      <c r="N1357" s="1583"/>
      <c r="O1357" s="1583"/>
      <c r="P1357" s="1583"/>
      <c r="Q1357" s="1585"/>
      <c r="R1357" s="1583"/>
      <c r="S1357" s="1583"/>
      <c r="T1357" s="1585"/>
      <c r="U1357" s="1585"/>
      <c r="V1357" s="1585"/>
      <c r="W1357" s="1585"/>
      <c r="X1357" s="1585"/>
      <c r="Y1357" s="1585"/>
      <c r="Z1357" s="1585">
        <f>D1357</f>
        <v>125.595</v>
      </c>
      <c r="AA1357" s="1585"/>
      <c r="AB1357" s="1585"/>
      <c r="AC1357" s="1585"/>
      <c r="AD1357" s="1601">
        <f t="shared" si="162"/>
        <v>125.595</v>
      </c>
      <c r="AE1357" s="1790">
        <v>0</v>
      </c>
      <c r="AF1357" s="1792"/>
    </row>
    <row r="1358" spans="1:32" ht="27.75" customHeight="1">
      <c r="A1358" s="2900" t="s">
        <v>2863</v>
      </c>
      <c r="B1358" s="2902" t="s">
        <v>2864</v>
      </c>
      <c r="C1358" s="2904" t="s">
        <v>50</v>
      </c>
      <c r="D1358" s="2906">
        <v>125.595</v>
      </c>
      <c r="E1358" s="1603" t="s">
        <v>2497</v>
      </c>
      <c r="F1358" s="1583"/>
      <c r="G1358" s="1583"/>
      <c r="H1358" s="1583"/>
      <c r="I1358" s="1583"/>
      <c r="J1358" s="1583"/>
      <c r="K1358" s="1583"/>
      <c r="L1358" s="1583"/>
      <c r="M1358" s="1583"/>
      <c r="N1358" s="1583"/>
      <c r="O1358" s="1583"/>
      <c r="P1358" s="1583"/>
      <c r="Q1358" s="1604"/>
      <c r="R1358" s="1583"/>
      <c r="S1358" s="1583"/>
      <c r="T1358" s="1604"/>
      <c r="U1358" s="1592"/>
      <c r="V1358" s="1592"/>
      <c r="W1358" s="1585"/>
      <c r="X1358" s="1585"/>
      <c r="Y1358" s="1585"/>
      <c r="Z1358" s="1585"/>
      <c r="AA1358" s="1585"/>
      <c r="AB1358" s="1585"/>
      <c r="AC1358" s="1585"/>
      <c r="AD1358" s="1601">
        <f t="shared" si="162"/>
        <v>0</v>
      </c>
      <c r="AE1358" s="1790">
        <v>0</v>
      </c>
      <c r="AF1358" s="1792"/>
    </row>
    <row r="1359" spans="1:32" ht="27.75" customHeight="1">
      <c r="A1359" s="1795" t="s">
        <v>578</v>
      </c>
      <c r="B1359" s="1796" t="s">
        <v>3839</v>
      </c>
      <c r="C1359" s="1797"/>
      <c r="D1359" s="1789"/>
      <c r="E1359" s="1599"/>
      <c r="F1359" s="1583"/>
      <c r="G1359" s="1583"/>
      <c r="H1359" s="1583"/>
      <c r="I1359" s="1583"/>
      <c r="J1359" s="1583"/>
      <c r="K1359" s="1583"/>
      <c r="L1359" s="1583"/>
      <c r="M1359" s="1583"/>
      <c r="N1359" s="1583"/>
      <c r="O1359" s="1583"/>
      <c r="P1359" s="1583"/>
      <c r="Q1359" s="1604"/>
      <c r="R1359" s="1583"/>
      <c r="S1359" s="1583"/>
      <c r="T1359" s="1604"/>
      <c r="U1359" s="1592"/>
      <c r="V1359" s="1592"/>
      <c r="W1359" s="1585"/>
      <c r="X1359" s="1585"/>
      <c r="Y1359" s="1585"/>
      <c r="Z1359" s="1585"/>
      <c r="AA1359" s="1585"/>
      <c r="AB1359" s="1585"/>
      <c r="AC1359" s="1585"/>
      <c r="AD1359" s="1601">
        <f t="shared" si="162"/>
        <v>0</v>
      </c>
      <c r="AE1359" s="1790">
        <v>0</v>
      </c>
      <c r="AF1359" s="1792"/>
    </row>
    <row r="1360" spans="1:32" ht="27.75" customHeight="1">
      <c r="A1360" s="2899" t="s">
        <v>579</v>
      </c>
      <c r="B1360" s="2901" t="s">
        <v>3836</v>
      </c>
      <c r="C1360" s="2903" t="s">
        <v>49</v>
      </c>
      <c r="D1360" s="2905">
        <v>200.39350000000005</v>
      </c>
      <c r="E1360" s="1598" t="s">
        <v>2496</v>
      </c>
      <c r="F1360" s="1583"/>
      <c r="G1360" s="1583"/>
      <c r="H1360" s="1583"/>
      <c r="I1360" s="1583"/>
      <c r="J1360" s="1583"/>
      <c r="K1360" s="1583"/>
      <c r="L1360" s="1583"/>
      <c r="M1360" s="1583"/>
      <c r="N1360" s="1583"/>
      <c r="O1360" s="1583"/>
      <c r="P1360" s="1583"/>
      <c r="Q1360" s="1585"/>
      <c r="R1360" s="1583"/>
      <c r="S1360" s="1583"/>
      <c r="T1360" s="1585"/>
      <c r="U1360" s="1585"/>
      <c r="V1360" s="1585"/>
      <c r="W1360" s="1585"/>
      <c r="X1360" s="1585"/>
      <c r="Y1360" s="1585"/>
      <c r="Z1360" s="1585">
        <f>D1360</f>
        <v>200.39350000000005</v>
      </c>
      <c r="AA1360" s="1585"/>
      <c r="AB1360" s="1585"/>
      <c r="AC1360" s="1585"/>
      <c r="AD1360" s="1601">
        <f t="shared" si="162"/>
        <v>200.39350000000005</v>
      </c>
      <c r="AE1360" s="1790">
        <v>0</v>
      </c>
      <c r="AF1360" s="1792"/>
    </row>
    <row r="1361" spans="1:32" ht="27.75" customHeight="1">
      <c r="A1361" s="2900" t="s">
        <v>579</v>
      </c>
      <c r="B1361" s="2902" t="s">
        <v>2860</v>
      </c>
      <c r="C1361" s="2904" t="s">
        <v>49</v>
      </c>
      <c r="D1361" s="2906">
        <v>200.39350000000005</v>
      </c>
      <c r="E1361" s="1603" t="s">
        <v>2497</v>
      </c>
      <c r="F1361" s="1583"/>
      <c r="G1361" s="1583"/>
      <c r="H1361" s="1583"/>
      <c r="I1361" s="1583"/>
      <c r="J1361" s="1583"/>
      <c r="K1361" s="1583"/>
      <c r="L1361" s="1583"/>
      <c r="M1361" s="1583"/>
      <c r="N1361" s="1583"/>
      <c r="O1361" s="1583"/>
      <c r="P1361" s="1583"/>
      <c r="Q1361" s="1604"/>
      <c r="R1361" s="1583"/>
      <c r="S1361" s="1583"/>
      <c r="T1361" s="1604"/>
      <c r="U1361" s="1592"/>
      <c r="V1361" s="1585"/>
      <c r="W1361" s="1585"/>
      <c r="X1361" s="1585"/>
      <c r="Y1361" s="1592"/>
      <c r="Z1361" s="1585"/>
      <c r="AA1361" s="1585"/>
      <c r="AB1361" s="1585"/>
      <c r="AC1361" s="1585"/>
      <c r="AD1361" s="1601">
        <f t="shared" ref="AD1361:AD1424" si="163">SUM(F1361:AC1361)</f>
        <v>0</v>
      </c>
      <c r="AE1361" s="1790">
        <v>0</v>
      </c>
      <c r="AF1361" s="1792"/>
    </row>
    <row r="1362" spans="1:32" ht="27.75" customHeight="1">
      <c r="A1362" s="2899" t="s">
        <v>580</v>
      </c>
      <c r="B1362" s="2901" t="s">
        <v>3837</v>
      </c>
      <c r="C1362" s="2903" t="s">
        <v>420</v>
      </c>
      <c r="D1362" s="2905">
        <v>413.82000000000005</v>
      </c>
      <c r="E1362" s="1598" t="s">
        <v>2496</v>
      </c>
      <c r="F1362" s="1583"/>
      <c r="G1362" s="1583"/>
      <c r="H1362" s="1583"/>
      <c r="I1362" s="1583"/>
      <c r="J1362" s="1583"/>
      <c r="K1362" s="1583"/>
      <c r="L1362" s="1583"/>
      <c r="M1362" s="1583"/>
      <c r="N1362" s="1583"/>
      <c r="O1362" s="1583"/>
      <c r="P1362" s="1583"/>
      <c r="Q1362" s="1585"/>
      <c r="R1362" s="1583"/>
      <c r="S1362" s="1583"/>
      <c r="T1362" s="1585"/>
      <c r="U1362" s="1585"/>
      <c r="V1362" s="1585"/>
      <c r="W1362" s="1585"/>
      <c r="X1362" s="1585"/>
      <c r="Y1362" s="1585"/>
      <c r="Z1362" s="1585">
        <f>D1362</f>
        <v>413.82000000000005</v>
      </c>
      <c r="AA1362" s="1585"/>
      <c r="AB1362" s="1585"/>
      <c r="AC1362" s="1585"/>
      <c r="AD1362" s="1601">
        <f t="shared" si="163"/>
        <v>413.82000000000005</v>
      </c>
      <c r="AE1362" s="1790">
        <v>0</v>
      </c>
      <c r="AF1362" s="1792"/>
    </row>
    <row r="1363" spans="1:32" ht="27.75" customHeight="1">
      <c r="A1363" s="2900" t="s">
        <v>580</v>
      </c>
      <c r="B1363" s="2902" t="s">
        <v>2862</v>
      </c>
      <c r="C1363" s="2904" t="s">
        <v>420</v>
      </c>
      <c r="D1363" s="2906">
        <v>413.82000000000005</v>
      </c>
      <c r="E1363" s="1603" t="s">
        <v>2497</v>
      </c>
      <c r="F1363" s="1583"/>
      <c r="G1363" s="1583"/>
      <c r="H1363" s="1583"/>
      <c r="I1363" s="1583"/>
      <c r="J1363" s="1583"/>
      <c r="K1363" s="1583"/>
      <c r="L1363" s="1583"/>
      <c r="M1363" s="1583"/>
      <c r="N1363" s="1583"/>
      <c r="O1363" s="1583"/>
      <c r="P1363" s="1583"/>
      <c r="Q1363" s="1604"/>
      <c r="R1363" s="1583"/>
      <c r="S1363" s="1583"/>
      <c r="T1363" s="1604"/>
      <c r="U1363" s="1585"/>
      <c r="V1363" s="1585"/>
      <c r="W1363" s="1585"/>
      <c r="X1363" s="1585"/>
      <c r="Y1363" s="1585"/>
      <c r="Z1363" s="1585"/>
      <c r="AA1363" s="1585"/>
      <c r="AB1363" s="1585"/>
      <c r="AC1363" s="1585"/>
      <c r="AD1363" s="1601">
        <f t="shared" si="163"/>
        <v>0</v>
      </c>
      <c r="AE1363" s="1790">
        <v>0</v>
      </c>
      <c r="AF1363" s="1792"/>
    </row>
    <row r="1364" spans="1:32" ht="27.75" customHeight="1">
      <c r="A1364" s="2899" t="s">
        <v>581</v>
      </c>
      <c r="B1364" s="2901" t="s">
        <v>3838</v>
      </c>
      <c r="C1364" s="2903" t="s">
        <v>50</v>
      </c>
      <c r="D1364" s="2905">
        <v>125.595</v>
      </c>
      <c r="E1364" s="1598" t="s">
        <v>2496</v>
      </c>
      <c r="F1364" s="1583"/>
      <c r="G1364" s="1583"/>
      <c r="H1364" s="1583"/>
      <c r="I1364" s="1583"/>
      <c r="J1364" s="1583"/>
      <c r="K1364" s="1583"/>
      <c r="L1364" s="1583"/>
      <c r="M1364" s="1583"/>
      <c r="N1364" s="1583"/>
      <c r="O1364" s="1583"/>
      <c r="P1364" s="1583"/>
      <c r="Q1364" s="1585"/>
      <c r="R1364" s="1583"/>
      <c r="S1364" s="1583"/>
      <c r="T1364" s="1585"/>
      <c r="U1364" s="1585"/>
      <c r="V1364" s="1585"/>
      <c r="W1364" s="1585"/>
      <c r="X1364" s="1585"/>
      <c r="Y1364" s="1585"/>
      <c r="Z1364" s="1585">
        <f>D1364</f>
        <v>125.595</v>
      </c>
      <c r="AA1364" s="1585"/>
      <c r="AB1364" s="1585"/>
      <c r="AC1364" s="1585"/>
      <c r="AD1364" s="1601">
        <f t="shared" si="163"/>
        <v>125.595</v>
      </c>
      <c r="AE1364" s="1790">
        <v>0</v>
      </c>
      <c r="AF1364" s="1792"/>
    </row>
    <row r="1365" spans="1:32" ht="27" customHeight="1">
      <c r="A1365" s="2900" t="s">
        <v>581</v>
      </c>
      <c r="B1365" s="2902" t="s">
        <v>2864</v>
      </c>
      <c r="C1365" s="2904" t="s">
        <v>50</v>
      </c>
      <c r="D1365" s="2906">
        <v>125.595</v>
      </c>
      <c r="E1365" s="1603" t="s">
        <v>2497</v>
      </c>
      <c r="F1365" s="1583"/>
      <c r="G1365" s="1583"/>
      <c r="H1365" s="1583"/>
      <c r="I1365" s="1583"/>
      <c r="J1365" s="1583"/>
      <c r="K1365" s="1583"/>
      <c r="L1365" s="1583"/>
      <c r="M1365" s="1583"/>
      <c r="N1365" s="1583"/>
      <c r="O1365" s="1583"/>
      <c r="P1365" s="1583"/>
      <c r="Q1365" s="1604"/>
      <c r="R1365" s="1583"/>
      <c r="S1365" s="1583"/>
      <c r="T1365" s="1604"/>
      <c r="U1365" s="1585"/>
      <c r="V1365" s="1585"/>
      <c r="W1365" s="1585"/>
      <c r="X1365" s="1585"/>
      <c r="Y1365" s="1585"/>
      <c r="Z1365" s="1585"/>
      <c r="AA1365" s="1585"/>
      <c r="AB1365" s="1585"/>
      <c r="AC1365" s="1585"/>
      <c r="AD1365" s="1601">
        <f t="shared" si="163"/>
        <v>0</v>
      </c>
      <c r="AE1365" s="1790">
        <v>0</v>
      </c>
      <c r="AF1365" s="1792"/>
    </row>
    <row r="1366" spans="1:32" ht="27" customHeight="1">
      <c r="A1366" s="1795" t="s">
        <v>1010</v>
      </c>
      <c r="B1366" s="1796" t="s">
        <v>3840</v>
      </c>
      <c r="C1366" s="1797"/>
      <c r="D1366" s="1789"/>
      <c r="E1366" s="1599"/>
      <c r="F1366" s="1583"/>
      <c r="G1366" s="1583"/>
      <c r="H1366" s="1583"/>
      <c r="I1366" s="1583"/>
      <c r="J1366" s="1583"/>
      <c r="K1366" s="1583"/>
      <c r="L1366" s="1583"/>
      <c r="M1366" s="1583"/>
      <c r="N1366" s="1583"/>
      <c r="O1366" s="1583"/>
      <c r="P1366" s="1583"/>
      <c r="Q1366" s="1604"/>
      <c r="R1366" s="1583"/>
      <c r="S1366" s="1583"/>
      <c r="T1366" s="1604"/>
      <c r="U1366" s="1585"/>
      <c r="V1366" s="1585"/>
      <c r="W1366" s="1585"/>
      <c r="X1366" s="1585"/>
      <c r="Y1366" s="1585"/>
      <c r="Z1366" s="1585"/>
      <c r="AA1366" s="1585"/>
      <c r="AB1366" s="1585"/>
      <c r="AC1366" s="1585"/>
      <c r="AD1366" s="1601">
        <f t="shared" si="163"/>
        <v>0</v>
      </c>
      <c r="AE1366" s="1790">
        <v>0</v>
      </c>
      <c r="AF1366" s="1792"/>
    </row>
    <row r="1367" spans="1:32" ht="27.75" customHeight="1">
      <c r="A1367" s="2899" t="s">
        <v>1011</v>
      </c>
      <c r="B1367" s="2901" t="s">
        <v>3836</v>
      </c>
      <c r="C1367" s="2903" t="s">
        <v>49</v>
      </c>
      <c r="D1367" s="2905">
        <v>258.13400000000007</v>
      </c>
      <c r="E1367" s="1598" t="s">
        <v>2496</v>
      </c>
      <c r="F1367" s="1583"/>
      <c r="G1367" s="1583"/>
      <c r="H1367" s="1583"/>
      <c r="I1367" s="1583"/>
      <c r="J1367" s="1583"/>
      <c r="K1367" s="1583"/>
      <c r="L1367" s="1583"/>
      <c r="M1367" s="1583"/>
      <c r="N1367" s="1583"/>
      <c r="O1367" s="1583"/>
      <c r="P1367" s="1583"/>
      <c r="Q1367" s="1585"/>
      <c r="R1367" s="1583"/>
      <c r="S1367" s="1583"/>
      <c r="T1367" s="1585"/>
      <c r="U1367" s="1585"/>
      <c r="V1367" s="1585"/>
      <c r="W1367" s="1585"/>
      <c r="X1367" s="1585"/>
      <c r="Y1367" s="1585"/>
      <c r="Z1367" s="1585">
        <f>D1367</f>
        <v>258.13400000000007</v>
      </c>
      <c r="AA1367" s="1585"/>
      <c r="AB1367" s="1585"/>
      <c r="AC1367" s="1585"/>
      <c r="AD1367" s="1601">
        <f t="shared" si="163"/>
        <v>258.13400000000007</v>
      </c>
      <c r="AE1367" s="1790">
        <v>0</v>
      </c>
      <c r="AF1367" s="1792"/>
    </row>
    <row r="1368" spans="1:32" ht="27.75" customHeight="1">
      <c r="A1368" s="2900" t="s">
        <v>1011</v>
      </c>
      <c r="B1368" s="2902" t="s">
        <v>2860</v>
      </c>
      <c r="C1368" s="2904" t="s">
        <v>49</v>
      </c>
      <c r="D1368" s="2906">
        <v>258.13400000000007</v>
      </c>
      <c r="E1368" s="1603" t="s">
        <v>2497</v>
      </c>
      <c r="F1368" s="1583"/>
      <c r="G1368" s="1583"/>
      <c r="H1368" s="1583"/>
      <c r="I1368" s="1583"/>
      <c r="J1368" s="1583"/>
      <c r="K1368" s="1583"/>
      <c r="L1368" s="1583"/>
      <c r="M1368" s="1583"/>
      <c r="N1368" s="1583"/>
      <c r="O1368" s="1583"/>
      <c r="P1368" s="1583"/>
      <c r="Q1368" s="1604"/>
      <c r="R1368" s="1583"/>
      <c r="S1368" s="1583"/>
      <c r="T1368" s="1604"/>
      <c r="U1368" s="1592"/>
      <c r="V1368" s="1585"/>
      <c r="W1368" s="1585"/>
      <c r="X1368" s="1585"/>
      <c r="Y1368" s="1585"/>
      <c r="Z1368" s="1585"/>
      <c r="AA1368" s="1585"/>
      <c r="AB1368" s="1585"/>
      <c r="AC1368" s="1585"/>
      <c r="AD1368" s="1601">
        <f t="shared" si="163"/>
        <v>0</v>
      </c>
      <c r="AE1368" s="1790">
        <v>0</v>
      </c>
      <c r="AF1368" s="1792"/>
    </row>
    <row r="1369" spans="1:32" ht="27.75" customHeight="1">
      <c r="A1369" s="2899" t="s">
        <v>2867</v>
      </c>
      <c r="B1369" s="2901" t="s">
        <v>3837</v>
      </c>
      <c r="C1369" s="2903" t="s">
        <v>420</v>
      </c>
      <c r="D1369" s="2905">
        <v>348.48</v>
      </c>
      <c r="E1369" s="1598" t="s">
        <v>2496</v>
      </c>
      <c r="F1369" s="1583"/>
      <c r="G1369" s="1583"/>
      <c r="H1369" s="1583"/>
      <c r="I1369" s="1583"/>
      <c r="J1369" s="1583"/>
      <c r="K1369" s="1583"/>
      <c r="L1369" s="1583"/>
      <c r="M1369" s="1583"/>
      <c r="N1369" s="1583"/>
      <c r="O1369" s="1583"/>
      <c r="P1369" s="1583"/>
      <c r="Q1369" s="1585"/>
      <c r="R1369" s="1583"/>
      <c r="S1369" s="1583"/>
      <c r="T1369" s="1585"/>
      <c r="U1369" s="1585"/>
      <c r="V1369" s="1585"/>
      <c r="W1369" s="1585"/>
      <c r="X1369" s="1585"/>
      <c r="Y1369" s="1585"/>
      <c r="Z1369" s="1585">
        <f>D1369</f>
        <v>348.48</v>
      </c>
      <c r="AA1369" s="1585"/>
      <c r="AB1369" s="1585"/>
      <c r="AC1369" s="1585"/>
      <c r="AD1369" s="1601">
        <f t="shared" si="163"/>
        <v>348.48</v>
      </c>
      <c r="AE1369" s="1790">
        <v>0</v>
      </c>
      <c r="AF1369" s="1792"/>
    </row>
    <row r="1370" spans="1:32" ht="27.75" customHeight="1">
      <c r="A1370" s="2900" t="s">
        <v>2867</v>
      </c>
      <c r="B1370" s="2902" t="s">
        <v>2862</v>
      </c>
      <c r="C1370" s="2904" t="s">
        <v>420</v>
      </c>
      <c r="D1370" s="2906">
        <v>348.48</v>
      </c>
      <c r="E1370" s="1603" t="s">
        <v>2497</v>
      </c>
      <c r="F1370" s="1583"/>
      <c r="G1370" s="1583"/>
      <c r="H1370" s="1583"/>
      <c r="I1370" s="1583"/>
      <c r="J1370" s="1583"/>
      <c r="K1370" s="1583"/>
      <c r="L1370" s="1583"/>
      <c r="M1370" s="1583"/>
      <c r="N1370" s="1583"/>
      <c r="O1370" s="1583"/>
      <c r="P1370" s="1583"/>
      <c r="Q1370" s="1604"/>
      <c r="R1370" s="1583"/>
      <c r="S1370" s="1583"/>
      <c r="T1370" s="1604"/>
      <c r="U1370" s="1592"/>
      <c r="V1370" s="1585"/>
      <c r="W1370" s="1585"/>
      <c r="X1370" s="1585"/>
      <c r="Y1370" s="1592"/>
      <c r="Z1370" s="1592"/>
      <c r="AA1370" s="1592"/>
      <c r="AB1370" s="1592"/>
      <c r="AC1370" s="1592"/>
      <c r="AD1370" s="1601">
        <f t="shared" si="163"/>
        <v>0</v>
      </c>
      <c r="AE1370" s="1790">
        <v>0</v>
      </c>
      <c r="AF1370" s="1792"/>
    </row>
    <row r="1371" spans="1:32" ht="16.5" customHeight="1">
      <c r="A1371" s="2899" t="s">
        <v>2868</v>
      </c>
      <c r="B1371" s="2901" t="s">
        <v>3838</v>
      </c>
      <c r="C1371" s="2903" t="s">
        <v>50</v>
      </c>
      <c r="D1371" s="2905">
        <v>170.8092</v>
      </c>
      <c r="E1371" s="1598" t="s">
        <v>2496</v>
      </c>
      <c r="F1371" s="1583"/>
      <c r="G1371" s="1583"/>
      <c r="H1371" s="1583"/>
      <c r="I1371" s="1583"/>
      <c r="J1371" s="1583"/>
      <c r="K1371" s="1583"/>
      <c r="L1371" s="1583"/>
      <c r="M1371" s="1583"/>
      <c r="N1371" s="1583"/>
      <c r="O1371" s="1583"/>
      <c r="P1371" s="1583"/>
      <c r="Q1371" s="1585"/>
      <c r="R1371" s="1583"/>
      <c r="S1371" s="1583"/>
      <c r="T1371" s="1585"/>
      <c r="U1371" s="1585"/>
      <c r="V1371" s="1585"/>
      <c r="W1371" s="1585"/>
      <c r="X1371" s="1585"/>
      <c r="Y1371" s="1585"/>
      <c r="Z1371" s="1585">
        <f>D1371</f>
        <v>170.8092</v>
      </c>
      <c r="AA1371" s="1585"/>
      <c r="AB1371" s="1585"/>
      <c r="AC1371" s="1585"/>
      <c r="AD1371" s="1601">
        <f t="shared" si="163"/>
        <v>170.8092</v>
      </c>
      <c r="AE1371" s="1790">
        <v>0</v>
      </c>
      <c r="AF1371" s="1792"/>
    </row>
    <row r="1372" spans="1:32" ht="16.5" customHeight="1">
      <c r="A1372" s="2900" t="s">
        <v>2868</v>
      </c>
      <c r="B1372" s="2902" t="s">
        <v>2864</v>
      </c>
      <c r="C1372" s="2904" t="s">
        <v>50</v>
      </c>
      <c r="D1372" s="2906">
        <v>170.8092</v>
      </c>
      <c r="E1372" s="1603" t="s">
        <v>2497</v>
      </c>
      <c r="F1372" s="1583"/>
      <c r="G1372" s="1583"/>
      <c r="H1372" s="1583"/>
      <c r="I1372" s="1583"/>
      <c r="J1372" s="1583"/>
      <c r="K1372" s="1583"/>
      <c r="L1372" s="1583"/>
      <c r="M1372" s="1583"/>
      <c r="N1372" s="1583"/>
      <c r="O1372" s="1583"/>
      <c r="P1372" s="1583"/>
      <c r="Q1372" s="1604"/>
      <c r="R1372" s="1583"/>
      <c r="S1372" s="1583"/>
      <c r="T1372" s="1604"/>
      <c r="U1372" s="1592"/>
      <c r="V1372" s="1592"/>
      <c r="W1372" s="1585"/>
      <c r="X1372" s="1585"/>
      <c r="Y1372" s="1585"/>
      <c r="Z1372" s="1585"/>
      <c r="AA1372" s="1585"/>
      <c r="AB1372" s="1585"/>
      <c r="AC1372" s="1585"/>
      <c r="AD1372" s="1601">
        <f t="shared" si="163"/>
        <v>0</v>
      </c>
      <c r="AE1372" s="1790">
        <v>0</v>
      </c>
      <c r="AF1372" s="1792"/>
    </row>
    <row r="1373" spans="1:32" ht="33.75" customHeight="1">
      <c r="A1373" s="1795" t="s">
        <v>1012</v>
      </c>
      <c r="B1373" s="1796" t="s">
        <v>3841</v>
      </c>
      <c r="C1373" s="1797"/>
      <c r="D1373" s="1789"/>
      <c r="E1373" s="1599"/>
      <c r="F1373" s="1583"/>
      <c r="G1373" s="1583"/>
      <c r="H1373" s="1583"/>
      <c r="I1373" s="1583"/>
      <c r="J1373" s="1583"/>
      <c r="K1373" s="1583"/>
      <c r="L1373" s="1583"/>
      <c r="M1373" s="1583"/>
      <c r="N1373" s="1583"/>
      <c r="O1373" s="1583"/>
      <c r="P1373" s="1583"/>
      <c r="Q1373" s="1604"/>
      <c r="R1373" s="1583"/>
      <c r="S1373" s="1583"/>
      <c r="T1373" s="1604"/>
      <c r="U1373" s="1592"/>
      <c r="V1373" s="1592"/>
      <c r="W1373" s="1585"/>
      <c r="X1373" s="1585"/>
      <c r="Y1373" s="1585"/>
      <c r="Z1373" s="1585"/>
      <c r="AA1373" s="1585"/>
      <c r="AB1373" s="1585"/>
      <c r="AC1373" s="1585"/>
      <c r="AD1373" s="1601">
        <f t="shared" si="163"/>
        <v>0</v>
      </c>
      <c r="AE1373" s="1790">
        <v>0</v>
      </c>
      <c r="AF1373" s="1792"/>
    </row>
    <row r="1374" spans="1:32" ht="27.75" customHeight="1">
      <c r="A1374" s="2899" t="s">
        <v>1013</v>
      </c>
      <c r="B1374" s="2901" t="s">
        <v>3836</v>
      </c>
      <c r="C1374" s="2903" t="s">
        <v>49</v>
      </c>
      <c r="D1374" s="2905">
        <v>172.54220000000001</v>
      </c>
      <c r="E1374" s="1598" t="s">
        <v>2496</v>
      </c>
      <c r="F1374" s="1583"/>
      <c r="G1374" s="1583"/>
      <c r="H1374" s="1583"/>
      <c r="I1374" s="1583"/>
      <c r="J1374" s="1583"/>
      <c r="K1374" s="1583"/>
      <c r="L1374" s="1583"/>
      <c r="M1374" s="1583"/>
      <c r="N1374" s="1583"/>
      <c r="O1374" s="1583"/>
      <c r="P1374" s="1583"/>
      <c r="Q1374" s="1585"/>
      <c r="R1374" s="1583"/>
      <c r="S1374" s="1583"/>
      <c r="T1374" s="1585"/>
      <c r="U1374" s="1585"/>
      <c r="V1374" s="1585"/>
      <c r="W1374" s="1585"/>
      <c r="X1374" s="1585"/>
      <c r="Y1374" s="1585"/>
      <c r="Z1374" s="1585">
        <f>D1374</f>
        <v>172.54220000000001</v>
      </c>
      <c r="AA1374" s="1585"/>
      <c r="AB1374" s="1585"/>
      <c r="AC1374" s="1585"/>
      <c r="AD1374" s="1601">
        <f t="shared" si="163"/>
        <v>172.54220000000001</v>
      </c>
      <c r="AE1374" s="1790">
        <v>0</v>
      </c>
      <c r="AF1374" s="1792"/>
    </row>
    <row r="1375" spans="1:32" ht="27.75" customHeight="1">
      <c r="A1375" s="2900" t="s">
        <v>1013</v>
      </c>
      <c r="B1375" s="2902" t="s">
        <v>2860</v>
      </c>
      <c r="C1375" s="2904" t="s">
        <v>49</v>
      </c>
      <c r="D1375" s="2906">
        <v>172.54220000000001</v>
      </c>
      <c r="E1375" s="1603" t="s">
        <v>2497</v>
      </c>
      <c r="F1375" s="1583"/>
      <c r="G1375" s="1583"/>
      <c r="H1375" s="1583"/>
      <c r="I1375" s="1583"/>
      <c r="J1375" s="1583"/>
      <c r="K1375" s="1583"/>
      <c r="L1375" s="1583"/>
      <c r="M1375" s="1583"/>
      <c r="N1375" s="1583"/>
      <c r="O1375" s="1583"/>
      <c r="P1375" s="1583"/>
      <c r="Q1375" s="1604"/>
      <c r="R1375" s="1583"/>
      <c r="S1375" s="1583"/>
      <c r="T1375" s="1604"/>
      <c r="U1375" s="1592"/>
      <c r="V1375" s="1585"/>
      <c r="W1375" s="1585"/>
      <c r="X1375" s="1585"/>
      <c r="Y1375" s="1592"/>
      <c r="Z1375" s="1585"/>
      <c r="AA1375" s="1585"/>
      <c r="AB1375" s="1585"/>
      <c r="AC1375" s="1585"/>
      <c r="AD1375" s="1601">
        <f t="shared" si="163"/>
        <v>0</v>
      </c>
      <c r="AE1375" s="1790">
        <v>0</v>
      </c>
      <c r="AF1375" s="1792"/>
    </row>
    <row r="1376" spans="1:32" ht="27.75" customHeight="1">
      <c r="A1376" s="2899" t="s">
        <v>2870</v>
      </c>
      <c r="B1376" s="2901" t="s">
        <v>3837</v>
      </c>
      <c r="C1376" s="2903" t="s">
        <v>420</v>
      </c>
      <c r="D1376" s="2905">
        <v>418.66</v>
      </c>
      <c r="E1376" s="1598" t="s">
        <v>2496</v>
      </c>
      <c r="F1376" s="1583"/>
      <c r="G1376" s="1583"/>
      <c r="H1376" s="1583"/>
      <c r="I1376" s="1583"/>
      <c r="J1376" s="1583"/>
      <c r="K1376" s="1583"/>
      <c r="L1376" s="1583"/>
      <c r="M1376" s="1583"/>
      <c r="N1376" s="1583"/>
      <c r="O1376" s="1583"/>
      <c r="P1376" s="1583"/>
      <c r="Q1376" s="1585"/>
      <c r="R1376" s="1583"/>
      <c r="S1376" s="1583"/>
      <c r="T1376" s="1585"/>
      <c r="U1376" s="1585"/>
      <c r="V1376" s="1585"/>
      <c r="W1376" s="1585"/>
      <c r="X1376" s="1585"/>
      <c r="Y1376" s="1585"/>
      <c r="Z1376" s="1585">
        <f>D1376</f>
        <v>418.66</v>
      </c>
      <c r="AA1376" s="1585"/>
      <c r="AB1376" s="1585"/>
      <c r="AC1376" s="1585"/>
      <c r="AD1376" s="1601">
        <f t="shared" si="163"/>
        <v>418.66</v>
      </c>
      <c r="AE1376" s="1790">
        <v>0</v>
      </c>
      <c r="AF1376" s="1792"/>
    </row>
    <row r="1377" spans="1:32" ht="27.75" customHeight="1">
      <c r="A1377" s="2900" t="s">
        <v>2870</v>
      </c>
      <c r="B1377" s="2902" t="s">
        <v>2862</v>
      </c>
      <c r="C1377" s="2904" t="s">
        <v>420</v>
      </c>
      <c r="D1377" s="2906">
        <v>418.66</v>
      </c>
      <c r="E1377" s="1603" t="s">
        <v>2497</v>
      </c>
      <c r="F1377" s="1583"/>
      <c r="G1377" s="1583"/>
      <c r="H1377" s="1583"/>
      <c r="I1377" s="1583"/>
      <c r="J1377" s="1583"/>
      <c r="K1377" s="1583"/>
      <c r="L1377" s="1583"/>
      <c r="M1377" s="1583"/>
      <c r="N1377" s="1583"/>
      <c r="O1377" s="1583"/>
      <c r="P1377" s="1583"/>
      <c r="Q1377" s="1604"/>
      <c r="R1377" s="1583"/>
      <c r="S1377" s="1583"/>
      <c r="T1377" s="1604"/>
      <c r="U1377" s="1585"/>
      <c r="V1377" s="1585"/>
      <c r="W1377" s="1585"/>
      <c r="X1377" s="1585"/>
      <c r="Y1377" s="1585"/>
      <c r="Z1377" s="1585"/>
      <c r="AA1377" s="1585"/>
      <c r="AB1377" s="1585"/>
      <c r="AC1377" s="1585"/>
      <c r="AD1377" s="1601">
        <f t="shared" si="163"/>
        <v>0</v>
      </c>
      <c r="AE1377" s="1790">
        <v>0</v>
      </c>
      <c r="AF1377" s="1792"/>
    </row>
    <row r="1378" spans="1:32" ht="27.75" customHeight="1">
      <c r="A1378" s="2899" t="s">
        <v>2871</v>
      </c>
      <c r="B1378" s="2901" t="s">
        <v>3838</v>
      </c>
      <c r="C1378" s="2903" t="s">
        <v>50</v>
      </c>
      <c r="D1378" s="2905">
        <v>105.49979999999999</v>
      </c>
      <c r="E1378" s="1598" t="s">
        <v>2496</v>
      </c>
      <c r="F1378" s="1583"/>
      <c r="G1378" s="1583"/>
      <c r="H1378" s="1583"/>
      <c r="I1378" s="1583"/>
      <c r="J1378" s="1583"/>
      <c r="K1378" s="1583"/>
      <c r="L1378" s="1583"/>
      <c r="M1378" s="1583"/>
      <c r="N1378" s="1583"/>
      <c r="O1378" s="1583"/>
      <c r="P1378" s="1583"/>
      <c r="Q1378" s="1585"/>
      <c r="R1378" s="1583"/>
      <c r="S1378" s="1583"/>
      <c r="T1378" s="1585"/>
      <c r="U1378" s="1585"/>
      <c r="V1378" s="1585"/>
      <c r="W1378" s="1585"/>
      <c r="X1378" s="1585"/>
      <c r="Y1378" s="1585"/>
      <c r="Z1378" s="1585">
        <f>D1378</f>
        <v>105.49979999999999</v>
      </c>
      <c r="AA1378" s="1585"/>
      <c r="AB1378" s="1585"/>
      <c r="AC1378" s="1585"/>
      <c r="AD1378" s="1601">
        <f t="shared" si="163"/>
        <v>105.49979999999999</v>
      </c>
      <c r="AE1378" s="1790">
        <v>0</v>
      </c>
      <c r="AF1378" s="1792"/>
    </row>
    <row r="1379" spans="1:32" ht="27" customHeight="1">
      <c r="A1379" s="2900" t="s">
        <v>2871</v>
      </c>
      <c r="B1379" s="2902" t="s">
        <v>2864</v>
      </c>
      <c r="C1379" s="2904" t="s">
        <v>50</v>
      </c>
      <c r="D1379" s="2906">
        <v>105.49979999999999</v>
      </c>
      <c r="E1379" s="1603" t="s">
        <v>2497</v>
      </c>
      <c r="F1379" s="1583"/>
      <c r="G1379" s="1583"/>
      <c r="H1379" s="1583"/>
      <c r="I1379" s="1583"/>
      <c r="J1379" s="1583"/>
      <c r="K1379" s="1583"/>
      <c r="L1379" s="1583"/>
      <c r="M1379" s="1583"/>
      <c r="N1379" s="1583"/>
      <c r="O1379" s="1583"/>
      <c r="P1379" s="1583"/>
      <c r="Q1379" s="1604"/>
      <c r="R1379" s="1583"/>
      <c r="S1379" s="1583"/>
      <c r="T1379" s="1604"/>
      <c r="U1379" s="1585"/>
      <c r="V1379" s="1585"/>
      <c r="W1379" s="1585"/>
      <c r="X1379" s="1585"/>
      <c r="Y1379" s="1585"/>
      <c r="Z1379" s="1585"/>
      <c r="AA1379" s="1585"/>
      <c r="AB1379" s="1585"/>
      <c r="AC1379" s="1585"/>
      <c r="AD1379" s="1601">
        <f t="shared" si="163"/>
        <v>0</v>
      </c>
      <c r="AE1379" s="1790">
        <v>0</v>
      </c>
      <c r="AF1379" s="1792"/>
    </row>
    <row r="1380" spans="1:32" ht="27" customHeight="1">
      <c r="A1380" s="1795" t="s">
        <v>1014</v>
      </c>
      <c r="B1380" s="1796" t="s">
        <v>3842</v>
      </c>
      <c r="C1380" s="1797"/>
      <c r="D1380" s="1789"/>
      <c r="E1380" s="1599"/>
      <c r="F1380" s="1583"/>
      <c r="G1380" s="1583"/>
      <c r="H1380" s="1583"/>
      <c r="I1380" s="1583"/>
      <c r="J1380" s="1583"/>
      <c r="K1380" s="1583"/>
      <c r="L1380" s="1583"/>
      <c r="M1380" s="1583"/>
      <c r="N1380" s="1583"/>
      <c r="O1380" s="1583"/>
      <c r="P1380" s="1583"/>
      <c r="Q1380" s="1604"/>
      <c r="R1380" s="1583"/>
      <c r="S1380" s="1583"/>
      <c r="T1380" s="1604"/>
      <c r="U1380" s="1585"/>
      <c r="V1380" s="1585"/>
      <c r="W1380" s="1585"/>
      <c r="X1380" s="1585"/>
      <c r="Y1380" s="1585"/>
      <c r="Z1380" s="1585"/>
      <c r="AA1380" s="1585"/>
      <c r="AB1380" s="1585"/>
      <c r="AC1380" s="1585"/>
      <c r="AD1380" s="1601">
        <f t="shared" si="163"/>
        <v>0</v>
      </c>
      <c r="AE1380" s="1790">
        <v>0</v>
      </c>
      <c r="AF1380" s="1792"/>
    </row>
    <row r="1381" spans="1:32" ht="27" customHeight="1">
      <c r="A1381" s="1800" t="s">
        <v>1015</v>
      </c>
      <c r="B1381" s="1800" t="s">
        <v>3843</v>
      </c>
      <c r="C1381" s="1797"/>
      <c r="D1381" s="1789"/>
      <c r="E1381" s="1599"/>
      <c r="F1381" s="1583"/>
      <c r="G1381" s="1583"/>
      <c r="H1381" s="1583"/>
      <c r="I1381" s="1583"/>
      <c r="J1381" s="1583"/>
      <c r="K1381" s="1583"/>
      <c r="L1381" s="1583"/>
      <c r="M1381" s="1583"/>
      <c r="N1381" s="1583"/>
      <c r="O1381" s="1583"/>
      <c r="P1381" s="1583"/>
      <c r="Q1381" s="1604"/>
      <c r="R1381" s="1583"/>
      <c r="S1381" s="1583"/>
      <c r="T1381" s="1604"/>
      <c r="U1381" s="1585"/>
      <c r="V1381" s="1585"/>
      <c r="W1381" s="1585"/>
      <c r="X1381" s="1585"/>
      <c r="Y1381" s="1585"/>
      <c r="Z1381" s="1585"/>
      <c r="AA1381" s="1585"/>
      <c r="AB1381" s="1585"/>
      <c r="AC1381" s="1585"/>
      <c r="AD1381" s="1601">
        <f t="shared" si="163"/>
        <v>0</v>
      </c>
      <c r="AE1381" s="1790">
        <v>0</v>
      </c>
      <c r="AF1381" s="1792"/>
    </row>
    <row r="1382" spans="1:32" ht="27.75" customHeight="1">
      <c r="A1382" s="2899" t="s">
        <v>2874</v>
      </c>
      <c r="B1382" s="2901" t="s">
        <v>3844</v>
      </c>
      <c r="C1382" s="2903" t="s">
        <v>49</v>
      </c>
      <c r="D1382" s="2905">
        <v>182.05240000000003</v>
      </c>
      <c r="E1382" s="1598" t="s">
        <v>2496</v>
      </c>
      <c r="F1382" s="1583"/>
      <c r="G1382" s="1583"/>
      <c r="H1382" s="1583"/>
      <c r="I1382" s="1583"/>
      <c r="J1382" s="1583"/>
      <c r="K1382" s="1583"/>
      <c r="L1382" s="1583"/>
      <c r="M1382" s="1583"/>
      <c r="N1382" s="1583"/>
      <c r="O1382" s="1583"/>
      <c r="P1382" s="1583"/>
      <c r="Q1382" s="1585"/>
      <c r="R1382" s="1583"/>
      <c r="S1382" s="1583"/>
      <c r="T1382" s="1585"/>
      <c r="U1382" s="1585"/>
      <c r="V1382" s="1585"/>
      <c r="W1382" s="1585"/>
      <c r="X1382" s="1585"/>
      <c r="Y1382" s="1585"/>
      <c r="Z1382" s="1585">
        <f>D1382</f>
        <v>182.05240000000003</v>
      </c>
      <c r="AA1382" s="1585"/>
      <c r="AB1382" s="1585"/>
      <c r="AC1382" s="1585"/>
      <c r="AD1382" s="1601">
        <f t="shared" si="163"/>
        <v>182.05240000000003</v>
      </c>
      <c r="AE1382" s="1790">
        <v>0</v>
      </c>
      <c r="AF1382" s="1792"/>
    </row>
    <row r="1383" spans="1:32" ht="27.75" customHeight="1">
      <c r="A1383" s="2900" t="s">
        <v>2874</v>
      </c>
      <c r="B1383" s="2902" t="s">
        <v>2875</v>
      </c>
      <c r="C1383" s="2904" t="s">
        <v>49</v>
      </c>
      <c r="D1383" s="2906">
        <v>182.05240000000003</v>
      </c>
      <c r="E1383" s="1603" t="s">
        <v>2497</v>
      </c>
      <c r="F1383" s="1583"/>
      <c r="G1383" s="1583"/>
      <c r="H1383" s="1583"/>
      <c r="I1383" s="1583"/>
      <c r="J1383" s="1583"/>
      <c r="K1383" s="1583"/>
      <c r="L1383" s="1583"/>
      <c r="M1383" s="1583"/>
      <c r="N1383" s="1583"/>
      <c r="O1383" s="1583"/>
      <c r="P1383" s="1583"/>
      <c r="Q1383" s="1604"/>
      <c r="R1383" s="1583"/>
      <c r="S1383" s="1583"/>
      <c r="T1383" s="1604"/>
      <c r="U1383" s="1592"/>
      <c r="V1383" s="1585"/>
      <c r="W1383" s="1585"/>
      <c r="X1383" s="1585"/>
      <c r="Y1383" s="1585"/>
      <c r="Z1383" s="1585"/>
      <c r="AA1383" s="1585"/>
      <c r="AB1383" s="1585"/>
      <c r="AC1383" s="1585"/>
      <c r="AD1383" s="1601">
        <f t="shared" si="163"/>
        <v>0</v>
      </c>
      <c r="AE1383" s="1790">
        <v>0</v>
      </c>
      <c r="AF1383" s="1792"/>
    </row>
    <row r="1384" spans="1:32" ht="27.75" customHeight="1">
      <c r="A1384" s="2899" t="s">
        <v>2876</v>
      </c>
      <c r="B1384" s="2901" t="s">
        <v>3845</v>
      </c>
      <c r="C1384" s="2903" t="s">
        <v>420</v>
      </c>
      <c r="D1384" s="2905">
        <v>168.79500000000002</v>
      </c>
      <c r="E1384" s="1598" t="s">
        <v>2496</v>
      </c>
      <c r="F1384" s="1583"/>
      <c r="G1384" s="1583"/>
      <c r="H1384" s="1583"/>
      <c r="I1384" s="1583"/>
      <c r="J1384" s="1583"/>
      <c r="K1384" s="1583"/>
      <c r="L1384" s="1583"/>
      <c r="M1384" s="1583"/>
      <c r="N1384" s="1583"/>
      <c r="O1384" s="1583"/>
      <c r="P1384" s="1583"/>
      <c r="Q1384" s="1585"/>
      <c r="R1384" s="1583"/>
      <c r="S1384" s="1583"/>
      <c r="T1384" s="1585"/>
      <c r="U1384" s="1585"/>
      <c r="V1384" s="1585"/>
      <c r="W1384" s="1585"/>
      <c r="X1384" s="1585"/>
      <c r="Y1384" s="1585"/>
      <c r="Z1384" s="1585">
        <f>D1384</f>
        <v>168.79500000000002</v>
      </c>
      <c r="AA1384" s="1585"/>
      <c r="AB1384" s="1585"/>
      <c r="AC1384" s="1585"/>
      <c r="AD1384" s="1601">
        <f t="shared" si="163"/>
        <v>168.79500000000002</v>
      </c>
      <c r="AE1384" s="1790">
        <v>0</v>
      </c>
      <c r="AF1384" s="1792"/>
    </row>
    <row r="1385" spans="1:32" ht="27.75" customHeight="1">
      <c r="A1385" s="2900" t="s">
        <v>2876</v>
      </c>
      <c r="B1385" s="2902" t="s">
        <v>2877</v>
      </c>
      <c r="C1385" s="2904" t="s">
        <v>420</v>
      </c>
      <c r="D1385" s="2906">
        <v>168.79500000000002</v>
      </c>
      <c r="E1385" s="1603" t="s">
        <v>2497</v>
      </c>
      <c r="F1385" s="1583"/>
      <c r="G1385" s="1583"/>
      <c r="H1385" s="1583"/>
      <c r="I1385" s="1583"/>
      <c r="J1385" s="1583"/>
      <c r="K1385" s="1583"/>
      <c r="L1385" s="1583"/>
      <c r="M1385" s="1583"/>
      <c r="N1385" s="1583"/>
      <c r="O1385" s="1583"/>
      <c r="P1385" s="1583"/>
      <c r="Q1385" s="1604"/>
      <c r="R1385" s="1583"/>
      <c r="S1385" s="1583"/>
      <c r="T1385" s="1604"/>
      <c r="U1385" s="1592"/>
      <c r="V1385" s="1585"/>
      <c r="W1385" s="1585"/>
      <c r="X1385" s="1585"/>
      <c r="Y1385" s="1592"/>
      <c r="Z1385" s="1592"/>
      <c r="AA1385" s="1592"/>
      <c r="AB1385" s="1592"/>
      <c r="AC1385" s="1592"/>
      <c r="AD1385" s="1601">
        <f t="shared" si="163"/>
        <v>0</v>
      </c>
      <c r="AE1385" s="1790">
        <v>0</v>
      </c>
      <c r="AF1385" s="1792"/>
    </row>
    <row r="1386" spans="1:32" ht="27.75" customHeight="1">
      <c r="A1386" s="2899" t="s">
        <v>2878</v>
      </c>
      <c r="B1386" s="2901" t="s">
        <v>3846</v>
      </c>
      <c r="C1386" s="2903" t="s">
        <v>50</v>
      </c>
      <c r="D1386" s="2905">
        <v>100.476</v>
      </c>
      <c r="E1386" s="1598" t="s">
        <v>2496</v>
      </c>
      <c r="F1386" s="1583"/>
      <c r="G1386" s="1583"/>
      <c r="H1386" s="1583"/>
      <c r="I1386" s="1583"/>
      <c r="J1386" s="1583"/>
      <c r="K1386" s="1583"/>
      <c r="L1386" s="1583"/>
      <c r="M1386" s="1583"/>
      <c r="N1386" s="1583"/>
      <c r="O1386" s="1583"/>
      <c r="P1386" s="1583"/>
      <c r="Q1386" s="1585"/>
      <c r="R1386" s="1583"/>
      <c r="S1386" s="1583"/>
      <c r="T1386" s="1585"/>
      <c r="U1386" s="1585"/>
      <c r="V1386" s="1585"/>
      <c r="W1386" s="1585"/>
      <c r="X1386" s="1585"/>
      <c r="Y1386" s="1585"/>
      <c r="Z1386" s="1585">
        <f>D1386</f>
        <v>100.476</v>
      </c>
      <c r="AA1386" s="1585"/>
      <c r="AB1386" s="1585"/>
      <c r="AC1386" s="1585"/>
      <c r="AD1386" s="1601">
        <f t="shared" si="163"/>
        <v>100.476</v>
      </c>
      <c r="AE1386" s="1790">
        <v>0</v>
      </c>
      <c r="AF1386" s="1792"/>
    </row>
    <row r="1387" spans="1:32" ht="27.75" customHeight="1">
      <c r="A1387" s="2900" t="s">
        <v>2878</v>
      </c>
      <c r="B1387" s="2902" t="s">
        <v>2879</v>
      </c>
      <c r="C1387" s="2904" t="s">
        <v>50</v>
      </c>
      <c r="D1387" s="2906">
        <v>100.476</v>
      </c>
      <c r="E1387" s="1603" t="s">
        <v>2497</v>
      </c>
      <c r="F1387" s="1583"/>
      <c r="G1387" s="1583"/>
      <c r="H1387" s="1583"/>
      <c r="I1387" s="1583"/>
      <c r="J1387" s="1583"/>
      <c r="K1387" s="1583"/>
      <c r="L1387" s="1583"/>
      <c r="M1387" s="1583"/>
      <c r="N1387" s="1583"/>
      <c r="O1387" s="1583"/>
      <c r="P1387" s="1583"/>
      <c r="Q1387" s="1604"/>
      <c r="R1387" s="1583"/>
      <c r="S1387" s="1583"/>
      <c r="T1387" s="1604"/>
      <c r="U1387" s="1592"/>
      <c r="V1387" s="1592"/>
      <c r="W1387" s="1585"/>
      <c r="X1387" s="1585"/>
      <c r="Y1387" s="1585"/>
      <c r="Z1387" s="1585"/>
      <c r="AA1387" s="1585"/>
      <c r="AB1387" s="1585"/>
      <c r="AC1387" s="1585"/>
      <c r="AD1387" s="1601">
        <f t="shared" si="163"/>
        <v>0</v>
      </c>
      <c r="AE1387" s="1790">
        <v>0</v>
      </c>
      <c r="AF1387" s="1792"/>
    </row>
    <row r="1388" spans="1:32" ht="27.75" customHeight="1">
      <c r="A1388" s="1800" t="s">
        <v>1016</v>
      </c>
      <c r="B1388" s="1800" t="s">
        <v>3847</v>
      </c>
      <c r="C1388" s="1797"/>
      <c r="D1388" s="1789"/>
      <c r="E1388" s="1599"/>
      <c r="F1388" s="1583"/>
      <c r="G1388" s="1583"/>
      <c r="H1388" s="1583"/>
      <c r="I1388" s="1583"/>
      <c r="J1388" s="1583"/>
      <c r="K1388" s="1583"/>
      <c r="L1388" s="1583"/>
      <c r="M1388" s="1583"/>
      <c r="N1388" s="1583"/>
      <c r="O1388" s="1583"/>
      <c r="P1388" s="1583"/>
      <c r="Q1388" s="1604"/>
      <c r="R1388" s="1583"/>
      <c r="S1388" s="1583"/>
      <c r="T1388" s="1604"/>
      <c r="U1388" s="1592"/>
      <c r="V1388" s="1592"/>
      <c r="W1388" s="1585"/>
      <c r="X1388" s="1585"/>
      <c r="Y1388" s="1585"/>
      <c r="Z1388" s="1585"/>
      <c r="AA1388" s="1585"/>
      <c r="AB1388" s="1585"/>
      <c r="AC1388" s="1585"/>
      <c r="AD1388" s="1601">
        <f t="shared" si="163"/>
        <v>0</v>
      </c>
      <c r="AE1388" s="1790">
        <v>0</v>
      </c>
      <c r="AF1388" s="1792"/>
    </row>
    <row r="1389" spans="1:32" ht="27.75" customHeight="1">
      <c r="A1389" s="2899" t="s">
        <v>2881</v>
      </c>
      <c r="B1389" s="2901" t="s">
        <v>3844</v>
      </c>
      <c r="C1389" s="2903" t="s">
        <v>49</v>
      </c>
      <c r="D1389" s="2905">
        <v>81.516000000000005</v>
      </c>
      <c r="E1389" s="1598" t="s">
        <v>2496</v>
      </c>
      <c r="F1389" s="1583"/>
      <c r="G1389" s="1583"/>
      <c r="H1389" s="1583"/>
      <c r="I1389" s="1583"/>
      <c r="J1389" s="1583"/>
      <c r="K1389" s="1583"/>
      <c r="L1389" s="1583"/>
      <c r="M1389" s="1583"/>
      <c r="N1389" s="1583"/>
      <c r="O1389" s="1583"/>
      <c r="P1389" s="1583"/>
      <c r="Q1389" s="1585"/>
      <c r="R1389" s="1583"/>
      <c r="S1389" s="1583"/>
      <c r="T1389" s="1585"/>
      <c r="U1389" s="1585"/>
      <c r="V1389" s="1585"/>
      <c r="W1389" s="1585"/>
      <c r="X1389" s="1585"/>
      <c r="Y1389" s="1585"/>
      <c r="Z1389" s="1585">
        <f>D1389</f>
        <v>81.516000000000005</v>
      </c>
      <c r="AA1389" s="1585"/>
      <c r="AB1389" s="1585"/>
      <c r="AC1389" s="1585"/>
      <c r="AD1389" s="1601">
        <f t="shared" si="163"/>
        <v>81.516000000000005</v>
      </c>
      <c r="AE1389" s="1790">
        <v>0</v>
      </c>
      <c r="AF1389" s="1792"/>
    </row>
    <row r="1390" spans="1:32" ht="27.75" customHeight="1">
      <c r="A1390" s="2900" t="s">
        <v>2881</v>
      </c>
      <c r="B1390" s="2902" t="s">
        <v>2875</v>
      </c>
      <c r="C1390" s="2904" t="s">
        <v>49</v>
      </c>
      <c r="D1390" s="2906">
        <v>81.516000000000005</v>
      </c>
      <c r="E1390" s="1603" t="s">
        <v>2497</v>
      </c>
      <c r="F1390" s="1583"/>
      <c r="G1390" s="1583"/>
      <c r="H1390" s="1583"/>
      <c r="I1390" s="1583"/>
      <c r="J1390" s="1583"/>
      <c r="K1390" s="1583"/>
      <c r="L1390" s="1583"/>
      <c r="M1390" s="1583"/>
      <c r="N1390" s="1583"/>
      <c r="O1390" s="1583"/>
      <c r="P1390" s="1583"/>
      <c r="Q1390" s="1604"/>
      <c r="R1390" s="1583"/>
      <c r="S1390" s="1583"/>
      <c r="T1390" s="1604"/>
      <c r="U1390" s="1592"/>
      <c r="V1390" s="1585"/>
      <c r="W1390" s="1585"/>
      <c r="X1390" s="1585"/>
      <c r="Y1390" s="1592"/>
      <c r="Z1390" s="1585"/>
      <c r="AA1390" s="1585"/>
      <c r="AB1390" s="1585"/>
      <c r="AC1390" s="1585"/>
      <c r="AD1390" s="1601">
        <f t="shared" si="163"/>
        <v>0</v>
      </c>
      <c r="AE1390" s="1790">
        <v>0</v>
      </c>
      <c r="AF1390" s="1792"/>
    </row>
    <row r="1391" spans="1:32" ht="27.75" customHeight="1">
      <c r="A1391" s="2899" t="s">
        <v>2882</v>
      </c>
      <c r="B1391" s="2901" t="s">
        <v>3845</v>
      </c>
      <c r="C1391" s="2903" t="s">
        <v>420</v>
      </c>
      <c r="D1391" s="2905">
        <v>194.20500000000001</v>
      </c>
      <c r="E1391" s="1598" t="s">
        <v>2496</v>
      </c>
      <c r="F1391" s="1583"/>
      <c r="G1391" s="1583"/>
      <c r="H1391" s="1583"/>
      <c r="I1391" s="1583"/>
      <c r="J1391" s="1583"/>
      <c r="K1391" s="1583"/>
      <c r="L1391" s="1583"/>
      <c r="M1391" s="1583"/>
      <c r="N1391" s="1583"/>
      <c r="O1391" s="1583"/>
      <c r="P1391" s="1583"/>
      <c r="Q1391" s="1585"/>
      <c r="R1391" s="1583"/>
      <c r="S1391" s="1583"/>
      <c r="T1391" s="1585"/>
      <c r="U1391" s="1585"/>
      <c r="V1391" s="1585"/>
      <c r="W1391" s="1585"/>
      <c r="X1391" s="1585"/>
      <c r="Y1391" s="1585"/>
      <c r="Z1391" s="1585">
        <f>D1391</f>
        <v>194.20500000000001</v>
      </c>
      <c r="AA1391" s="1585"/>
      <c r="AB1391" s="1585"/>
      <c r="AC1391" s="1585"/>
      <c r="AD1391" s="1601">
        <f t="shared" si="163"/>
        <v>194.20500000000001</v>
      </c>
      <c r="AE1391" s="1790">
        <v>0</v>
      </c>
      <c r="AF1391" s="1792"/>
    </row>
    <row r="1392" spans="1:32" ht="27.75" customHeight="1">
      <c r="A1392" s="2900" t="s">
        <v>2882</v>
      </c>
      <c r="B1392" s="2902" t="s">
        <v>2877</v>
      </c>
      <c r="C1392" s="2904" t="s">
        <v>420</v>
      </c>
      <c r="D1392" s="2906">
        <v>194.20500000000001</v>
      </c>
      <c r="E1392" s="1603" t="s">
        <v>2497</v>
      </c>
      <c r="F1392" s="1583"/>
      <c r="G1392" s="1583"/>
      <c r="H1392" s="1583"/>
      <c r="I1392" s="1583"/>
      <c r="J1392" s="1583"/>
      <c r="K1392" s="1583"/>
      <c r="L1392" s="1583"/>
      <c r="M1392" s="1583"/>
      <c r="N1392" s="1583"/>
      <c r="O1392" s="1583"/>
      <c r="P1392" s="1583"/>
      <c r="Q1392" s="1604"/>
      <c r="R1392" s="1583"/>
      <c r="S1392" s="1583"/>
      <c r="T1392" s="1604"/>
      <c r="U1392" s="1585"/>
      <c r="V1392" s="1585"/>
      <c r="W1392" s="1585"/>
      <c r="X1392" s="1585"/>
      <c r="Y1392" s="1585"/>
      <c r="Z1392" s="1585"/>
      <c r="AA1392" s="1585"/>
      <c r="AB1392" s="1585"/>
      <c r="AC1392" s="1585"/>
      <c r="AD1392" s="1601">
        <f t="shared" si="163"/>
        <v>0</v>
      </c>
      <c r="AE1392" s="1790">
        <v>0</v>
      </c>
      <c r="AF1392" s="1792"/>
    </row>
    <row r="1393" spans="1:32" ht="27.75" customHeight="1">
      <c r="A1393" s="2899" t="s">
        <v>2883</v>
      </c>
      <c r="B1393" s="2901" t="s">
        <v>3846</v>
      </c>
      <c r="C1393" s="2903" t="s">
        <v>50</v>
      </c>
      <c r="D1393" s="2905">
        <v>55.261800000000001</v>
      </c>
      <c r="E1393" s="1598" t="s">
        <v>2496</v>
      </c>
      <c r="F1393" s="1583"/>
      <c r="G1393" s="1583"/>
      <c r="H1393" s="1583"/>
      <c r="I1393" s="1583"/>
      <c r="J1393" s="1583"/>
      <c r="K1393" s="1583"/>
      <c r="L1393" s="1583"/>
      <c r="M1393" s="1583"/>
      <c r="N1393" s="1583"/>
      <c r="O1393" s="1583"/>
      <c r="P1393" s="1583"/>
      <c r="Q1393" s="1585"/>
      <c r="R1393" s="1583"/>
      <c r="S1393" s="1583"/>
      <c r="T1393" s="1585"/>
      <c r="U1393" s="1585"/>
      <c r="V1393" s="1585"/>
      <c r="W1393" s="1585"/>
      <c r="X1393" s="1585"/>
      <c r="Y1393" s="1585"/>
      <c r="Z1393" s="1585">
        <f>D1393</f>
        <v>55.261800000000001</v>
      </c>
      <c r="AA1393" s="1585"/>
      <c r="AB1393" s="1585"/>
      <c r="AC1393" s="1585"/>
      <c r="AD1393" s="1601">
        <f t="shared" si="163"/>
        <v>55.261800000000001</v>
      </c>
      <c r="AE1393" s="1790">
        <v>0</v>
      </c>
      <c r="AF1393" s="1792"/>
    </row>
    <row r="1394" spans="1:32" ht="27" customHeight="1">
      <c r="A1394" s="2900" t="s">
        <v>2883</v>
      </c>
      <c r="B1394" s="2902" t="s">
        <v>2879</v>
      </c>
      <c r="C1394" s="2904" t="s">
        <v>50</v>
      </c>
      <c r="D1394" s="2906">
        <v>55.261800000000001</v>
      </c>
      <c r="E1394" s="1603" t="s">
        <v>2497</v>
      </c>
      <c r="F1394" s="1583"/>
      <c r="G1394" s="1583"/>
      <c r="H1394" s="1583"/>
      <c r="I1394" s="1583"/>
      <c r="J1394" s="1583"/>
      <c r="K1394" s="1583"/>
      <c r="L1394" s="1583"/>
      <c r="M1394" s="1583"/>
      <c r="N1394" s="1583"/>
      <c r="O1394" s="1583"/>
      <c r="P1394" s="1583"/>
      <c r="Q1394" s="1604"/>
      <c r="R1394" s="1583"/>
      <c r="S1394" s="1583"/>
      <c r="T1394" s="1604"/>
      <c r="U1394" s="1585"/>
      <c r="V1394" s="1585"/>
      <c r="W1394" s="1585"/>
      <c r="X1394" s="1585"/>
      <c r="Y1394" s="1585"/>
      <c r="Z1394" s="1585"/>
      <c r="AA1394" s="1585"/>
      <c r="AB1394" s="1585"/>
      <c r="AC1394" s="1585"/>
      <c r="AD1394" s="1601">
        <f t="shared" si="163"/>
        <v>0</v>
      </c>
      <c r="AE1394" s="1790">
        <v>0</v>
      </c>
      <c r="AF1394" s="1792"/>
    </row>
    <row r="1395" spans="1:32" ht="27" customHeight="1">
      <c r="A1395" s="1800" t="s">
        <v>1017</v>
      </c>
      <c r="B1395" s="1800" t="s">
        <v>3848</v>
      </c>
      <c r="C1395" s="1797"/>
      <c r="D1395" s="1789"/>
      <c r="E1395" s="1599"/>
      <c r="F1395" s="1583"/>
      <c r="G1395" s="1583"/>
      <c r="H1395" s="1583"/>
      <c r="I1395" s="1583"/>
      <c r="J1395" s="1583"/>
      <c r="K1395" s="1583"/>
      <c r="L1395" s="1583"/>
      <c r="M1395" s="1583"/>
      <c r="N1395" s="1583"/>
      <c r="O1395" s="1583"/>
      <c r="P1395" s="1583"/>
      <c r="Q1395" s="1604"/>
      <c r="R1395" s="1583"/>
      <c r="S1395" s="1583"/>
      <c r="T1395" s="1604"/>
      <c r="U1395" s="1585"/>
      <c r="V1395" s="1585"/>
      <c r="W1395" s="1585"/>
      <c r="X1395" s="1585"/>
      <c r="Y1395" s="1585"/>
      <c r="Z1395" s="1585"/>
      <c r="AA1395" s="1585"/>
      <c r="AB1395" s="1585"/>
      <c r="AC1395" s="1585"/>
      <c r="AD1395" s="1601">
        <f t="shared" si="163"/>
        <v>0</v>
      </c>
      <c r="AE1395" s="1790">
        <v>0</v>
      </c>
      <c r="AF1395" s="1792"/>
    </row>
    <row r="1396" spans="1:32" ht="27.75" customHeight="1">
      <c r="A1396" s="2899" t="s">
        <v>2885</v>
      </c>
      <c r="B1396" s="2901" t="s">
        <v>3844</v>
      </c>
      <c r="C1396" s="2903" t="s">
        <v>49</v>
      </c>
      <c r="D1396" s="2905">
        <v>78.7988</v>
      </c>
      <c r="E1396" s="1598" t="s">
        <v>2496</v>
      </c>
      <c r="F1396" s="1583"/>
      <c r="G1396" s="1583"/>
      <c r="H1396" s="1583"/>
      <c r="I1396" s="1583"/>
      <c r="J1396" s="1583"/>
      <c r="K1396" s="1583"/>
      <c r="L1396" s="1583"/>
      <c r="M1396" s="1583"/>
      <c r="N1396" s="1583"/>
      <c r="O1396" s="1583"/>
      <c r="P1396" s="1583"/>
      <c r="Q1396" s="1585"/>
      <c r="R1396" s="1583"/>
      <c r="S1396" s="1583"/>
      <c r="T1396" s="1585"/>
      <c r="U1396" s="1585"/>
      <c r="V1396" s="1585"/>
      <c r="W1396" s="1585"/>
      <c r="X1396" s="1585"/>
      <c r="Y1396" s="1585"/>
      <c r="Z1396" s="1585">
        <f>D1396</f>
        <v>78.7988</v>
      </c>
      <c r="AA1396" s="1585"/>
      <c r="AB1396" s="1585"/>
      <c r="AC1396" s="1585"/>
      <c r="AD1396" s="1601">
        <f t="shared" si="163"/>
        <v>78.7988</v>
      </c>
      <c r="AE1396" s="1790">
        <v>0</v>
      </c>
      <c r="AF1396" s="1792"/>
    </row>
    <row r="1397" spans="1:32" ht="27.75" customHeight="1">
      <c r="A1397" s="2900" t="s">
        <v>2885</v>
      </c>
      <c r="B1397" s="2902" t="s">
        <v>2875</v>
      </c>
      <c r="C1397" s="2904" t="s">
        <v>49</v>
      </c>
      <c r="D1397" s="2906">
        <v>78.7988</v>
      </c>
      <c r="E1397" s="1603" t="s">
        <v>2497</v>
      </c>
      <c r="F1397" s="1583"/>
      <c r="G1397" s="1583"/>
      <c r="H1397" s="1583"/>
      <c r="I1397" s="1583"/>
      <c r="J1397" s="1583"/>
      <c r="K1397" s="1583"/>
      <c r="L1397" s="1583"/>
      <c r="M1397" s="1583"/>
      <c r="N1397" s="1583"/>
      <c r="O1397" s="1583"/>
      <c r="P1397" s="1583"/>
      <c r="Q1397" s="1604"/>
      <c r="R1397" s="1583"/>
      <c r="S1397" s="1583"/>
      <c r="T1397" s="1604"/>
      <c r="U1397" s="1592"/>
      <c r="V1397" s="1585"/>
      <c r="W1397" s="1585"/>
      <c r="X1397" s="1585"/>
      <c r="Y1397" s="1585"/>
      <c r="Z1397" s="1585"/>
      <c r="AA1397" s="1585"/>
      <c r="AB1397" s="1585"/>
      <c r="AC1397" s="1585"/>
      <c r="AD1397" s="1601">
        <f t="shared" si="163"/>
        <v>0</v>
      </c>
      <c r="AE1397" s="1790">
        <v>0</v>
      </c>
      <c r="AF1397" s="1792"/>
    </row>
    <row r="1398" spans="1:32" ht="27.75" customHeight="1">
      <c r="A1398" s="2899" t="s">
        <v>2886</v>
      </c>
      <c r="B1398" s="2901" t="s">
        <v>3845</v>
      </c>
      <c r="C1398" s="2903" t="s">
        <v>420</v>
      </c>
      <c r="D1398" s="2905">
        <v>174.845</v>
      </c>
      <c r="E1398" s="1598" t="s">
        <v>2496</v>
      </c>
      <c r="F1398" s="1583"/>
      <c r="G1398" s="1583"/>
      <c r="H1398" s="1583"/>
      <c r="I1398" s="1583"/>
      <c r="J1398" s="1583"/>
      <c r="K1398" s="1583"/>
      <c r="L1398" s="1583"/>
      <c r="M1398" s="1583"/>
      <c r="N1398" s="1583"/>
      <c r="O1398" s="1583"/>
      <c r="P1398" s="1583"/>
      <c r="Q1398" s="1585"/>
      <c r="R1398" s="1583"/>
      <c r="S1398" s="1583"/>
      <c r="T1398" s="1585"/>
      <c r="U1398" s="1585"/>
      <c r="V1398" s="1585"/>
      <c r="W1398" s="1585"/>
      <c r="X1398" s="1585"/>
      <c r="Y1398" s="1585"/>
      <c r="Z1398" s="1585">
        <f>D1398</f>
        <v>174.845</v>
      </c>
      <c r="AA1398" s="1585"/>
      <c r="AB1398" s="1585"/>
      <c r="AC1398" s="1585"/>
      <c r="AD1398" s="1601">
        <f t="shared" si="163"/>
        <v>174.845</v>
      </c>
      <c r="AE1398" s="1790">
        <v>0</v>
      </c>
      <c r="AF1398" s="1792"/>
    </row>
    <row r="1399" spans="1:32" ht="27.75" customHeight="1">
      <c r="A1399" s="2900" t="s">
        <v>2886</v>
      </c>
      <c r="B1399" s="2902" t="s">
        <v>2877</v>
      </c>
      <c r="C1399" s="2904" t="s">
        <v>420</v>
      </c>
      <c r="D1399" s="2906">
        <v>174.845</v>
      </c>
      <c r="E1399" s="1603" t="s">
        <v>2497</v>
      </c>
      <c r="F1399" s="1583"/>
      <c r="G1399" s="1583"/>
      <c r="H1399" s="1583"/>
      <c r="I1399" s="1583"/>
      <c r="J1399" s="1583"/>
      <c r="K1399" s="1583"/>
      <c r="L1399" s="1583"/>
      <c r="M1399" s="1583"/>
      <c r="N1399" s="1583"/>
      <c r="O1399" s="1583"/>
      <c r="P1399" s="1583"/>
      <c r="Q1399" s="1604"/>
      <c r="R1399" s="1583"/>
      <c r="S1399" s="1583"/>
      <c r="T1399" s="1604"/>
      <c r="U1399" s="1592"/>
      <c r="V1399" s="1585"/>
      <c r="W1399" s="1585"/>
      <c r="X1399" s="1585"/>
      <c r="Y1399" s="1592"/>
      <c r="Z1399" s="1592"/>
      <c r="AA1399" s="1592"/>
      <c r="AB1399" s="1592"/>
      <c r="AC1399" s="1592"/>
      <c r="AD1399" s="1601">
        <f t="shared" si="163"/>
        <v>0</v>
      </c>
      <c r="AE1399" s="1790">
        <v>0</v>
      </c>
      <c r="AF1399" s="1792"/>
    </row>
    <row r="1400" spans="1:32" ht="27.75" customHeight="1">
      <c r="A1400" s="2899" t="s">
        <v>2887</v>
      </c>
      <c r="B1400" s="2901" t="s">
        <v>3846</v>
      </c>
      <c r="C1400" s="2903" t="s">
        <v>50</v>
      </c>
      <c r="D1400" s="2905">
        <v>75.356999999999999</v>
      </c>
      <c r="E1400" s="1598" t="s">
        <v>2496</v>
      </c>
      <c r="F1400" s="1583"/>
      <c r="G1400" s="1583"/>
      <c r="H1400" s="1583"/>
      <c r="I1400" s="1583"/>
      <c r="J1400" s="1583"/>
      <c r="K1400" s="1583"/>
      <c r="L1400" s="1583"/>
      <c r="M1400" s="1583"/>
      <c r="N1400" s="1583"/>
      <c r="O1400" s="1583"/>
      <c r="P1400" s="1583"/>
      <c r="Q1400" s="1585"/>
      <c r="R1400" s="1583"/>
      <c r="S1400" s="1583"/>
      <c r="T1400" s="1585"/>
      <c r="U1400" s="1585"/>
      <c r="V1400" s="1585"/>
      <c r="W1400" s="1585"/>
      <c r="X1400" s="1585"/>
      <c r="Y1400" s="1585"/>
      <c r="Z1400" s="1585">
        <f>D1400</f>
        <v>75.356999999999999</v>
      </c>
      <c r="AA1400" s="1585"/>
      <c r="AB1400" s="1585"/>
      <c r="AC1400" s="1585"/>
      <c r="AD1400" s="1601">
        <f t="shared" si="163"/>
        <v>75.356999999999999</v>
      </c>
      <c r="AE1400" s="1790">
        <v>0</v>
      </c>
      <c r="AF1400" s="1792"/>
    </row>
    <row r="1401" spans="1:32" ht="27.75" customHeight="1">
      <c r="A1401" s="2900" t="s">
        <v>2887</v>
      </c>
      <c r="B1401" s="2902" t="s">
        <v>2879</v>
      </c>
      <c r="C1401" s="2904" t="s">
        <v>50</v>
      </c>
      <c r="D1401" s="2906">
        <v>75.356999999999999</v>
      </c>
      <c r="E1401" s="1603" t="s">
        <v>2497</v>
      </c>
      <c r="F1401" s="1583"/>
      <c r="G1401" s="1583"/>
      <c r="H1401" s="1583"/>
      <c r="I1401" s="1583"/>
      <c r="J1401" s="1583"/>
      <c r="K1401" s="1583"/>
      <c r="L1401" s="1583"/>
      <c r="M1401" s="1583"/>
      <c r="N1401" s="1583"/>
      <c r="O1401" s="1583"/>
      <c r="P1401" s="1583"/>
      <c r="Q1401" s="1604"/>
      <c r="R1401" s="1583"/>
      <c r="S1401" s="1583"/>
      <c r="T1401" s="1604"/>
      <c r="U1401" s="1592"/>
      <c r="V1401" s="1592"/>
      <c r="W1401" s="1585"/>
      <c r="X1401" s="1585"/>
      <c r="Y1401" s="1585"/>
      <c r="Z1401" s="1585"/>
      <c r="AA1401" s="1585"/>
      <c r="AB1401" s="1585"/>
      <c r="AC1401" s="1585"/>
      <c r="AD1401" s="1601">
        <f t="shared" si="163"/>
        <v>0</v>
      </c>
      <c r="AE1401" s="1790">
        <v>0</v>
      </c>
      <c r="AF1401" s="1792"/>
    </row>
    <row r="1402" spans="1:32" ht="27.75" customHeight="1">
      <c r="A1402" s="1647">
        <v>1.07</v>
      </c>
      <c r="B1402" s="1647" t="s">
        <v>3849</v>
      </c>
      <c r="C1402" s="1797"/>
      <c r="D1402" s="1789"/>
      <c r="E1402" s="1599"/>
      <c r="F1402" s="1583"/>
      <c r="G1402" s="1583"/>
      <c r="H1402" s="1583"/>
      <c r="I1402" s="1583"/>
      <c r="J1402" s="1583"/>
      <c r="K1402" s="1583"/>
      <c r="L1402" s="1583"/>
      <c r="M1402" s="1583"/>
      <c r="N1402" s="1583"/>
      <c r="O1402" s="1583"/>
      <c r="P1402" s="1583"/>
      <c r="Q1402" s="1604"/>
      <c r="R1402" s="1583"/>
      <c r="S1402" s="1583"/>
      <c r="T1402" s="1604"/>
      <c r="U1402" s="1592"/>
      <c r="V1402" s="1592"/>
      <c r="W1402" s="1585"/>
      <c r="X1402" s="1585"/>
      <c r="Y1402" s="1585"/>
      <c r="Z1402" s="1585"/>
      <c r="AA1402" s="1585"/>
      <c r="AB1402" s="1585"/>
      <c r="AC1402" s="1585"/>
      <c r="AD1402" s="1601">
        <f t="shared" si="163"/>
        <v>0</v>
      </c>
      <c r="AE1402" s="1790">
        <v>0</v>
      </c>
      <c r="AF1402" s="1792"/>
    </row>
    <row r="1403" spans="1:32" ht="27.75" customHeight="1">
      <c r="A1403" s="2899" t="s">
        <v>583</v>
      </c>
      <c r="B1403" s="2901" t="s">
        <v>3849</v>
      </c>
      <c r="C1403" s="2903" t="s">
        <v>51</v>
      </c>
      <c r="D1403" s="2905">
        <v>2775.6</v>
      </c>
      <c r="E1403" s="1598" t="s">
        <v>2496</v>
      </c>
      <c r="F1403" s="1583"/>
      <c r="G1403" s="1583"/>
      <c r="H1403" s="1583"/>
      <c r="I1403" s="1583"/>
      <c r="J1403" s="1583"/>
      <c r="K1403" s="1583"/>
      <c r="L1403" s="1583"/>
      <c r="M1403" s="1583"/>
      <c r="N1403" s="1583"/>
      <c r="O1403" s="1583"/>
      <c r="P1403" s="1583"/>
      <c r="Q1403" s="1585"/>
      <c r="R1403" s="1583"/>
      <c r="S1403" s="1583"/>
      <c r="T1403" s="1585"/>
      <c r="U1403" s="1585"/>
      <c r="V1403" s="1585"/>
      <c r="W1403" s="1585"/>
      <c r="X1403" s="1585"/>
      <c r="Y1403" s="1585"/>
      <c r="Z1403" s="1585">
        <f>D1403</f>
        <v>2775.6</v>
      </c>
      <c r="AA1403" s="1585"/>
      <c r="AB1403" s="1585"/>
      <c r="AC1403" s="1585"/>
      <c r="AD1403" s="1601">
        <f t="shared" si="163"/>
        <v>2775.6</v>
      </c>
      <c r="AE1403" s="1790">
        <v>0</v>
      </c>
      <c r="AF1403" s="1792"/>
    </row>
    <row r="1404" spans="1:32" ht="27.75" customHeight="1">
      <c r="A1404" s="2900" t="s">
        <v>583</v>
      </c>
      <c r="B1404" s="2902" t="s">
        <v>2889</v>
      </c>
      <c r="C1404" s="2904" t="s">
        <v>51</v>
      </c>
      <c r="D1404" s="2906">
        <v>2775.6</v>
      </c>
      <c r="E1404" s="1603" t="s">
        <v>2497</v>
      </c>
      <c r="F1404" s="1583"/>
      <c r="G1404" s="1583"/>
      <c r="H1404" s="1583"/>
      <c r="I1404" s="1583"/>
      <c r="J1404" s="1583"/>
      <c r="K1404" s="1583"/>
      <c r="L1404" s="1583"/>
      <c r="M1404" s="1583"/>
      <c r="N1404" s="1583"/>
      <c r="O1404" s="1583"/>
      <c r="P1404" s="1583"/>
      <c r="Q1404" s="1604"/>
      <c r="R1404" s="1583"/>
      <c r="S1404" s="1583"/>
      <c r="T1404" s="1604"/>
      <c r="U1404" s="1592"/>
      <c r="V1404" s="1585"/>
      <c r="W1404" s="1585"/>
      <c r="X1404" s="1585"/>
      <c r="Y1404" s="1592"/>
      <c r="Z1404" s="1585"/>
      <c r="AA1404" s="1585"/>
      <c r="AB1404" s="1585"/>
      <c r="AC1404" s="1585"/>
      <c r="AD1404" s="1601">
        <f t="shared" si="163"/>
        <v>0</v>
      </c>
      <c r="AE1404" s="1790">
        <v>0</v>
      </c>
      <c r="AF1404" s="1792"/>
    </row>
    <row r="1405" spans="1:32" ht="27.75" customHeight="1">
      <c r="A1405" s="1647">
        <v>1.08</v>
      </c>
      <c r="B1405" s="1647" t="s">
        <v>3850</v>
      </c>
      <c r="C1405" s="1787"/>
      <c r="D1405" s="1789"/>
      <c r="E1405" s="1603"/>
      <c r="F1405" s="1583"/>
      <c r="G1405" s="1583"/>
      <c r="H1405" s="1583"/>
      <c r="I1405" s="1583"/>
      <c r="J1405" s="1583"/>
      <c r="K1405" s="1583"/>
      <c r="L1405" s="1583"/>
      <c r="M1405" s="1583"/>
      <c r="N1405" s="1583"/>
      <c r="O1405" s="1583"/>
      <c r="P1405" s="1583"/>
      <c r="Q1405" s="1604"/>
      <c r="R1405" s="1583"/>
      <c r="S1405" s="1583"/>
      <c r="T1405" s="1604"/>
      <c r="U1405" s="1592"/>
      <c r="V1405" s="1585"/>
      <c r="W1405" s="1585"/>
      <c r="X1405" s="1585"/>
      <c r="Y1405" s="1592"/>
      <c r="Z1405" s="1585"/>
      <c r="AA1405" s="1585"/>
      <c r="AB1405" s="1585"/>
      <c r="AC1405" s="1585"/>
      <c r="AD1405" s="1601">
        <f t="shared" si="163"/>
        <v>0</v>
      </c>
      <c r="AE1405" s="1790">
        <v>0</v>
      </c>
      <c r="AF1405" s="1792"/>
    </row>
    <row r="1406" spans="1:32" ht="27.75" customHeight="1">
      <c r="A1406" s="2899" t="s">
        <v>596</v>
      </c>
      <c r="B1406" s="2901" t="s">
        <v>3851</v>
      </c>
      <c r="C1406" s="2903" t="s">
        <v>49</v>
      </c>
      <c r="D1406" s="2905">
        <v>7332.5000000000009</v>
      </c>
      <c r="E1406" s="1598" t="s">
        <v>2496</v>
      </c>
      <c r="F1406" s="1583"/>
      <c r="G1406" s="1583"/>
      <c r="H1406" s="1583"/>
      <c r="I1406" s="1583"/>
      <c r="J1406" s="1583"/>
      <c r="K1406" s="1583"/>
      <c r="L1406" s="1583"/>
      <c r="M1406" s="1583"/>
      <c r="N1406" s="1583"/>
      <c r="O1406" s="1583"/>
      <c r="P1406" s="1583"/>
      <c r="Q1406" s="1585"/>
      <c r="R1406" s="1583"/>
      <c r="S1406" s="1583"/>
      <c r="T1406" s="1585"/>
      <c r="U1406" s="1585"/>
      <c r="V1406" s="1585"/>
      <c r="W1406" s="1585"/>
      <c r="X1406" s="1585"/>
      <c r="Y1406" s="1585"/>
      <c r="Z1406" s="1585">
        <f>D1406</f>
        <v>7332.5000000000009</v>
      </c>
      <c r="AA1406" s="1585"/>
      <c r="AB1406" s="1585"/>
      <c r="AC1406" s="1585"/>
      <c r="AD1406" s="1601">
        <f t="shared" si="163"/>
        <v>7332.5000000000009</v>
      </c>
      <c r="AE1406" s="1790">
        <v>0</v>
      </c>
      <c r="AF1406" s="1792"/>
    </row>
    <row r="1407" spans="1:32" ht="27.75" customHeight="1">
      <c r="A1407" s="2900" t="s">
        <v>596</v>
      </c>
      <c r="B1407" s="2902" t="s">
        <v>2891</v>
      </c>
      <c r="C1407" s="2904" t="s">
        <v>49</v>
      </c>
      <c r="D1407" s="2906">
        <v>7332.5000000000009</v>
      </c>
      <c r="E1407" s="1603" t="s">
        <v>2497</v>
      </c>
      <c r="F1407" s="1583"/>
      <c r="G1407" s="1583"/>
      <c r="H1407" s="1583"/>
      <c r="I1407" s="1583"/>
      <c r="J1407" s="1583"/>
      <c r="K1407" s="1583"/>
      <c r="L1407" s="1583"/>
      <c r="M1407" s="1583"/>
      <c r="N1407" s="1583"/>
      <c r="O1407" s="1583"/>
      <c r="P1407" s="1583"/>
      <c r="Q1407" s="1604"/>
      <c r="R1407" s="1583"/>
      <c r="S1407" s="1583"/>
      <c r="T1407" s="1604"/>
      <c r="U1407" s="1585"/>
      <c r="V1407" s="1585"/>
      <c r="W1407" s="1585"/>
      <c r="X1407" s="1585"/>
      <c r="Y1407" s="1585"/>
      <c r="Z1407" s="1585"/>
      <c r="AA1407" s="1585"/>
      <c r="AB1407" s="1585"/>
      <c r="AC1407" s="1585"/>
      <c r="AD1407" s="1601">
        <f t="shared" si="163"/>
        <v>0</v>
      </c>
      <c r="AE1407" s="1790">
        <v>0</v>
      </c>
      <c r="AF1407" s="1792"/>
    </row>
    <row r="1408" spans="1:32" ht="27.75" customHeight="1">
      <c r="A1408" s="1647">
        <v>1.0900000000000001</v>
      </c>
      <c r="B1408" s="1647" t="s">
        <v>3852</v>
      </c>
      <c r="C1408" s="1797"/>
      <c r="D1408" s="1789"/>
      <c r="E1408" s="1599"/>
      <c r="F1408" s="1583"/>
      <c r="G1408" s="1583"/>
      <c r="H1408" s="1583"/>
      <c r="I1408" s="1583"/>
      <c r="J1408" s="1583"/>
      <c r="K1408" s="1583"/>
      <c r="L1408" s="1583"/>
      <c r="M1408" s="1583"/>
      <c r="N1408" s="1583"/>
      <c r="O1408" s="1583"/>
      <c r="P1408" s="1583"/>
      <c r="Q1408" s="1604"/>
      <c r="R1408" s="1583"/>
      <c r="S1408" s="1583"/>
      <c r="T1408" s="1604"/>
      <c r="U1408" s="1585"/>
      <c r="V1408" s="1585"/>
      <c r="W1408" s="1585"/>
      <c r="X1408" s="1585"/>
      <c r="Y1408" s="1585"/>
      <c r="Z1408" s="1585"/>
      <c r="AA1408" s="1585"/>
      <c r="AB1408" s="1585"/>
      <c r="AC1408" s="1585"/>
      <c r="AD1408" s="1601">
        <f t="shared" si="163"/>
        <v>0</v>
      </c>
      <c r="AE1408" s="1790">
        <v>0</v>
      </c>
      <c r="AF1408" s="1792"/>
    </row>
    <row r="1409" spans="1:32" ht="27.75" customHeight="1">
      <c r="A1409" s="2899" t="s">
        <v>607</v>
      </c>
      <c r="B1409" s="2901" t="s">
        <v>3853</v>
      </c>
      <c r="C1409" s="2903" t="s">
        <v>51</v>
      </c>
      <c r="D1409" s="2905">
        <v>821.80000000000007</v>
      </c>
      <c r="E1409" s="1598" t="s">
        <v>2496</v>
      </c>
      <c r="F1409" s="1583"/>
      <c r="G1409" s="1583"/>
      <c r="H1409" s="1583"/>
      <c r="I1409" s="1583"/>
      <c r="J1409" s="1583"/>
      <c r="K1409" s="1583"/>
      <c r="L1409" s="1583"/>
      <c r="M1409" s="1583"/>
      <c r="N1409" s="1583"/>
      <c r="O1409" s="1583"/>
      <c r="P1409" s="1583"/>
      <c r="Q1409" s="1585"/>
      <c r="R1409" s="1583"/>
      <c r="S1409" s="1583"/>
      <c r="T1409" s="1585"/>
      <c r="U1409" s="1585"/>
      <c r="V1409" s="1585"/>
      <c r="W1409" s="1585"/>
      <c r="X1409" s="1585"/>
      <c r="Y1409" s="1585"/>
      <c r="Z1409" s="1585">
        <f>D1409</f>
        <v>821.80000000000007</v>
      </c>
      <c r="AA1409" s="1585"/>
      <c r="AB1409" s="1585"/>
      <c r="AC1409" s="1585"/>
      <c r="AD1409" s="1601">
        <f t="shared" si="163"/>
        <v>821.80000000000007</v>
      </c>
      <c r="AE1409" s="1790">
        <v>0</v>
      </c>
      <c r="AF1409" s="1792"/>
    </row>
    <row r="1410" spans="1:32" ht="27" customHeight="1">
      <c r="A1410" s="2900" t="s">
        <v>607</v>
      </c>
      <c r="B1410" s="2902" t="s">
        <v>2893</v>
      </c>
      <c r="C1410" s="2904" t="s">
        <v>51</v>
      </c>
      <c r="D1410" s="2906">
        <v>821.80000000000007</v>
      </c>
      <c r="E1410" s="1603" t="s">
        <v>2497</v>
      </c>
      <c r="F1410" s="1583"/>
      <c r="G1410" s="1583"/>
      <c r="H1410" s="1583"/>
      <c r="I1410" s="1583"/>
      <c r="J1410" s="1583"/>
      <c r="K1410" s="1583"/>
      <c r="L1410" s="1583"/>
      <c r="M1410" s="1583"/>
      <c r="N1410" s="1583"/>
      <c r="O1410" s="1583"/>
      <c r="P1410" s="1583"/>
      <c r="Q1410" s="1604"/>
      <c r="R1410" s="1583"/>
      <c r="S1410" s="1583"/>
      <c r="T1410" s="1604"/>
      <c r="U1410" s="1585"/>
      <c r="V1410" s="1585"/>
      <c r="W1410" s="1585"/>
      <c r="X1410" s="1585"/>
      <c r="Y1410" s="1585"/>
      <c r="Z1410" s="1585"/>
      <c r="AA1410" s="1585"/>
      <c r="AB1410" s="1585"/>
      <c r="AC1410" s="1585"/>
      <c r="AD1410" s="1601">
        <f t="shared" si="163"/>
        <v>0</v>
      </c>
      <c r="AE1410" s="1790">
        <v>0</v>
      </c>
      <c r="AF1410" s="1792"/>
    </row>
    <row r="1411" spans="1:32" ht="27.75" customHeight="1">
      <c r="A1411" s="2899" t="s">
        <v>611</v>
      </c>
      <c r="B1411" s="2901" t="s">
        <v>3854</v>
      </c>
      <c r="C1411" s="2903" t="s">
        <v>51</v>
      </c>
      <c r="D1411" s="2905">
        <v>4728.5</v>
      </c>
      <c r="E1411" s="1598" t="s">
        <v>2496</v>
      </c>
      <c r="F1411" s="1583"/>
      <c r="G1411" s="1583"/>
      <c r="H1411" s="1583"/>
      <c r="I1411" s="1583"/>
      <c r="J1411" s="1583"/>
      <c r="K1411" s="1583"/>
      <c r="L1411" s="1583"/>
      <c r="M1411" s="1583"/>
      <c r="N1411" s="1583"/>
      <c r="O1411" s="1583"/>
      <c r="P1411" s="1583"/>
      <c r="Q1411" s="1585"/>
      <c r="R1411" s="1583"/>
      <c r="S1411" s="1583"/>
      <c r="T1411" s="1585"/>
      <c r="U1411" s="1585"/>
      <c r="V1411" s="1585"/>
      <c r="W1411" s="1585"/>
      <c r="X1411" s="1585"/>
      <c r="Y1411" s="1585"/>
      <c r="Z1411" s="1585">
        <f>D1411</f>
        <v>4728.5</v>
      </c>
      <c r="AA1411" s="1585"/>
      <c r="AB1411" s="1585"/>
      <c r="AC1411" s="1585"/>
      <c r="AD1411" s="1601">
        <f t="shared" si="163"/>
        <v>4728.5</v>
      </c>
      <c r="AE1411" s="1790">
        <v>0</v>
      </c>
      <c r="AF1411" s="1792"/>
    </row>
    <row r="1412" spans="1:32" ht="27" customHeight="1">
      <c r="A1412" s="2900" t="s">
        <v>611</v>
      </c>
      <c r="B1412" s="2902" t="s">
        <v>2894</v>
      </c>
      <c r="C1412" s="2904" t="s">
        <v>51</v>
      </c>
      <c r="D1412" s="2906">
        <v>4728.5</v>
      </c>
      <c r="E1412" s="1603" t="s">
        <v>2497</v>
      </c>
      <c r="F1412" s="1583"/>
      <c r="G1412" s="1583"/>
      <c r="H1412" s="1583"/>
      <c r="I1412" s="1583"/>
      <c r="J1412" s="1583"/>
      <c r="K1412" s="1583"/>
      <c r="L1412" s="1583"/>
      <c r="M1412" s="1583"/>
      <c r="N1412" s="1583"/>
      <c r="O1412" s="1583"/>
      <c r="P1412" s="1583"/>
      <c r="Q1412" s="1604"/>
      <c r="R1412" s="1583"/>
      <c r="S1412" s="1583"/>
      <c r="T1412" s="1604"/>
      <c r="U1412" s="1585"/>
      <c r="V1412" s="1585"/>
      <c r="W1412" s="1585"/>
      <c r="X1412" s="1585"/>
      <c r="Y1412" s="1585"/>
      <c r="Z1412" s="1585"/>
      <c r="AA1412" s="1585"/>
      <c r="AB1412" s="1585"/>
      <c r="AC1412" s="1585"/>
      <c r="AD1412" s="1601">
        <f t="shared" si="163"/>
        <v>0</v>
      </c>
      <c r="AE1412" s="1790">
        <v>0</v>
      </c>
      <c r="AF1412" s="1792"/>
    </row>
    <row r="1413" spans="1:32" ht="27.75" customHeight="1">
      <c r="A1413" s="1794">
        <v>2</v>
      </c>
      <c r="B1413" s="1794" t="s">
        <v>1736</v>
      </c>
      <c r="C1413" s="1596"/>
      <c r="D1413" s="1628"/>
      <c r="E1413" s="1583"/>
      <c r="F1413" s="1583"/>
      <c r="G1413" s="1583"/>
      <c r="H1413" s="1583"/>
      <c r="I1413" s="1583"/>
      <c r="J1413" s="1583"/>
      <c r="K1413" s="1583"/>
      <c r="L1413" s="1583"/>
      <c r="M1413" s="1583"/>
      <c r="N1413" s="1583"/>
      <c r="O1413" s="1583"/>
      <c r="P1413" s="1583"/>
      <c r="Q1413" s="1583"/>
      <c r="R1413" s="1583"/>
      <c r="S1413" s="1583"/>
      <c r="T1413" s="1585"/>
      <c r="U1413" s="1585"/>
      <c r="V1413" s="1585"/>
      <c r="W1413" s="1585"/>
      <c r="X1413" s="1585"/>
      <c r="Y1413" s="1585"/>
      <c r="Z1413" s="1585"/>
      <c r="AA1413" s="1585"/>
      <c r="AB1413" s="1585"/>
      <c r="AC1413" s="1585"/>
      <c r="AD1413" s="1601">
        <f t="shared" si="163"/>
        <v>0</v>
      </c>
      <c r="AE1413" s="1790">
        <v>0</v>
      </c>
      <c r="AF1413" s="1792"/>
    </row>
    <row r="1414" spans="1:32" ht="27.75" customHeight="1">
      <c r="A1414" s="1647">
        <v>2.0099999999999998</v>
      </c>
      <c r="B1414" s="1647" t="s">
        <v>2723</v>
      </c>
      <c r="C1414" s="1797"/>
      <c r="D1414" s="1789"/>
      <c r="E1414" s="1599"/>
      <c r="F1414" s="1583"/>
      <c r="G1414" s="1583"/>
      <c r="H1414" s="1583"/>
      <c r="I1414" s="1583"/>
      <c r="J1414" s="1583"/>
      <c r="K1414" s="1583"/>
      <c r="L1414" s="1583"/>
      <c r="M1414" s="1583"/>
      <c r="N1414" s="1583"/>
      <c r="O1414" s="1583"/>
      <c r="P1414" s="1583"/>
      <c r="Q1414" s="1604"/>
      <c r="R1414" s="1583"/>
      <c r="S1414" s="1583"/>
      <c r="T1414" s="1604"/>
      <c r="U1414" s="1585"/>
      <c r="V1414" s="1585"/>
      <c r="W1414" s="1585"/>
      <c r="X1414" s="1585"/>
      <c r="Y1414" s="1585"/>
      <c r="Z1414" s="1585"/>
      <c r="AA1414" s="1585"/>
      <c r="AB1414" s="1585"/>
      <c r="AC1414" s="1585"/>
      <c r="AD1414" s="1601">
        <f t="shared" si="163"/>
        <v>0</v>
      </c>
      <c r="AE1414" s="1790">
        <v>0</v>
      </c>
      <c r="AF1414" s="1792"/>
    </row>
    <row r="1415" spans="1:32" ht="27.75" customHeight="1">
      <c r="A1415" s="2899" t="s">
        <v>675</v>
      </c>
      <c r="B1415" s="2901" t="s">
        <v>3855</v>
      </c>
      <c r="C1415" s="2903" t="s">
        <v>49</v>
      </c>
      <c r="D1415" s="2905">
        <v>26530.639999999999</v>
      </c>
      <c r="E1415" s="1598" t="s">
        <v>2496</v>
      </c>
      <c r="F1415" s="1583"/>
      <c r="G1415" s="1583"/>
      <c r="H1415" s="1583"/>
      <c r="I1415" s="1583"/>
      <c r="J1415" s="1583"/>
      <c r="K1415" s="1583"/>
      <c r="L1415" s="1583"/>
      <c r="M1415" s="1583"/>
      <c r="N1415" s="1583"/>
      <c r="O1415" s="1583"/>
      <c r="P1415" s="1583"/>
      <c r="Q1415" s="1585"/>
      <c r="R1415" s="1583"/>
      <c r="S1415" s="1583"/>
      <c r="T1415" s="1585"/>
      <c r="U1415" s="1585"/>
      <c r="V1415" s="1585"/>
      <c r="W1415" s="1585"/>
      <c r="X1415" s="1585"/>
      <c r="Y1415" s="1585"/>
      <c r="Z1415" s="1585">
        <v>13265.32</v>
      </c>
      <c r="AA1415" s="1585">
        <v>13265.32</v>
      </c>
      <c r="AB1415" s="1585"/>
      <c r="AC1415" s="1585"/>
      <c r="AD1415" s="1601">
        <f t="shared" si="163"/>
        <v>26530.639999999999</v>
      </c>
      <c r="AE1415" s="1790">
        <v>0</v>
      </c>
      <c r="AF1415" s="1792"/>
    </row>
    <row r="1416" spans="1:32" ht="27.75" customHeight="1">
      <c r="A1416" s="2900"/>
      <c r="B1416" s="2902"/>
      <c r="C1416" s="2904"/>
      <c r="D1416" s="2906"/>
      <c r="E1416" s="1603" t="s">
        <v>2497</v>
      </c>
      <c r="F1416" s="1583"/>
      <c r="G1416" s="1583"/>
      <c r="H1416" s="1583"/>
      <c r="I1416" s="1583"/>
      <c r="J1416" s="1583"/>
      <c r="K1416" s="1583"/>
      <c r="L1416" s="1583"/>
      <c r="M1416" s="1583"/>
      <c r="N1416" s="1583"/>
      <c r="O1416" s="1583"/>
      <c r="P1416" s="1583"/>
      <c r="Q1416" s="1604"/>
      <c r="R1416" s="1583"/>
      <c r="S1416" s="1583"/>
      <c r="T1416" s="1604"/>
      <c r="U1416" s="1592"/>
      <c r="V1416" s="1585"/>
      <c r="W1416" s="1585"/>
      <c r="X1416" s="1585"/>
      <c r="Y1416" s="1592"/>
      <c r="Z1416" s="1585"/>
      <c r="AA1416" s="1585"/>
      <c r="AB1416" s="1585"/>
      <c r="AC1416" s="1585"/>
      <c r="AD1416" s="1601">
        <f t="shared" si="163"/>
        <v>0</v>
      </c>
      <c r="AE1416" s="1790">
        <v>0</v>
      </c>
      <c r="AF1416" s="1792"/>
    </row>
    <row r="1417" spans="1:32" ht="27.75" customHeight="1">
      <c r="A1417" s="2899" t="s">
        <v>679</v>
      </c>
      <c r="B1417" s="2901" t="s">
        <v>3856</v>
      </c>
      <c r="C1417" s="2903" t="s">
        <v>49</v>
      </c>
      <c r="D1417" s="2905">
        <v>710.26</v>
      </c>
      <c r="E1417" s="1598" t="s">
        <v>2496</v>
      </c>
      <c r="F1417" s="1583"/>
      <c r="G1417" s="1583"/>
      <c r="H1417" s="1583"/>
      <c r="I1417" s="1583"/>
      <c r="J1417" s="1583"/>
      <c r="K1417" s="1583"/>
      <c r="L1417" s="1583"/>
      <c r="M1417" s="1583"/>
      <c r="N1417" s="1583"/>
      <c r="O1417" s="1583"/>
      <c r="P1417" s="1583"/>
      <c r="Q1417" s="1585"/>
      <c r="R1417" s="1583"/>
      <c r="S1417" s="1583"/>
      <c r="T1417" s="1585"/>
      <c r="U1417" s="1585"/>
      <c r="V1417" s="1585"/>
      <c r="W1417" s="1585"/>
      <c r="X1417" s="1585"/>
      <c r="Y1417" s="1585"/>
      <c r="Z1417" s="1585">
        <f>D1417</f>
        <v>710.26</v>
      </c>
      <c r="AA1417" s="1585"/>
      <c r="AB1417" s="1585"/>
      <c r="AC1417" s="1585"/>
      <c r="AD1417" s="1601">
        <f t="shared" si="163"/>
        <v>710.26</v>
      </c>
      <c r="AE1417" s="1790">
        <v>0</v>
      </c>
      <c r="AF1417" s="1792"/>
    </row>
    <row r="1418" spans="1:32" ht="27.75" customHeight="1">
      <c r="A1418" s="2900"/>
      <c r="B1418" s="2902"/>
      <c r="C1418" s="2904"/>
      <c r="D1418" s="2906"/>
      <c r="E1418" s="1603" t="s">
        <v>2497</v>
      </c>
      <c r="F1418" s="1583"/>
      <c r="G1418" s="1583"/>
      <c r="H1418" s="1583"/>
      <c r="I1418" s="1583"/>
      <c r="J1418" s="1583"/>
      <c r="K1418" s="1583"/>
      <c r="L1418" s="1583"/>
      <c r="M1418" s="1583"/>
      <c r="N1418" s="1583"/>
      <c r="O1418" s="1583"/>
      <c r="P1418" s="1583"/>
      <c r="Q1418" s="1604"/>
      <c r="R1418" s="1583"/>
      <c r="S1418" s="1583"/>
      <c r="T1418" s="1604"/>
      <c r="U1418" s="1585"/>
      <c r="V1418" s="1585"/>
      <c r="W1418" s="1585"/>
      <c r="X1418" s="1585"/>
      <c r="Y1418" s="1585"/>
      <c r="Z1418" s="1585"/>
      <c r="AA1418" s="1585"/>
      <c r="AB1418" s="1585"/>
      <c r="AC1418" s="1585"/>
      <c r="AD1418" s="1601">
        <f t="shared" si="163"/>
        <v>0</v>
      </c>
      <c r="AE1418" s="1790">
        <v>0</v>
      </c>
      <c r="AF1418" s="1792"/>
    </row>
    <row r="1419" spans="1:32" ht="27.75" customHeight="1">
      <c r="A1419" s="2899" t="s">
        <v>2897</v>
      </c>
      <c r="B1419" s="2901" t="s">
        <v>3857</v>
      </c>
      <c r="C1419" s="2903" t="s">
        <v>49</v>
      </c>
      <c r="D1419" s="2905">
        <v>25169.040000000001</v>
      </c>
      <c r="E1419" s="1598" t="s">
        <v>2496</v>
      </c>
      <c r="F1419" s="1583"/>
      <c r="G1419" s="1583"/>
      <c r="H1419" s="1583"/>
      <c r="I1419" s="1583"/>
      <c r="J1419" s="1583"/>
      <c r="K1419" s="1583"/>
      <c r="L1419" s="1583"/>
      <c r="M1419" s="1583"/>
      <c r="N1419" s="1583"/>
      <c r="O1419" s="1583"/>
      <c r="P1419" s="1583"/>
      <c r="Q1419" s="1585"/>
      <c r="R1419" s="1583"/>
      <c r="S1419" s="1583"/>
      <c r="T1419" s="1585"/>
      <c r="U1419" s="1585"/>
      <c r="V1419" s="1585"/>
      <c r="W1419" s="1585"/>
      <c r="X1419" s="1585"/>
      <c r="Y1419" s="1585"/>
      <c r="Z1419" s="1585">
        <v>12584.52</v>
      </c>
      <c r="AA1419" s="1585">
        <v>12584.52</v>
      </c>
      <c r="AB1419" s="1585"/>
      <c r="AC1419" s="1585"/>
      <c r="AD1419" s="1601">
        <f t="shared" si="163"/>
        <v>25169.040000000001</v>
      </c>
      <c r="AE1419" s="1790">
        <v>0</v>
      </c>
      <c r="AF1419" s="1792"/>
    </row>
    <row r="1420" spans="1:32" ht="27" customHeight="1">
      <c r="A1420" s="2900"/>
      <c r="B1420" s="2902"/>
      <c r="C1420" s="2904"/>
      <c r="D1420" s="2906"/>
      <c r="E1420" s="1603" t="s">
        <v>2497</v>
      </c>
      <c r="F1420" s="1583"/>
      <c r="G1420" s="1583"/>
      <c r="H1420" s="1583"/>
      <c r="I1420" s="1583"/>
      <c r="J1420" s="1583"/>
      <c r="K1420" s="1583"/>
      <c r="L1420" s="1583"/>
      <c r="M1420" s="1583"/>
      <c r="N1420" s="1583"/>
      <c r="O1420" s="1583"/>
      <c r="P1420" s="1583"/>
      <c r="Q1420" s="1604"/>
      <c r="R1420" s="1583"/>
      <c r="S1420" s="1583"/>
      <c r="T1420" s="1604"/>
      <c r="U1420" s="1585"/>
      <c r="V1420" s="1585"/>
      <c r="W1420" s="1585"/>
      <c r="X1420" s="1585"/>
      <c r="Y1420" s="1585"/>
      <c r="Z1420" s="1585"/>
      <c r="AA1420" s="1585"/>
      <c r="AB1420" s="1585"/>
      <c r="AC1420" s="1585"/>
      <c r="AD1420" s="1601">
        <f t="shared" si="163"/>
        <v>0</v>
      </c>
      <c r="AE1420" s="1790">
        <v>0</v>
      </c>
      <c r="AF1420" s="1792"/>
    </row>
    <row r="1421" spans="1:32" ht="27.75" customHeight="1">
      <c r="A1421" s="2899" t="s">
        <v>2899</v>
      </c>
      <c r="B1421" s="2901" t="s">
        <v>3858</v>
      </c>
      <c r="C1421" s="2903" t="s">
        <v>49</v>
      </c>
      <c r="D1421" s="2905">
        <v>5465.17</v>
      </c>
      <c r="E1421" s="1598" t="s">
        <v>2496</v>
      </c>
      <c r="F1421" s="1583"/>
      <c r="G1421" s="1583"/>
      <c r="H1421" s="1583"/>
      <c r="I1421" s="1583"/>
      <c r="J1421" s="1583"/>
      <c r="K1421" s="1583"/>
      <c r="L1421" s="1583"/>
      <c r="M1421" s="1583"/>
      <c r="N1421" s="1583"/>
      <c r="O1421" s="1583"/>
      <c r="P1421" s="1583"/>
      <c r="Q1421" s="1585"/>
      <c r="R1421" s="1583"/>
      <c r="S1421" s="1583"/>
      <c r="T1421" s="1585"/>
      <c r="U1421" s="1585"/>
      <c r="V1421" s="1585"/>
      <c r="W1421" s="1585"/>
      <c r="X1421" s="1585"/>
      <c r="Y1421" s="1585"/>
      <c r="Z1421" s="1585"/>
      <c r="AA1421" s="1585">
        <f>D1421</f>
        <v>5465.17</v>
      </c>
      <c r="AB1421" s="1585"/>
      <c r="AC1421" s="1585"/>
      <c r="AD1421" s="1601">
        <f t="shared" si="163"/>
        <v>5465.17</v>
      </c>
      <c r="AE1421" s="1790">
        <v>0</v>
      </c>
      <c r="AF1421" s="1792"/>
    </row>
    <row r="1422" spans="1:32" ht="27.75" customHeight="1">
      <c r="A1422" s="2900"/>
      <c r="B1422" s="2902"/>
      <c r="C1422" s="2904"/>
      <c r="D1422" s="2906"/>
      <c r="E1422" s="1603" t="s">
        <v>2497</v>
      </c>
      <c r="F1422" s="1583"/>
      <c r="G1422" s="1583"/>
      <c r="H1422" s="1583"/>
      <c r="I1422" s="1583"/>
      <c r="J1422" s="1583"/>
      <c r="K1422" s="1583"/>
      <c r="L1422" s="1583"/>
      <c r="M1422" s="1583"/>
      <c r="N1422" s="1583"/>
      <c r="O1422" s="1583"/>
      <c r="P1422" s="1583"/>
      <c r="Q1422" s="1604"/>
      <c r="R1422" s="1583"/>
      <c r="S1422" s="1583"/>
      <c r="T1422" s="1604"/>
      <c r="U1422" s="1592"/>
      <c r="V1422" s="1585"/>
      <c r="W1422" s="1585"/>
      <c r="X1422" s="1585"/>
      <c r="Y1422" s="1592"/>
      <c r="Z1422" s="1585"/>
      <c r="AA1422" s="1585"/>
      <c r="AB1422" s="1585"/>
      <c r="AC1422" s="1585"/>
      <c r="AD1422" s="1601">
        <f t="shared" si="163"/>
        <v>0</v>
      </c>
      <c r="AE1422" s="1790">
        <v>0</v>
      </c>
      <c r="AF1422" s="1792"/>
    </row>
    <row r="1423" spans="1:32" ht="27.75" customHeight="1">
      <c r="A1423" s="2911" t="s">
        <v>2901</v>
      </c>
      <c r="B1423" s="2911" t="s">
        <v>3859</v>
      </c>
      <c r="C1423" s="2903"/>
      <c r="D1423" s="2905"/>
      <c r="E1423" s="2905"/>
      <c r="F1423" s="1583"/>
      <c r="G1423" s="1583"/>
      <c r="H1423" s="1583"/>
      <c r="I1423" s="1583"/>
      <c r="J1423" s="1583"/>
      <c r="K1423" s="1583"/>
      <c r="L1423" s="1583"/>
      <c r="M1423" s="1583"/>
      <c r="N1423" s="1583"/>
      <c r="O1423" s="1583"/>
      <c r="P1423" s="1583"/>
      <c r="Q1423" s="1585"/>
      <c r="R1423" s="1583"/>
      <c r="S1423" s="1583"/>
      <c r="T1423" s="1585"/>
      <c r="U1423" s="1585"/>
      <c r="V1423" s="1585"/>
      <c r="W1423" s="1585"/>
      <c r="X1423" s="1585"/>
      <c r="Y1423" s="1585"/>
      <c r="Z1423" s="1585"/>
      <c r="AA1423" s="1585"/>
      <c r="AB1423" s="1585"/>
      <c r="AC1423" s="1585"/>
      <c r="AD1423" s="1601">
        <f t="shared" si="163"/>
        <v>0</v>
      </c>
      <c r="AE1423" s="1790">
        <v>0</v>
      </c>
      <c r="AF1423" s="1792"/>
    </row>
    <row r="1424" spans="1:32" ht="27.75" customHeight="1">
      <c r="A1424" s="2912"/>
      <c r="B1424" s="2912"/>
      <c r="C1424" s="2904"/>
      <c r="D1424" s="2906"/>
      <c r="E1424" s="2906"/>
      <c r="F1424" s="1583"/>
      <c r="G1424" s="1583"/>
      <c r="H1424" s="1583"/>
      <c r="I1424" s="1583"/>
      <c r="J1424" s="1583"/>
      <c r="K1424" s="1583"/>
      <c r="L1424" s="1583"/>
      <c r="M1424" s="1583"/>
      <c r="N1424" s="1583"/>
      <c r="O1424" s="1583"/>
      <c r="P1424" s="1583"/>
      <c r="Q1424" s="1604"/>
      <c r="R1424" s="1583"/>
      <c r="S1424" s="1583"/>
      <c r="T1424" s="1604"/>
      <c r="U1424" s="1585"/>
      <c r="V1424" s="1585"/>
      <c r="W1424" s="1585"/>
      <c r="X1424" s="1585"/>
      <c r="Y1424" s="1585"/>
      <c r="Z1424" s="1585"/>
      <c r="AA1424" s="1585"/>
      <c r="AB1424" s="1585"/>
      <c r="AC1424" s="1585"/>
      <c r="AD1424" s="1601">
        <f t="shared" si="163"/>
        <v>0</v>
      </c>
      <c r="AE1424" s="1790">
        <v>0</v>
      </c>
      <c r="AF1424" s="1792"/>
    </row>
    <row r="1425" spans="1:32" ht="27.75" customHeight="1">
      <c r="A1425" s="2899" t="s">
        <v>2903</v>
      </c>
      <c r="B1425" s="2901" t="s">
        <v>3860</v>
      </c>
      <c r="C1425" s="2903" t="s">
        <v>52</v>
      </c>
      <c r="D1425" s="2905">
        <v>426.04</v>
      </c>
      <c r="E1425" s="1598" t="s">
        <v>2496</v>
      </c>
      <c r="F1425" s="1583"/>
      <c r="G1425" s="1583"/>
      <c r="H1425" s="1583"/>
      <c r="I1425" s="1583"/>
      <c r="J1425" s="1583"/>
      <c r="K1425" s="1583"/>
      <c r="L1425" s="1583"/>
      <c r="M1425" s="1583"/>
      <c r="N1425" s="1583"/>
      <c r="O1425" s="1583"/>
      <c r="P1425" s="1583"/>
      <c r="Q1425" s="1585"/>
      <c r="R1425" s="1583"/>
      <c r="S1425" s="1583"/>
      <c r="T1425" s="1585"/>
      <c r="U1425" s="1585"/>
      <c r="V1425" s="1585"/>
      <c r="W1425" s="1585"/>
      <c r="X1425" s="1585"/>
      <c r="Y1425" s="1585"/>
      <c r="Z1425" s="1585"/>
      <c r="AA1425" s="1585">
        <f>D1425</f>
        <v>426.04</v>
      </c>
      <c r="AB1425" s="1585"/>
      <c r="AC1425" s="1585"/>
      <c r="AD1425" s="1601">
        <f t="shared" ref="AD1425:AD1488" si="164">SUM(F1425:AC1425)</f>
        <v>426.04</v>
      </c>
      <c r="AE1425" s="1790">
        <v>0</v>
      </c>
      <c r="AF1425" s="1792"/>
    </row>
    <row r="1426" spans="1:32" ht="27" customHeight="1">
      <c r="A1426" s="2900"/>
      <c r="B1426" s="2902"/>
      <c r="C1426" s="2904"/>
      <c r="D1426" s="2906"/>
      <c r="E1426" s="1603" t="s">
        <v>2497</v>
      </c>
      <c r="F1426" s="1583"/>
      <c r="G1426" s="1583"/>
      <c r="H1426" s="1583"/>
      <c r="I1426" s="1583"/>
      <c r="J1426" s="1583"/>
      <c r="K1426" s="1583"/>
      <c r="L1426" s="1583"/>
      <c r="M1426" s="1583"/>
      <c r="N1426" s="1583"/>
      <c r="O1426" s="1583"/>
      <c r="P1426" s="1583"/>
      <c r="Q1426" s="1604"/>
      <c r="R1426" s="1583"/>
      <c r="S1426" s="1583"/>
      <c r="T1426" s="1604"/>
      <c r="U1426" s="1585"/>
      <c r="V1426" s="1585"/>
      <c r="W1426" s="1585"/>
      <c r="X1426" s="1585"/>
      <c r="Y1426" s="1585"/>
      <c r="Z1426" s="1585"/>
      <c r="AA1426" s="1585"/>
      <c r="AB1426" s="1585"/>
      <c r="AC1426" s="1585"/>
      <c r="AD1426" s="1601">
        <f t="shared" si="164"/>
        <v>0</v>
      </c>
      <c r="AE1426" s="1790">
        <v>0</v>
      </c>
      <c r="AF1426" s="1792"/>
    </row>
    <row r="1427" spans="1:32" ht="27.75" customHeight="1">
      <c r="A1427" s="2899" t="s">
        <v>2905</v>
      </c>
      <c r="B1427" s="2901" t="s">
        <v>3861</v>
      </c>
      <c r="C1427" s="2903" t="s">
        <v>52</v>
      </c>
      <c r="D1427" s="2905">
        <v>448.45</v>
      </c>
      <c r="E1427" s="1598" t="s">
        <v>2496</v>
      </c>
      <c r="F1427" s="1583"/>
      <c r="G1427" s="1583"/>
      <c r="H1427" s="1583"/>
      <c r="I1427" s="1583"/>
      <c r="J1427" s="1583"/>
      <c r="K1427" s="1583"/>
      <c r="L1427" s="1583"/>
      <c r="M1427" s="1583"/>
      <c r="N1427" s="1583"/>
      <c r="O1427" s="1583"/>
      <c r="P1427" s="1583"/>
      <c r="Q1427" s="1585"/>
      <c r="R1427" s="1583"/>
      <c r="S1427" s="1583"/>
      <c r="T1427" s="1585"/>
      <c r="U1427" s="1585"/>
      <c r="V1427" s="1585"/>
      <c r="W1427" s="1585"/>
      <c r="X1427" s="1585"/>
      <c r="Y1427" s="1585"/>
      <c r="Z1427" s="1585"/>
      <c r="AA1427" s="1585">
        <f>D1427</f>
        <v>448.45</v>
      </c>
      <c r="AB1427" s="1585"/>
      <c r="AC1427" s="1585"/>
      <c r="AD1427" s="1601">
        <f t="shared" si="164"/>
        <v>448.45</v>
      </c>
      <c r="AE1427" s="1790">
        <v>0</v>
      </c>
      <c r="AF1427" s="1792"/>
    </row>
    <row r="1428" spans="1:32" ht="27.75" customHeight="1">
      <c r="A1428" s="2900"/>
      <c r="B1428" s="2902"/>
      <c r="C1428" s="2904"/>
      <c r="D1428" s="2906"/>
      <c r="E1428" s="1603" t="s">
        <v>2497</v>
      </c>
      <c r="F1428" s="1583"/>
      <c r="G1428" s="1583"/>
      <c r="H1428" s="1583"/>
      <c r="I1428" s="1583"/>
      <c r="J1428" s="1583"/>
      <c r="K1428" s="1583"/>
      <c r="L1428" s="1583"/>
      <c r="M1428" s="1583"/>
      <c r="N1428" s="1583"/>
      <c r="O1428" s="1583"/>
      <c r="P1428" s="1583"/>
      <c r="Q1428" s="1604"/>
      <c r="R1428" s="1583"/>
      <c r="S1428" s="1583"/>
      <c r="T1428" s="1604"/>
      <c r="U1428" s="1592"/>
      <c r="V1428" s="1585"/>
      <c r="W1428" s="1585"/>
      <c r="X1428" s="1585"/>
      <c r="Y1428" s="1592"/>
      <c r="Z1428" s="1585"/>
      <c r="AA1428" s="1585"/>
      <c r="AB1428" s="1585"/>
      <c r="AC1428" s="1585"/>
      <c r="AD1428" s="1601">
        <f t="shared" si="164"/>
        <v>0</v>
      </c>
      <c r="AE1428" s="1790">
        <v>0</v>
      </c>
      <c r="AF1428" s="1792"/>
    </row>
    <row r="1429" spans="1:32" ht="27.75" customHeight="1">
      <c r="A1429" s="2899" t="s">
        <v>2907</v>
      </c>
      <c r="B1429" s="2901" t="s">
        <v>3862</v>
      </c>
      <c r="C1429" s="2903" t="s">
        <v>52</v>
      </c>
      <c r="D1429" s="2905">
        <v>491.71</v>
      </c>
      <c r="E1429" s="1598" t="s">
        <v>2496</v>
      </c>
      <c r="F1429" s="1583"/>
      <c r="G1429" s="1583"/>
      <c r="H1429" s="1583"/>
      <c r="I1429" s="1583"/>
      <c r="J1429" s="1583"/>
      <c r="K1429" s="1583"/>
      <c r="L1429" s="1583"/>
      <c r="M1429" s="1583"/>
      <c r="N1429" s="1583"/>
      <c r="O1429" s="1583"/>
      <c r="P1429" s="1583"/>
      <c r="Q1429" s="1585"/>
      <c r="R1429" s="1583"/>
      <c r="S1429" s="1583"/>
      <c r="T1429" s="1585"/>
      <c r="U1429" s="1585"/>
      <c r="V1429" s="1585"/>
      <c r="W1429" s="1585"/>
      <c r="X1429" s="1585"/>
      <c r="Y1429" s="1585"/>
      <c r="Z1429" s="1585"/>
      <c r="AA1429" s="1585">
        <f>D1429</f>
        <v>491.71</v>
      </c>
      <c r="AB1429" s="1585"/>
      <c r="AC1429" s="1585"/>
      <c r="AD1429" s="1601">
        <f t="shared" si="164"/>
        <v>491.71</v>
      </c>
      <c r="AE1429" s="1790">
        <v>0</v>
      </c>
      <c r="AF1429" s="1792"/>
    </row>
    <row r="1430" spans="1:32" ht="27.75" customHeight="1">
      <c r="A1430" s="2900"/>
      <c r="B1430" s="2902"/>
      <c r="C1430" s="2904"/>
      <c r="D1430" s="2906"/>
      <c r="E1430" s="1603" t="s">
        <v>2497</v>
      </c>
      <c r="F1430" s="1583"/>
      <c r="G1430" s="1583"/>
      <c r="H1430" s="1583"/>
      <c r="I1430" s="1583"/>
      <c r="J1430" s="1583"/>
      <c r="K1430" s="1583"/>
      <c r="L1430" s="1583"/>
      <c r="M1430" s="1583"/>
      <c r="N1430" s="1583"/>
      <c r="O1430" s="1583"/>
      <c r="P1430" s="1583"/>
      <c r="Q1430" s="1604"/>
      <c r="R1430" s="1583"/>
      <c r="S1430" s="1583"/>
      <c r="T1430" s="1604"/>
      <c r="U1430" s="1585"/>
      <c r="V1430" s="1585"/>
      <c r="W1430" s="1585"/>
      <c r="X1430" s="1585"/>
      <c r="Y1430" s="1585"/>
      <c r="Z1430" s="1585"/>
      <c r="AA1430" s="1585"/>
      <c r="AB1430" s="1585"/>
      <c r="AC1430" s="1585"/>
      <c r="AD1430" s="1601">
        <f t="shared" si="164"/>
        <v>0</v>
      </c>
      <c r="AE1430" s="1790">
        <v>0</v>
      </c>
      <c r="AF1430" s="1792"/>
    </row>
    <row r="1431" spans="1:32" ht="27.75" customHeight="1">
      <c r="A1431" s="2899" t="s">
        <v>2909</v>
      </c>
      <c r="B1431" s="2901" t="s">
        <v>3863</v>
      </c>
      <c r="C1431" s="2903" t="s">
        <v>52</v>
      </c>
      <c r="D1431" s="2905">
        <v>1876.36</v>
      </c>
      <c r="E1431" s="1598" t="s">
        <v>2496</v>
      </c>
      <c r="F1431" s="1583"/>
      <c r="G1431" s="1583"/>
      <c r="H1431" s="1583"/>
      <c r="I1431" s="1583"/>
      <c r="J1431" s="1583"/>
      <c r="K1431" s="1583"/>
      <c r="L1431" s="1583"/>
      <c r="M1431" s="1583"/>
      <c r="N1431" s="1583"/>
      <c r="O1431" s="1583"/>
      <c r="P1431" s="1583"/>
      <c r="Q1431" s="1585"/>
      <c r="R1431" s="1583"/>
      <c r="S1431" s="1583"/>
      <c r="T1431" s="1585"/>
      <c r="U1431" s="1585"/>
      <c r="V1431" s="1585"/>
      <c r="W1431" s="1585"/>
      <c r="X1431" s="1585"/>
      <c r="Y1431" s="1585"/>
      <c r="Z1431" s="1585"/>
      <c r="AA1431" s="1585">
        <f>D1431</f>
        <v>1876.36</v>
      </c>
      <c r="AB1431" s="1585"/>
      <c r="AC1431" s="1585"/>
      <c r="AD1431" s="1601">
        <f t="shared" si="164"/>
        <v>1876.36</v>
      </c>
      <c r="AE1431" s="1790">
        <v>0</v>
      </c>
      <c r="AF1431" s="1792"/>
    </row>
    <row r="1432" spans="1:32" ht="27" customHeight="1">
      <c r="A1432" s="2900"/>
      <c r="B1432" s="2902"/>
      <c r="C1432" s="2904"/>
      <c r="D1432" s="2906"/>
      <c r="E1432" s="1603" t="s">
        <v>2497</v>
      </c>
      <c r="F1432" s="1583"/>
      <c r="G1432" s="1583"/>
      <c r="H1432" s="1583"/>
      <c r="I1432" s="1583"/>
      <c r="J1432" s="1583"/>
      <c r="K1432" s="1583"/>
      <c r="L1432" s="1583"/>
      <c r="M1432" s="1583"/>
      <c r="N1432" s="1583"/>
      <c r="O1432" s="1583"/>
      <c r="P1432" s="1583"/>
      <c r="Q1432" s="1604"/>
      <c r="R1432" s="1583"/>
      <c r="S1432" s="1583"/>
      <c r="T1432" s="1604"/>
      <c r="U1432" s="1585"/>
      <c r="V1432" s="1585"/>
      <c r="W1432" s="1585"/>
      <c r="X1432" s="1585"/>
      <c r="Y1432" s="1585"/>
      <c r="Z1432" s="1585"/>
      <c r="AA1432" s="1585"/>
      <c r="AB1432" s="1585"/>
      <c r="AC1432" s="1585"/>
      <c r="AD1432" s="1601">
        <f t="shared" si="164"/>
        <v>0</v>
      </c>
      <c r="AE1432" s="1790">
        <v>0</v>
      </c>
      <c r="AF1432" s="1792"/>
    </row>
    <row r="1433" spans="1:32" ht="27.75" customHeight="1">
      <c r="A1433" s="2899" t="s">
        <v>2911</v>
      </c>
      <c r="B1433" s="2901" t="s">
        <v>3864</v>
      </c>
      <c r="C1433" s="2903" t="s">
        <v>52</v>
      </c>
      <c r="D1433" s="2905">
        <v>1415.04</v>
      </c>
      <c r="E1433" s="1598" t="s">
        <v>2496</v>
      </c>
      <c r="F1433" s="1583"/>
      <c r="G1433" s="1583"/>
      <c r="H1433" s="1583"/>
      <c r="I1433" s="1583"/>
      <c r="J1433" s="1583"/>
      <c r="K1433" s="1583"/>
      <c r="L1433" s="1583"/>
      <c r="M1433" s="1583"/>
      <c r="N1433" s="1583"/>
      <c r="O1433" s="1583"/>
      <c r="P1433" s="1583"/>
      <c r="Q1433" s="1585"/>
      <c r="R1433" s="1583"/>
      <c r="S1433" s="1583"/>
      <c r="T1433" s="1585"/>
      <c r="U1433" s="1585"/>
      <c r="V1433" s="1585"/>
      <c r="W1433" s="1585"/>
      <c r="X1433" s="1585"/>
      <c r="Y1433" s="1585"/>
      <c r="Z1433" s="1585"/>
      <c r="AA1433" s="1585">
        <f>D1433</f>
        <v>1415.04</v>
      </c>
      <c r="AB1433" s="1585"/>
      <c r="AC1433" s="1585"/>
      <c r="AD1433" s="1601">
        <f t="shared" si="164"/>
        <v>1415.04</v>
      </c>
      <c r="AE1433" s="1790">
        <v>0</v>
      </c>
      <c r="AF1433" s="1792"/>
    </row>
    <row r="1434" spans="1:32" ht="27.75" customHeight="1">
      <c r="A1434" s="2900"/>
      <c r="B1434" s="2902"/>
      <c r="C1434" s="2904"/>
      <c r="D1434" s="2906"/>
      <c r="E1434" s="1603" t="s">
        <v>2497</v>
      </c>
      <c r="F1434" s="1583"/>
      <c r="G1434" s="1583"/>
      <c r="H1434" s="1583"/>
      <c r="I1434" s="1583"/>
      <c r="J1434" s="1583"/>
      <c r="K1434" s="1583"/>
      <c r="L1434" s="1583"/>
      <c r="M1434" s="1583"/>
      <c r="N1434" s="1583"/>
      <c r="O1434" s="1583"/>
      <c r="P1434" s="1583"/>
      <c r="Q1434" s="1604"/>
      <c r="R1434" s="1583"/>
      <c r="S1434" s="1583"/>
      <c r="T1434" s="1604"/>
      <c r="U1434" s="1592"/>
      <c r="V1434" s="1585"/>
      <c r="W1434" s="1585"/>
      <c r="X1434" s="1585"/>
      <c r="Y1434" s="1592"/>
      <c r="Z1434" s="1585"/>
      <c r="AA1434" s="1585"/>
      <c r="AB1434" s="1585"/>
      <c r="AC1434" s="1585"/>
      <c r="AD1434" s="1601">
        <f t="shared" si="164"/>
        <v>0</v>
      </c>
      <c r="AE1434" s="1790">
        <v>0</v>
      </c>
      <c r="AF1434" s="1792"/>
    </row>
    <row r="1435" spans="1:32" ht="27.75" customHeight="1">
      <c r="A1435" s="2911" t="s">
        <v>2913</v>
      </c>
      <c r="B1435" s="2913" t="s">
        <v>3865</v>
      </c>
      <c r="C1435" s="2903"/>
      <c r="D1435" s="2905"/>
      <c r="E1435" s="2903"/>
      <c r="F1435" s="1583"/>
      <c r="G1435" s="1583"/>
      <c r="H1435" s="1583"/>
      <c r="I1435" s="1583"/>
      <c r="J1435" s="1583"/>
      <c r="K1435" s="1583"/>
      <c r="L1435" s="1583"/>
      <c r="M1435" s="1583"/>
      <c r="N1435" s="1583"/>
      <c r="O1435" s="1583"/>
      <c r="P1435" s="1583"/>
      <c r="Q1435" s="1585"/>
      <c r="R1435" s="1583"/>
      <c r="S1435" s="1583"/>
      <c r="T1435" s="1585"/>
      <c r="U1435" s="1585"/>
      <c r="V1435" s="1585"/>
      <c r="W1435" s="1585"/>
      <c r="X1435" s="1585"/>
      <c r="Y1435" s="1585"/>
      <c r="Z1435" s="1585"/>
      <c r="AA1435" s="1585"/>
      <c r="AB1435" s="1585"/>
      <c r="AC1435" s="1585"/>
      <c r="AD1435" s="1601">
        <f t="shared" si="164"/>
        <v>0</v>
      </c>
      <c r="AE1435" s="1790">
        <v>0</v>
      </c>
      <c r="AF1435" s="1792"/>
    </row>
    <row r="1436" spans="1:32" ht="27.75" customHeight="1">
      <c r="A1436" s="2912"/>
      <c r="B1436" s="2914"/>
      <c r="C1436" s="2904"/>
      <c r="D1436" s="2906"/>
      <c r="E1436" s="2904"/>
      <c r="F1436" s="1583"/>
      <c r="G1436" s="1583"/>
      <c r="H1436" s="1583"/>
      <c r="I1436" s="1583"/>
      <c r="J1436" s="1583"/>
      <c r="K1436" s="1583"/>
      <c r="L1436" s="1583"/>
      <c r="M1436" s="1583"/>
      <c r="N1436" s="1583"/>
      <c r="O1436" s="1583"/>
      <c r="P1436" s="1583"/>
      <c r="Q1436" s="1604"/>
      <c r="R1436" s="1583"/>
      <c r="S1436" s="1583"/>
      <c r="T1436" s="1604"/>
      <c r="U1436" s="1585"/>
      <c r="V1436" s="1585"/>
      <c r="W1436" s="1585"/>
      <c r="X1436" s="1585"/>
      <c r="Y1436" s="1585"/>
      <c r="Z1436" s="1585"/>
      <c r="AA1436" s="1585"/>
      <c r="AB1436" s="1585"/>
      <c r="AC1436" s="1585"/>
      <c r="AD1436" s="1601">
        <f t="shared" si="164"/>
        <v>0</v>
      </c>
      <c r="AE1436" s="1790">
        <v>0</v>
      </c>
      <c r="AF1436" s="1792"/>
    </row>
    <row r="1437" spans="1:32" ht="27.75" customHeight="1">
      <c r="A1437" s="2899" t="s">
        <v>2915</v>
      </c>
      <c r="B1437" s="2901" t="s">
        <v>3866</v>
      </c>
      <c r="C1437" s="2903" t="s">
        <v>49</v>
      </c>
      <c r="D1437" s="2905">
        <v>14534.7132</v>
      </c>
      <c r="E1437" s="1598" t="s">
        <v>2496</v>
      </c>
      <c r="F1437" s="1583"/>
      <c r="G1437" s="1583"/>
      <c r="H1437" s="1583"/>
      <c r="I1437" s="1583"/>
      <c r="J1437" s="1583"/>
      <c r="K1437" s="1583"/>
      <c r="L1437" s="1583"/>
      <c r="M1437" s="1583"/>
      <c r="N1437" s="1583"/>
      <c r="O1437" s="1583"/>
      <c r="P1437" s="1583"/>
      <c r="Q1437" s="1585"/>
      <c r="R1437" s="1583"/>
      <c r="S1437" s="1583"/>
      <c r="T1437" s="1585"/>
      <c r="U1437" s="1585"/>
      <c r="V1437" s="1585"/>
      <c r="W1437" s="1585"/>
      <c r="X1437" s="1585"/>
      <c r="Y1437" s="1585"/>
      <c r="Z1437" s="1585"/>
      <c r="AA1437" s="1585"/>
      <c r="AB1437" s="1585"/>
      <c r="AC1437" s="1585">
        <v>14534.71</v>
      </c>
      <c r="AD1437" s="1601">
        <f t="shared" si="164"/>
        <v>14534.71</v>
      </c>
      <c r="AE1437" s="1790">
        <v>0</v>
      </c>
      <c r="AF1437" s="1792"/>
    </row>
    <row r="1438" spans="1:32" ht="27" customHeight="1">
      <c r="A1438" s="2900"/>
      <c r="B1438" s="2902"/>
      <c r="C1438" s="2904" t="s">
        <v>49</v>
      </c>
      <c r="D1438" s="2906">
        <v>14534.7132</v>
      </c>
      <c r="E1438" s="1603" t="s">
        <v>2497</v>
      </c>
      <c r="F1438" s="1583"/>
      <c r="G1438" s="1583"/>
      <c r="H1438" s="1583"/>
      <c r="I1438" s="1583"/>
      <c r="J1438" s="1583"/>
      <c r="K1438" s="1583"/>
      <c r="L1438" s="1583"/>
      <c r="M1438" s="1583"/>
      <c r="N1438" s="1583"/>
      <c r="O1438" s="1583"/>
      <c r="P1438" s="1583"/>
      <c r="Q1438" s="1604"/>
      <c r="R1438" s="1583"/>
      <c r="S1438" s="1583"/>
      <c r="T1438" s="1604"/>
      <c r="U1438" s="1585"/>
      <c r="V1438" s="1585"/>
      <c r="W1438" s="1585"/>
      <c r="X1438" s="1585"/>
      <c r="Y1438" s="1585"/>
      <c r="Z1438" s="1585"/>
      <c r="AA1438" s="1585"/>
      <c r="AB1438" s="1585"/>
      <c r="AC1438" s="1585"/>
      <c r="AD1438" s="1601">
        <f t="shared" si="164"/>
        <v>0</v>
      </c>
      <c r="AE1438" s="1790">
        <v>0</v>
      </c>
      <c r="AF1438" s="1792"/>
    </row>
    <row r="1439" spans="1:32" ht="27.75" customHeight="1">
      <c r="A1439" s="2911" t="s">
        <v>2917</v>
      </c>
      <c r="B1439" s="2913" t="s">
        <v>3867</v>
      </c>
      <c r="C1439" s="2915"/>
      <c r="D1439" s="2905"/>
      <c r="E1439" s="2915"/>
      <c r="F1439" s="1583"/>
      <c r="G1439" s="1583"/>
      <c r="H1439" s="1583"/>
      <c r="I1439" s="1583"/>
      <c r="J1439" s="1583"/>
      <c r="K1439" s="1583"/>
      <c r="L1439" s="1583"/>
      <c r="M1439" s="1583"/>
      <c r="N1439" s="1583"/>
      <c r="O1439" s="1583"/>
      <c r="P1439" s="1583"/>
      <c r="Q1439" s="1585"/>
      <c r="R1439" s="1583"/>
      <c r="S1439" s="1583"/>
      <c r="T1439" s="1585"/>
      <c r="U1439" s="1585"/>
      <c r="V1439" s="1585"/>
      <c r="W1439" s="1585"/>
      <c r="X1439" s="1585"/>
      <c r="Y1439" s="1585"/>
      <c r="Z1439" s="1585"/>
      <c r="AA1439" s="1585"/>
      <c r="AB1439" s="1585"/>
      <c r="AC1439" s="1585"/>
      <c r="AD1439" s="1601">
        <f t="shared" si="164"/>
        <v>0</v>
      </c>
      <c r="AE1439" s="1790">
        <v>0</v>
      </c>
      <c r="AF1439" s="1792"/>
    </row>
    <row r="1440" spans="1:32" ht="27.75" customHeight="1">
      <c r="A1440" s="2912"/>
      <c r="B1440" s="2914"/>
      <c r="C1440" s="2916"/>
      <c r="D1440" s="2906"/>
      <c r="E1440" s="2916"/>
      <c r="F1440" s="1583"/>
      <c r="G1440" s="1583"/>
      <c r="H1440" s="1583"/>
      <c r="I1440" s="1583"/>
      <c r="J1440" s="1583"/>
      <c r="K1440" s="1583"/>
      <c r="L1440" s="1583"/>
      <c r="M1440" s="1583"/>
      <c r="N1440" s="1583"/>
      <c r="O1440" s="1583"/>
      <c r="P1440" s="1583"/>
      <c r="Q1440" s="1604"/>
      <c r="R1440" s="1583"/>
      <c r="S1440" s="1583"/>
      <c r="T1440" s="1604"/>
      <c r="U1440" s="1592"/>
      <c r="V1440" s="1585"/>
      <c r="W1440" s="1585"/>
      <c r="X1440" s="1585"/>
      <c r="Y1440" s="1592"/>
      <c r="Z1440" s="1585"/>
      <c r="AA1440" s="1585"/>
      <c r="AB1440" s="1585"/>
      <c r="AC1440" s="1585"/>
      <c r="AD1440" s="1601">
        <f t="shared" si="164"/>
        <v>0</v>
      </c>
      <c r="AE1440" s="1790">
        <v>0</v>
      </c>
      <c r="AF1440" s="1792"/>
    </row>
    <row r="1441" spans="1:32" ht="27.75" customHeight="1">
      <c r="A1441" s="2899" t="s">
        <v>2919</v>
      </c>
      <c r="B1441" s="2901" t="s">
        <v>3868</v>
      </c>
      <c r="C1441" s="2903" t="s">
        <v>49</v>
      </c>
      <c r="D1441" s="2905">
        <v>10490.949000000001</v>
      </c>
      <c r="E1441" s="1598" t="s">
        <v>2496</v>
      </c>
      <c r="F1441" s="1583"/>
      <c r="G1441" s="1583"/>
      <c r="H1441" s="1583"/>
      <c r="I1441" s="1583"/>
      <c r="J1441" s="1583"/>
      <c r="K1441" s="1583"/>
      <c r="L1441" s="1583"/>
      <c r="M1441" s="1583"/>
      <c r="N1441" s="1583"/>
      <c r="O1441" s="1583"/>
      <c r="P1441" s="1583"/>
      <c r="Q1441" s="1585"/>
      <c r="R1441" s="1583"/>
      <c r="S1441" s="1583"/>
      <c r="T1441" s="1585"/>
      <c r="U1441" s="1585"/>
      <c r="V1441" s="1585"/>
      <c r="W1441" s="1585"/>
      <c r="X1441" s="1585"/>
      <c r="Y1441" s="1585"/>
      <c r="Z1441" s="1585"/>
      <c r="AA1441" s="1585">
        <f>D1441</f>
        <v>10490.949000000001</v>
      </c>
      <c r="AB1441" s="1585"/>
      <c r="AC1441" s="1585"/>
      <c r="AD1441" s="1601">
        <f t="shared" si="164"/>
        <v>10490.949000000001</v>
      </c>
      <c r="AE1441" s="1790">
        <v>0</v>
      </c>
      <c r="AF1441" s="1792"/>
    </row>
    <row r="1442" spans="1:32" ht="27.75" customHeight="1">
      <c r="A1442" s="2900" t="s">
        <v>2919</v>
      </c>
      <c r="B1442" s="2902" t="s">
        <v>2920</v>
      </c>
      <c r="C1442" s="2904" t="s">
        <v>49</v>
      </c>
      <c r="D1442" s="2906">
        <v>10490.949000000001</v>
      </c>
      <c r="E1442" s="1603" t="s">
        <v>2497</v>
      </c>
      <c r="F1442" s="1583"/>
      <c r="G1442" s="1583"/>
      <c r="H1442" s="1583"/>
      <c r="I1442" s="1583"/>
      <c r="J1442" s="1583"/>
      <c r="K1442" s="1583"/>
      <c r="L1442" s="1583"/>
      <c r="M1442" s="1583"/>
      <c r="N1442" s="1583"/>
      <c r="O1442" s="1583"/>
      <c r="P1442" s="1583"/>
      <c r="Q1442" s="1604"/>
      <c r="R1442" s="1583"/>
      <c r="S1442" s="1583"/>
      <c r="T1442" s="1604"/>
      <c r="U1442" s="1585"/>
      <c r="V1442" s="1585"/>
      <c r="W1442" s="1585"/>
      <c r="X1442" s="1585"/>
      <c r="Y1442" s="1585"/>
      <c r="Z1442" s="1585"/>
      <c r="AA1442" s="1585"/>
      <c r="AB1442" s="1585"/>
      <c r="AC1442" s="1585"/>
      <c r="AD1442" s="1601">
        <f t="shared" si="164"/>
        <v>0</v>
      </c>
      <c r="AE1442" s="1790">
        <v>0</v>
      </c>
      <c r="AF1442" s="1792"/>
    </row>
    <row r="1443" spans="1:32" ht="27.75" customHeight="1">
      <c r="A1443" s="2899" t="s">
        <v>2921</v>
      </c>
      <c r="B1443" s="2901" t="s">
        <v>3869</v>
      </c>
      <c r="C1443" s="2903" t="s">
        <v>49</v>
      </c>
      <c r="D1443" s="2905">
        <v>6500.8692000000001</v>
      </c>
      <c r="E1443" s="1598" t="s">
        <v>2496</v>
      </c>
      <c r="F1443" s="1583"/>
      <c r="G1443" s="1583"/>
      <c r="H1443" s="1583"/>
      <c r="I1443" s="1583"/>
      <c r="J1443" s="1583"/>
      <c r="K1443" s="1583"/>
      <c r="L1443" s="1583"/>
      <c r="M1443" s="1583"/>
      <c r="N1443" s="1583"/>
      <c r="O1443" s="1583"/>
      <c r="P1443" s="1583"/>
      <c r="Q1443" s="1585"/>
      <c r="R1443" s="1583"/>
      <c r="S1443" s="1583"/>
      <c r="T1443" s="1585"/>
      <c r="U1443" s="1585"/>
      <c r="V1443" s="1585"/>
      <c r="W1443" s="1585"/>
      <c r="X1443" s="1585"/>
      <c r="Y1443" s="1585"/>
      <c r="Z1443" s="1585"/>
      <c r="AA1443" s="1585">
        <f>D1443</f>
        <v>6500.8692000000001</v>
      </c>
      <c r="AB1443" s="1585"/>
      <c r="AC1443" s="1585"/>
      <c r="AD1443" s="1601">
        <f t="shared" si="164"/>
        <v>6500.8692000000001</v>
      </c>
      <c r="AE1443" s="1790">
        <v>0</v>
      </c>
      <c r="AF1443" s="1792"/>
    </row>
    <row r="1444" spans="1:32" ht="27" customHeight="1">
      <c r="A1444" s="2900" t="s">
        <v>2921</v>
      </c>
      <c r="B1444" s="2902" t="s">
        <v>2922</v>
      </c>
      <c r="C1444" s="2904" t="s">
        <v>49</v>
      </c>
      <c r="D1444" s="2906">
        <v>6500.8692000000001</v>
      </c>
      <c r="E1444" s="1603" t="s">
        <v>2497</v>
      </c>
      <c r="F1444" s="1583"/>
      <c r="G1444" s="1583"/>
      <c r="H1444" s="1583"/>
      <c r="I1444" s="1583"/>
      <c r="J1444" s="1583"/>
      <c r="K1444" s="1583"/>
      <c r="L1444" s="1583"/>
      <c r="M1444" s="1583"/>
      <c r="N1444" s="1583"/>
      <c r="O1444" s="1583"/>
      <c r="P1444" s="1583"/>
      <c r="Q1444" s="1604"/>
      <c r="R1444" s="1583"/>
      <c r="S1444" s="1583"/>
      <c r="T1444" s="1604"/>
      <c r="U1444" s="1585"/>
      <c r="V1444" s="1585"/>
      <c r="W1444" s="1585"/>
      <c r="X1444" s="1585"/>
      <c r="Y1444" s="1585"/>
      <c r="Z1444" s="1585"/>
      <c r="AA1444" s="1585"/>
      <c r="AB1444" s="1585"/>
      <c r="AC1444" s="1585"/>
      <c r="AD1444" s="1601">
        <f t="shared" si="164"/>
        <v>0</v>
      </c>
      <c r="AE1444" s="1790">
        <v>0</v>
      </c>
      <c r="AF1444" s="1792"/>
    </row>
    <row r="1445" spans="1:32" ht="27" customHeight="1">
      <c r="A1445" s="1647" t="s">
        <v>116</v>
      </c>
      <c r="B1445" s="1647" t="s">
        <v>2591</v>
      </c>
      <c r="C1445" s="1803"/>
      <c r="D1445" s="1804"/>
      <c r="E1445" s="1599"/>
      <c r="F1445" s="1583"/>
      <c r="G1445" s="1583"/>
      <c r="H1445" s="1583"/>
      <c r="I1445" s="1583"/>
      <c r="J1445" s="1583"/>
      <c r="K1445" s="1583"/>
      <c r="L1445" s="1583"/>
      <c r="M1445" s="1583"/>
      <c r="N1445" s="1583"/>
      <c r="O1445" s="1583"/>
      <c r="P1445" s="1583"/>
      <c r="Q1445" s="1604"/>
      <c r="R1445" s="1583"/>
      <c r="S1445" s="1583"/>
      <c r="T1445" s="1604"/>
      <c r="U1445" s="1585"/>
      <c r="V1445" s="1585"/>
      <c r="W1445" s="1585"/>
      <c r="X1445" s="1585"/>
      <c r="Y1445" s="1585"/>
      <c r="Z1445" s="1585"/>
      <c r="AA1445" s="1585"/>
      <c r="AB1445" s="1585"/>
      <c r="AC1445" s="1585"/>
      <c r="AD1445" s="1601">
        <f t="shared" si="164"/>
        <v>0</v>
      </c>
      <c r="AE1445" s="1790">
        <v>0</v>
      </c>
      <c r="AF1445" s="1792"/>
    </row>
    <row r="1446" spans="1:32" ht="27.75" customHeight="1">
      <c r="A1446" s="2899" t="s">
        <v>689</v>
      </c>
      <c r="B1446" s="2901" t="s">
        <v>3870</v>
      </c>
      <c r="C1446" s="2903" t="s">
        <v>49</v>
      </c>
      <c r="D1446" s="2905">
        <v>2468.2000000000003</v>
      </c>
      <c r="E1446" s="1598" t="s">
        <v>2496</v>
      </c>
      <c r="F1446" s="1583"/>
      <c r="G1446" s="1583"/>
      <c r="H1446" s="1583"/>
      <c r="I1446" s="1583"/>
      <c r="J1446" s="1583"/>
      <c r="K1446" s="1583"/>
      <c r="L1446" s="1583"/>
      <c r="M1446" s="1583"/>
      <c r="N1446" s="1583"/>
      <c r="O1446" s="1583"/>
      <c r="P1446" s="1583"/>
      <c r="Q1446" s="1585"/>
      <c r="R1446" s="1583"/>
      <c r="S1446" s="1583"/>
      <c r="T1446" s="1585"/>
      <c r="U1446" s="1585"/>
      <c r="V1446" s="1585"/>
      <c r="W1446" s="1585"/>
      <c r="X1446" s="1585"/>
      <c r="Y1446" s="1585"/>
      <c r="Z1446" s="1585"/>
      <c r="AA1446" s="1585">
        <f>D1446</f>
        <v>2468.2000000000003</v>
      </c>
      <c r="AB1446" s="1585"/>
      <c r="AC1446" s="1585"/>
      <c r="AD1446" s="1601">
        <f t="shared" si="164"/>
        <v>2468.2000000000003</v>
      </c>
      <c r="AE1446" s="1790">
        <v>0</v>
      </c>
      <c r="AF1446" s="1792"/>
    </row>
    <row r="1447" spans="1:32" ht="27.75" customHeight="1">
      <c r="A1447" s="2900" t="s">
        <v>689</v>
      </c>
      <c r="B1447" s="2902" t="s">
        <v>2923</v>
      </c>
      <c r="C1447" s="2904" t="s">
        <v>49</v>
      </c>
      <c r="D1447" s="2906">
        <v>2468.2000000000003</v>
      </c>
      <c r="E1447" s="1603" t="s">
        <v>2497</v>
      </c>
      <c r="F1447" s="1583"/>
      <c r="G1447" s="1583"/>
      <c r="H1447" s="1583"/>
      <c r="I1447" s="1583"/>
      <c r="J1447" s="1583"/>
      <c r="K1447" s="1583"/>
      <c r="L1447" s="1583"/>
      <c r="M1447" s="1583"/>
      <c r="N1447" s="1583"/>
      <c r="O1447" s="1583"/>
      <c r="P1447" s="1583"/>
      <c r="Q1447" s="1604"/>
      <c r="R1447" s="1583"/>
      <c r="S1447" s="1583"/>
      <c r="T1447" s="1604"/>
      <c r="U1447" s="1592"/>
      <c r="V1447" s="1585"/>
      <c r="W1447" s="1585"/>
      <c r="X1447" s="1585"/>
      <c r="Y1447" s="1592"/>
      <c r="Z1447" s="1585"/>
      <c r="AA1447" s="1585"/>
      <c r="AB1447" s="1585"/>
      <c r="AC1447" s="1585"/>
      <c r="AD1447" s="1601">
        <f t="shared" si="164"/>
        <v>0</v>
      </c>
      <c r="AE1447" s="1790">
        <v>0</v>
      </c>
      <c r="AF1447" s="1792"/>
    </row>
    <row r="1448" spans="1:32" ht="27.75" customHeight="1">
      <c r="A1448" s="2899" t="s">
        <v>693</v>
      </c>
      <c r="B1448" s="2901" t="s">
        <v>3871</v>
      </c>
      <c r="C1448" s="2903" t="s">
        <v>49</v>
      </c>
      <c r="D1448" s="2905">
        <v>1205.9840000000002</v>
      </c>
      <c r="E1448" s="1598" t="s">
        <v>2496</v>
      </c>
      <c r="F1448" s="1583"/>
      <c r="G1448" s="1583"/>
      <c r="H1448" s="1583"/>
      <c r="I1448" s="1583"/>
      <c r="J1448" s="1583"/>
      <c r="K1448" s="1583"/>
      <c r="L1448" s="1583"/>
      <c r="M1448" s="1583"/>
      <c r="N1448" s="1583"/>
      <c r="O1448" s="1583"/>
      <c r="P1448" s="1583"/>
      <c r="Q1448" s="1585"/>
      <c r="R1448" s="1583"/>
      <c r="S1448" s="1583"/>
      <c r="T1448" s="1585"/>
      <c r="U1448" s="1585"/>
      <c r="V1448" s="1585"/>
      <c r="W1448" s="1585"/>
      <c r="X1448" s="1585"/>
      <c r="Y1448" s="1585"/>
      <c r="Z1448" s="1585"/>
      <c r="AA1448" s="1585"/>
      <c r="AB1448" s="1585"/>
      <c r="AC1448" s="1585">
        <v>1205.9840000000002</v>
      </c>
      <c r="AD1448" s="1601">
        <f t="shared" si="164"/>
        <v>1205.9840000000002</v>
      </c>
      <c r="AE1448" s="1790">
        <v>0</v>
      </c>
      <c r="AF1448" s="1792"/>
    </row>
    <row r="1449" spans="1:32" ht="27.75" customHeight="1">
      <c r="A1449" s="2900" t="s">
        <v>693</v>
      </c>
      <c r="B1449" s="2902" t="s">
        <v>2924</v>
      </c>
      <c r="C1449" s="2904" t="s">
        <v>49</v>
      </c>
      <c r="D1449" s="2906">
        <v>1205.9840000000002</v>
      </c>
      <c r="E1449" s="1603" t="s">
        <v>2497</v>
      </c>
      <c r="F1449" s="1583"/>
      <c r="G1449" s="1583"/>
      <c r="H1449" s="1583"/>
      <c r="I1449" s="1583"/>
      <c r="J1449" s="1583"/>
      <c r="K1449" s="1583"/>
      <c r="L1449" s="1583"/>
      <c r="M1449" s="1583"/>
      <c r="N1449" s="1583"/>
      <c r="O1449" s="1583"/>
      <c r="P1449" s="1583"/>
      <c r="Q1449" s="1604"/>
      <c r="R1449" s="1583"/>
      <c r="S1449" s="1583"/>
      <c r="T1449" s="1604"/>
      <c r="U1449" s="1585"/>
      <c r="V1449" s="1585"/>
      <c r="W1449" s="1585"/>
      <c r="X1449" s="1585"/>
      <c r="Y1449" s="1585"/>
      <c r="Z1449" s="1585"/>
      <c r="AA1449" s="1585"/>
      <c r="AB1449" s="1585"/>
      <c r="AC1449" s="1585"/>
      <c r="AD1449" s="1601">
        <f t="shared" si="164"/>
        <v>0</v>
      </c>
      <c r="AE1449" s="1790">
        <v>0</v>
      </c>
      <c r="AF1449" s="1792"/>
    </row>
    <row r="1450" spans="1:32" ht="27.75" customHeight="1">
      <c r="A1450" s="1647" t="s">
        <v>699</v>
      </c>
      <c r="B1450" s="1647" t="s">
        <v>3872</v>
      </c>
      <c r="C1450" s="1803"/>
      <c r="D1450" s="1804"/>
      <c r="E1450" s="1599"/>
      <c r="F1450" s="1583"/>
      <c r="G1450" s="1583"/>
      <c r="H1450" s="1583"/>
      <c r="I1450" s="1583"/>
      <c r="J1450" s="1583"/>
      <c r="K1450" s="1583"/>
      <c r="L1450" s="1583"/>
      <c r="M1450" s="1583"/>
      <c r="N1450" s="1583"/>
      <c r="O1450" s="1583"/>
      <c r="P1450" s="1583"/>
      <c r="Q1450" s="1604"/>
      <c r="R1450" s="1583"/>
      <c r="S1450" s="1583"/>
      <c r="T1450" s="1604"/>
      <c r="U1450" s="1585"/>
      <c r="V1450" s="1585"/>
      <c r="W1450" s="1585"/>
      <c r="X1450" s="1585"/>
      <c r="Y1450" s="1585"/>
      <c r="Z1450" s="1585"/>
      <c r="AA1450" s="1585"/>
      <c r="AB1450" s="1585"/>
      <c r="AC1450" s="1585"/>
      <c r="AD1450" s="1601">
        <f t="shared" si="164"/>
        <v>0</v>
      </c>
      <c r="AE1450" s="1790">
        <v>0</v>
      </c>
      <c r="AF1450" s="1792"/>
    </row>
    <row r="1451" spans="1:32" ht="27.75" customHeight="1">
      <c r="A1451" s="2899" t="s">
        <v>700</v>
      </c>
      <c r="B1451" s="2901" t="s">
        <v>3873</v>
      </c>
      <c r="C1451" s="2903" t="s">
        <v>51</v>
      </c>
      <c r="D1451" s="2905">
        <v>318.40050000000002</v>
      </c>
      <c r="E1451" s="1598" t="s">
        <v>2496</v>
      </c>
      <c r="F1451" s="1583"/>
      <c r="G1451" s="1583"/>
      <c r="H1451" s="1583"/>
      <c r="I1451" s="1583"/>
      <c r="J1451" s="1583"/>
      <c r="K1451" s="1583"/>
      <c r="L1451" s="1583"/>
      <c r="M1451" s="1583"/>
      <c r="N1451" s="1583"/>
      <c r="O1451" s="1583"/>
      <c r="P1451" s="1583"/>
      <c r="Q1451" s="1585"/>
      <c r="R1451" s="1583"/>
      <c r="S1451" s="1583"/>
      <c r="T1451" s="1585"/>
      <c r="U1451" s="1585"/>
      <c r="V1451" s="1585"/>
      <c r="W1451" s="1585"/>
      <c r="X1451" s="1585"/>
      <c r="Y1451" s="1585"/>
      <c r="Z1451" s="1585"/>
      <c r="AA1451" s="1585">
        <f>D1451</f>
        <v>318.40050000000002</v>
      </c>
      <c r="AB1451" s="1585"/>
      <c r="AC1451" s="1585"/>
      <c r="AD1451" s="1601">
        <f t="shared" si="164"/>
        <v>318.40050000000002</v>
      </c>
      <c r="AE1451" s="1790">
        <v>0</v>
      </c>
      <c r="AF1451" s="1792"/>
    </row>
    <row r="1452" spans="1:32" ht="27" customHeight="1">
      <c r="A1452" s="2900" t="s">
        <v>700</v>
      </c>
      <c r="B1452" s="2902" t="s">
        <v>2926</v>
      </c>
      <c r="C1452" s="2904" t="s">
        <v>51</v>
      </c>
      <c r="D1452" s="2906">
        <v>318.40050000000002</v>
      </c>
      <c r="E1452" s="1603" t="s">
        <v>2497</v>
      </c>
      <c r="F1452" s="1583"/>
      <c r="G1452" s="1583"/>
      <c r="H1452" s="1583"/>
      <c r="I1452" s="1583"/>
      <c r="J1452" s="1583"/>
      <c r="K1452" s="1583"/>
      <c r="L1452" s="1583"/>
      <c r="M1452" s="1583"/>
      <c r="N1452" s="1583"/>
      <c r="O1452" s="1583"/>
      <c r="P1452" s="1583"/>
      <c r="Q1452" s="1604"/>
      <c r="R1452" s="1583"/>
      <c r="S1452" s="1583"/>
      <c r="T1452" s="1604"/>
      <c r="U1452" s="1585"/>
      <c r="V1452" s="1585"/>
      <c r="W1452" s="1585"/>
      <c r="X1452" s="1585"/>
      <c r="Y1452" s="1585"/>
      <c r="Z1452" s="1585"/>
      <c r="AA1452" s="1585"/>
      <c r="AB1452" s="1585"/>
      <c r="AC1452" s="1585"/>
      <c r="AD1452" s="1601">
        <f t="shared" si="164"/>
        <v>0</v>
      </c>
      <c r="AE1452" s="1790">
        <v>0</v>
      </c>
      <c r="AF1452" s="1792"/>
    </row>
    <row r="1453" spans="1:32" ht="27" customHeight="1">
      <c r="A1453" s="1647" t="s">
        <v>1086</v>
      </c>
      <c r="B1453" s="1647" t="s">
        <v>3874</v>
      </c>
      <c r="C1453" s="1803"/>
      <c r="D1453" s="1804"/>
      <c r="E1453" s="1599"/>
      <c r="F1453" s="1583"/>
      <c r="G1453" s="1583"/>
      <c r="H1453" s="1583"/>
      <c r="I1453" s="1583"/>
      <c r="J1453" s="1583"/>
      <c r="K1453" s="1583"/>
      <c r="L1453" s="1583"/>
      <c r="M1453" s="1583"/>
      <c r="N1453" s="1583"/>
      <c r="O1453" s="1583"/>
      <c r="P1453" s="1583"/>
      <c r="Q1453" s="1604"/>
      <c r="R1453" s="1583"/>
      <c r="S1453" s="1583"/>
      <c r="T1453" s="1604"/>
      <c r="U1453" s="1585"/>
      <c r="V1453" s="1585"/>
      <c r="W1453" s="1585"/>
      <c r="X1453" s="1585"/>
      <c r="Y1453" s="1585"/>
      <c r="Z1453" s="1585"/>
      <c r="AA1453" s="1585"/>
      <c r="AB1453" s="1585"/>
      <c r="AC1453" s="1585"/>
      <c r="AD1453" s="1601">
        <f t="shared" si="164"/>
        <v>0</v>
      </c>
      <c r="AE1453" s="1790">
        <v>0</v>
      </c>
      <c r="AF1453" s="1792"/>
    </row>
    <row r="1454" spans="1:32" ht="27.75" customHeight="1">
      <c r="A1454" s="2899" t="s">
        <v>1087</v>
      </c>
      <c r="B1454" s="2901" t="s">
        <v>3875</v>
      </c>
      <c r="C1454" s="2903" t="s">
        <v>49</v>
      </c>
      <c r="D1454" s="2905">
        <v>10869.6384</v>
      </c>
      <c r="E1454" s="1598" t="s">
        <v>2496</v>
      </c>
      <c r="F1454" s="1583"/>
      <c r="G1454" s="1583"/>
      <c r="H1454" s="1583"/>
      <c r="I1454" s="1583"/>
      <c r="J1454" s="1583"/>
      <c r="K1454" s="1583"/>
      <c r="L1454" s="1583"/>
      <c r="M1454" s="1583"/>
      <c r="N1454" s="1583"/>
      <c r="O1454" s="1583"/>
      <c r="P1454" s="1583"/>
      <c r="Q1454" s="1585"/>
      <c r="R1454" s="1583"/>
      <c r="S1454" s="1583"/>
      <c r="T1454" s="1585"/>
      <c r="U1454" s="1585"/>
      <c r="V1454" s="1585"/>
      <c r="W1454" s="1585"/>
      <c r="X1454" s="1585"/>
      <c r="Y1454" s="1585"/>
      <c r="Z1454" s="1585">
        <f>D1454</f>
        <v>10869.6384</v>
      </c>
      <c r="AA1454" s="1585"/>
      <c r="AB1454" s="1585"/>
      <c r="AC1454" s="1585"/>
      <c r="AD1454" s="1601">
        <f t="shared" si="164"/>
        <v>10869.6384</v>
      </c>
      <c r="AE1454" s="1790">
        <v>0</v>
      </c>
      <c r="AF1454" s="1792"/>
    </row>
    <row r="1455" spans="1:32" ht="27.75" customHeight="1">
      <c r="A1455" s="2900" t="s">
        <v>1087</v>
      </c>
      <c r="B1455" s="2902" t="s">
        <v>2928</v>
      </c>
      <c r="C1455" s="2904" t="s">
        <v>49</v>
      </c>
      <c r="D1455" s="2906">
        <v>10869.6384</v>
      </c>
      <c r="E1455" s="1603" t="s">
        <v>2497</v>
      </c>
      <c r="F1455" s="1583"/>
      <c r="G1455" s="1583"/>
      <c r="H1455" s="1583"/>
      <c r="I1455" s="1583"/>
      <c r="J1455" s="1583"/>
      <c r="K1455" s="1583"/>
      <c r="L1455" s="1583"/>
      <c r="M1455" s="1583"/>
      <c r="N1455" s="1583"/>
      <c r="O1455" s="1583"/>
      <c r="P1455" s="1583"/>
      <c r="Q1455" s="1604"/>
      <c r="R1455" s="1583"/>
      <c r="S1455" s="1583"/>
      <c r="T1455" s="1604"/>
      <c r="U1455" s="1592"/>
      <c r="V1455" s="1585"/>
      <c r="W1455" s="1585"/>
      <c r="X1455" s="1585"/>
      <c r="Y1455" s="1592"/>
      <c r="Z1455" s="1585"/>
      <c r="AA1455" s="1585"/>
      <c r="AB1455" s="1585"/>
      <c r="AC1455" s="1585"/>
      <c r="AD1455" s="1601">
        <f t="shared" si="164"/>
        <v>0</v>
      </c>
      <c r="AE1455" s="1790">
        <v>0</v>
      </c>
      <c r="AF1455" s="1792"/>
    </row>
    <row r="1456" spans="1:32" ht="27.75" customHeight="1">
      <c r="A1456" s="2899" t="s">
        <v>2593</v>
      </c>
      <c r="B1456" s="2901" t="s">
        <v>3876</v>
      </c>
      <c r="C1456" s="2903" t="s">
        <v>49</v>
      </c>
      <c r="D1456" s="2905">
        <v>123767.83920000002</v>
      </c>
      <c r="E1456" s="1598" t="s">
        <v>2496</v>
      </c>
      <c r="F1456" s="1583"/>
      <c r="G1456" s="1583"/>
      <c r="H1456" s="1583"/>
      <c r="I1456" s="1583"/>
      <c r="J1456" s="1583"/>
      <c r="K1456" s="1583"/>
      <c r="L1456" s="1583"/>
      <c r="M1456" s="1583"/>
      <c r="N1456" s="1583"/>
      <c r="O1456" s="1583"/>
      <c r="P1456" s="1583"/>
      <c r="Q1456" s="1585"/>
      <c r="R1456" s="1583"/>
      <c r="S1456" s="1583"/>
      <c r="T1456" s="1585"/>
      <c r="U1456" s="1585"/>
      <c r="V1456" s="1585"/>
      <c r="W1456" s="1585"/>
      <c r="X1456" s="1585"/>
      <c r="Y1456" s="1585"/>
      <c r="Z1456" s="1585">
        <f>D1456</f>
        <v>123767.83920000002</v>
      </c>
      <c r="AA1456" s="1585"/>
      <c r="AB1456" s="1585"/>
      <c r="AC1456" s="1585"/>
      <c r="AD1456" s="1601">
        <f t="shared" si="164"/>
        <v>123767.83920000002</v>
      </c>
      <c r="AE1456" s="1790">
        <v>0</v>
      </c>
      <c r="AF1456" s="1792"/>
    </row>
    <row r="1457" spans="1:32" ht="27.75" customHeight="1">
      <c r="A1457" s="2900" t="s">
        <v>2593</v>
      </c>
      <c r="B1457" s="2902" t="s">
        <v>2929</v>
      </c>
      <c r="C1457" s="2904" t="s">
        <v>49</v>
      </c>
      <c r="D1457" s="2906">
        <v>123767.83920000002</v>
      </c>
      <c r="E1457" s="1603" t="s">
        <v>2497</v>
      </c>
      <c r="F1457" s="1583"/>
      <c r="G1457" s="1583"/>
      <c r="H1457" s="1583"/>
      <c r="I1457" s="1583"/>
      <c r="J1457" s="1583"/>
      <c r="K1457" s="1583"/>
      <c r="L1457" s="1583"/>
      <c r="M1457" s="1583"/>
      <c r="N1457" s="1583"/>
      <c r="O1457" s="1583"/>
      <c r="P1457" s="1583"/>
      <c r="Q1457" s="1604"/>
      <c r="R1457" s="1583"/>
      <c r="S1457" s="1583"/>
      <c r="T1457" s="1604"/>
      <c r="U1457" s="1585"/>
      <c r="V1457" s="1585"/>
      <c r="W1457" s="1585"/>
      <c r="X1457" s="1585"/>
      <c r="Y1457" s="1585"/>
      <c r="Z1457" s="1585"/>
      <c r="AA1457" s="1585"/>
      <c r="AB1457" s="1585"/>
      <c r="AC1457" s="1585"/>
      <c r="AD1457" s="1601">
        <f t="shared" si="164"/>
        <v>0</v>
      </c>
      <c r="AE1457" s="1790">
        <v>0</v>
      </c>
      <c r="AF1457" s="1792"/>
    </row>
    <row r="1458" spans="1:32" ht="27.75" customHeight="1">
      <c r="A1458" s="2899" t="s">
        <v>2595</v>
      </c>
      <c r="B1458" s="2901" t="s">
        <v>3877</v>
      </c>
      <c r="C1458" s="2903" t="s">
        <v>49</v>
      </c>
      <c r="D1458" s="2905">
        <v>34125.33</v>
      </c>
      <c r="E1458" s="1598" t="s">
        <v>2496</v>
      </c>
      <c r="F1458" s="1583"/>
      <c r="G1458" s="1583"/>
      <c r="H1458" s="1583"/>
      <c r="I1458" s="1583"/>
      <c r="J1458" s="1583"/>
      <c r="K1458" s="1583"/>
      <c r="L1458" s="1583"/>
      <c r="M1458" s="1583"/>
      <c r="N1458" s="1583"/>
      <c r="O1458" s="1583"/>
      <c r="P1458" s="1583"/>
      <c r="Q1458" s="1585"/>
      <c r="R1458" s="1583"/>
      <c r="S1458" s="1583"/>
      <c r="T1458" s="1585"/>
      <c r="U1458" s="1585"/>
      <c r="V1458" s="1585"/>
      <c r="W1458" s="1585"/>
      <c r="X1458" s="1585"/>
      <c r="Y1458" s="1585"/>
      <c r="Z1458" s="1585"/>
      <c r="AA1458" s="1585">
        <v>34125.33</v>
      </c>
      <c r="AB1458" s="1585"/>
      <c r="AC1458" s="1585"/>
      <c r="AD1458" s="1601">
        <f t="shared" si="164"/>
        <v>34125.33</v>
      </c>
      <c r="AE1458" s="1790">
        <v>0</v>
      </c>
      <c r="AF1458" s="1792"/>
    </row>
    <row r="1459" spans="1:32" ht="27" customHeight="1">
      <c r="A1459" s="2900" t="s">
        <v>2595</v>
      </c>
      <c r="B1459" s="2902" t="s">
        <v>2930</v>
      </c>
      <c r="C1459" s="2904" t="s">
        <v>49</v>
      </c>
      <c r="D1459" s="2906">
        <v>34125.33</v>
      </c>
      <c r="E1459" s="1603" t="s">
        <v>2497</v>
      </c>
      <c r="F1459" s="1583"/>
      <c r="G1459" s="1583"/>
      <c r="H1459" s="1583"/>
      <c r="I1459" s="1583"/>
      <c r="J1459" s="1583"/>
      <c r="K1459" s="1583"/>
      <c r="L1459" s="1583"/>
      <c r="M1459" s="1583"/>
      <c r="N1459" s="1583"/>
      <c r="O1459" s="1583"/>
      <c r="P1459" s="1583"/>
      <c r="Q1459" s="1604"/>
      <c r="R1459" s="1583"/>
      <c r="S1459" s="1583"/>
      <c r="T1459" s="1604"/>
      <c r="U1459" s="1585"/>
      <c r="V1459" s="1585"/>
      <c r="W1459" s="1585"/>
      <c r="X1459" s="1585"/>
      <c r="Y1459" s="1585"/>
      <c r="Z1459" s="1585"/>
      <c r="AA1459" s="1585"/>
      <c r="AB1459" s="1585"/>
      <c r="AC1459" s="1585"/>
      <c r="AD1459" s="1601">
        <f t="shared" si="164"/>
        <v>0</v>
      </c>
      <c r="AE1459" s="1790">
        <v>0</v>
      </c>
      <c r="AF1459" s="1792"/>
    </row>
    <row r="1460" spans="1:32" ht="27.75" customHeight="1">
      <c r="A1460" s="2899" t="s">
        <v>2597</v>
      </c>
      <c r="B1460" s="2901" t="s">
        <v>3878</v>
      </c>
      <c r="C1460" s="2903" t="s">
        <v>49</v>
      </c>
      <c r="D1460" s="2905">
        <v>451.6884</v>
      </c>
      <c r="E1460" s="1598" t="s">
        <v>2496</v>
      </c>
      <c r="F1460" s="1583"/>
      <c r="G1460" s="1583"/>
      <c r="H1460" s="1583"/>
      <c r="I1460" s="1583"/>
      <c r="J1460" s="1583"/>
      <c r="K1460" s="1583"/>
      <c r="L1460" s="1583"/>
      <c r="M1460" s="1583"/>
      <c r="N1460" s="1583"/>
      <c r="O1460" s="1583"/>
      <c r="P1460" s="1583"/>
      <c r="Q1460" s="1585"/>
      <c r="R1460" s="1583"/>
      <c r="S1460" s="1583"/>
      <c r="T1460" s="1585"/>
      <c r="U1460" s="1585"/>
      <c r="V1460" s="1585"/>
      <c r="W1460" s="1585"/>
      <c r="X1460" s="1585"/>
      <c r="Y1460" s="1585"/>
      <c r="Z1460" s="1585"/>
      <c r="AA1460" s="1585"/>
      <c r="AB1460" s="1585"/>
      <c r="AC1460" s="1585">
        <v>451.69</v>
      </c>
      <c r="AD1460" s="1601">
        <f t="shared" si="164"/>
        <v>451.69</v>
      </c>
      <c r="AE1460" s="1790">
        <v>0</v>
      </c>
      <c r="AF1460" s="1792"/>
    </row>
    <row r="1461" spans="1:32" ht="27.75" customHeight="1">
      <c r="A1461" s="2900" t="s">
        <v>2597</v>
      </c>
      <c r="B1461" s="2902" t="s">
        <v>2931</v>
      </c>
      <c r="C1461" s="2904" t="s">
        <v>49</v>
      </c>
      <c r="D1461" s="2906">
        <v>451.6884</v>
      </c>
      <c r="E1461" s="1603" t="s">
        <v>2497</v>
      </c>
      <c r="F1461" s="1583"/>
      <c r="G1461" s="1583"/>
      <c r="H1461" s="1583"/>
      <c r="I1461" s="1583"/>
      <c r="J1461" s="1583"/>
      <c r="K1461" s="1583"/>
      <c r="L1461" s="1583"/>
      <c r="M1461" s="1583"/>
      <c r="N1461" s="1583"/>
      <c r="O1461" s="1583"/>
      <c r="P1461" s="1583"/>
      <c r="Q1461" s="1604"/>
      <c r="R1461" s="1583"/>
      <c r="S1461" s="1583"/>
      <c r="T1461" s="1604"/>
      <c r="U1461" s="1592"/>
      <c r="V1461" s="1585"/>
      <c r="W1461" s="1585"/>
      <c r="X1461" s="1585"/>
      <c r="Y1461" s="1592"/>
      <c r="Z1461" s="1585"/>
      <c r="AA1461" s="1585"/>
      <c r="AB1461" s="1585"/>
      <c r="AC1461" s="1585"/>
      <c r="AD1461" s="1601">
        <f t="shared" si="164"/>
        <v>0</v>
      </c>
      <c r="AE1461" s="1790">
        <v>0</v>
      </c>
      <c r="AF1461" s="1792"/>
    </row>
    <row r="1462" spans="1:32" ht="27.75" customHeight="1">
      <c r="A1462" s="1647" t="s">
        <v>2611</v>
      </c>
      <c r="B1462" s="1647" t="s">
        <v>3879</v>
      </c>
      <c r="C1462" s="1803"/>
      <c r="D1462" s="1804"/>
      <c r="E1462" s="1599"/>
      <c r="F1462" s="1583"/>
      <c r="G1462" s="1583"/>
      <c r="H1462" s="1583"/>
      <c r="I1462" s="1583"/>
      <c r="J1462" s="1583"/>
      <c r="K1462" s="1583"/>
      <c r="L1462" s="1583"/>
      <c r="M1462" s="1583"/>
      <c r="N1462" s="1583"/>
      <c r="O1462" s="1583"/>
      <c r="P1462" s="1583"/>
      <c r="Q1462" s="1604"/>
      <c r="R1462" s="1583"/>
      <c r="S1462" s="1583"/>
      <c r="T1462" s="1604"/>
      <c r="U1462" s="1592"/>
      <c r="V1462" s="1585"/>
      <c r="W1462" s="1585"/>
      <c r="X1462" s="1585"/>
      <c r="Y1462" s="1592"/>
      <c r="Z1462" s="1585"/>
      <c r="AA1462" s="1585"/>
      <c r="AB1462" s="1585"/>
      <c r="AC1462" s="1585"/>
      <c r="AD1462" s="1601">
        <f t="shared" si="164"/>
        <v>0</v>
      </c>
      <c r="AE1462" s="1790">
        <v>0</v>
      </c>
      <c r="AF1462" s="1792"/>
    </row>
    <row r="1463" spans="1:32" ht="27.75" customHeight="1">
      <c r="A1463" s="1801" t="s">
        <v>2612</v>
      </c>
      <c r="B1463" s="1801" t="s">
        <v>3880</v>
      </c>
      <c r="C1463" s="1803"/>
      <c r="D1463" s="1804"/>
      <c r="E1463" s="1599"/>
      <c r="F1463" s="1583"/>
      <c r="G1463" s="1583"/>
      <c r="H1463" s="1583"/>
      <c r="I1463" s="1583"/>
      <c r="J1463" s="1583"/>
      <c r="K1463" s="1583"/>
      <c r="L1463" s="1583"/>
      <c r="M1463" s="1583"/>
      <c r="N1463" s="1583"/>
      <c r="O1463" s="1583"/>
      <c r="P1463" s="1583"/>
      <c r="Q1463" s="1604"/>
      <c r="R1463" s="1583"/>
      <c r="S1463" s="1583"/>
      <c r="T1463" s="1604"/>
      <c r="U1463" s="1592"/>
      <c r="V1463" s="1585"/>
      <c r="W1463" s="1585"/>
      <c r="X1463" s="1585"/>
      <c r="Y1463" s="1592"/>
      <c r="Z1463" s="1585"/>
      <c r="AA1463" s="1585"/>
      <c r="AB1463" s="1585"/>
      <c r="AC1463" s="1585"/>
      <c r="AD1463" s="1601">
        <f t="shared" si="164"/>
        <v>0</v>
      </c>
      <c r="AE1463" s="1790">
        <v>0</v>
      </c>
      <c r="AF1463" s="1792"/>
    </row>
    <row r="1464" spans="1:32" ht="27.75" customHeight="1">
      <c r="A1464" s="2899" t="s">
        <v>2934</v>
      </c>
      <c r="B1464" s="2901" t="s">
        <v>3881</v>
      </c>
      <c r="C1464" s="2903" t="s">
        <v>52</v>
      </c>
      <c r="D1464" s="2905">
        <v>4440.08</v>
      </c>
      <c r="E1464" s="1598" t="s">
        <v>2496</v>
      </c>
      <c r="F1464" s="1583"/>
      <c r="G1464" s="1583"/>
      <c r="H1464" s="1583"/>
      <c r="I1464" s="1583"/>
      <c r="J1464" s="1583"/>
      <c r="K1464" s="1583"/>
      <c r="L1464" s="1583"/>
      <c r="M1464" s="1583"/>
      <c r="N1464" s="1583"/>
      <c r="O1464" s="1583"/>
      <c r="P1464" s="1583"/>
      <c r="Q1464" s="1585"/>
      <c r="R1464" s="1583"/>
      <c r="S1464" s="1583"/>
      <c r="T1464" s="1585"/>
      <c r="U1464" s="1585"/>
      <c r="V1464" s="1585"/>
      <c r="W1464" s="1585"/>
      <c r="X1464" s="1585"/>
      <c r="Y1464" s="1585"/>
      <c r="Z1464" s="1585"/>
      <c r="AA1464" s="1585"/>
      <c r="AB1464" s="1585"/>
      <c r="AC1464" s="1585">
        <v>4440.08</v>
      </c>
      <c r="AD1464" s="1601">
        <f t="shared" si="164"/>
        <v>4440.08</v>
      </c>
      <c r="AE1464" s="1790">
        <v>0</v>
      </c>
      <c r="AF1464" s="1792"/>
    </row>
    <row r="1465" spans="1:32" ht="27.75" customHeight="1">
      <c r="A1465" s="2900" t="s">
        <v>2934</v>
      </c>
      <c r="B1465" s="2902" t="s">
        <v>2935</v>
      </c>
      <c r="C1465" s="2904" t="s">
        <v>52</v>
      </c>
      <c r="D1465" s="2906">
        <v>4440.08</v>
      </c>
      <c r="E1465" s="1603" t="s">
        <v>2497</v>
      </c>
      <c r="F1465" s="1583"/>
      <c r="G1465" s="1583"/>
      <c r="H1465" s="1583"/>
      <c r="I1465" s="1583"/>
      <c r="J1465" s="1583"/>
      <c r="K1465" s="1583"/>
      <c r="L1465" s="1583"/>
      <c r="M1465" s="1583"/>
      <c r="N1465" s="1583"/>
      <c r="O1465" s="1583"/>
      <c r="P1465" s="1583"/>
      <c r="Q1465" s="1604"/>
      <c r="R1465" s="1583"/>
      <c r="S1465" s="1583"/>
      <c r="T1465" s="1604"/>
      <c r="U1465" s="1585"/>
      <c r="V1465" s="1585"/>
      <c r="W1465" s="1585"/>
      <c r="X1465" s="1585"/>
      <c r="Y1465" s="1585"/>
      <c r="Z1465" s="1585"/>
      <c r="AA1465" s="1585"/>
      <c r="AB1465" s="1585"/>
      <c r="AC1465" s="1585"/>
      <c r="AD1465" s="1601">
        <f t="shared" si="164"/>
        <v>0</v>
      </c>
      <c r="AE1465" s="1790">
        <v>0</v>
      </c>
      <c r="AF1465" s="1792"/>
    </row>
    <row r="1466" spans="1:32" ht="27.75" customHeight="1">
      <c r="A1466" s="2899" t="s">
        <v>2936</v>
      </c>
      <c r="B1466" s="2901" t="s">
        <v>3882</v>
      </c>
      <c r="C1466" s="2903" t="s">
        <v>52</v>
      </c>
      <c r="D1466" s="2905">
        <v>36237.840000000004</v>
      </c>
      <c r="E1466" s="1598" t="s">
        <v>2496</v>
      </c>
      <c r="F1466" s="1583"/>
      <c r="G1466" s="1583"/>
      <c r="H1466" s="1583"/>
      <c r="I1466" s="1583"/>
      <c r="J1466" s="1583"/>
      <c r="K1466" s="1583"/>
      <c r="L1466" s="1583"/>
      <c r="M1466" s="1583"/>
      <c r="N1466" s="1583"/>
      <c r="O1466" s="1583"/>
      <c r="P1466" s="1583"/>
      <c r="Q1466" s="1585"/>
      <c r="R1466" s="1583"/>
      <c r="S1466" s="1583"/>
      <c r="T1466" s="1585"/>
      <c r="U1466" s="1585"/>
      <c r="V1466" s="1585"/>
      <c r="W1466" s="1585"/>
      <c r="X1466" s="1585"/>
      <c r="Y1466" s="1585"/>
      <c r="Z1466" s="1585"/>
      <c r="AA1466" s="1585"/>
      <c r="AB1466" s="1585"/>
      <c r="AC1466" s="1585">
        <v>36237.839999999997</v>
      </c>
      <c r="AD1466" s="1601">
        <f t="shared" si="164"/>
        <v>36237.839999999997</v>
      </c>
      <c r="AE1466" s="1790">
        <v>0</v>
      </c>
      <c r="AF1466" s="1792"/>
    </row>
    <row r="1467" spans="1:32" ht="27" customHeight="1">
      <c r="A1467" s="2900" t="s">
        <v>2936</v>
      </c>
      <c r="B1467" s="2902" t="s">
        <v>2937</v>
      </c>
      <c r="C1467" s="2904" t="s">
        <v>52</v>
      </c>
      <c r="D1467" s="2906">
        <v>36237.840000000004</v>
      </c>
      <c r="E1467" s="1603" t="s">
        <v>2497</v>
      </c>
      <c r="F1467" s="1583"/>
      <c r="G1467" s="1583"/>
      <c r="H1467" s="1583"/>
      <c r="I1467" s="1583"/>
      <c r="J1467" s="1583"/>
      <c r="K1467" s="1583"/>
      <c r="L1467" s="1583"/>
      <c r="M1467" s="1583"/>
      <c r="N1467" s="1583"/>
      <c r="O1467" s="1583"/>
      <c r="P1467" s="1583"/>
      <c r="Q1467" s="1604"/>
      <c r="R1467" s="1583"/>
      <c r="S1467" s="1583"/>
      <c r="T1467" s="1604"/>
      <c r="U1467" s="1585"/>
      <c r="V1467" s="1585"/>
      <c r="W1467" s="1585"/>
      <c r="X1467" s="1585"/>
      <c r="Y1467" s="1585"/>
      <c r="Z1467" s="1585"/>
      <c r="AA1467" s="1585"/>
      <c r="AB1467" s="1585"/>
      <c r="AC1467" s="1585"/>
      <c r="AD1467" s="1601">
        <f t="shared" si="164"/>
        <v>0</v>
      </c>
      <c r="AE1467" s="1790">
        <v>0</v>
      </c>
      <c r="AF1467" s="1792"/>
    </row>
    <row r="1468" spans="1:32" ht="27.75" customHeight="1">
      <c r="A1468" s="2899" t="s">
        <v>2938</v>
      </c>
      <c r="B1468" s="2901" t="s">
        <v>3883</v>
      </c>
      <c r="C1468" s="2903" t="s">
        <v>52</v>
      </c>
      <c r="D1468" s="2905">
        <v>7239.44</v>
      </c>
      <c r="E1468" s="1598" t="s">
        <v>2496</v>
      </c>
      <c r="F1468" s="1583"/>
      <c r="G1468" s="1583"/>
      <c r="H1468" s="1583"/>
      <c r="I1468" s="1583"/>
      <c r="J1468" s="1583"/>
      <c r="K1468" s="1583"/>
      <c r="L1468" s="1583"/>
      <c r="M1468" s="1583"/>
      <c r="N1468" s="1583"/>
      <c r="O1468" s="1583"/>
      <c r="P1468" s="1583"/>
      <c r="Q1468" s="1585"/>
      <c r="R1468" s="1583"/>
      <c r="S1468" s="1583"/>
      <c r="T1468" s="1585"/>
      <c r="U1468" s="1585"/>
      <c r="V1468" s="1585"/>
      <c r="W1468" s="1585"/>
      <c r="X1468" s="1585"/>
      <c r="Y1468" s="1585"/>
      <c r="Z1468" s="1585"/>
      <c r="AA1468" s="1585"/>
      <c r="AB1468" s="1585"/>
      <c r="AC1468" s="1585">
        <v>7239.44</v>
      </c>
      <c r="AD1468" s="1601">
        <f t="shared" si="164"/>
        <v>7239.44</v>
      </c>
      <c r="AE1468" s="1790">
        <v>0</v>
      </c>
      <c r="AF1468" s="1792"/>
    </row>
    <row r="1469" spans="1:32" ht="27.75" customHeight="1">
      <c r="A1469" s="2900" t="s">
        <v>2938</v>
      </c>
      <c r="B1469" s="2902" t="s">
        <v>2939</v>
      </c>
      <c r="C1469" s="2904" t="s">
        <v>52</v>
      </c>
      <c r="D1469" s="2906">
        <v>7239.44</v>
      </c>
      <c r="E1469" s="1603" t="s">
        <v>2497</v>
      </c>
      <c r="F1469" s="1583"/>
      <c r="G1469" s="1583"/>
      <c r="H1469" s="1583"/>
      <c r="I1469" s="1583"/>
      <c r="J1469" s="1583"/>
      <c r="K1469" s="1583"/>
      <c r="L1469" s="1583"/>
      <c r="M1469" s="1583"/>
      <c r="N1469" s="1583"/>
      <c r="O1469" s="1583"/>
      <c r="P1469" s="1583"/>
      <c r="Q1469" s="1604"/>
      <c r="R1469" s="1583"/>
      <c r="S1469" s="1583"/>
      <c r="T1469" s="1604"/>
      <c r="U1469" s="1592"/>
      <c r="V1469" s="1585"/>
      <c r="W1469" s="1585"/>
      <c r="X1469" s="1585"/>
      <c r="Y1469" s="1592"/>
      <c r="Z1469" s="1585"/>
      <c r="AA1469" s="1585"/>
      <c r="AB1469" s="1585"/>
      <c r="AC1469" s="1585"/>
      <c r="AD1469" s="1601">
        <f t="shared" si="164"/>
        <v>0</v>
      </c>
      <c r="AE1469" s="1790">
        <v>0</v>
      </c>
      <c r="AF1469" s="1792"/>
    </row>
    <row r="1470" spans="1:32" ht="27.75" customHeight="1">
      <c r="A1470" s="1795" t="s">
        <v>2614</v>
      </c>
      <c r="B1470" s="1795" t="s">
        <v>3884</v>
      </c>
      <c r="C1470" s="1803"/>
      <c r="D1470" s="1804"/>
      <c r="E1470" s="1599"/>
      <c r="F1470" s="1583"/>
      <c r="G1470" s="1583"/>
      <c r="H1470" s="1583"/>
      <c r="I1470" s="1583"/>
      <c r="J1470" s="1583"/>
      <c r="K1470" s="1583"/>
      <c r="L1470" s="1583"/>
      <c r="M1470" s="1583"/>
      <c r="N1470" s="1583"/>
      <c r="O1470" s="1583"/>
      <c r="P1470" s="1583"/>
      <c r="Q1470" s="1604"/>
      <c r="R1470" s="1583"/>
      <c r="S1470" s="1583"/>
      <c r="T1470" s="1604"/>
      <c r="U1470" s="1592"/>
      <c r="V1470" s="1585"/>
      <c r="W1470" s="1585"/>
      <c r="X1470" s="1585"/>
      <c r="Y1470" s="1592"/>
      <c r="Z1470" s="1585"/>
      <c r="AA1470" s="1585"/>
      <c r="AB1470" s="1585"/>
      <c r="AC1470" s="1585"/>
      <c r="AD1470" s="1601">
        <f t="shared" si="164"/>
        <v>0</v>
      </c>
      <c r="AE1470" s="1790">
        <v>0</v>
      </c>
      <c r="AF1470" s="1792"/>
    </row>
    <row r="1471" spans="1:32" ht="27.75" customHeight="1">
      <c r="A1471" s="2899" t="s">
        <v>2941</v>
      </c>
      <c r="B1471" s="2901" t="s">
        <v>3885</v>
      </c>
      <c r="C1471" s="2903" t="s">
        <v>268</v>
      </c>
      <c r="D1471" s="2905">
        <v>15888.220000000001</v>
      </c>
      <c r="E1471" s="1598" t="s">
        <v>2496</v>
      </c>
      <c r="F1471" s="1583"/>
      <c r="G1471" s="1583"/>
      <c r="H1471" s="1583"/>
      <c r="I1471" s="1583"/>
      <c r="J1471" s="1583"/>
      <c r="K1471" s="1583"/>
      <c r="L1471" s="1583"/>
      <c r="M1471" s="1583"/>
      <c r="N1471" s="1583"/>
      <c r="O1471" s="1583"/>
      <c r="P1471" s="1583"/>
      <c r="Q1471" s="1585"/>
      <c r="R1471" s="1583"/>
      <c r="S1471" s="1583"/>
      <c r="T1471" s="1585"/>
      <c r="U1471" s="1585"/>
      <c r="V1471" s="1585"/>
      <c r="W1471" s="1585"/>
      <c r="X1471" s="1585"/>
      <c r="Y1471" s="1585"/>
      <c r="Z1471" s="1585"/>
      <c r="AA1471" s="1585"/>
      <c r="AB1471" s="1585">
        <f>D1471</f>
        <v>15888.220000000001</v>
      </c>
      <c r="AC1471" s="1585"/>
      <c r="AD1471" s="1601">
        <f t="shared" si="164"/>
        <v>15888.220000000001</v>
      </c>
      <c r="AE1471" s="1790">
        <v>0</v>
      </c>
      <c r="AF1471" s="1792"/>
    </row>
    <row r="1472" spans="1:32" ht="27.75" customHeight="1">
      <c r="A1472" s="2900" t="s">
        <v>2941</v>
      </c>
      <c r="B1472" s="2902" t="s">
        <v>2942</v>
      </c>
      <c r="C1472" s="2904" t="s">
        <v>268</v>
      </c>
      <c r="D1472" s="2906">
        <v>15888.220000000001</v>
      </c>
      <c r="E1472" s="1603" t="s">
        <v>2497</v>
      </c>
      <c r="F1472" s="1583"/>
      <c r="G1472" s="1583"/>
      <c r="H1472" s="1583"/>
      <c r="I1472" s="1583"/>
      <c r="J1472" s="1583"/>
      <c r="K1472" s="1583"/>
      <c r="L1472" s="1583"/>
      <c r="M1472" s="1583"/>
      <c r="N1472" s="1583"/>
      <c r="O1472" s="1583"/>
      <c r="P1472" s="1583"/>
      <c r="Q1472" s="1604"/>
      <c r="R1472" s="1583"/>
      <c r="S1472" s="1583"/>
      <c r="T1472" s="1604"/>
      <c r="U1472" s="1585"/>
      <c r="V1472" s="1585"/>
      <c r="W1472" s="1585"/>
      <c r="X1472" s="1585"/>
      <c r="Y1472" s="1585"/>
      <c r="Z1472" s="1585"/>
      <c r="AA1472" s="1585"/>
      <c r="AB1472" s="1585"/>
      <c r="AC1472" s="1585"/>
      <c r="AD1472" s="1601">
        <f t="shared" si="164"/>
        <v>0</v>
      </c>
      <c r="AE1472" s="1790">
        <v>0</v>
      </c>
      <c r="AF1472" s="1792"/>
    </row>
    <row r="1473" spans="1:32" ht="27.75" customHeight="1">
      <c r="A1473" s="2899" t="s">
        <v>2943</v>
      </c>
      <c r="B1473" s="2901" t="s">
        <v>3886</v>
      </c>
      <c r="C1473" s="2903" t="s">
        <v>268</v>
      </c>
      <c r="D1473" s="2905">
        <v>2246.2800000000002</v>
      </c>
      <c r="E1473" s="1598" t="s">
        <v>2496</v>
      </c>
      <c r="F1473" s="1583"/>
      <c r="G1473" s="1583"/>
      <c r="H1473" s="1583"/>
      <c r="I1473" s="1583"/>
      <c r="J1473" s="1583"/>
      <c r="K1473" s="1583"/>
      <c r="L1473" s="1583"/>
      <c r="M1473" s="1583"/>
      <c r="N1473" s="1583"/>
      <c r="O1473" s="1583"/>
      <c r="P1473" s="1583"/>
      <c r="Q1473" s="1585"/>
      <c r="R1473" s="1583"/>
      <c r="S1473" s="1583"/>
      <c r="T1473" s="1585"/>
      <c r="U1473" s="1585"/>
      <c r="V1473" s="1585"/>
      <c r="W1473" s="1585"/>
      <c r="X1473" s="1585"/>
      <c r="Y1473" s="1585"/>
      <c r="Z1473" s="1585"/>
      <c r="AA1473" s="1585"/>
      <c r="AB1473" s="1585">
        <f>D1473</f>
        <v>2246.2800000000002</v>
      </c>
      <c r="AC1473" s="1585"/>
      <c r="AD1473" s="1601">
        <f t="shared" si="164"/>
        <v>2246.2800000000002</v>
      </c>
      <c r="AE1473" s="1790">
        <v>0</v>
      </c>
      <c r="AF1473" s="1792"/>
    </row>
    <row r="1474" spans="1:32" ht="27" customHeight="1">
      <c r="A1474" s="2900" t="s">
        <v>2943</v>
      </c>
      <c r="B1474" s="2902" t="s">
        <v>2944</v>
      </c>
      <c r="C1474" s="2904" t="s">
        <v>268</v>
      </c>
      <c r="D1474" s="2906">
        <v>2246.2800000000002</v>
      </c>
      <c r="E1474" s="1603" t="s">
        <v>2497</v>
      </c>
      <c r="F1474" s="1583"/>
      <c r="G1474" s="1583"/>
      <c r="H1474" s="1583"/>
      <c r="I1474" s="1583"/>
      <c r="J1474" s="1583"/>
      <c r="K1474" s="1583"/>
      <c r="L1474" s="1583"/>
      <c r="M1474" s="1583"/>
      <c r="N1474" s="1583"/>
      <c r="O1474" s="1583"/>
      <c r="P1474" s="1583"/>
      <c r="Q1474" s="1604"/>
      <c r="R1474" s="1583"/>
      <c r="S1474" s="1583"/>
      <c r="T1474" s="1604"/>
      <c r="U1474" s="1585"/>
      <c r="V1474" s="1585"/>
      <c r="W1474" s="1585"/>
      <c r="X1474" s="1585"/>
      <c r="Y1474" s="1585"/>
      <c r="Z1474" s="1585"/>
      <c r="AA1474" s="1585"/>
      <c r="AB1474" s="1585"/>
      <c r="AC1474" s="1585"/>
      <c r="AD1474" s="1601">
        <f t="shared" si="164"/>
        <v>0</v>
      </c>
      <c r="AE1474" s="1790">
        <v>0</v>
      </c>
      <c r="AF1474" s="1792"/>
    </row>
    <row r="1475" spans="1:32" ht="27.75" customHeight="1">
      <c r="A1475" s="2899" t="s">
        <v>2945</v>
      </c>
      <c r="B1475" s="2901" t="s">
        <v>3887</v>
      </c>
      <c r="C1475" s="2903" t="s">
        <v>268</v>
      </c>
      <c r="D1475" s="2905">
        <v>666.28</v>
      </c>
      <c r="E1475" s="1598" t="s">
        <v>2496</v>
      </c>
      <c r="F1475" s="1583"/>
      <c r="G1475" s="1583"/>
      <c r="H1475" s="1583"/>
      <c r="I1475" s="1583"/>
      <c r="J1475" s="1583"/>
      <c r="K1475" s="1583"/>
      <c r="L1475" s="1583"/>
      <c r="M1475" s="1583"/>
      <c r="N1475" s="1583"/>
      <c r="O1475" s="1583"/>
      <c r="P1475" s="1583"/>
      <c r="Q1475" s="1585"/>
      <c r="R1475" s="1583"/>
      <c r="S1475" s="1583"/>
      <c r="T1475" s="1585"/>
      <c r="U1475" s="1585"/>
      <c r="V1475" s="1585"/>
      <c r="W1475" s="1585"/>
      <c r="X1475" s="1585"/>
      <c r="Y1475" s="1585"/>
      <c r="Z1475" s="1585"/>
      <c r="AA1475" s="1585"/>
      <c r="AB1475" s="1585">
        <f>D1475</f>
        <v>666.28</v>
      </c>
      <c r="AC1475" s="1585"/>
      <c r="AD1475" s="1601">
        <f t="shared" si="164"/>
        <v>666.28</v>
      </c>
      <c r="AE1475" s="1790">
        <v>0</v>
      </c>
      <c r="AF1475" s="1792"/>
    </row>
    <row r="1476" spans="1:32" ht="27.75" customHeight="1">
      <c r="A1476" s="2900" t="s">
        <v>2945</v>
      </c>
      <c r="B1476" s="2902" t="s">
        <v>2946</v>
      </c>
      <c r="C1476" s="2904" t="s">
        <v>268</v>
      </c>
      <c r="D1476" s="2906">
        <v>666.28</v>
      </c>
      <c r="E1476" s="1603" t="s">
        <v>2497</v>
      </c>
      <c r="F1476" s="1583"/>
      <c r="G1476" s="1583"/>
      <c r="H1476" s="1583"/>
      <c r="I1476" s="1583"/>
      <c r="J1476" s="1583"/>
      <c r="K1476" s="1583"/>
      <c r="L1476" s="1583"/>
      <c r="M1476" s="1583"/>
      <c r="N1476" s="1583"/>
      <c r="O1476" s="1583"/>
      <c r="P1476" s="1583"/>
      <c r="Q1476" s="1604"/>
      <c r="R1476" s="1583"/>
      <c r="S1476" s="1583"/>
      <c r="T1476" s="1604"/>
      <c r="U1476" s="1592"/>
      <c r="V1476" s="1585"/>
      <c r="W1476" s="1585"/>
      <c r="X1476" s="1585"/>
      <c r="Y1476" s="1592"/>
      <c r="Z1476" s="1585"/>
      <c r="AA1476" s="1585"/>
      <c r="AB1476" s="1585"/>
      <c r="AC1476" s="1585"/>
      <c r="AD1476" s="1601">
        <f t="shared" si="164"/>
        <v>0</v>
      </c>
      <c r="AE1476" s="1790">
        <v>0</v>
      </c>
      <c r="AF1476" s="1792"/>
    </row>
    <row r="1477" spans="1:32" ht="27.75" customHeight="1">
      <c r="A1477" s="2899" t="s">
        <v>2947</v>
      </c>
      <c r="B1477" s="2901" t="s">
        <v>3888</v>
      </c>
      <c r="C1477" s="2903" t="s">
        <v>268</v>
      </c>
      <c r="D1477" s="2905">
        <v>626.28</v>
      </c>
      <c r="E1477" s="1598" t="s">
        <v>2496</v>
      </c>
      <c r="F1477" s="1583"/>
      <c r="G1477" s="1583"/>
      <c r="H1477" s="1583"/>
      <c r="I1477" s="1583"/>
      <c r="J1477" s="1583"/>
      <c r="K1477" s="1583"/>
      <c r="L1477" s="1583"/>
      <c r="M1477" s="1583"/>
      <c r="N1477" s="1583"/>
      <c r="O1477" s="1583"/>
      <c r="P1477" s="1583"/>
      <c r="Q1477" s="1585"/>
      <c r="R1477" s="1583"/>
      <c r="S1477" s="1583"/>
      <c r="T1477" s="1585"/>
      <c r="U1477" s="1585"/>
      <c r="V1477" s="1585"/>
      <c r="W1477" s="1585"/>
      <c r="X1477" s="1585"/>
      <c r="Y1477" s="1585"/>
      <c r="Z1477" s="1585"/>
      <c r="AA1477" s="1585"/>
      <c r="AB1477" s="1585">
        <f>D1477</f>
        <v>626.28</v>
      </c>
      <c r="AC1477" s="1585"/>
      <c r="AD1477" s="1601">
        <f t="shared" si="164"/>
        <v>626.28</v>
      </c>
      <c r="AE1477" s="1790">
        <v>0</v>
      </c>
      <c r="AF1477" s="1792"/>
    </row>
    <row r="1478" spans="1:32" ht="27.75" customHeight="1">
      <c r="A1478" s="2900" t="s">
        <v>2947</v>
      </c>
      <c r="B1478" s="2902" t="s">
        <v>2948</v>
      </c>
      <c r="C1478" s="2904" t="s">
        <v>268</v>
      </c>
      <c r="D1478" s="2906">
        <v>626.28</v>
      </c>
      <c r="E1478" s="1603" t="s">
        <v>2497</v>
      </c>
      <c r="F1478" s="1583"/>
      <c r="G1478" s="1583"/>
      <c r="H1478" s="1583"/>
      <c r="I1478" s="1583"/>
      <c r="J1478" s="1583"/>
      <c r="K1478" s="1583"/>
      <c r="L1478" s="1583"/>
      <c r="M1478" s="1583"/>
      <c r="N1478" s="1583"/>
      <c r="O1478" s="1583"/>
      <c r="P1478" s="1583"/>
      <c r="Q1478" s="1604"/>
      <c r="R1478" s="1583"/>
      <c r="S1478" s="1583"/>
      <c r="T1478" s="1604"/>
      <c r="U1478" s="1585"/>
      <c r="V1478" s="1585"/>
      <c r="W1478" s="1585"/>
      <c r="X1478" s="1585"/>
      <c r="Y1478" s="1585"/>
      <c r="Z1478" s="1585"/>
      <c r="AA1478" s="1585"/>
      <c r="AB1478" s="1585"/>
      <c r="AC1478" s="1585"/>
      <c r="AD1478" s="1601">
        <f t="shared" si="164"/>
        <v>0</v>
      </c>
      <c r="AE1478" s="1790">
        <v>0</v>
      </c>
      <c r="AF1478" s="1792"/>
    </row>
    <row r="1479" spans="1:32" ht="27.75" customHeight="1">
      <c r="A1479" s="2899" t="s">
        <v>2949</v>
      </c>
      <c r="B1479" s="2901" t="s">
        <v>3889</v>
      </c>
      <c r="C1479" s="2903" t="s">
        <v>268</v>
      </c>
      <c r="D1479" s="2905">
        <v>1218.22</v>
      </c>
      <c r="E1479" s="1598" t="s">
        <v>2496</v>
      </c>
      <c r="F1479" s="1583"/>
      <c r="G1479" s="1583"/>
      <c r="H1479" s="1583"/>
      <c r="I1479" s="1583"/>
      <c r="J1479" s="1583"/>
      <c r="K1479" s="1583"/>
      <c r="L1479" s="1583"/>
      <c r="M1479" s="1583"/>
      <c r="N1479" s="1583"/>
      <c r="O1479" s="1583"/>
      <c r="P1479" s="1583"/>
      <c r="Q1479" s="1585"/>
      <c r="R1479" s="1583"/>
      <c r="S1479" s="1583"/>
      <c r="T1479" s="1585"/>
      <c r="U1479" s="1585"/>
      <c r="V1479" s="1585"/>
      <c r="W1479" s="1585"/>
      <c r="X1479" s="1585"/>
      <c r="Y1479" s="1585"/>
      <c r="Z1479" s="1585"/>
      <c r="AA1479" s="1585"/>
      <c r="AB1479" s="1585">
        <f>D1479</f>
        <v>1218.22</v>
      </c>
      <c r="AC1479" s="1585"/>
      <c r="AD1479" s="1601">
        <f t="shared" si="164"/>
        <v>1218.22</v>
      </c>
      <c r="AE1479" s="1790">
        <v>0</v>
      </c>
      <c r="AF1479" s="1792"/>
    </row>
    <row r="1480" spans="1:32" ht="27" customHeight="1">
      <c r="A1480" s="2900" t="s">
        <v>2949</v>
      </c>
      <c r="B1480" s="2902" t="s">
        <v>2950</v>
      </c>
      <c r="C1480" s="2904" t="s">
        <v>268</v>
      </c>
      <c r="D1480" s="2906">
        <v>1218.22</v>
      </c>
      <c r="E1480" s="1603" t="s">
        <v>2497</v>
      </c>
      <c r="F1480" s="1583"/>
      <c r="G1480" s="1583"/>
      <c r="H1480" s="1583"/>
      <c r="I1480" s="1583"/>
      <c r="J1480" s="1583"/>
      <c r="K1480" s="1583"/>
      <c r="L1480" s="1583"/>
      <c r="M1480" s="1583"/>
      <c r="N1480" s="1583"/>
      <c r="O1480" s="1583"/>
      <c r="P1480" s="1583"/>
      <c r="Q1480" s="1604"/>
      <c r="R1480" s="1583"/>
      <c r="S1480" s="1583"/>
      <c r="T1480" s="1604"/>
      <c r="U1480" s="1585"/>
      <c r="V1480" s="1585"/>
      <c r="W1480" s="1585"/>
      <c r="X1480" s="1585"/>
      <c r="Y1480" s="1585"/>
      <c r="Z1480" s="1585"/>
      <c r="AA1480" s="1585"/>
      <c r="AB1480" s="1585"/>
      <c r="AC1480" s="1585"/>
      <c r="AD1480" s="1601">
        <f t="shared" si="164"/>
        <v>0</v>
      </c>
      <c r="AE1480" s="1790">
        <v>0</v>
      </c>
      <c r="AF1480" s="1792"/>
    </row>
    <row r="1481" spans="1:32" ht="27" customHeight="1">
      <c r="A1481" s="1647" t="s">
        <v>2616</v>
      </c>
      <c r="B1481" s="1647" t="s">
        <v>3890</v>
      </c>
      <c r="C1481" s="1625"/>
      <c r="D1481" s="1597"/>
      <c r="E1481" s="1599"/>
      <c r="F1481" s="1583"/>
      <c r="G1481" s="1583"/>
      <c r="H1481" s="1583"/>
      <c r="I1481" s="1583"/>
      <c r="J1481" s="1583"/>
      <c r="K1481" s="1583"/>
      <c r="L1481" s="1583"/>
      <c r="M1481" s="1583"/>
      <c r="N1481" s="1583"/>
      <c r="O1481" s="1583"/>
      <c r="P1481" s="1583"/>
      <c r="Q1481" s="1604"/>
      <c r="R1481" s="1583"/>
      <c r="S1481" s="1583"/>
      <c r="T1481" s="1604"/>
      <c r="U1481" s="1585"/>
      <c r="V1481" s="1585"/>
      <c r="W1481" s="1585"/>
      <c r="X1481" s="1585"/>
      <c r="Y1481" s="1585"/>
      <c r="Z1481" s="1585"/>
      <c r="AA1481" s="1585"/>
      <c r="AB1481" s="1585"/>
      <c r="AC1481" s="1585"/>
      <c r="AD1481" s="1601">
        <f t="shared" si="164"/>
        <v>0</v>
      </c>
      <c r="AE1481" s="1790">
        <v>0</v>
      </c>
      <c r="AF1481" s="1792"/>
    </row>
    <row r="1482" spans="1:32" ht="27" customHeight="1">
      <c r="A1482" s="1795" t="s">
        <v>2617</v>
      </c>
      <c r="B1482" s="1795" t="s">
        <v>3891</v>
      </c>
      <c r="C1482" s="1625"/>
      <c r="D1482" s="1597"/>
      <c r="E1482" s="1599"/>
      <c r="F1482" s="1583"/>
      <c r="G1482" s="1583"/>
      <c r="H1482" s="1583"/>
      <c r="I1482" s="1583"/>
      <c r="J1482" s="1583"/>
      <c r="K1482" s="1583"/>
      <c r="L1482" s="1583"/>
      <c r="M1482" s="1583"/>
      <c r="N1482" s="1583"/>
      <c r="O1482" s="1583"/>
      <c r="P1482" s="1583"/>
      <c r="Q1482" s="1604"/>
      <c r="R1482" s="1583"/>
      <c r="S1482" s="1583"/>
      <c r="T1482" s="1604"/>
      <c r="U1482" s="1585"/>
      <c r="V1482" s="1585"/>
      <c r="W1482" s="1585"/>
      <c r="X1482" s="1585"/>
      <c r="Y1482" s="1585"/>
      <c r="Z1482" s="1585"/>
      <c r="AA1482" s="1585"/>
      <c r="AB1482" s="1585"/>
      <c r="AC1482" s="1585"/>
      <c r="AD1482" s="1601">
        <f t="shared" si="164"/>
        <v>0</v>
      </c>
      <c r="AE1482" s="1790">
        <v>0</v>
      </c>
      <c r="AF1482" s="1792"/>
    </row>
    <row r="1483" spans="1:32" ht="27.75" customHeight="1">
      <c r="A1483" s="2899" t="s">
        <v>2953</v>
      </c>
      <c r="B1483" s="2901" t="s">
        <v>3892</v>
      </c>
      <c r="C1483" s="2903" t="s">
        <v>52</v>
      </c>
      <c r="D1483" s="2905">
        <v>2387.1</v>
      </c>
      <c r="E1483" s="1598" t="s">
        <v>2496</v>
      </c>
      <c r="F1483" s="1583"/>
      <c r="G1483" s="1583"/>
      <c r="H1483" s="1583"/>
      <c r="I1483" s="1583"/>
      <c r="J1483" s="1583"/>
      <c r="K1483" s="1583"/>
      <c r="L1483" s="1583"/>
      <c r="M1483" s="1583"/>
      <c r="N1483" s="1583"/>
      <c r="O1483" s="1583"/>
      <c r="P1483" s="1583"/>
      <c r="Q1483" s="1585"/>
      <c r="R1483" s="1583"/>
      <c r="S1483" s="1583"/>
      <c r="T1483" s="1585"/>
      <c r="U1483" s="1585"/>
      <c r="V1483" s="1585"/>
      <c r="W1483" s="1585"/>
      <c r="X1483" s="1585"/>
      <c r="Y1483" s="1585"/>
      <c r="Z1483" s="1585"/>
      <c r="AA1483" s="1585"/>
      <c r="AB1483" s="1585"/>
      <c r="AC1483" s="1585">
        <v>2387.1</v>
      </c>
      <c r="AD1483" s="1601">
        <f t="shared" si="164"/>
        <v>2387.1</v>
      </c>
      <c r="AE1483" s="1790">
        <v>0</v>
      </c>
      <c r="AF1483" s="1792"/>
    </row>
    <row r="1484" spans="1:32" ht="27.75" customHeight="1">
      <c r="A1484" s="2900" t="s">
        <v>2953</v>
      </c>
      <c r="B1484" s="2902" t="s">
        <v>2954</v>
      </c>
      <c r="C1484" s="2904" t="s">
        <v>52</v>
      </c>
      <c r="D1484" s="2906">
        <v>2387.1</v>
      </c>
      <c r="E1484" s="1603" t="s">
        <v>2497</v>
      </c>
      <c r="F1484" s="1583"/>
      <c r="G1484" s="1583"/>
      <c r="H1484" s="1583"/>
      <c r="I1484" s="1583"/>
      <c r="J1484" s="1583"/>
      <c r="K1484" s="1583"/>
      <c r="L1484" s="1583"/>
      <c r="M1484" s="1583"/>
      <c r="N1484" s="1583"/>
      <c r="O1484" s="1583"/>
      <c r="P1484" s="1583"/>
      <c r="Q1484" s="1604"/>
      <c r="R1484" s="1583"/>
      <c r="S1484" s="1583"/>
      <c r="T1484" s="1604"/>
      <c r="U1484" s="1592"/>
      <c r="V1484" s="1585"/>
      <c r="W1484" s="1585"/>
      <c r="X1484" s="1585"/>
      <c r="Y1484" s="1592"/>
      <c r="Z1484" s="1585"/>
      <c r="AA1484" s="1585"/>
      <c r="AB1484" s="1585"/>
      <c r="AC1484" s="1585"/>
      <c r="AD1484" s="1601">
        <f t="shared" si="164"/>
        <v>0</v>
      </c>
      <c r="AE1484" s="1790">
        <v>0</v>
      </c>
      <c r="AF1484" s="1792"/>
    </row>
    <row r="1485" spans="1:32" ht="27.75" customHeight="1">
      <c r="A1485" s="2899" t="s">
        <v>2955</v>
      </c>
      <c r="B1485" s="2901" t="s">
        <v>3893</v>
      </c>
      <c r="C1485" s="2903" t="s">
        <v>52</v>
      </c>
      <c r="D1485" s="2905">
        <v>1586.3600000000001</v>
      </c>
      <c r="E1485" s="1598" t="s">
        <v>2496</v>
      </c>
      <c r="F1485" s="1583"/>
      <c r="G1485" s="1583"/>
      <c r="H1485" s="1583"/>
      <c r="I1485" s="1583"/>
      <c r="J1485" s="1583"/>
      <c r="K1485" s="1583"/>
      <c r="L1485" s="1583"/>
      <c r="M1485" s="1583"/>
      <c r="N1485" s="1583"/>
      <c r="O1485" s="1583"/>
      <c r="P1485" s="1583"/>
      <c r="Q1485" s="1585"/>
      <c r="R1485" s="1583"/>
      <c r="S1485" s="1583"/>
      <c r="T1485" s="1585"/>
      <c r="U1485" s="1585"/>
      <c r="V1485" s="1585"/>
      <c r="W1485" s="1585"/>
      <c r="X1485" s="1585"/>
      <c r="Y1485" s="1585"/>
      <c r="Z1485" s="1585"/>
      <c r="AA1485" s="1585"/>
      <c r="AB1485" s="1585"/>
      <c r="AC1485" s="1585">
        <v>1586.3600000000001</v>
      </c>
      <c r="AD1485" s="1601">
        <f t="shared" si="164"/>
        <v>1586.3600000000001</v>
      </c>
      <c r="AE1485" s="1790">
        <v>0</v>
      </c>
      <c r="AF1485" s="1792"/>
    </row>
    <row r="1486" spans="1:32" ht="27.75" customHeight="1">
      <c r="A1486" s="2900" t="s">
        <v>2955</v>
      </c>
      <c r="B1486" s="2902" t="s">
        <v>2956</v>
      </c>
      <c r="C1486" s="2904" t="s">
        <v>52</v>
      </c>
      <c r="D1486" s="2906">
        <v>1586.3600000000001</v>
      </c>
      <c r="E1486" s="1603" t="s">
        <v>2497</v>
      </c>
      <c r="F1486" s="1583"/>
      <c r="G1486" s="1583"/>
      <c r="H1486" s="1583"/>
      <c r="I1486" s="1583"/>
      <c r="J1486" s="1583"/>
      <c r="K1486" s="1583"/>
      <c r="L1486" s="1583"/>
      <c r="M1486" s="1583"/>
      <c r="N1486" s="1583"/>
      <c r="O1486" s="1583"/>
      <c r="P1486" s="1583"/>
      <c r="Q1486" s="1604"/>
      <c r="R1486" s="1583"/>
      <c r="S1486" s="1583"/>
      <c r="T1486" s="1604"/>
      <c r="U1486" s="1585"/>
      <c r="V1486" s="1585"/>
      <c r="W1486" s="1585"/>
      <c r="X1486" s="1585"/>
      <c r="Y1486" s="1585"/>
      <c r="Z1486" s="1585"/>
      <c r="AA1486" s="1585"/>
      <c r="AB1486" s="1585"/>
      <c r="AC1486" s="1585"/>
      <c r="AD1486" s="1601">
        <f t="shared" si="164"/>
        <v>0</v>
      </c>
      <c r="AE1486" s="1790">
        <v>0</v>
      </c>
      <c r="AF1486" s="1792"/>
    </row>
    <row r="1487" spans="1:32" ht="27.75" customHeight="1">
      <c r="A1487" s="2899" t="s">
        <v>2957</v>
      </c>
      <c r="B1487" s="2901" t="s">
        <v>3894</v>
      </c>
      <c r="C1487" s="2903" t="s">
        <v>52</v>
      </c>
      <c r="D1487" s="2905">
        <v>3186.66</v>
      </c>
      <c r="E1487" s="1598" t="s">
        <v>2496</v>
      </c>
      <c r="F1487" s="1583"/>
      <c r="G1487" s="1583"/>
      <c r="H1487" s="1583"/>
      <c r="I1487" s="1583"/>
      <c r="J1487" s="1583"/>
      <c r="K1487" s="1583"/>
      <c r="L1487" s="1583"/>
      <c r="M1487" s="1583"/>
      <c r="N1487" s="1583"/>
      <c r="O1487" s="1583"/>
      <c r="P1487" s="1583"/>
      <c r="Q1487" s="1585"/>
      <c r="R1487" s="1583"/>
      <c r="S1487" s="1583"/>
      <c r="T1487" s="1585"/>
      <c r="U1487" s="1585"/>
      <c r="V1487" s="1585"/>
      <c r="W1487" s="1585"/>
      <c r="X1487" s="1585"/>
      <c r="Y1487" s="1585"/>
      <c r="Z1487" s="1585"/>
      <c r="AA1487" s="1585"/>
      <c r="AB1487" s="1585"/>
      <c r="AC1487" s="1585">
        <v>3186.66</v>
      </c>
      <c r="AD1487" s="1601">
        <f t="shared" si="164"/>
        <v>3186.66</v>
      </c>
      <c r="AE1487" s="1790">
        <v>0</v>
      </c>
      <c r="AF1487" s="1792"/>
    </row>
    <row r="1488" spans="1:32" ht="27" customHeight="1">
      <c r="A1488" s="2900" t="s">
        <v>2957</v>
      </c>
      <c r="B1488" s="2902" t="s">
        <v>2958</v>
      </c>
      <c r="C1488" s="2904" t="s">
        <v>52</v>
      </c>
      <c r="D1488" s="2906">
        <v>3186.66</v>
      </c>
      <c r="E1488" s="1603" t="s">
        <v>2497</v>
      </c>
      <c r="F1488" s="1583"/>
      <c r="G1488" s="1583"/>
      <c r="H1488" s="1583"/>
      <c r="I1488" s="1583"/>
      <c r="J1488" s="1583"/>
      <c r="K1488" s="1583"/>
      <c r="L1488" s="1583"/>
      <c r="M1488" s="1583"/>
      <c r="N1488" s="1583"/>
      <c r="O1488" s="1583"/>
      <c r="P1488" s="1583"/>
      <c r="Q1488" s="1604"/>
      <c r="R1488" s="1583"/>
      <c r="S1488" s="1583"/>
      <c r="T1488" s="1604"/>
      <c r="U1488" s="1585"/>
      <c r="V1488" s="1585"/>
      <c r="W1488" s="1585"/>
      <c r="X1488" s="1585"/>
      <c r="Y1488" s="1585"/>
      <c r="Z1488" s="1585"/>
      <c r="AA1488" s="1585"/>
      <c r="AB1488" s="1585"/>
      <c r="AC1488" s="1585"/>
      <c r="AD1488" s="1601">
        <f t="shared" si="164"/>
        <v>0</v>
      </c>
      <c r="AE1488" s="1790">
        <v>0</v>
      </c>
      <c r="AF1488" s="1792"/>
    </row>
    <row r="1489" spans="1:32" ht="27.75" customHeight="1">
      <c r="A1489" s="2899" t="s">
        <v>2959</v>
      </c>
      <c r="B1489" s="2901" t="s">
        <v>3895</v>
      </c>
      <c r="C1489" s="2903" t="s">
        <v>52</v>
      </c>
      <c r="D1489" s="2905">
        <v>2959.56</v>
      </c>
      <c r="E1489" s="1598" t="s">
        <v>2496</v>
      </c>
      <c r="F1489" s="1583"/>
      <c r="G1489" s="1583"/>
      <c r="H1489" s="1583"/>
      <c r="I1489" s="1583"/>
      <c r="J1489" s="1583"/>
      <c r="K1489" s="1583"/>
      <c r="L1489" s="1583"/>
      <c r="M1489" s="1583"/>
      <c r="N1489" s="1583"/>
      <c r="O1489" s="1583"/>
      <c r="P1489" s="1583"/>
      <c r="Q1489" s="1585"/>
      <c r="R1489" s="1583"/>
      <c r="S1489" s="1583"/>
      <c r="T1489" s="1585"/>
      <c r="U1489" s="1585"/>
      <c r="V1489" s="1585"/>
      <c r="W1489" s="1585"/>
      <c r="X1489" s="1585"/>
      <c r="Y1489" s="1585"/>
      <c r="Z1489" s="1585"/>
      <c r="AA1489" s="1585"/>
      <c r="AB1489" s="1585"/>
      <c r="AC1489" s="1585">
        <v>2959.56</v>
      </c>
      <c r="AD1489" s="1601">
        <f t="shared" ref="AD1489:AD1552" si="165">SUM(F1489:AC1489)</f>
        <v>2959.56</v>
      </c>
      <c r="AE1489" s="1790">
        <v>0</v>
      </c>
      <c r="AF1489" s="1792"/>
    </row>
    <row r="1490" spans="1:32" ht="27.75" customHeight="1">
      <c r="A1490" s="2900" t="s">
        <v>2959</v>
      </c>
      <c r="B1490" s="2902" t="s">
        <v>2960</v>
      </c>
      <c r="C1490" s="2904" t="s">
        <v>52</v>
      </c>
      <c r="D1490" s="2906">
        <v>2959.56</v>
      </c>
      <c r="E1490" s="1603" t="s">
        <v>2497</v>
      </c>
      <c r="F1490" s="1583"/>
      <c r="G1490" s="1583"/>
      <c r="H1490" s="1583"/>
      <c r="I1490" s="1583"/>
      <c r="J1490" s="1583"/>
      <c r="K1490" s="1583"/>
      <c r="L1490" s="1583"/>
      <c r="M1490" s="1583"/>
      <c r="N1490" s="1583"/>
      <c r="O1490" s="1583"/>
      <c r="P1490" s="1583"/>
      <c r="Q1490" s="1604"/>
      <c r="R1490" s="1583"/>
      <c r="S1490" s="1583"/>
      <c r="T1490" s="1604"/>
      <c r="U1490" s="1592"/>
      <c r="V1490" s="1585"/>
      <c r="W1490" s="1585"/>
      <c r="X1490" s="1585"/>
      <c r="Y1490" s="1592"/>
      <c r="Z1490" s="1585"/>
      <c r="AA1490" s="1585"/>
      <c r="AB1490" s="1585"/>
      <c r="AC1490" s="1585"/>
      <c r="AD1490" s="1601">
        <f t="shared" si="165"/>
        <v>0</v>
      </c>
      <c r="AE1490" s="1790">
        <v>0</v>
      </c>
      <c r="AF1490" s="1792"/>
    </row>
    <row r="1491" spans="1:32" ht="27.75" customHeight="1">
      <c r="A1491" s="2899" t="s">
        <v>2961</v>
      </c>
      <c r="B1491" s="2901" t="s">
        <v>3896</v>
      </c>
      <c r="C1491" s="2903" t="s">
        <v>52</v>
      </c>
      <c r="D1491" s="2905">
        <v>5175.82</v>
      </c>
      <c r="E1491" s="1598" t="s">
        <v>2496</v>
      </c>
      <c r="F1491" s="1583"/>
      <c r="G1491" s="1583"/>
      <c r="H1491" s="1583"/>
      <c r="I1491" s="1583"/>
      <c r="J1491" s="1583"/>
      <c r="K1491" s="1583"/>
      <c r="L1491" s="1583"/>
      <c r="M1491" s="1583"/>
      <c r="N1491" s="1583"/>
      <c r="O1491" s="1583"/>
      <c r="P1491" s="1583"/>
      <c r="Q1491" s="1585"/>
      <c r="R1491" s="1583"/>
      <c r="S1491" s="1583"/>
      <c r="T1491" s="1585"/>
      <c r="U1491" s="1585"/>
      <c r="V1491" s="1585"/>
      <c r="W1491" s="1585"/>
      <c r="X1491" s="1585"/>
      <c r="Y1491" s="1585"/>
      <c r="Z1491" s="1585"/>
      <c r="AA1491" s="1585"/>
      <c r="AB1491" s="1585"/>
      <c r="AC1491" s="1585">
        <v>5175.82</v>
      </c>
      <c r="AD1491" s="1601">
        <f t="shared" si="165"/>
        <v>5175.82</v>
      </c>
      <c r="AE1491" s="1790">
        <v>0</v>
      </c>
      <c r="AF1491" s="1792"/>
    </row>
    <row r="1492" spans="1:32" ht="27.75" customHeight="1">
      <c r="A1492" s="2900" t="s">
        <v>2961</v>
      </c>
      <c r="B1492" s="2902" t="s">
        <v>2962</v>
      </c>
      <c r="C1492" s="2904" t="s">
        <v>52</v>
      </c>
      <c r="D1492" s="2906">
        <v>5175.82</v>
      </c>
      <c r="E1492" s="1603" t="s">
        <v>2497</v>
      </c>
      <c r="F1492" s="1583"/>
      <c r="G1492" s="1583"/>
      <c r="H1492" s="1583"/>
      <c r="I1492" s="1583"/>
      <c r="J1492" s="1583"/>
      <c r="K1492" s="1583"/>
      <c r="L1492" s="1583"/>
      <c r="M1492" s="1583"/>
      <c r="N1492" s="1583"/>
      <c r="O1492" s="1583"/>
      <c r="P1492" s="1583"/>
      <c r="Q1492" s="1604"/>
      <c r="R1492" s="1583"/>
      <c r="S1492" s="1583"/>
      <c r="T1492" s="1604"/>
      <c r="U1492" s="1585"/>
      <c r="V1492" s="1585"/>
      <c r="W1492" s="1585"/>
      <c r="X1492" s="1585"/>
      <c r="Y1492" s="1585"/>
      <c r="Z1492" s="1585"/>
      <c r="AA1492" s="1585"/>
      <c r="AB1492" s="1585"/>
      <c r="AC1492" s="1585"/>
      <c r="AD1492" s="1601">
        <f t="shared" si="165"/>
        <v>0</v>
      </c>
      <c r="AE1492" s="1790">
        <v>0</v>
      </c>
      <c r="AF1492" s="1792"/>
    </row>
    <row r="1493" spans="1:32" ht="27.75" customHeight="1">
      <c r="A1493" s="2899" t="s">
        <v>2963</v>
      </c>
      <c r="B1493" s="2901" t="s">
        <v>3897</v>
      </c>
      <c r="C1493" s="2903" t="s">
        <v>52</v>
      </c>
      <c r="D1493" s="2905">
        <v>3758.26</v>
      </c>
      <c r="E1493" s="1598" t="s">
        <v>2496</v>
      </c>
      <c r="F1493" s="1583"/>
      <c r="G1493" s="1583"/>
      <c r="H1493" s="1583"/>
      <c r="I1493" s="1583"/>
      <c r="J1493" s="1583"/>
      <c r="K1493" s="1583"/>
      <c r="L1493" s="1583"/>
      <c r="M1493" s="1583"/>
      <c r="N1493" s="1583"/>
      <c r="O1493" s="1583"/>
      <c r="P1493" s="1583"/>
      <c r="Q1493" s="1585"/>
      <c r="R1493" s="1583"/>
      <c r="S1493" s="1583"/>
      <c r="T1493" s="1585"/>
      <c r="U1493" s="1585"/>
      <c r="V1493" s="1585"/>
      <c r="W1493" s="1585"/>
      <c r="X1493" s="1585"/>
      <c r="Y1493" s="1585"/>
      <c r="Z1493" s="1585"/>
      <c r="AA1493" s="1585"/>
      <c r="AB1493" s="1585"/>
      <c r="AC1493" s="1585">
        <v>3758.26</v>
      </c>
      <c r="AD1493" s="1601">
        <f t="shared" si="165"/>
        <v>3758.26</v>
      </c>
      <c r="AE1493" s="1790">
        <v>0</v>
      </c>
      <c r="AF1493" s="1792"/>
    </row>
    <row r="1494" spans="1:32" ht="27" customHeight="1">
      <c r="A1494" s="2900" t="s">
        <v>2963</v>
      </c>
      <c r="B1494" s="2902" t="s">
        <v>2964</v>
      </c>
      <c r="C1494" s="2904" t="s">
        <v>52</v>
      </c>
      <c r="D1494" s="2906">
        <v>3758.26</v>
      </c>
      <c r="E1494" s="1603" t="s">
        <v>2497</v>
      </c>
      <c r="F1494" s="1583"/>
      <c r="G1494" s="1583"/>
      <c r="H1494" s="1583"/>
      <c r="I1494" s="1583"/>
      <c r="J1494" s="1583"/>
      <c r="K1494" s="1583"/>
      <c r="L1494" s="1583"/>
      <c r="M1494" s="1583"/>
      <c r="N1494" s="1583"/>
      <c r="O1494" s="1583"/>
      <c r="P1494" s="1583"/>
      <c r="Q1494" s="1604"/>
      <c r="R1494" s="1583"/>
      <c r="S1494" s="1583"/>
      <c r="T1494" s="1604"/>
      <c r="U1494" s="1585"/>
      <c r="V1494" s="1585"/>
      <c r="W1494" s="1585"/>
      <c r="X1494" s="1585"/>
      <c r="Y1494" s="1585"/>
      <c r="Z1494" s="1585"/>
      <c r="AA1494" s="1585"/>
      <c r="AB1494" s="1585"/>
      <c r="AC1494" s="1585"/>
      <c r="AD1494" s="1601">
        <f t="shared" si="165"/>
        <v>0</v>
      </c>
      <c r="AE1494" s="1790">
        <v>0</v>
      </c>
      <c r="AF1494" s="1792"/>
    </row>
    <row r="1495" spans="1:32" ht="27.75" customHeight="1">
      <c r="A1495" s="2899" t="s">
        <v>2965</v>
      </c>
      <c r="B1495" s="2901" t="s">
        <v>3898</v>
      </c>
      <c r="C1495" s="2903" t="s">
        <v>52</v>
      </c>
      <c r="D1495" s="2905">
        <v>1963.6100000000001</v>
      </c>
      <c r="E1495" s="1598" t="s">
        <v>2496</v>
      </c>
      <c r="F1495" s="1583"/>
      <c r="G1495" s="1583"/>
      <c r="H1495" s="1583"/>
      <c r="I1495" s="1583"/>
      <c r="J1495" s="1583"/>
      <c r="K1495" s="1583"/>
      <c r="L1495" s="1583"/>
      <c r="M1495" s="1583"/>
      <c r="N1495" s="1583"/>
      <c r="O1495" s="1583"/>
      <c r="P1495" s="1583"/>
      <c r="Q1495" s="1585"/>
      <c r="R1495" s="1583"/>
      <c r="S1495" s="1583"/>
      <c r="T1495" s="1585"/>
      <c r="U1495" s="1585"/>
      <c r="V1495" s="1585"/>
      <c r="W1495" s="1585"/>
      <c r="X1495" s="1585"/>
      <c r="Y1495" s="1585"/>
      <c r="Z1495" s="1585"/>
      <c r="AA1495" s="1585"/>
      <c r="AB1495" s="1585"/>
      <c r="AC1495" s="1585">
        <v>1963.6100000000001</v>
      </c>
      <c r="AD1495" s="1601">
        <f t="shared" si="165"/>
        <v>1963.6100000000001</v>
      </c>
      <c r="AE1495" s="1790">
        <v>0</v>
      </c>
      <c r="AF1495" s="1792"/>
    </row>
    <row r="1496" spans="1:32" ht="27.75" customHeight="1">
      <c r="A1496" s="2900" t="s">
        <v>2965</v>
      </c>
      <c r="B1496" s="2902" t="s">
        <v>2966</v>
      </c>
      <c r="C1496" s="2904" t="s">
        <v>52</v>
      </c>
      <c r="D1496" s="2906">
        <v>1963.6100000000001</v>
      </c>
      <c r="E1496" s="1603" t="s">
        <v>2497</v>
      </c>
      <c r="F1496" s="1583"/>
      <c r="G1496" s="1583"/>
      <c r="H1496" s="1583"/>
      <c r="I1496" s="1583"/>
      <c r="J1496" s="1583"/>
      <c r="K1496" s="1583"/>
      <c r="L1496" s="1583"/>
      <c r="M1496" s="1583"/>
      <c r="N1496" s="1583"/>
      <c r="O1496" s="1583"/>
      <c r="P1496" s="1583"/>
      <c r="Q1496" s="1604"/>
      <c r="R1496" s="1583"/>
      <c r="S1496" s="1583"/>
      <c r="T1496" s="1604"/>
      <c r="U1496" s="1592"/>
      <c r="V1496" s="1585"/>
      <c r="W1496" s="1585"/>
      <c r="X1496" s="1585"/>
      <c r="Y1496" s="1592"/>
      <c r="Z1496" s="1585"/>
      <c r="AA1496" s="1585"/>
      <c r="AB1496" s="1585"/>
      <c r="AC1496" s="1585"/>
      <c r="AD1496" s="1601">
        <f t="shared" si="165"/>
        <v>0</v>
      </c>
      <c r="AE1496" s="1790">
        <v>0</v>
      </c>
      <c r="AF1496" s="1792"/>
    </row>
    <row r="1497" spans="1:32" ht="27.75" customHeight="1">
      <c r="A1497" s="2899" t="s">
        <v>2967</v>
      </c>
      <c r="B1497" s="2901" t="s">
        <v>3899</v>
      </c>
      <c r="C1497" s="2903" t="s">
        <v>52</v>
      </c>
      <c r="D1497" s="2905">
        <v>2109.86</v>
      </c>
      <c r="E1497" s="1598" t="s">
        <v>2496</v>
      </c>
      <c r="F1497" s="1583"/>
      <c r="G1497" s="1583"/>
      <c r="H1497" s="1583"/>
      <c r="I1497" s="1583"/>
      <c r="J1497" s="1583"/>
      <c r="K1497" s="1583"/>
      <c r="L1497" s="1583"/>
      <c r="M1497" s="1583"/>
      <c r="N1497" s="1583"/>
      <c r="O1497" s="1583"/>
      <c r="P1497" s="1583"/>
      <c r="Q1497" s="1585"/>
      <c r="R1497" s="1583"/>
      <c r="S1497" s="1583"/>
      <c r="T1497" s="1585"/>
      <c r="U1497" s="1585"/>
      <c r="V1497" s="1585"/>
      <c r="W1497" s="1585"/>
      <c r="X1497" s="1585"/>
      <c r="Y1497" s="1585"/>
      <c r="Z1497" s="1585"/>
      <c r="AA1497" s="1585"/>
      <c r="AB1497" s="1585"/>
      <c r="AC1497" s="1585">
        <v>2109.86</v>
      </c>
      <c r="AD1497" s="1601">
        <f t="shared" si="165"/>
        <v>2109.86</v>
      </c>
      <c r="AE1497" s="1790">
        <v>0</v>
      </c>
      <c r="AF1497" s="1792"/>
    </row>
    <row r="1498" spans="1:32" ht="27.75" customHeight="1">
      <c r="A1498" s="2900" t="s">
        <v>2967</v>
      </c>
      <c r="B1498" s="2902" t="s">
        <v>2968</v>
      </c>
      <c r="C1498" s="2904" t="s">
        <v>52</v>
      </c>
      <c r="D1498" s="2906">
        <v>2109.86</v>
      </c>
      <c r="E1498" s="1603" t="s">
        <v>2497</v>
      </c>
      <c r="F1498" s="1583"/>
      <c r="G1498" s="1583"/>
      <c r="H1498" s="1583"/>
      <c r="I1498" s="1583"/>
      <c r="J1498" s="1583"/>
      <c r="K1498" s="1583"/>
      <c r="L1498" s="1583"/>
      <c r="M1498" s="1583"/>
      <c r="N1498" s="1583"/>
      <c r="O1498" s="1583"/>
      <c r="P1498" s="1583"/>
      <c r="Q1498" s="1604"/>
      <c r="R1498" s="1583"/>
      <c r="S1498" s="1583"/>
      <c r="T1498" s="1604"/>
      <c r="U1498" s="1585"/>
      <c r="V1498" s="1585"/>
      <c r="W1498" s="1585"/>
      <c r="X1498" s="1585"/>
      <c r="Y1498" s="1585"/>
      <c r="Z1498" s="1585"/>
      <c r="AA1498" s="1585"/>
      <c r="AB1498" s="1585"/>
      <c r="AC1498" s="1585"/>
      <c r="AD1498" s="1601">
        <f t="shared" si="165"/>
        <v>0</v>
      </c>
      <c r="AE1498" s="1790">
        <v>0</v>
      </c>
      <c r="AF1498" s="1792"/>
    </row>
    <row r="1499" spans="1:32" ht="27.75" customHeight="1">
      <c r="A1499" s="2899" t="s">
        <v>2969</v>
      </c>
      <c r="B1499" s="2901" t="s">
        <v>3900</v>
      </c>
      <c r="C1499" s="2903" t="s">
        <v>52</v>
      </c>
      <c r="D1499" s="2905">
        <v>3671.38</v>
      </c>
      <c r="E1499" s="1598" t="s">
        <v>2496</v>
      </c>
      <c r="F1499" s="1583"/>
      <c r="G1499" s="1583"/>
      <c r="H1499" s="1583"/>
      <c r="I1499" s="1583"/>
      <c r="J1499" s="1583"/>
      <c r="K1499" s="1583"/>
      <c r="L1499" s="1583"/>
      <c r="M1499" s="1583"/>
      <c r="N1499" s="1583"/>
      <c r="O1499" s="1583"/>
      <c r="P1499" s="1583"/>
      <c r="Q1499" s="1585"/>
      <c r="R1499" s="1583"/>
      <c r="S1499" s="1583"/>
      <c r="T1499" s="1585"/>
      <c r="U1499" s="1585"/>
      <c r="V1499" s="1585"/>
      <c r="W1499" s="1585"/>
      <c r="X1499" s="1585"/>
      <c r="Y1499" s="1585"/>
      <c r="Z1499" s="1585"/>
      <c r="AA1499" s="1585"/>
      <c r="AB1499" s="1585"/>
      <c r="AC1499" s="1585">
        <v>3671.38</v>
      </c>
      <c r="AD1499" s="1601">
        <f t="shared" si="165"/>
        <v>3671.38</v>
      </c>
      <c r="AE1499" s="1790">
        <v>0</v>
      </c>
      <c r="AF1499" s="1792"/>
    </row>
    <row r="1500" spans="1:32" ht="27" customHeight="1">
      <c r="A1500" s="2900" t="s">
        <v>2969</v>
      </c>
      <c r="B1500" s="2902" t="s">
        <v>2970</v>
      </c>
      <c r="C1500" s="2904" t="s">
        <v>52</v>
      </c>
      <c r="D1500" s="2906">
        <v>3671.38</v>
      </c>
      <c r="E1500" s="1603" t="s">
        <v>2497</v>
      </c>
      <c r="F1500" s="1583"/>
      <c r="G1500" s="1583"/>
      <c r="H1500" s="1583"/>
      <c r="I1500" s="1583"/>
      <c r="J1500" s="1583"/>
      <c r="K1500" s="1583"/>
      <c r="L1500" s="1583"/>
      <c r="M1500" s="1583"/>
      <c r="N1500" s="1583"/>
      <c r="O1500" s="1583"/>
      <c r="P1500" s="1583"/>
      <c r="Q1500" s="1604"/>
      <c r="R1500" s="1583"/>
      <c r="S1500" s="1583"/>
      <c r="T1500" s="1604"/>
      <c r="U1500" s="1585"/>
      <c r="V1500" s="1585"/>
      <c r="W1500" s="1585"/>
      <c r="X1500" s="1585"/>
      <c r="Y1500" s="1585"/>
      <c r="Z1500" s="1585"/>
      <c r="AA1500" s="1585"/>
      <c r="AB1500" s="1585"/>
      <c r="AC1500" s="1585"/>
      <c r="AD1500" s="1601">
        <f t="shared" si="165"/>
        <v>0</v>
      </c>
      <c r="AE1500" s="1790">
        <v>0</v>
      </c>
      <c r="AF1500" s="1792"/>
    </row>
    <row r="1501" spans="1:32" ht="27.75" customHeight="1">
      <c r="A1501" s="2899" t="s">
        <v>2971</v>
      </c>
      <c r="B1501" s="2901" t="s">
        <v>3901</v>
      </c>
      <c r="C1501" s="2903" t="s">
        <v>52</v>
      </c>
      <c r="D1501" s="2905">
        <v>2731.58</v>
      </c>
      <c r="E1501" s="1598" t="s">
        <v>2496</v>
      </c>
      <c r="F1501" s="1583"/>
      <c r="G1501" s="1583"/>
      <c r="H1501" s="1583"/>
      <c r="I1501" s="1583"/>
      <c r="J1501" s="1583"/>
      <c r="K1501" s="1583"/>
      <c r="L1501" s="1583"/>
      <c r="M1501" s="1583"/>
      <c r="N1501" s="1583"/>
      <c r="O1501" s="1583"/>
      <c r="P1501" s="1583"/>
      <c r="Q1501" s="1585"/>
      <c r="R1501" s="1583"/>
      <c r="S1501" s="1583"/>
      <c r="T1501" s="1585"/>
      <c r="U1501" s="1585"/>
      <c r="V1501" s="1585"/>
      <c r="W1501" s="1585"/>
      <c r="X1501" s="1585"/>
      <c r="Y1501" s="1585"/>
      <c r="Z1501" s="1585"/>
      <c r="AA1501" s="1585"/>
      <c r="AB1501" s="1585"/>
      <c r="AC1501" s="1585">
        <v>2731.58</v>
      </c>
      <c r="AD1501" s="1601">
        <f t="shared" si="165"/>
        <v>2731.58</v>
      </c>
      <c r="AE1501" s="1790">
        <v>0</v>
      </c>
      <c r="AF1501" s="1792"/>
    </row>
    <row r="1502" spans="1:32" ht="27.75" customHeight="1">
      <c r="A1502" s="2900" t="s">
        <v>2971</v>
      </c>
      <c r="B1502" s="2902" t="s">
        <v>2972</v>
      </c>
      <c r="C1502" s="2904" t="s">
        <v>52</v>
      </c>
      <c r="D1502" s="2906">
        <v>2731.58</v>
      </c>
      <c r="E1502" s="1603" t="s">
        <v>2497</v>
      </c>
      <c r="F1502" s="1583"/>
      <c r="G1502" s="1583"/>
      <c r="H1502" s="1583"/>
      <c r="I1502" s="1583"/>
      <c r="J1502" s="1583"/>
      <c r="K1502" s="1583"/>
      <c r="L1502" s="1583"/>
      <c r="M1502" s="1583"/>
      <c r="N1502" s="1583"/>
      <c r="O1502" s="1583"/>
      <c r="P1502" s="1583"/>
      <c r="Q1502" s="1604"/>
      <c r="R1502" s="1583"/>
      <c r="S1502" s="1583"/>
      <c r="T1502" s="1604"/>
      <c r="U1502" s="1592"/>
      <c r="V1502" s="1585"/>
      <c r="W1502" s="1585"/>
      <c r="X1502" s="1585"/>
      <c r="Y1502" s="1592"/>
      <c r="Z1502" s="1585"/>
      <c r="AA1502" s="1585"/>
      <c r="AB1502" s="1585"/>
      <c r="AC1502" s="1585"/>
      <c r="AD1502" s="1601">
        <f t="shared" si="165"/>
        <v>0</v>
      </c>
      <c r="AE1502" s="1790">
        <v>0</v>
      </c>
      <c r="AF1502" s="1792"/>
    </row>
    <row r="1503" spans="1:32" ht="27.75" customHeight="1">
      <c r="A1503" s="2899" t="s">
        <v>2973</v>
      </c>
      <c r="B1503" s="2901" t="s">
        <v>3902</v>
      </c>
      <c r="C1503" s="2903" t="s">
        <v>52</v>
      </c>
      <c r="D1503" s="2905">
        <v>373.92</v>
      </c>
      <c r="E1503" s="1598" t="s">
        <v>2496</v>
      </c>
      <c r="F1503" s="1583"/>
      <c r="G1503" s="1583"/>
      <c r="H1503" s="1583"/>
      <c r="I1503" s="1583"/>
      <c r="J1503" s="1583"/>
      <c r="K1503" s="1583"/>
      <c r="L1503" s="1583"/>
      <c r="M1503" s="1583"/>
      <c r="N1503" s="1583"/>
      <c r="O1503" s="1583"/>
      <c r="P1503" s="1583"/>
      <c r="Q1503" s="1585"/>
      <c r="R1503" s="1583"/>
      <c r="S1503" s="1583"/>
      <c r="T1503" s="1585"/>
      <c r="U1503" s="1585"/>
      <c r="V1503" s="1585"/>
      <c r="W1503" s="1585"/>
      <c r="X1503" s="1585"/>
      <c r="Y1503" s="1585"/>
      <c r="Z1503" s="1585"/>
      <c r="AA1503" s="1585"/>
      <c r="AB1503" s="1585"/>
      <c r="AC1503" s="1585">
        <v>373.92</v>
      </c>
      <c r="AD1503" s="1601">
        <f t="shared" si="165"/>
        <v>373.92</v>
      </c>
      <c r="AE1503" s="1790">
        <v>0</v>
      </c>
      <c r="AF1503" s="1792"/>
    </row>
    <row r="1504" spans="1:32" ht="27.75" customHeight="1">
      <c r="A1504" s="2900" t="s">
        <v>2973</v>
      </c>
      <c r="B1504" s="2902" t="s">
        <v>2974</v>
      </c>
      <c r="C1504" s="2904" t="s">
        <v>52</v>
      </c>
      <c r="D1504" s="2906">
        <v>373.92</v>
      </c>
      <c r="E1504" s="1603" t="s">
        <v>2497</v>
      </c>
      <c r="F1504" s="1583"/>
      <c r="G1504" s="1583"/>
      <c r="H1504" s="1583"/>
      <c r="I1504" s="1583"/>
      <c r="J1504" s="1583"/>
      <c r="K1504" s="1583"/>
      <c r="L1504" s="1583"/>
      <c r="M1504" s="1583"/>
      <c r="N1504" s="1583"/>
      <c r="O1504" s="1583"/>
      <c r="P1504" s="1583"/>
      <c r="Q1504" s="1604"/>
      <c r="R1504" s="1583"/>
      <c r="S1504" s="1583"/>
      <c r="T1504" s="1604"/>
      <c r="U1504" s="1585"/>
      <c r="V1504" s="1585"/>
      <c r="W1504" s="1585"/>
      <c r="X1504" s="1585"/>
      <c r="Y1504" s="1585"/>
      <c r="Z1504" s="1585"/>
      <c r="AA1504" s="1585"/>
      <c r="AB1504" s="1585"/>
      <c r="AC1504" s="1585"/>
      <c r="AD1504" s="1601">
        <f t="shared" si="165"/>
        <v>0</v>
      </c>
      <c r="AE1504" s="1790">
        <v>0</v>
      </c>
      <c r="AF1504" s="1792"/>
    </row>
    <row r="1505" spans="1:32" ht="27.75" customHeight="1">
      <c r="A1505" s="1795" t="s">
        <v>2619</v>
      </c>
      <c r="B1505" s="1795" t="s">
        <v>3903</v>
      </c>
      <c r="C1505" s="1803"/>
      <c r="D1505" s="1804"/>
      <c r="E1505" s="1599"/>
      <c r="F1505" s="1583"/>
      <c r="G1505" s="1583"/>
      <c r="H1505" s="1583"/>
      <c r="I1505" s="1583"/>
      <c r="J1505" s="1583"/>
      <c r="K1505" s="1583"/>
      <c r="L1505" s="1583"/>
      <c r="M1505" s="1583"/>
      <c r="N1505" s="1583"/>
      <c r="O1505" s="1583"/>
      <c r="P1505" s="1583"/>
      <c r="Q1505" s="1604"/>
      <c r="R1505" s="1583"/>
      <c r="S1505" s="1583"/>
      <c r="T1505" s="1604"/>
      <c r="U1505" s="1585"/>
      <c r="V1505" s="1585"/>
      <c r="W1505" s="1585"/>
      <c r="X1505" s="1585"/>
      <c r="Y1505" s="1585"/>
      <c r="Z1505" s="1585"/>
      <c r="AA1505" s="1585"/>
      <c r="AB1505" s="1585"/>
      <c r="AC1505" s="1585"/>
      <c r="AD1505" s="1601">
        <f t="shared" si="165"/>
        <v>0</v>
      </c>
      <c r="AE1505" s="1790">
        <v>0</v>
      </c>
      <c r="AF1505" s="1792"/>
    </row>
    <row r="1506" spans="1:32" ht="27.75" customHeight="1">
      <c r="A1506" s="2899" t="s">
        <v>2976</v>
      </c>
      <c r="B1506" s="2901" t="s">
        <v>3904</v>
      </c>
      <c r="C1506" s="2903" t="s">
        <v>268</v>
      </c>
      <c r="D1506" s="2905">
        <v>11658.65</v>
      </c>
      <c r="E1506" s="1598" t="s">
        <v>2496</v>
      </c>
      <c r="F1506" s="1583"/>
      <c r="G1506" s="1583"/>
      <c r="H1506" s="1583"/>
      <c r="I1506" s="1583"/>
      <c r="J1506" s="1583"/>
      <c r="K1506" s="1583"/>
      <c r="L1506" s="1583"/>
      <c r="M1506" s="1583"/>
      <c r="N1506" s="1583"/>
      <c r="O1506" s="1583"/>
      <c r="P1506" s="1583"/>
      <c r="Q1506" s="1585"/>
      <c r="R1506" s="1583"/>
      <c r="S1506" s="1583"/>
      <c r="T1506" s="1585"/>
      <c r="U1506" s="1585"/>
      <c r="V1506" s="1585"/>
      <c r="W1506" s="1585"/>
      <c r="X1506" s="1585"/>
      <c r="Y1506" s="1585"/>
      <c r="Z1506" s="1585"/>
      <c r="AA1506" s="1585"/>
      <c r="AB1506" s="1585"/>
      <c r="AC1506" s="1585">
        <v>11658.65</v>
      </c>
      <c r="AD1506" s="1601">
        <f t="shared" si="165"/>
        <v>11658.65</v>
      </c>
      <c r="AE1506" s="1790">
        <v>0</v>
      </c>
      <c r="AF1506" s="1792"/>
    </row>
    <row r="1507" spans="1:32" ht="27" customHeight="1">
      <c r="A1507" s="2907" t="s">
        <v>2976</v>
      </c>
      <c r="B1507" s="2908" t="s">
        <v>2977</v>
      </c>
      <c r="C1507" s="2909" t="s">
        <v>268</v>
      </c>
      <c r="D1507" s="2910">
        <v>11658.65</v>
      </c>
      <c r="E1507" s="1806" t="s">
        <v>2497</v>
      </c>
      <c r="F1507" s="1807"/>
      <c r="G1507" s="1807"/>
      <c r="H1507" s="1807"/>
      <c r="I1507" s="1807"/>
      <c r="J1507" s="1807"/>
      <c r="K1507" s="1807"/>
      <c r="L1507" s="1807"/>
      <c r="M1507" s="1807"/>
      <c r="N1507" s="1807"/>
      <c r="O1507" s="1807"/>
      <c r="P1507" s="1807"/>
      <c r="Q1507" s="1808"/>
      <c r="R1507" s="1807"/>
      <c r="S1507" s="1807"/>
      <c r="T1507" s="1808"/>
      <c r="U1507" s="1809"/>
      <c r="V1507" s="1809"/>
      <c r="W1507" s="1809"/>
      <c r="X1507" s="1809"/>
      <c r="Y1507" s="1809"/>
      <c r="Z1507" s="1809"/>
      <c r="AA1507" s="1809"/>
      <c r="AB1507" s="1809"/>
      <c r="AC1507" s="1809"/>
      <c r="AD1507" s="1601">
        <f t="shared" si="165"/>
        <v>0</v>
      </c>
      <c r="AE1507" s="1790">
        <v>0</v>
      </c>
      <c r="AF1507" s="1792"/>
    </row>
    <row r="1508" spans="1:32" ht="27" customHeight="1">
      <c r="A1508" s="1647" t="s">
        <v>2623</v>
      </c>
      <c r="B1508" s="1647" t="s">
        <v>3905</v>
      </c>
      <c r="C1508" s="1625"/>
      <c r="D1508" s="1597"/>
      <c r="E1508" s="1599"/>
      <c r="F1508" s="1583"/>
      <c r="G1508" s="1583"/>
      <c r="H1508" s="1583"/>
      <c r="I1508" s="1583"/>
      <c r="J1508" s="1583"/>
      <c r="K1508" s="1583"/>
      <c r="L1508" s="1583"/>
      <c r="M1508" s="1583"/>
      <c r="N1508" s="1583"/>
      <c r="O1508" s="1583"/>
      <c r="P1508" s="1583"/>
      <c r="Q1508" s="1604"/>
      <c r="R1508" s="1583"/>
      <c r="S1508" s="1583"/>
      <c r="T1508" s="1604"/>
      <c r="U1508" s="1585"/>
      <c r="V1508" s="1585"/>
      <c r="W1508" s="1585"/>
      <c r="X1508" s="1585"/>
      <c r="Y1508" s="1585"/>
      <c r="Z1508" s="1585"/>
      <c r="AA1508" s="1585"/>
      <c r="AB1508" s="1585"/>
      <c r="AC1508" s="1585"/>
      <c r="AD1508" s="1601">
        <f t="shared" si="165"/>
        <v>0</v>
      </c>
      <c r="AE1508" s="1790">
        <v>0</v>
      </c>
      <c r="AF1508" s="1792"/>
    </row>
    <row r="1509" spans="1:32" ht="27" customHeight="1">
      <c r="A1509" s="1795" t="s">
        <v>2625</v>
      </c>
      <c r="B1509" s="1795" t="s">
        <v>3906</v>
      </c>
      <c r="C1509" s="1625"/>
      <c r="D1509" s="1597"/>
      <c r="E1509" s="1599"/>
      <c r="F1509" s="1583"/>
      <c r="G1509" s="1583"/>
      <c r="H1509" s="1583"/>
      <c r="I1509" s="1583"/>
      <c r="J1509" s="1583"/>
      <c r="K1509" s="1583"/>
      <c r="L1509" s="1583"/>
      <c r="M1509" s="1583"/>
      <c r="N1509" s="1583"/>
      <c r="O1509" s="1583"/>
      <c r="P1509" s="1583"/>
      <c r="Q1509" s="1604"/>
      <c r="R1509" s="1583"/>
      <c r="S1509" s="1583"/>
      <c r="T1509" s="1604"/>
      <c r="U1509" s="1585"/>
      <c r="V1509" s="1585"/>
      <c r="W1509" s="1585"/>
      <c r="X1509" s="1585"/>
      <c r="Y1509" s="1585"/>
      <c r="Z1509" s="1585"/>
      <c r="AA1509" s="1585"/>
      <c r="AB1509" s="1585"/>
      <c r="AC1509" s="1585"/>
      <c r="AD1509" s="1601">
        <f t="shared" si="165"/>
        <v>0</v>
      </c>
      <c r="AE1509" s="1790">
        <v>0</v>
      </c>
      <c r="AF1509" s="1792"/>
    </row>
    <row r="1510" spans="1:32" ht="27.75" customHeight="1">
      <c r="A1510" s="2907" t="s">
        <v>2627</v>
      </c>
      <c r="B1510" s="2908" t="s">
        <v>3907</v>
      </c>
      <c r="C1510" s="2909" t="s">
        <v>52</v>
      </c>
      <c r="D1510" s="2910">
        <v>1334.75</v>
      </c>
      <c r="E1510" s="1810" t="s">
        <v>2496</v>
      </c>
      <c r="F1510" s="1811"/>
      <c r="G1510" s="1811"/>
      <c r="H1510" s="1811"/>
      <c r="I1510" s="1811"/>
      <c r="J1510" s="1811"/>
      <c r="K1510" s="1811"/>
      <c r="L1510" s="1811"/>
      <c r="M1510" s="1811"/>
      <c r="N1510" s="1811"/>
      <c r="O1510" s="1811"/>
      <c r="P1510" s="1811"/>
      <c r="Q1510" s="1812"/>
      <c r="R1510" s="1811"/>
      <c r="S1510" s="1811"/>
      <c r="T1510" s="1812"/>
      <c r="U1510" s="1812"/>
      <c r="V1510" s="1812"/>
      <c r="W1510" s="1812"/>
      <c r="X1510" s="1812"/>
      <c r="Y1510" s="1812"/>
      <c r="Z1510" s="1812"/>
      <c r="AA1510" s="1585">
        <f>D1510</f>
        <v>1334.75</v>
      </c>
      <c r="AB1510" s="1812"/>
      <c r="AC1510" s="1812"/>
      <c r="AD1510" s="1601">
        <f t="shared" si="165"/>
        <v>1334.75</v>
      </c>
      <c r="AE1510" s="1790">
        <v>0</v>
      </c>
      <c r="AF1510" s="1792"/>
    </row>
    <row r="1511" spans="1:32" ht="27.75" customHeight="1">
      <c r="A1511" s="2900" t="s">
        <v>2627</v>
      </c>
      <c r="B1511" s="2902" t="s">
        <v>2980</v>
      </c>
      <c r="C1511" s="2904" t="s">
        <v>52</v>
      </c>
      <c r="D1511" s="2906">
        <v>1334.75</v>
      </c>
      <c r="E1511" s="1603" t="s">
        <v>2497</v>
      </c>
      <c r="F1511" s="1583"/>
      <c r="G1511" s="1583"/>
      <c r="H1511" s="1583"/>
      <c r="I1511" s="1583"/>
      <c r="J1511" s="1583"/>
      <c r="K1511" s="1583"/>
      <c r="L1511" s="1583"/>
      <c r="M1511" s="1583"/>
      <c r="N1511" s="1583"/>
      <c r="O1511" s="1583"/>
      <c r="P1511" s="1583"/>
      <c r="Q1511" s="1604"/>
      <c r="R1511" s="1583"/>
      <c r="S1511" s="1583"/>
      <c r="T1511" s="1604"/>
      <c r="U1511" s="1592"/>
      <c r="V1511" s="1585"/>
      <c r="W1511" s="1585"/>
      <c r="X1511" s="1585"/>
      <c r="Y1511" s="1592"/>
      <c r="Z1511" s="1585"/>
      <c r="AA1511" s="1585"/>
      <c r="AB1511" s="1585"/>
      <c r="AC1511" s="1585"/>
      <c r="AD1511" s="1601">
        <f t="shared" si="165"/>
        <v>0</v>
      </c>
      <c r="AE1511" s="1790">
        <v>0</v>
      </c>
      <c r="AF1511" s="1792"/>
    </row>
    <row r="1512" spans="1:32" ht="27.75" customHeight="1">
      <c r="A1512" s="2899" t="s">
        <v>2629</v>
      </c>
      <c r="B1512" s="2901" t="s">
        <v>3908</v>
      </c>
      <c r="C1512" s="2903" t="s">
        <v>52</v>
      </c>
      <c r="D1512" s="2905">
        <v>1522.52</v>
      </c>
      <c r="E1512" s="1598" t="s">
        <v>2496</v>
      </c>
      <c r="F1512" s="1583"/>
      <c r="G1512" s="1583"/>
      <c r="H1512" s="1583"/>
      <c r="I1512" s="1583"/>
      <c r="J1512" s="1583"/>
      <c r="K1512" s="1583"/>
      <c r="L1512" s="1583"/>
      <c r="M1512" s="1583"/>
      <c r="N1512" s="1583"/>
      <c r="O1512" s="1583"/>
      <c r="P1512" s="1583"/>
      <c r="Q1512" s="1585"/>
      <c r="R1512" s="1583"/>
      <c r="S1512" s="1583"/>
      <c r="T1512" s="1585"/>
      <c r="U1512" s="1585"/>
      <c r="V1512" s="1585"/>
      <c r="W1512" s="1585"/>
      <c r="X1512" s="1585"/>
      <c r="Y1512" s="1585"/>
      <c r="Z1512" s="1585"/>
      <c r="AA1512" s="1585">
        <f>D1512</f>
        <v>1522.52</v>
      </c>
      <c r="AB1512" s="1585"/>
      <c r="AC1512" s="1585"/>
      <c r="AD1512" s="1601">
        <f t="shared" si="165"/>
        <v>1522.52</v>
      </c>
      <c r="AE1512" s="1790">
        <v>0</v>
      </c>
      <c r="AF1512" s="1792"/>
    </row>
    <row r="1513" spans="1:32" ht="27.75" customHeight="1">
      <c r="A1513" s="2900" t="s">
        <v>2629</v>
      </c>
      <c r="B1513" s="2902" t="s">
        <v>2981</v>
      </c>
      <c r="C1513" s="2904" t="s">
        <v>52</v>
      </c>
      <c r="D1513" s="2906">
        <v>1522.52</v>
      </c>
      <c r="E1513" s="1603" t="s">
        <v>2497</v>
      </c>
      <c r="F1513" s="1583"/>
      <c r="G1513" s="1583"/>
      <c r="H1513" s="1583"/>
      <c r="I1513" s="1583"/>
      <c r="J1513" s="1583"/>
      <c r="K1513" s="1583"/>
      <c r="L1513" s="1583"/>
      <c r="M1513" s="1583"/>
      <c r="N1513" s="1583"/>
      <c r="O1513" s="1583"/>
      <c r="P1513" s="1583"/>
      <c r="Q1513" s="1604"/>
      <c r="R1513" s="1583"/>
      <c r="S1513" s="1583"/>
      <c r="T1513" s="1604"/>
      <c r="U1513" s="1585"/>
      <c r="V1513" s="1585"/>
      <c r="W1513" s="1585"/>
      <c r="X1513" s="1585"/>
      <c r="Y1513" s="1585"/>
      <c r="Z1513" s="1585"/>
      <c r="AA1513" s="1585"/>
      <c r="AB1513" s="1585"/>
      <c r="AC1513" s="1585"/>
      <c r="AD1513" s="1601">
        <f t="shared" si="165"/>
        <v>0</v>
      </c>
      <c r="AE1513" s="1790">
        <v>0</v>
      </c>
      <c r="AF1513" s="1792"/>
    </row>
    <row r="1514" spans="1:32" ht="27.75" customHeight="1">
      <c r="A1514" s="2899" t="s">
        <v>2631</v>
      </c>
      <c r="B1514" s="2901" t="s">
        <v>3909</v>
      </c>
      <c r="C1514" s="2903" t="s">
        <v>52</v>
      </c>
      <c r="D1514" s="2905">
        <v>1828.82</v>
      </c>
      <c r="E1514" s="1598" t="s">
        <v>2496</v>
      </c>
      <c r="F1514" s="1583"/>
      <c r="G1514" s="1583"/>
      <c r="H1514" s="1583"/>
      <c r="I1514" s="1583"/>
      <c r="J1514" s="1583"/>
      <c r="K1514" s="1583"/>
      <c r="L1514" s="1583"/>
      <c r="M1514" s="1583"/>
      <c r="N1514" s="1583"/>
      <c r="O1514" s="1583"/>
      <c r="P1514" s="1583"/>
      <c r="Q1514" s="1585"/>
      <c r="R1514" s="1583"/>
      <c r="S1514" s="1583"/>
      <c r="T1514" s="1585"/>
      <c r="U1514" s="1585"/>
      <c r="V1514" s="1585"/>
      <c r="W1514" s="1585"/>
      <c r="X1514" s="1585"/>
      <c r="Y1514" s="1585"/>
      <c r="Z1514" s="1585"/>
      <c r="AA1514" s="1585">
        <f>D1514</f>
        <v>1828.82</v>
      </c>
      <c r="AB1514" s="1585"/>
      <c r="AC1514" s="1585"/>
      <c r="AD1514" s="1601">
        <f t="shared" si="165"/>
        <v>1828.82</v>
      </c>
      <c r="AE1514" s="1790">
        <v>0</v>
      </c>
      <c r="AF1514" s="1792"/>
    </row>
    <row r="1515" spans="1:32" ht="27" customHeight="1">
      <c r="A1515" s="2900" t="s">
        <v>2631</v>
      </c>
      <c r="B1515" s="2902" t="s">
        <v>2982</v>
      </c>
      <c r="C1515" s="2904" t="s">
        <v>52</v>
      </c>
      <c r="D1515" s="2906">
        <v>1828.82</v>
      </c>
      <c r="E1515" s="1603" t="s">
        <v>2497</v>
      </c>
      <c r="F1515" s="1583"/>
      <c r="G1515" s="1583"/>
      <c r="H1515" s="1583"/>
      <c r="I1515" s="1583"/>
      <c r="J1515" s="1583"/>
      <c r="K1515" s="1583"/>
      <c r="L1515" s="1583"/>
      <c r="M1515" s="1583"/>
      <c r="N1515" s="1583"/>
      <c r="O1515" s="1583"/>
      <c r="P1515" s="1583"/>
      <c r="Q1515" s="1604"/>
      <c r="R1515" s="1583"/>
      <c r="S1515" s="1583"/>
      <c r="T1515" s="1604"/>
      <c r="U1515" s="1585"/>
      <c r="V1515" s="1585"/>
      <c r="W1515" s="1585"/>
      <c r="X1515" s="1585"/>
      <c r="Y1515" s="1585"/>
      <c r="Z1515" s="1585"/>
      <c r="AA1515" s="1585"/>
      <c r="AB1515" s="1585"/>
      <c r="AC1515" s="1585"/>
      <c r="AD1515" s="1601">
        <f t="shared" si="165"/>
        <v>0</v>
      </c>
      <c r="AE1515" s="1790">
        <v>0</v>
      </c>
      <c r="AF1515" s="1792"/>
    </row>
    <row r="1516" spans="1:32" ht="27.75" customHeight="1">
      <c r="A1516" s="2899" t="s">
        <v>2983</v>
      </c>
      <c r="B1516" s="2901" t="s">
        <v>3910</v>
      </c>
      <c r="C1516" s="2903" t="s">
        <v>52</v>
      </c>
      <c r="D1516" s="2905">
        <v>3106.14</v>
      </c>
      <c r="E1516" s="1810" t="s">
        <v>2496</v>
      </c>
      <c r="F1516" s="1811"/>
      <c r="G1516" s="1811"/>
      <c r="H1516" s="1811"/>
      <c r="I1516" s="1811"/>
      <c r="J1516" s="1811"/>
      <c r="K1516" s="1811"/>
      <c r="L1516" s="1811"/>
      <c r="M1516" s="1811"/>
      <c r="N1516" s="1811"/>
      <c r="O1516" s="1811"/>
      <c r="P1516" s="1811"/>
      <c r="Q1516" s="1812"/>
      <c r="R1516" s="1811"/>
      <c r="S1516" s="1811"/>
      <c r="T1516" s="1812"/>
      <c r="U1516" s="1812"/>
      <c r="V1516" s="1812"/>
      <c r="W1516" s="1812"/>
      <c r="X1516" s="1812"/>
      <c r="Y1516" s="1812"/>
      <c r="Z1516" s="1812"/>
      <c r="AA1516" s="1585">
        <f>D1516</f>
        <v>3106.14</v>
      </c>
      <c r="AB1516" s="1812"/>
      <c r="AC1516" s="1812"/>
      <c r="AD1516" s="1601">
        <f t="shared" si="165"/>
        <v>3106.14</v>
      </c>
      <c r="AE1516" s="1790">
        <v>0</v>
      </c>
      <c r="AF1516" s="1792"/>
    </row>
    <row r="1517" spans="1:32" ht="27.75" customHeight="1">
      <c r="A1517" s="2900" t="s">
        <v>2983</v>
      </c>
      <c r="B1517" s="2902" t="s">
        <v>2984</v>
      </c>
      <c r="C1517" s="2904" t="s">
        <v>52</v>
      </c>
      <c r="D1517" s="2906">
        <v>3106.14</v>
      </c>
      <c r="E1517" s="1603" t="s">
        <v>2497</v>
      </c>
      <c r="F1517" s="1583"/>
      <c r="G1517" s="1583"/>
      <c r="H1517" s="1583"/>
      <c r="I1517" s="1583"/>
      <c r="J1517" s="1583"/>
      <c r="K1517" s="1583"/>
      <c r="L1517" s="1583"/>
      <c r="M1517" s="1583"/>
      <c r="N1517" s="1583"/>
      <c r="O1517" s="1583"/>
      <c r="P1517" s="1583"/>
      <c r="Q1517" s="1604"/>
      <c r="R1517" s="1583"/>
      <c r="S1517" s="1583"/>
      <c r="T1517" s="1604"/>
      <c r="U1517" s="1592"/>
      <c r="V1517" s="1585"/>
      <c r="W1517" s="1585"/>
      <c r="X1517" s="1585"/>
      <c r="Y1517" s="1592"/>
      <c r="Z1517" s="1585"/>
      <c r="AA1517" s="1585"/>
      <c r="AB1517" s="1585"/>
      <c r="AC1517" s="1585"/>
      <c r="AD1517" s="1601">
        <f t="shared" si="165"/>
        <v>0</v>
      </c>
      <c r="AE1517" s="1790">
        <v>0</v>
      </c>
      <c r="AF1517" s="1792"/>
    </row>
    <row r="1518" spans="1:32" ht="27.75" customHeight="1">
      <c r="A1518" s="2899" t="s">
        <v>2985</v>
      </c>
      <c r="B1518" s="2901" t="s">
        <v>3911</v>
      </c>
      <c r="C1518" s="2903" t="s">
        <v>52</v>
      </c>
      <c r="D1518" s="2905">
        <v>1724.92</v>
      </c>
      <c r="E1518" s="1598" t="s">
        <v>2496</v>
      </c>
      <c r="F1518" s="1583"/>
      <c r="G1518" s="1583"/>
      <c r="H1518" s="1583"/>
      <c r="I1518" s="1583"/>
      <c r="J1518" s="1583"/>
      <c r="K1518" s="1583"/>
      <c r="L1518" s="1583"/>
      <c r="M1518" s="1583"/>
      <c r="N1518" s="1583"/>
      <c r="O1518" s="1583"/>
      <c r="P1518" s="1583"/>
      <c r="Q1518" s="1585"/>
      <c r="R1518" s="1583"/>
      <c r="S1518" s="1583"/>
      <c r="T1518" s="1585"/>
      <c r="U1518" s="1585"/>
      <c r="V1518" s="1585"/>
      <c r="W1518" s="1585"/>
      <c r="X1518" s="1585"/>
      <c r="Y1518" s="1585"/>
      <c r="Z1518" s="1585"/>
      <c r="AA1518" s="1585">
        <f>D1518</f>
        <v>1724.92</v>
      </c>
      <c r="AB1518" s="1585"/>
      <c r="AC1518" s="1585"/>
      <c r="AD1518" s="1601">
        <f t="shared" si="165"/>
        <v>1724.92</v>
      </c>
      <c r="AE1518" s="1790">
        <v>0</v>
      </c>
      <c r="AF1518" s="1792"/>
    </row>
    <row r="1519" spans="1:32" ht="27.75" customHeight="1">
      <c r="A1519" s="2900" t="s">
        <v>2985</v>
      </c>
      <c r="B1519" s="2902" t="s">
        <v>2986</v>
      </c>
      <c r="C1519" s="2904" t="s">
        <v>52</v>
      </c>
      <c r="D1519" s="2906">
        <v>1724.92</v>
      </c>
      <c r="E1519" s="1603" t="s">
        <v>2497</v>
      </c>
      <c r="F1519" s="1583"/>
      <c r="G1519" s="1583"/>
      <c r="H1519" s="1583"/>
      <c r="I1519" s="1583"/>
      <c r="J1519" s="1583"/>
      <c r="K1519" s="1583"/>
      <c r="L1519" s="1583"/>
      <c r="M1519" s="1583"/>
      <c r="N1519" s="1583"/>
      <c r="O1519" s="1583"/>
      <c r="P1519" s="1583"/>
      <c r="Q1519" s="1604"/>
      <c r="R1519" s="1583"/>
      <c r="S1519" s="1583"/>
      <c r="T1519" s="1604"/>
      <c r="U1519" s="1585"/>
      <c r="V1519" s="1585"/>
      <c r="W1519" s="1585"/>
      <c r="X1519" s="1585"/>
      <c r="Y1519" s="1585"/>
      <c r="Z1519" s="1585"/>
      <c r="AA1519" s="1585"/>
      <c r="AB1519" s="1585"/>
      <c r="AC1519" s="1585"/>
      <c r="AD1519" s="1601">
        <f t="shared" si="165"/>
        <v>0</v>
      </c>
      <c r="AE1519" s="1790">
        <v>0</v>
      </c>
      <c r="AF1519" s="1792"/>
    </row>
    <row r="1520" spans="1:32" ht="27.75" customHeight="1">
      <c r="A1520" s="1795" t="s">
        <v>2633</v>
      </c>
      <c r="B1520" s="1795" t="s">
        <v>3912</v>
      </c>
      <c r="C1520" s="1803"/>
      <c r="D1520" s="1804"/>
      <c r="E1520" s="1813"/>
      <c r="F1520" s="1811"/>
      <c r="G1520" s="1811"/>
      <c r="H1520" s="1811"/>
      <c r="I1520" s="1811"/>
      <c r="J1520" s="1811"/>
      <c r="K1520" s="1811"/>
      <c r="L1520" s="1811"/>
      <c r="M1520" s="1811"/>
      <c r="N1520" s="1811"/>
      <c r="O1520" s="1811"/>
      <c r="P1520" s="1811"/>
      <c r="Q1520" s="1814"/>
      <c r="R1520" s="1811"/>
      <c r="S1520" s="1811"/>
      <c r="T1520" s="1814"/>
      <c r="U1520" s="1812"/>
      <c r="V1520" s="1812"/>
      <c r="W1520" s="1812"/>
      <c r="X1520" s="1812"/>
      <c r="Y1520" s="1812"/>
      <c r="Z1520" s="1812"/>
      <c r="AA1520" s="1812"/>
      <c r="AB1520" s="1812"/>
      <c r="AC1520" s="1812"/>
      <c r="AD1520" s="1601">
        <f t="shared" si="165"/>
        <v>0</v>
      </c>
      <c r="AE1520" s="1790">
        <v>0</v>
      </c>
      <c r="AF1520" s="1792"/>
    </row>
    <row r="1521" spans="1:32" ht="27.75" customHeight="1">
      <c r="A1521" s="2899" t="s">
        <v>2635</v>
      </c>
      <c r="B1521" s="2901" t="s">
        <v>3913</v>
      </c>
      <c r="C1521" s="2903" t="s">
        <v>52</v>
      </c>
      <c r="D1521" s="2905">
        <v>1563.43</v>
      </c>
      <c r="E1521" s="1810" t="s">
        <v>2496</v>
      </c>
      <c r="F1521" s="1811"/>
      <c r="G1521" s="1811"/>
      <c r="H1521" s="1811"/>
      <c r="I1521" s="1811"/>
      <c r="J1521" s="1811"/>
      <c r="K1521" s="1811"/>
      <c r="L1521" s="1811"/>
      <c r="M1521" s="1811"/>
      <c r="N1521" s="1811"/>
      <c r="O1521" s="1811"/>
      <c r="P1521" s="1811"/>
      <c r="Q1521" s="1812"/>
      <c r="R1521" s="1811"/>
      <c r="S1521" s="1811"/>
      <c r="T1521" s="1812"/>
      <c r="U1521" s="1812"/>
      <c r="V1521" s="1812"/>
      <c r="W1521" s="1812"/>
      <c r="X1521" s="1812"/>
      <c r="Y1521" s="1812"/>
      <c r="Z1521" s="1812"/>
      <c r="AA1521" s="1585">
        <f>D1521</f>
        <v>1563.43</v>
      </c>
      <c r="AB1521" s="1812"/>
      <c r="AC1521" s="1812"/>
      <c r="AD1521" s="1601">
        <f t="shared" si="165"/>
        <v>1563.43</v>
      </c>
      <c r="AE1521" s="1790">
        <v>0</v>
      </c>
      <c r="AF1521" s="1792"/>
    </row>
    <row r="1522" spans="1:32" ht="27.75" customHeight="1">
      <c r="A1522" s="2900" t="s">
        <v>2635</v>
      </c>
      <c r="B1522" s="2902" t="s">
        <v>2988</v>
      </c>
      <c r="C1522" s="2904" t="s">
        <v>52</v>
      </c>
      <c r="D1522" s="2906">
        <v>1563.43</v>
      </c>
      <c r="E1522" s="1603" t="s">
        <v>2497</v>
      </c>
      <c r="F1522" s="1583"/>
      <c r="G1522" s="1583"/>
      <c r="H1522" s="1583"/>
      <c r="I1522" s="1583"/>
      <c r="J1522" s="1583"/>
      <c r="K1522" s="1583"/>
      <c r="L1522" s="1583"/>
      <c r="M1522" s="1583"/>
      <c r="N1522" s="1583"/>
      <c r="O1522" s="1583"/>
      <c r="P1522" s="1583"/>
      <c r="Q1522" s="1604"/>
      <c r="R1522" s="1583"/>
      <c r="S1522" s="1583"/>
      <c r="T1522" s="1604"/>
      <c r="U1522" s="1592"/>
      <c r="V1522" s="1585"/>
      <c r="W1522" s="1585"/>
      <c r="X1522" s="1585"/>
      <c r="Y1522" s="1592"/>
      <c r="Z1522" s="1585"/>
      <c r="AA1522" s="1585"/>
      <c r="AB1522" s="1585"/>
      <c r="AC1522" s="1585"/>
      <c r="AD1522" s="1601">
        <f t="shared" si="165"/>
        <v>0</v>
      </c>
      <c r="AE1522" s="1790">
        <v>0</v>
      </c>
      <c r="AF1522" s="1792"/>
    </row>
    <row r="1523" spans="1:32" ht="27.75" customHeight="1">
      <c r="A1523" s="2899" t="s">
        <v>2637</v>
      </c>
      <c r="B1523" s="2901" t="s">
        <v>3914</v>
      </c>
      <c r="C1523" s="2903" t="s">
        <v>52</v>
      </c>
      <c r="D1523" s="2905">
        <v>1395.28</v>
      </c>
      <c r="E1523" s="1598" t="s">
        <v>2496</v>
      </c>
      <c r="F1523" s="1583"/>
      <c r="G1523" s="1583"/>
      <c r="H1523" s="1583"/>
      <c r="I1523" s="1583"/>
      <c r="J1523" s="1583"/>
      <c r="K1523" s="1583"/>
      <c r="L1523" s="1583"/>
      <c r="M1523" s="1583"/>
      <c r="N1523" s="1583"/>
      <c r="O1523" s="1583"/>
      <c r="P1523" s="1583"/>
      <c r="Q1523" s="1585"/>
      <c r="R1523" s="1583"/>
      <c r="S1523" s="1583"/>
      <c r="T1523" s="1585"/>
      <c r="U1523" s="1585"/>
      <c r="V1523" s="1585"/>
      <c r="W1523" s="1585"/>
      <c r="X1523" s="1585"/>
      <c r="Y1523" s="1585"/>
      <c r="Z1523" s="1585"/>
      <c r="AA1523" s="1585">
        <f>D1523</f>
        <v>1395.28</v>
      </c>
      <c r="AB1523" s="1585"/>
      <c r="AC1523" s="1585"/>
      <c r="AD1523" s="1601">
        <f t="shared" si="165"/>
        <v>1395.28</v>
      </c>
      <c r="AE1523" s="1790">
        <v>0</v>
      </c>
      <c r="AF1523" s="1792"/>
    </row>
    <row r="1524" spans="1:32" ht="27.75" customHeight="1">
      <c r="A1524" s="2900" t="s">
        <v>2637</v>
      </c>
      <c r="B1524" s="2902" t="s">
        <v>2989</v>
      </c>
      <c r="C1524" s="2904" t="s">
        <v>52</v>
      </c>
      <c r="D1524" s="2906">
        <v>1395.28</v>
      </c>
      <c r="E1524" s="1603" t="s">
        <v>2497</v>
      </c>
      <c r="F1524" s="1583"/>
      <c r="G1524" s="1583"/>
      <c r="H1524" s="1583"/>
      <c r="I1524" s="1583"/>
      <c r="J1524" s="1583"/>
      <c r="K1524" s="1583"/>
      <c r="L1524" s="1583"/>
      <c r="M1524" s="1583"/>
      <c r="N1524" s="1583"/>
      <c r="O1524" s="1583"/>
      <c r="P1524" s="1583"/>
      <c r="Q1524" s="1604"/>
      <c r="R1524" s="1583"/>
      <c r="S1524" s="1583"/>
      <c r="T1524" s="1604"/>
      <c r="U1524" s="1585"/>
      <c r="V1524" s="1585"/>
      <c r="W1524" s="1585"/>
      <c r="X1524" s="1585"/>
      <c r="Y1524" s="1585"/>
      <c r="Z1524" s="1585"/>
      <c r="AA1524" s="1585"/>
      <c r="AB1524" s="1585"/>
      <c r="AC1524" s="1585"/>
      <c r="AD1524" s="1601">
        <f t="shared" si="165"/>
        <v>0</v>
      </c>
      <c r="AE1524" s="1790">
        <v>0</v>
      </c>
      <c r="AF1524" s="1792"/>
    </row>
    <row r="1525" spans="1:32" ht="27.75" customHeight="1">
      <c r="A1525" s="2899" t="s">
        <v>2639</v>
      </c>
      <c r="B1525" s="2901" t="s">
        <v>3915</v>
      </c>
      <c r="C1525" s="2903" t="s">
        <v>52</v>
      </c>
      <c r="D1525" s="2905">
        <v>1186.73</v>
      </c>
      <c r="E1525" s="1810" t="s">
        <v>2496</v>
      </c>
      <c r="F1525" s="1811"/>
      <c r="G1525" s="1811"/>
      <c r="H1525" s="1811"/>
      <c r="I1525" s="1811"/>
      <c r="J1525" s="1811"/>
      <c r="K1525" s="1811"/>
      <c r="L1525" s="1811"/>
      <c r="M1525" s="1811"/>
      <c r="N1525" s="1811"/>
      <c r="O1525" s="1811"/>
      <c r="P1525" s="1811"/>
      <c r="Q1525" s="1812"/>
      <c r="R1525" s="1811"/>
      <c r="S1525" s="1811"/>
      <c r="T1525" s="1812"/>
      <c r="U1525" s="1812"/>
      <c r="V1525" s="1812"/>
      <c r="W1525" s="1812"/>
      <c r="X1525" s="1812"/>
      <c r="Y1525" s="1812"/>
      <c r="Z1525" s="1812"/>
      <c r="AA1525" s="1585">
        <f>D1525</f>
        <v>1186.73</v>
      </c>
      <c r="AB1525" s="1812"/>
      <c r="AC1525" s="1812"/>
      <c r="AD1525" s="1601">
        <f t="shared" si="165"/>
        <v>1186.73</v>
      </c>
      <c r="AE1525" s="1790">
        <v>0</v>
      </c>
      <c r="AF1525" s="1792"/>
    </row>
    <row r="1526" spans="1:32" ht="27.75" customHeight="1">
      <c r="A1526" s="2900" t="s">
        <v>2639</v>
      </c>
      <c r="B1526" s="2902" t="s">
        <v>2990</v>
      </c>
      <c r="C1526" s="2904" t="s">
        <v>52</v>
      </c>
      <c r="D1526" s="2906">
        <v>1186.73</v>
      </c>
      <c r="E1526" s="1603" t="s">
        <v>2497</v>
      </c>
      <c r="F1526" s="1583"/>
      <c r="G1526" s="1583"/>
      <c r="H1526" s="1583"/>
      <c r="I1526" s="1583"/>
      <c r="J1526" s="1583"/>
      <c r="K1526" s="1583"/>
      <c r="L1526" s="1583"/>
      <c r="M1526" s="1583"/>
      <c r="N1526" s="1583"/>
      <c r="O1526" s="1583"/>
      <c r="P1526" s="1583"/>
      <c r="Q1526" s="1604"/>
      <c r="R1526" s="1583"/>
      <c r="S1526" s="1583"/>
      <c r="T1526" s="1604"/>
      <c r="U1526" s="1592"/>
      <c r="V1526" s="1585"/>
      <c r="W1526" s="1585"/>
      <c r="X1526" s="1585"/>
      <c r="Y1526" s="1592"/>
      <c r="Z1526" s="1585"/>
      <c r="AA1526" s="1585"/>
      <c r="AB1526" s="1585"/>
      <c r="AC1526" s="1585"/>
      <c r="AD1526" s="1601">
        <f t="shared" si="165"/>
        <v>0</v>
      </c>
      <c r="AE1526" s="1790">
        <v>0</v>
      </c>
      <c r="AF1526" s="1792"/>
    </row>
    <row r="1527" spans="1:32" ht="27.75" customHeight="1">
      <c r="A1527" s="1795" t="s">
        <v>2991</v>
      </c>
      <c r="B1527" s="1795" t="s">
        <v>3916</v>
      </c>
      <c r="C1527" s="1803"/>
      <c r="D1527" s="1804"/>
      <c r="E1527" s="1599"/>
      <c r="F1527" s="1583"/>
      <c r="G1527" s="1583"/>
      <c r="H1527" s="1583"/>
      <c r="I1527" s="1583"/>
      <c r="J1527" s="1583"/>
      <c r="K1527" s="1583"/>
      <c r="L1527" s="1583"/>
      <c r="M1527" s="1583"/>
      <c r="N1527" s="1583"/>
      <c r="O1527" s="1583"/>
      <c r="P1527" s="1583"/>
      <c r="Q1527" s="1604"/>
      <c r="R1527" s="1583"/>
      <c r="S1527" s="1583"/>
      <c r="T1527" s="1604"/>
      <c r="U1527" s="1592"/>
      <c r="V1527" s="1585"/>
      <c r="W1527" s="1585"/>
      <c r="X1527" s="1585"/>
      <c r="Y1527" s="1592"/>
      <c r="Z1527" s="1585"/>
      <c r="AA1527" s="1585"/>
      <c r="AB1527" s="1585"/>
      <c r="AC1527" s="1585"/>
      <c r="AD1527" s="1601">
        <f t="shared" si="165"/>
        <v>0</v>
      </c>
      <c r="AE1527" s="1790">
        <v>0</v>
      </c>
      <c r="AF1527" s="1792"/>
    </row>
    <row r="1528" spans="1:32" ht="27.75" customHeight="1">
      <c r="A1528" s="2899" t="s">
        <v>2993</v>
      </c>
      <c r="B1528" s="2901" t="s">
        <v>3917</v>
      </c>
      <c r="C1528" s="2903" t="s">
        <v>51</v>
      </c>
      <c r="D1528" s="2905">
        <v>3402.2501000000002</v>
      </c>
      <c r="E1528" s="1598" t="s">
        <v>2496</v>
      </c>
      <c r="F1528" s="1583"/>
      <c r="G1528" s="1583"/>
      <c r="H1528" s="1583"/>
      <c r="I1528" s="1583"/>
      <c r="J1528" s="1583"/>
      <c r="K1528" s="1583"/>
      <c r="L1528" s="1583"/>
      <c r="M1528" s="1583"/>
      <c r="N1528" s="1583"/>
      <c r="O1528" s="1583"/>
      <c r="P1528" s="1583"/>
      <c r="Q1528" s="1585"/>
      <c r="R1528" s="1583"/>
      <c r="S1528" s="1583"/>
      <c r="T1528" s="1585"/>
      <c r="U1528" s="1585"/>
      <c r="V1528" s="1585"/>
      <c r="W1528" s="1585"/>
      <c r="X1528" s="1585"/>
      <c r="Y1528" s="1585"/>
      <c r="Z1528" s="1585"/>
      <c r="AA1528" s="1585">
        <f>D1528</f>
        <v>3402.2501000000002</v>
      </c>
      <c r="AB1528" s="1585"/>
      <c r="AC1528" s="1585"/>
      <c r="AD1528" s="1601">
        <f t="shared" si="165"/>
        <v>3402.2501000000002</v>
      </c>
      <c r="AE1528" s="1790">
        <v>0</v>
      </c>
      <c r="AF1528" s="1792"/>
    </row>
    <row r="1529" spans="1:32" ht="27.75" customHeight="1">
      <c r="A1529" s="2900" t="s">
        <v>2993</v>
      </c>
      <c r="B1529" s="2902" t="s">
        <v>2994</v>
      </c>
      <c r="C1529" s="2904" t="s">
        <v>51</v>
      </c>
      <c r="D1529" s="2906">
        <v>3402.2501000000002</v>
      </c>
      <c r="E1529" s="1603" t="s">
        <v>2497</v>
      </c>
      <c r="F1529" s="1583"/>
      <c r="G1529" s="1583"/>
      <c r="H1529" s="1583"/>
      <c r="I1529" s="1583"/>
      <c r="J1529" s="1583"/>
      <c r="K1529" s="1583"/>
      <c r="L1529" s="1583"/>
      <c r="M1529" s="1583"/>
      <c r="N1529" s="1583"/>
      <c r="O1529" s="1583"/>
      <c r="P1529" s="1583"/>
      <c r="Q1529" s="1604"/>
      <c r="R1529" s="1583"/>
      <c r="S1529" s="1583"/>
      <c r="T1529" s="1604"/>
      <c r="U1529" s="1585"/>
      <c r="V1529" s="1585"/>
      <c r="W1529" s="1585"/>
      <c r="X1529" s="1585"/>
      <c r="Y1529" s="1585"/>
      <c r="Z1529" s="1585"/>
      <c r="AA1529" s="1585"/>
      <c r="AB1529" s="1585"/>
      <c r="AC1529" s="1585"/>
      <c r="AD1529" s="1601">
        <f t="shared" si="165"/>
        <v>0</v>
      </c>
      <c r="AE1529" s="1790">
        <v>0</v>
      </c>
      <c r="AF1529" s="1792"/>
    </row>
    <row r="1530" spans="1:32" ht="27.75" customHeight="1">
      <c r="A1530" s="2899" t="s">
        <v>2995</v>
      </c>
      <c r="B1530" s="2901" t="s">
        <v>3918</v>
      </c>
      <c r="C1530" s="2903" t="s">
        <v>51</v>
      </c>
      <c r="D1530" s="2905">
        <v>2426.904</v>
      </c>
      <c r="E1530" s="1810" t="s">
        <v>2496</v>
      </c>
      <c r="F1530" s="1811"/>
      <c r="G1530" s="1811"/>
      <c r="H1530" s="1811"/>
      <c r="I1530" s="1811"/>
      <c r="J1530" s="1811"/>
      <c r="K1530" s="1811"/>
      <c r="L1530" s="1811"/>
      <c r="M1530" s="1811"/>
      <c r="N1530" s="1811"/>
      <c r="O1530" s="1811"/>
      <c r="P1530" s="1811"/>
      <c r="Q1530" s="1812"/>
      <c r="R1530" s="1811"/>
      <c r="S1530" s="1811"/>
      <c r="T1530" s="1812"/>
      <c r="U1530" s="1812"/>
      <c r="V1530" s="1812"/>
      <c r="W1530" s="1812"/>
      <c r="X1530" s="1812"/>
      <c r="Y1530" s="1812"/>
      <c r="Z1530" s="1812"/>
      <c r="AA1530" s="1585">
        <f>D1530</f>
        <v>2426.904</v>
      </c>
      <c r="AB1530" s="1812"/>
      <c r="AC1530" s="1812"/>
      <c r="AD1530" s="1601">
        <f t="shared" si="165"/>
        <v>2426.904</v>
      </c>
      <c r="AE1530" s="1790">
        <v>0</v>
      </c>
      <c r="AF1530" s="1792"/>
    </row>
    <row r="1531" spans="1:32" ht="27.75" customHeight="1">
      <c r="A1531" s="2900" t="s">
        <v>2995</v>
      </c>
      <c r="B1531" s="2902" t="s">
        <v>2996</v>
      </c>
      <c r="C1531" s="2904" t="s">
        <v>51</v>
      </c>
      <c r="D1531" s="2906">
        <v>2426.904</v>
      </c>
      <c r="E1531" s="1603" t="s">
        <v>2497</v>
      </c>
      <c r="F1531" s="1583"/>
      <c r="G1531" s="1583"/>
      <c r="H1531" s="1583"/>
      <c r="I1531" s="1583"/>
      <c r="J1531" s="1583"/>
      <c r="K1531" s="1583"/>
      <c r="L1531" s="1583"/>
      <c r="M1531" s="1583"/>
      <c r="N1531" s="1583"/>
      <c r="O1531" s="1583"/>
      <c r="P1531" s="1583"/>
      <c r="Q1531" s="1604"/>
      <c r="R1531" s="1583"/>
      <c r="S1531" s="1583"/>
      <c r="T1531" s="1604"/>
      <c r="U1531" s="1592"/>
      <c r="V1531" s="1585"/>
      <c r="W1531" s="1585"/>
      <c r="X1531" s="1585"/>
      <c r="Y1531" s="1592"/>
      <c r="Z1531" s="1585"/>
      <c r="AA1531" s="1585"/>
      <c r="AB1531" s="1585"/>
      <c r="AC1531" s="1585"/>
      <c r="AD1531" s="1601">
        <f t="shared" si="165"/>
        <v>0</v>
      </c>
      <c r="AE1531" s="1790">
        <v>0</v>
      </c>
      <c r="AF1531" s="1792"/>
    </row>
    <row r="1532" spans="1:32" ht="27.75" customHeight="1">
      <c r="A1532" s="2899" t="s">
        <v>2997</v>
      </c>
      <c r="B1532" s="2901" t="s">
        <v>3919</v>
      </c>
      <c r="C1532" s="2903" t="s">
        <v>51</v>
      </c>
      <c r="D1532" s="2905">
        <v>2194.0524</v>
      </c>
      <c r="E1532" s="1598" t="s">
        <v>2496</v>
      </c>
      <c r="F1532" s="1583"/>
      <c r="G1532" s="1583"/>
      <c r="H1532" s="1583"/>
      <c r="I1532" s="1583"/>
      <c r="J1532" s="1583"/>
      <c r="K1532" s="1583"/>
      <c r="L1532" s="1583"/>
      <c r="M1532" s="1583"/>
      <c r="N1532" s="1583"/>
      <c r="O1532" s="1583"/>
      <c r="P1532" s="1583"/>
      <c r="Q1532" s="1585"/>
      <c r="R1532" s="1583"/>
      <c r="S1532" s="1583"/>
      <c r="T1532" s="1585"/>
      <c r="U1532" s="1585"/>
      <c r="V1532" s="1585"/>
      <c r="W1532" s="1585"/>
      <c r="X1532" s="1585"/>
      <c r="Y1532" s="1585"/>
      <c r="Z1532" s="1585"/>
      <c r="AA1532" s="1585">
        <f>D1532</f>
        <v>2194.0524</v>
      </c>
      <c r="AB1532" s="1585"/>
      <c r="AC1532" s="1585"/>
      <c r="AD1532" s="1601">
        <f t="shared" si="165"/>
        <v>2194.0524</v>
      </c>
      <c r="AE1532" s="1790">
        <v>0</v>
      </c>
      <c r="AF1532" s="1792"/>
    </row>
    <row r="1533" spans="1:32" ht="27.75" customHeight="1">
      <c r="A1533" s="2900" t="s">
        <v>2997</v>
      </c>
      <c r="B1533" s="2902" t="s">
        <v>2998</v>
      </c>
      <c r="C1533" s="2904" t="s">
        <v>51</v>
      </c>
      <c r="D1533" s="2906">
        <v>2194.0524</v>
      </c>
      <c r="E1533" s="1603" t="s">
        <v>2497</v>
      </c>
      <c r="F1533" s="1583"/>
      <c r="G1533" s="1583"/>
      <c r="H1533" s="1583"/>
      <c r="I1533" s="1583"/>
      <c r="J1533" s="1583"/>
      <c r="K1533" s="1583"/>
      <c r="L1533" s="1583"/>
      <c r="M1533" s="1583"/>
      <c r="N1533" s="1583"/>
      <c r="O1533" s="1583"/>
      <c r="P1533" s="1583"/>
      <c r="Q1533" s="1604"/>
      <c r="R1533" s="1583"/>
      <c r="S1533" s="1583"/>
      <c r="T1533" s="1604"/>
      <c r="U1533" s="1585"/>
      <c r="V1533" s="1585"/>
      <c r="W1533" s="1585"/>
      <c r="X1533" s="1585"/>
      <c r="Y1533" s="1585"/>
      <c r="Z1533" s="1585"/>
      <c r="AA1533" s="1585"/>
      <c r="AB1533" s="1585"/>
      <c r="AC1533" s="1585"/>
      <c r="AD1533" s="1601">
        <f t="shared" si="165"/>
        <v>0</v>
      </c>
      <c r="AE1533" s="1790">
        <v>0</v>
      </c>
      <c r="AF1533" s="1792"/>
    </row>
    <row r="1534" spans="1:32" ht="27.75" customHeight="1">
      <c r="A1534" s="1647" t="s">
        <v>2645</v>
      </c>
      <c r="B1534" s="1647" t="s">
        <v>3920</v>
      </c>
      <c r="C1534" s="1803"/>
      <c r="D1534" s="1804"/>
      <c r="E1534" s="1813"/>
      <c r="F1534" s="1811"/>
      <c r="G1534" s="1811"/>
      <c r="H1534" s="1811"/>
      <c r="I1534" s="1811"/>
      <c r="J1534" s="1811"/>
      <c r="K1534" s="1811"/>
      <c r="L1534" s="1811"/>
      <c r="M1534" s="1811"/>
      <c r="N1534" s="1811"/>
      <c r="O1534" s="1811"/>
      <c r="P1534" s="1811"/>
      <c r="Q1534" s="1814"/>
      <c r="R1534" s="1811"/>
      <c r="S1534" s="1811"/>
      <c r="T1534" s="1814"/>
      <c r="U1534" s="1812"/>
      <c r="V1534" s="1812"/>
      <c r="W1534" s="1812"/>
      <c r="X1534" s="1812"/>
      <c r="Y1534" s="1812"/>
      <c r="Z1534" s="1812"/>
      <c r="AA1534" s="1812"/>
      <c r="AB1534" s="1812"/>
      <c r="AC1534" s="1812"/>
      <c r="AD1534" s="1601">
        <f t="shared" si="165"/>
        <v>0</v>
      </c>
      <c r="AE1534" s="1790">
        <v>0</v>
      </c>
      <c r="AF1534" s="1792"/>
    </row>
    <row r="1535" spans="1:32" ht="27.75" customHeight="1">
      <c r="A1535" s="2899" t="s">
        <v>2647</v>
      </c>
      <c r="B1535" s="2901" t="s">
        <v>3921</v>
      </c>
      <c r="C1535" s="2903" t="s">
        <v>52</v>
      </c>
      <c r="D1535" s="2905">
        <v>474.72</v>
      </c>
      <c r="E1535" s="1810" t="s">
        <v>2496</v>
      </c>
      <c r="F1535" s="1811"/>
      <c r="G1535" s="1811"/>
      <c r="H1535" s="1811"/>
      <c r="I1535" s="1811"/>
      <c r="J1535" s="1811"/>
      <c r="K1535" s="1811"/>
      <c r="L1535" s="1811"/>
      <c r="M1535" s="1811"/>
      <c r="N1535" s="1811"/>
      <c r="O1535" s="1811"/>
      <c r="P1535" s="1811"/>
      <c r="Q1535" s="1812"/>
      <c r="R1535" s="1811"/>
      <c r="S1535" s="1811"/>
      <c r="T1535" s="1812"/>
      <c r="U1535" s="1812"/>
      <c r="V1535" s="1812"/>
      <c r="W1535" s="1812"/>
      <c r="X1535" s="1812"/>
      <c r="Y1535" s="1812"/>
      <c r="Z1535" s="1812"/>
      <c r="AA1535" s="1585">
        <f>D1535</f>
        <v>474.72</v>
      </c>
      <c r="AB1535" s="1812"/>
      <c r="AC1535" s="1812"/>
      <c r="AD1535" s="1601">
        <f t="shared" si="165"/>
        <v>474.72</v>
      </c>
      <c r="AE1535" s="1790">
        <v>0</v>
      </c>
      <c r="AF1535" s="1792"/>
    </row>
    <row r="1536" spans="1:32" ht="27.75" customHeight="1">
      <c r="A1536" s="2900" t="s">
        <v>2647</v>
      </c>
      <c r="B1536" s="2902" t="s">
        <v>3000</v>
      </c>
      <c r="C1536" s="2904" t="s">
        <v>52</v>
      </c>
      <c r="D1536" s="2906">
        <v>474.72</v>
      </c>
      <c r="E1536" s="1603" t="s">
        <v>2497</v>
      </c>
      <c r="F1536" s="1583"/>
      <c r="G1536" s="1583"/>
      <c r="H1536" s="1583"/>
      <c r="I1536" s="1583"/>
      <c r="J1536" s="1583"/>
      <c r="K1536" s="1583"/>
      <c r="L1536" s="1583"/>
      <c r="M1536" s="1583"/>
      <c r="N1536" s="1583"/>
      <c r="O1536" s="1583"/>
      <c r="P1536" s="1583"/>
      <c r="Q1536" s="1604"/>
      <c r="R1536" s="1583"/>
      <c r="S1536" s="1583"/>
      <c r="T1536" s="1604"/>
      <c r="U1536" s="1592"/>
      <c r="V1536" s="1585"/>
      <c r="W1536" s="1585"/>
      <c r="X1536" s="1585"/>
      <c r="Y1536" s="1592"/>
      <c r="Z1536" s="1585"/>
      <c r="AA1536" s="1585"/>
      <c r="AB1536" s="1585"/>
      <c r="AC1536" s="1585"/>
      <c r="AD1536" s="1601">
        <f t="shared" si="165"/>
        <v>0</v>
      </c>
      <c r="AE1536" s="1790">
        <v>0</v>
      </c>
      <c r="AF1536" s="1792"/>
    </row>
    <row r="1537" spans="1:32" ht="27.75" customHeight="1">
      <c r="A1537" s="1647" t="s">
        <v>2660</v>
      </c>
      <c r="B1537" s="1647" t="s">
        <v>3922</v>
      </c>
      <c r="C1537" s="1803"/>
      <c r="D1537" s="1804"/>
      <c r="E1537" s="1599"/>
      <c r="F1537" s="1583"/>
      <c r="G1537" s="1583"/>
      <c r="H1537" s="1583"/>
      <c r="I1537" s="1583"/>
      <c r="J1537" s="1583"/>
      <c r="K1537" s="1583"/>
      <c r="L1537" s="1583"/>
      <c r="M1537" s="1583"/>
      <c r="N1537" s="1583"/>
      <c r="O1537" s="1583"/>
      <c r="P1537" s="1583"/>
      <c r="Q1537" s="1604"/>
      <c r="R1537" s="1583"/>
      <c r="S1537" s="1583"/>
      <c r="T1537" s="1604"/>
      <c r="U1537" s="1592"/>
      <c r="V1537" s="1585"/>
      <c r="W1537" s="1585"/>
      <c r="X1537" s="1585"/>
      <c r="Y1537" s="1592"/>
      <c r="Z1537" s="1585"/>
      <c r="AA1537" s="1585"/>
      <c r="AB1537" s="1585"/>
      <c r="AC1537" s="1585"/>
      <c r="AD1537" s="1601">
        <f t="shared" si="165"/>
        <v>0</v>
      </c>
      <c r="AE1537" s="1790">
        <v>0</v>
      </c>
      <c r="AF1537" s="1792"/>
    </row>
    <row r="1538" spans="1:32" ht="27.75" customHeight="1">
      <c r="A1538" s="2899" t="s">
        <v>2662</v>
      </c>
      <c r="B1538" s="2901" t="s">
        <v>3922</v>
      </c>
      <c r="C1538" s="2903" t="s">
        <v>51</v>
      </c>
      <c r="D1538" s="2905">
        <v>12184.707200000001</v>
      </c>
      <c r="E1538" s="1598" t="s">
        <v>2496</v>
      </c>
      <c r="F1538" s="1583"/>
      <c r="G1538" s="1583"/>
      <c r="H1538" s="1583"/>
      <c r="I1538" s="1583"/>
      <c r="J1538" s="1583"/>
      <c r="K1538" s="1583"/>
      <c r="L1538" s="1583"/>
      <c r="M1538" s="1583"/>
      <c r="N1538" s="1583"/>
      <c r="O1538" s="1583"/>
      <c r="P1538" s="1583"/>
      <c r="Q1538" s="1585"/>
      <c r="R1538" s="1583"/>
      <c r="S1538" s="1583"/>
      <c r="T1538" s="1585"/>
      <c r="U1538" s="1585"/>
      <c r="V1538" s="1585"/>
      <c r="W1538" s="1585"/>
      <c r="X1538" s="1585"/>
      <c r="Y1538" s="1585"/>
      <c r="Z1538" s="1585"/>
      <c r="AA1538" s="1585">
        <f>D1538</f>
        <v>12184.707200000001</v>
      </c>
      <c r="AB1538" s="1585"/>
      <c r="AC1538" s="1585"/>
      <c r="AD1538" s="1601">
        <f t="shared" si="165"/>
        <v>12184.707200000001</v>
      </c>
      <c r="AE1538" s="1790">
        <v>0</v>
      </c>
      <c r="AF1538" s="1792"/>
    </row>
    <row r="1539" spans="1:32" ht="27.75" customHeight="1">
      <c r="A1539" s="2900" t="s">
        <v>2662</v>
      </c>
      <c r="B1539" s="2902" t="s">
        <v>3002</v>
      </c>
      <c r="C1539" s="2904" t="s">
        <v>51</v>
      </c>
      <c r="D1539" s="2906">
        <v>12184.707200000001</v>
      </c>
      <c r="E1539" s="1603" t="s">
        <v>2497</v>
      </c>
      <c r="F1539" s="1583"/>
      <c r="G1539" s="1583"/>
      <c r="H1539" s="1583"/>
      <c r="I1539" s="1583"/>
      <c r="J1539" s="1583"/>
      <c r="K1539" s="1583"/>
      <c r="L1539" s="1583"/>
      <c r="M1539" s="1583"/>
      <c r="N1539" s="1583"/>
      <c r="O1539" s="1583"/>
      <c r="P1539" s="1583"/>
      <c r="Q1539" s="1604"/>
      <c r="R1539" s="1583"/>
      <c r="S1539" s="1583"/>
      <c r="T1539" s="1604"/>
      <c r="U1539" s="1585"/>
      <c r="V1539" s="1585"/>
      <c r="W1539" s="1585"/>
      <c r="X1539" s="1585"/>
      <c r="Y1539" s="1585"/>
      <c r="Z1539" s="1585"/>
      <c r="AA1539" s="1585"/>
      <c r="AB1539" s="1585"/>
      <c r="AC1539" s="1585"/>
      <c r="AD1539" s="1601">
        <f t="shared" si="165"/>
        <v>0</v>
      </c>
      <c r="AE1539" s="1790">
        <v>0</v>
      </c>
      <c r="AF1539" s="1792"/>
    </row>
    <row r="1540" spans="1:32" ht="27.75" customHeight="1">
      <c r="A1540" s="1647" t="s">
        <v>3003</v>
      </c>
      <c r="B1540" s="1647" t="s">
        <v>3923</v>
      </c>
      <c r="C1540" s="1625"/>
      <c r="D1540" s="1597"/>
      <c r="E1540" s="1599"/>
      <c r="F1540" s="1811"/>
      <c r="G1540" s="1811"/>
      <c r="H1540" s="1811"/>
      <c r="I1540" s="1811"/>
      <c r="J1540" s="1811"/>
      <c r="K1540" s="1811"/>
      <c r="L1540" s="1811"/>
      <c r="M1540" s="1811"/>
      <c r="N1540" s="1811"/>
      <c r="O1540" s="1811"/>
      <c r="P1540" s="1811"/>
      <c r="Q1540" s="1814"/>
      <c r="R1540" s="1811"/>
      <c r="S1540" s="1811"/>
      <c r="T1540" s="1814"/>
      <c r="U1540" s="1812"/>
      <c r="V1540" s="1812"/>
      <c r="W1540" s="1812"/>
      <c r="X1540" s="1812"/>
      <c r="Y1540" s="1812"/>
      <c r="Z1540" s="1812"/>
      <c r="AA1540" s="1812"/>
      <c r="AB1540" s="1812"/>
      <c r="AC1540" s="1812"/>
      <c r="AD1540" s="1601">
        <f t="shared" si="165"/>
        <v>0</v>
      </c>
      <c r="AE1540" s="1790">
        <v>0</v>
      </c>
      <c r="AF1540" s="1792"/>
    </row>
    <row r="1541" spans="1:32" ht="27.75" customHeight="1">
      <c r="A1541" s="1795" t="s">
        <v>3005</v>
      </c>
      <c r="B1541" s="1795" t="s">
        <v>3924</v>
      </c>
      <c r="C1541" s="1625"/>
      <c r="D1541" s="1597"/>
      <c r="E1541" s="1599"/>
      <c r="F1541" s="1811"/>
      <c r="G1541" s="1811"/>
      <c r="H1541" s="1811"/>
      <c r="I1541" s="1811"/>
      <c r="J1541" s="1811"/>
      <c r="K1541" s="1811"/>
      <c r="L1541" s="1811"/>
      <c r="M1541" s="1811"/>
      <c r="N1541" s="1811"/>
      <c r="O1541" s="1811"/>
      <c r="P1541" s="1811"/>
      <c r="Q1541" s="1814"/>
      <c r="R1541" s="1811"/>
      <c r="S1541" s="1811"/>
      <c r="T1541" s="1814"/>
      <c r="U1541" s="1812"/>
      <c r="V1541" s="1812"/>
      <c r="W1541" s="1812"/>
      <c r="X1541" s="1812"/>
      <c r="Y1541" s="1812"/>
      <c r="Z1541" s="1812"/>
      <c r="AA1541" s="1812"/>
      <c r="AB1541" s="1812"/>
      <c r="AC1541" s="1812"/>
      <c r="AD1541" s="1601">
        <f t="shared" si="165"/>
        <v>0</v>
      </c>
      <c r="AE1541" s="1790">
        <v>0</v>
      </c>
      <c r="AF1541" s="1792"/>
    </row>
    <row r="1542" spans="1:32" ht="27.75" customHeight="1">
      <c r="A1542" s="2899" t="s">
        <v>3007</v>
      </c>
      <c r="B1542" s="2901" t="s">
        <v>3925</v>
      </c>
      <c r="C1542" s="2903" t="s">
        <v>51</v>
      </c>
      <c r="D1542" s="2905">
        <v>5631.1820000000007</v>
      </c>
      <c r="E1542" s="1810" t="s">
        <v>2496</v>
      </c>
      <c r="F1542" s="1811"/>
      <c r="G1542" s="1811"/>
      <c r="H1542" s="1811"/>
      <c r="I1542" s="1811"/>
      <c r="J1542" s="1811"/>
      <c r="K1542" s="1811"/>
      <c r="L1542" s="1811"/>
      <c r="M1542" s="1811"/>
      <c r="N1542" s="1811"/>
      <c r="O1542" s="1811"/>
      <c r="P1542" s="1811"/>
      <c r="Q1542" s="1812"/>
      <c r="R1542" s="1811"/>
      <c r="S1542" s="1811"/>
      <c r="T1542" s="1812"/>
      <c r="U1542" s="1812"/>
      <c r="V1542" s="1812"/>
      <c r="W1542" s="1812"/>
      <c r="X1542" s="1812"/>
      <c r="Y1542" s="1812"/>
      <c r="Z1542" s="1812"/>
      <c r="AA1542" s="1812"/>
      <c r="AB1542" s="1585"/>
      <c r="AC1542" s="1812">
        <v>5631.1820000000007</v>
      </c>
      <c r="AD1542" s="1601">
        <f t="shared" si="165"/>
        <v>5631.1820000000007</v>
      </c>
      <c r="AE1542" s="1790">
        <v>0</v>
      </c>
      <c r="AF1542" s="1792"/>
    </row>
    <row r="1543" spans="1:32" ht="27.75" customHeight="1">
      <c r="A1543" s="2900" t="s">
        <v>3007</v>
      </c>
      <c r="B1543" s="2902" t="s">
        <v>3008</v>
      </c>
      <c r="C1543" s="2904" t="s">
        <v>51</v>
      </c>
      <c r="D1543" s="2906">
        <v>5631.1820000000007</v>
      </c>
      <c r="E1543" s="1603" t="s">
        <v>2497</v>
      </c>
      <c r="F1543" s="1583"/>
      <c r="G1543" s="1583"/>
      <c r="H1543" s="1583"/>
      <c r="I1543" s="1583"/>
      <c r="J1543" s="1583"/>
      <c r="K1543" s="1583"/>
      <c r="L1543" s="1583"/>
      <c r="M1543" s="1583"/>
      <c r="N1543" s="1583"/>
      <c r="O1543" s="1583"/>
      <c r="P1543" s="1583"/>
      <c r="Q1543" s="1604"/>
      <c r="R1543" s="1583"/>
      <c r="S1543" s="1583"/>
      <c r="T1543" s="1604"/>
      <c r="U1543" s="1592"/>
      <c r="V1543" s="1585"/>
      <c r="W1543" s="1585"/>
      <c r="X1543" s="1585"/>
      <c r="Y1543" s="1592"/>
      <c r="Z1543" s="1585"/>
      <c r="AA1543" s="1585"/>
      <c r="AB1543" s="1585"/>
      <c r="AC1543" s="1585"/>
      <c r="AD1543" s="1601">
        <f t="shared" si="165"/>
        <v>0</v>
      </c>
      <c r="AE1543" s="1790">
        <v>0</v>
      </c>
      <c r="AF1543" s="1792"/>
    </row>
    <row r="1544" spans="1:32" ht="27.75" customHeight="1">
      <c r="A1544" s="2899" t="s">
        <v>3009</v>
      </c>
      <c r="B1544" s="2901" t="s">
        <v>3926</v>
      </c>
      <c r="C1544" s="2903" t="s">
        <v>51</v>
      </c>
      <c r="D1544" s="2905">
        <v>11886.202200000002</v>
      </c>
      <c r="E1544" s="1598" t="s">
        <v>2496</v>
      </c>
      <c r="F1544" s="1583"/>
      <c r="G1544" s="1583"/>
      <c r="H1544" s="1583"/>
      <c r="I1544" s="1583"/>
      <c r="J1544" s="1583"/>
      <c r="K1544" s="1583"/>
      <c r="L1544" s="1583"/>
      <c r="M1544" s="1583"/>
      <c r="N1544" s="1583"/>
      <c r="O1544" s="1583"/>
      <c r="P1544" s="1583"/>
      <c r="Q1544" s="1585"/>
      <c r="R1544" s="1583"/>
      <c r="S1544" s="1583"/>
      <c r="T1544" s="1585"/>
      <c r="U1544" s="1585"/>
      <c r="V1544" s="1585"/>
      <c r="W1544" s="1585"/>
      <c r="X1544" s="1585"/>
      <c r="Y1544" s="1585"/>
      <c r="Z1544" s="1585"/>
      <c r="AA1544" s="1585"/>
      <c r="AB1544" s="1585"/>
      <c r="AC1544" s="1585">
        <v>11886.202200000002</v>
      </c>
      <c r="AD1544" s="1601">
        <f t="shared" si="165"/>
        <v>11886.202200000002</v>
      </c>
      <c r="AE1544" s="1790">
        <v>0</v>
      </c>
      <c r="AF1544" s="1792"/>
    </row>
    <row r="1545" spans="1:32" ht="27.75" customHeight="1">
      <c r="A1545" s="2900" t="s">
        <v>3009</v>
      </c>
      <c r="B1545" s="2902" t="s">
        <v>3010</v>
      </c>
      <c r="C1545" s="2904" t="s">
        <v>51</v>
      </c>
      <c r="D1545" s="2906">
        <v>11886.202200000002</v>
      </c>
      <c r="E1545" s="1603" t="s">
        <v>2497</v>
      </c>
      <c r="F1545" s="1583"/>
      <c r="G1545" s="1583"/>
      <c r="H1545" s="1583"/>
      <c r="I1545" s="1583"/>
      <c r="J1545" s="1583"/>
      <c r="K1545" s="1583"/>
      <c r="L1545" s="1583"/>
      <c r="M1545" s="1583"/>
      <c r="N1545" s="1583"/>
      <c r="O1545" s="1583"/>
      <c r="P1545" s="1583"/>
      <c r="Q1545" s="1604"/>
      <c r="R1545" s="1583"/>
      <c r="S1545" s="1583"/>
      <c r="T1545" s="1604"/>
      <c r="U1545" s="1585"/>
      <c r="V1545" s="1585"/>
      <c r="W1545" s="1585"/>
      <c r="X1545" s="1585"/>
      <c r="Y1545" s="1585"/>
      <c r="Z1545" s="1585"/>
      <c r="AA1545" s="1585"/>
      <c r="AB1545" s="1585"/>
      <c r="AC1545" s="1585"/>
      <c r="AD1545" s="1601">
        <f t="shared" si="165"/>
        <v>0</v>
      </c>
      <c r="AE1545" s="1790">
        <v>0</v>
      </c>
      <c r="AF1545" s="1792"/>
    </row>
    <row r="1546" spans="1:32" ht="27.75" customHeight="1">
      <c r="A1546" s="2899" t="s">
        <v>3011</v>
      </c>
      <c r="B1546" s="2901" t="s">
        <v>3927</v>
      </c>
      <c r="C1546" s="2903" t="s">
        <v>51</v>
      </c>
      <c r="D1546" s="2905">
        <v>7211.1890000000003</v>
      </c>
      <c r="E1546" s="1810" t="s">
        <v>2496</v>
      </c>
      <c r="F1546" s="1811"/>
      <c r="G1546" s="1811"/>
      <c r="H1546" s="1811"/>
      <c r="I1546" s="1811"/>
      <c r="J1546" s="1811"/>
      <c r="K1546" s="1811"/>
      <c r="L1546" s="1811"/>
      <c r="M1546" s="1811"/>
      <c r="N1546" s="1811"/>
      <c r="O1546" s="1811"/>
      <c r="P1546" s="1811"/>
      <c r="Q1546" s="1812"/>
      <c r="R1546" s="1811"/>
      <c r="S1546" s="1811"/>
      <c r="T1546" s="1812"/>
      <c r="U1546" s="1812"/>
      <c r="V1546" s="1812"/>
      <c r="W1546" s="1812"/>
      <c r="X1546" s="1812"/>
      <c r="Y1546" s="1812"/>
      <c r="Z1546" s="1812"/>
      <c r="AA1546" s="1812"/>
      <c r="AB1546" s="1585"/>
      <c r="AC1546" s="1812">
        <v>7211.1890000000003</v>
      </c>
      <c r="AD1546" s="1601">
        <f t="shared" si="165"/>
        <v>7211.1890000000003</v>
      </c>
      <c r="AE1546" s="1790">
        <v>0</v>
      </c>
      <c r="AF1546" s="1792"/>
    </row>
    <row r="1547" spans="1:32" ht="27.75" customHeight="1">
      <c r="A1547" s="2900" t="s">
        <v>3011</v>
      </c>
      <c r="B1547" s="2902" t="s">
        <v>3012</v>
      </c>
      <c r="C1547" s="2904" t="s">
        <v>51</v>
      </c>
      <c r="D1547" s="2906">
        <v>7211.1890000000003</v>
      </c>
      <c r="E1547" s="1603" t="s">
        <v>2497</v>
      </c>
      <c r="F1547" s="1583"/>
      <c r="G1547" s="1583"/>
      <c r="H1547" s="1583"/>
      <c r="I1547" s="1583"/>
      <c r="J1547" s="1583"/>
      <c r="K1547" s="1583"/>
      <c r="L1547" s="1583"/>
      <c r="M1547" s="1583"/>
      <c r="N1547" s="1583"/>
      <c r="O1547" s="1583"/>
      <c r="P1547" s="1583"/>
      <c r="Q1547" s="1604"/>
      <c r="R1547" s="1583"/>
      <c r="S1547" s="1583"/>
      <c r="T1547" s="1604"/>
      <c r="U1547" s="1592"/>
      <c r="V1547" s="1585"/>
      <c r="W1547" s="1585"/>
      <c r="X1547" s="1585"/>
      <c r="Y1547" s="1592"/>
      <c r="Z1547" s="1585"/>
      <c r="AA1547" s="1585"/>
      <c r="AB1547" s="1585"/>
      <c r="AC1547" s="1585"/>
      <c r="AD1547" s="1601">
        <f t="shared" si="165"/>
        <v>0</v>
      </c>
      <c r="AE1547" s="1790">
        <v>0</v>
      </c>
      <c r="AF1547" s="1792"/>
    </row>
    <row r="1548" spans="1:32" ht="27.75" customHeight="1">
      <c r="A1548" s="2899" t="s">
        <v>3013</v>
      </c>
      <c r="B1548" s="2901" t="s">
        <v>3928</v>
      </c>
      <c r="C1548" s="2903" t="s">
        <v>51</v>
      </c>
      <c r="D1548" s="2905">
        <v>322.73849999999999</v>
      </c>
      <c r="E1548" s="1598" t="s">
        <v>2496</v>
      </c>
      <c r="F1548" s="1583"/>
      <c r="G1548" s="1583"/>
      <c r="H1548" s="1583"/>
      <c r="I1548" s="1583"/>
      <c r="J1548" s="1583"/>
      <c r="K1548" s="1583"/>
      <c r="L1548" s="1583"/>
      <c r="M1548" s="1583"/>
      <c r="N1548" s="1583"/>
      <c r="O1548" s="1583"/>
      <c r="P1548" s="1583"/>
      <c r="Q1548" s="1585"/>
      <c r="R1548" s="1583"/>
      <c r="S1548" s="1583"/>
      <c r="T1548" s="1585"/>
      <c r="U1548" s="1585"/>
      <c r="V1548" s="1585"/>
      <c r="W1548" s="1585"/>
      <c r="X1548" s="1585"/>
      <c r="Y1548" s="1585"/>
      <c r="Z1548" s="1585"/>
      <c r="AA1548" s="1585"/>
      <c r="AB1548" s="1585"/>
      <c r="AC1548" s="1585">
        <v>322.73849999999999</v>
      </c>
      <c r="AD1548" s="1601">
        <f t="shared" si="165"/>
        <v>322.73849999999999</v>
      </c>
      <c r="AE1548" s="1790">
        <v>0</v>
      </c>
      <c r="AF1548" s="1792"/>
    </row>
    <row r="1549" spans="1:32" ht="27.75" customHeight="1">
      <c r="A1549" s="2900" t="s">
        <v>3013</v>
      </c>
      <c r="B1549" s="2902" t="s">
        <v>3014</v>
      </c>
      <c r="C1549" s="2904" t="s">
        <v>51</v>
      </c>
      <c r="D1549" s="2906">
        <v>322.73849999999999</v>
      </c>
      <c r="E1549" s="1603" t="s">
        <v>2497</v>
      </c>
      <c r="F1549" s="1583"/>
      <c r="G1549" s="1583"/>
      <c r="H1549" s="1583"/>
      <c r="I1549" s="1583"/>
      <c r="J1549" s="1583"/>
      <c r="K1549" s="1583"/>
      <c r="L1549" s="1583"/>
      <c r="M1549" s="1583"/>
      <c r="N1549" s="1583"/>
      <c r="O1549" s="1583"/>
      <c r="P1549" s="1583"/>
      <c r="Q1549" s="1604"/>
      <c r="R1549" s="1583"/>
      <c r="S1549" s="1583"/>
      <c r="T1549" s="1604"/>
      <c r="U1549" s="1585"/>
      <c r="V1549" s="1585"/>
      <c r="W1549" s="1585"/>
      <c r="X1549" s="1585"/>
      <c r="Y1549" s="1585"/>
      <c r="Z1549" s="1585"/>
      <c r="AA1549" s="1585"/>
      <c r="AB1549" s="1585"/>
      <c r="AC1549" s="1585"/>
      <c r="AD1549" s="1601">
        <f t="shared" si="165"/>
        <v>0</v>
      </c>
      <c r="AE1549" s="1790">
        <v>0</v>
      </c>
      <c r="AF1549" s="1792"/>
    </row>
    <row r="1550" spans="1:32" ht="27.75" customHeight="1">
      <c r="A1550" s="2899" t="s">
        <v>3015</v>
      </c>
      <c r="B1550" s="2901" t="s">
        <v>3929</v>
      </c>
      <c r="C1550" s="2903" t="s">
        <v>51</v>
      </c>
      <c r="D1550" s="2905">
        <v>2974.4634000000001</v>
      </c>
      <c r="E1550" s="1810" t="s">
        <v>2496</v>
      </c>
      <c r="F1550" s="1811"/>
      <c r="G1550" s="1811"/>
      <c r="H1550" s="1811"/>
      <c r="I1550" s="1811"/>
      <c r="J1550" s="1811"/>
      <c r="K1550" s="1811"/>
      <c r="L1550" s="1811"/>
      <c r="M1550" s="1811"/>
      <c r="N1550" s="1811"/>
      <c r="O1550" s="1811"/>
      <c r="P1550" s="1811"/>
      <c r="Q1550" s="1812"/>
      <c r="R1550" s="1811"/>
      <c r="S1550" s="1811"/>
      <c r="T1550" s="1812"/>
      <c r="U1550" s="1812"/>
      <c r="V1550" s="1812"/>
      <c r="W1550" s="1812"/>
      <c r="X1550" s="1812"/>
      <c r="Y1550" s="1812"/>
      <c r="Z1550" s="1812"/>
      <c r="AA1550" s="1812"/>
      <c r="AB1550" s="1585"/>
      <c r="AC1550" s="1812">
        <v>2974.4634000000001</v>
      </c>
      <c r="AD1550" s="1601">
        <f t="shared" si="165"/>
        <v>2974.4634000000001</v>
      </c>
      <c r="AE1550" s="1790">
        <v>0</v>
      </c>
      <c r="AF1550" s="1792"/>
    </row>
    <row r="1551" spans="1:32" ht="27.75" customHeight="1">
      <c r="A1551" s="2900" t="s">
        <v>3015</v>
      </c>
      <c r="B1551" s="2902" t="s">
        <v>3016</v>
      </c>
      <c r="C1551" s="2904" t="s">
        <v>51</v>
      </c>
      <c r="D1551" s="2906">
        <v>2974.4634000000001</v>
      </c>
      <c r="E1551" s="1603" t="s">
        <v>2497</v>
      </c>
      <c r="F1551" s="1583"/>
      <c r="G1551" s="1583"/>
      <c r="H1551" s="1583"/>
      <c r="I1551" s="1583"/>
      <c r="J1551" s="1583"/>
      <c r="K1551" s="1583"/>
      <c r="L1551" s="1583"/>
      <c r="M1551" s="1583"/>
      <c r="N1551" s="1583"/>
      <c r="O1551" s="1583"/>
      <c r="P1551" s="1583"/>
      <c r="Q1551" s="1604"/>
      <c r="R1551" s="1583"/>
      <c r="S1551" s="1583"/>
      <c r="T1551" s="1604"/>
      <c r="U1551" s="1592"/>
      <c r="V1551" s="1585"/>
      <c r="W1551" s="1585"/>
      <c r="X1551" s="1585"/>
      <c r="Y1551" s="1592"/>
      <c r="Z1551" s="1585"/>
      <c r="AA1551" s="1585"/>
      <c r="AB1551" s="1585"/>
      <c r="AC1551" s="1585"/>
      <c r="AD1551" s="1601">
        <f t="shared" si="165"/>
        <v>0</v>
      </c>
      <c r="AE1551" s="1790">
        <v>0</v>
      </c>
      <c r="AF1551" s="1792"/>
    </row>
    <row r="1552" spans="1:32" ht="27.75" customHeight="1">
      <c r="A1552" s="1795" t="s">
        <v>3017</v>
      </c>
      <c r="B1552" s="1795" t="s">
        <v>3930</v>
      </c>
      <c r="C1552" s="1803"/>
      <c r="D1552" s="1804"/>
      <c r="E1552" s="1599"/>
      <c r="F1552" s="1583"/>
      <c r="G1552" s="1583"/>
      <c r="H1552" s="1583"/>
      <c r="I1552" s="1583"/>
      <c r="J1552" s="1583"/>
      <c r="K1552" s="1583"/>
      <c r="L1552" s="1583"/>
      <c r="M1552" s="1583"/>
      <c r="N1552" s="1583"/>
      <c r="O1552" s="1583"/>
      <c r="P1552" s="1583"/>
      <c r="Q1552" s="1604"/>
      <c r="R1552" s="1583"/>
      <c r="S1552" s="1583"/>
      <c r="T1552" s="1604"/>
      <c r="U1552" s="1592"/>
      <c r="V1552" s="1585"/>
      <c r="W1552" s="1585"/>
      <c r="X1552" s="1585"/>
      <c r="Y1552" s="1592"/>
      <c r="Z1552" s="1585"/>
      <c r="AA1552" s="1585"/>
      <c r="AB1552" s="1585"/>
      <c r="AC1552" s="1585"/>
      <c r="AD1552" s="1601">
        <f t="shared" si="165"/>
        <v>0</v>
      </c>
      <c r="AE1552" s="1790">
        <v>0</v>
      </c>
      <c r="AF1552" s="1792"/>
    </row>
    <row r="1553" spans="1:32" ht="27.75" customHeight="1">
      <c r="A1553" s="2899" t="s">
        <v>3019</v>
      </c>
      <c r="B1553" s="2901" t="s">
        <v>3931</v>
      </c>
      <c r="C1553" s="2903" t="s">
        <v>51</v>
      </c>
      <c r="D1553" s="2905">
        <v>7671.0995000000003</v>
      </c>
      <c r="E1553" s="1598" t="s">
        <v>2496</v>
      </c>
      <c r="F1553" s="1583"/>
      <c r="G1553" s="1583"/>
      <c r="H1553" s="1583"/>
      <c r="I1553" s="1583"/>
      <c r="J1553" s="1583"/>
      <c r="K1553" s="1583"/>
      <c r="L1553" s="1583"/>
      <c r="M1553" s="1583"/>
      <c r="N1553" s="1583"/>
      <c r="O1553" s="1583"/>
      <c r="P1553" s="1583"/>
      <c r="Q1553" s="1585"/>
      <c r="R1553" s="1583"/>
      <c r="S1553" s="1583"/>
      <c r="T1553" s="1585"/>
      <c r="U1553" s="1585"/>
      <c r="V1553" s="1585"/>
      <c r="W1553" s="1585"/>
      <c r="X1553" s="1585"/>
      <c r="Y1553" s="1585"/>
      <c r="Z1553" s="1585"/>
      <c r="AA1553" s="1585"/>
      <c r="AB1553" s="1585">
        <f>D1553</f>
        <v>7671.0995000000003</v>
      </c>
      <c r="AC1553" s="1585"/>
      <c r="AD1553" s="1601">
        <f t="shared" ref="AD1553:AD1616" si="166">SUM(F1553:AC1553)</f>
        <v>7671.0995000000003</v>
      </c>
      <c r="AE1553" s="1790">
        <v>0</v>
      </c>
      <c r="AF1553" s="1792"/>
    </row>
    <row r="1554" spans="1:32" ht="27.75" customHeight="1">
      <c r="A1554" s="2900" t="s">
        <v>3019</v>
      </c>
      <c r="B1554" s="2902" t="s">
        <v>3020</v>
      </c>
      <c r="C1554" s="2904" t="s">
        <v>51</v>
      </c>
      <c r="D1554" s="2906">
        <v>7671.0995000000003</v>
      </c>
      <c r="E1554" s="1603" t="s">
        <v>2497</v>
      </c>
      <c r="F1554" s="1583"/>
      <c r="G1554" s="1583"/>
      <c r="H1554" s="1583"/>
      <c r="I1554" s="1583"/>
      <c r="J1554" s="1583"/>
      <c r="K1554" s="1583"/>
      <c r="L1554" s="1583"/>
      <c r="M1554" s="1583"/>
      <c r="N1554" s="1583"/>
      <c r="O1554" s="1583"/>
      <c r="P1554" s="1583"/>
      <c r="Q1554" s="1604"/>
      <c r="R1554" s="1583"/>
      <c r="S1554" s="1583"/>
      <c r="T1554" s="1604"/>
      <c r="U1554" s="1585"/>
      <c r="V1554" s="1585"/>
      <c r="W1554" s="1585"/>
      <c r="X1554" s="1585"/>
      <c r="Y1554" s="1585"/>
      <c r="Z1554" s="1585"/>
      <c r="AA1554" s="1585"/>
      <c r="AB1554" s="1585"/>
      <c r="AC1554" s="1585"/>
      <c r="AD1554" s="1601">
        <f t="shared" si="166"/>
        <v>0</v>
      </c>
      <c r="AE1554" s="1790">
        <v>0</v>
      </c>
      <c r="AF1554" s="1792"/>
    </row>
    <row r="1555" spans="1:32" ht="27.75" customHeight="1">
      <c r="A1555" s="2899" t="s">
        <v>3021</v>
      </c>
      <c r="B1555" s="2901" t="s">
        <v>3932</v>
      </c>
      <c r="C1555" s="2903" t="s">
        <v>51</v>
      </c>
      <c r="D1555" s="2905">
        <v>1334.6850000000002</v>
      </c>
      <c r="E1555" s="1810" t="s">
        <v>2496</v>
      </c>
      <c r="F1555" s="1811"/>
      <c r="G1555" s="1811"/>
      <c r="H1555" s="1811"/>
      <c r="I1555" s="1811"/>
      <c r="J1555" s="1811"/>
      <c r="K1555" s="1811"/>
      <c r="L1555" s="1811"/>
      <c r="M1555" s="1811"/>
      <c r="N1555" s="1811"/>
      <c r="O1555" s="1811"/>
      <c r="P1555" s="1811"/>
      <c r="Q1555" s="1812"/>
      <c r="R1555" s="1811"/>
      <c r="S1555" s="1811"/>
      <c r="T1555" s="1812"/>
      <c r="U1555" s="1812"/>
      <c r="V1555" s="1812"/>
      <c r="W1555" s="1812"/>
      <c r="X1555" s="1812"/>
      <c r="Y1555" s="1812"/>
      <c r="Z1555" s="1812"/>
      <c r="AA1555" s="1812"/>
      <c r="AB1555" s="1585">
        <f>D1555</f>
        <v>1334.6850000000002</v>
      </c>
      <c r="AC1555" s="1812"/>
      <c r="AD1555" s="1601">
        <f t="shared" si="166"/>
        <v>1334.6850000000002</v>
      </c>
      <c r="AE1555" s="1790">
        <v>0</v>
      </c>
      <c r="AF1555" s="1792"/>
    </row>
    <row r="1556" spans="1:32" ht="27.75" customHeight="1">
      <c r="A1556" s="2900" t="s">
        <v>3021</v>
      </c>
      <c r="B1556" s="2902" t="s">
        <v>3022</v>
      </c>
      <c r="C1556" s="2904" t="s">
        <v>51</v>
      </c>
      <c r="D1556" s="2906">
        <v>1334.6850000000002</v>
      </c>
      <c r="E1556" s="1603" t="s">
        <v>2497</v>
      </c>
      <c r="F1556" s="1583"/>
      <c r="G1556" s="1583"/>
      <c r="H1556" s="1583"/>
      <c r="I1556" s="1583"/>
      <c r="J1556" s="1583"/>
      <c r="K1556" s="1583"/>
      <c r="L1556" s="1583"/>
      <c r="M1556" s="1583"/>
      <c r="N1556" s="1583"/>
      <c r="O1556" s="1583"/>
      <c r="P1556" s="1583"/>
      <c r="Q1556" s="1604"/>
      <c r="R1556" s="1583"/>
      <c r="S1556" s="1583"/>
      <c r="T1556" s="1604"/>
      <c r="U1556" s="1592"/>
      <c r="V1556" s="1585"/>
      <c r="W1556" s="1585"/>
      <c r="X1556" s="1585"/>
      <c r="Y1556" s="1592"/>
      <c r="Z1556" s="1585"/>
      <c r="AA1556" s="1585"/>
      <c r="AB1556" s="1585"/>
      <c r="AC1556" s="1585"/>
      <c r="AD1556" s="1601">
        <f t="shared" si="166"/>
        <v>0</v>
      </c>
      <c r="AE1556" s="1790">
        <v>0</v>
      </c>
      <c r="AF1556" s="1792"/>
    </row>
    <row r="1557" spans="1:32" ht="27.75" customHeight="1">
      <c r="A1557" s="1795" t="s">
        <v>3023</v>
      </c>
      <c r="B1557" s="1795" t="s">
        <v>3933</v>
      </c>
      <c r="C1557" s="1803"/>
      <c r="D1557" s="1804"/>
      <c r="E1557" s="1599"/>
      <c r="F1557" s="1583"/>
      <c r="G1557" s="1583"/>
      <c r="H1557" s="1583"/>
      <c r="I1557" s="1583"/>
      <c r="J1557" s="1583"/>
      <c r="K1557" s="1583"/>
      <c r="L1557" s="1583"/>
      <c r="M1557" s="1583"/>
      <c r="N1557" s="1583"/>
      <c r="O1557" s="1583"/>
      <c r="P1557" s="1583"/>
      <c r="Q1557" s="1604"/>
      <c r="R1557" s="1583"/>
      <c r="S1557" s="1583"/>
      <c r="T1557" s="1604"/>
      <c r="U1557" s="1592"/>
      <c r="V1557" s="1585"/>
      <c r="W1557" s="1585"/>
      <c r="X1557" s="1585"/>
      <c r="Y1557" s="1592"/>
      <c r="Z1557" s="1585"/>
      <c r="AA1557" s="1585"/>
      <c r="AB1557" s="1585"/>
      <c r="AC1557" s="1585"/>
      <c r="AD1557" s="1601">
        <f t="shared" si="166"/>
        <v>0</v>
      </c>
      <c r="AE1557" s="1790">
        <v>0</v>
      </c>
      <c r="AF1557" s="1792"/>
    </row>
    <row r="1558" spans="1:32" ht="27.75" customHeight="1">
      <c r="A1558" s="2899" t="s">
        <v>3025</v>
      </c>
      <c r="B1558" s="2901" t="s">
        <v>3933</v>
      </c>
      <c r="C1558" s="2903" t="s">
        <v>51</v>
      </c>
      <c r="D1558" s="2905">
        <v>1826.52</v>
      </c>
      <c r="E1558" s="1598" t="s">
        <v>2496</v>
      </c>
      <c r="F1558" s="1583"/>
      <c r="G1558" s="1583"/>
      <c r="H1558" s="1583"/>
      <c r="I1558" s="1583"/>
      <c r="J1558" s="1583"/>
      <c r="K1558" s="1583"/>
      <c r="L1558" s="1583"/>
      <c r="M1558" s="1583"/>
      <c r="N1558" s="1583"/>
      <c r="O1558" s="1583"/>
      <c r="P1558" s="1583"/>
      <c r="Q1558" s="1585"/>
      <c r="R1558" s="1583"/>
      <c r="S1558" s="1583"/>
      <c r="T1558" s="1585"/>
      <c r="U1558" s="1585"/>
      <c r="V1558" s="1585"/>
      <c r="W1558" s="1585"/>
      <c r="X1558" s="1585"/>
      <c r="Y1558" s="1585"/>
      <c r="Z1558" s="1585"/>
      <c r="AA1558" s="1585"/>
      <c r="AB1558" s="1585"/>
      <c r="AC1558" s="1585">
        <v>1826.52</v>
      </c>
      <c r="AD1558" s="1601">
        <f t="shared" si="166"/>
        <v>1826.52</v>
      </c>
      <c r="AE1558" s="1790">
        <v>0</v>
      </c>
      <c r="AF1558" s="1792"/>
    </row>
    <row r="1559" spans="1:32" ht="27.75" customHeight="1">
      <c r="A1559" s="2900" t="s">
        <v>3025</v>
      </c>
      <c r="B1559" s="2902" t="s">
        <v>3026</v>
      </c>
      <c r="C1559" s="2904" t="s">
        <v>51</v>
      </c>
      <c r="D1559" s="2906">
        <v>1826.52</v>
      </c>
      <c r="E1559" s="1603" t="s">
        <v>2497</v>
      </c>
      <c r="F1559" s="1583"/>
      <c r="G1559" s="1583"/>
      <c r="H1559" s="1583"/>
      <c r="I1559" s="1583"/>
      <c r="J1559" s="1583"/>
      <c r="K1559" s="1583"/>
      <c r="L1559" s="1583"/>
      <c r="M1559" s="1583"/>
      <c r="N1559" s="1583"/>
      <c r="O1559" s="1583"/>
      <c r="P1559" s="1583"/>
      <c r="Q1559" s="1604"/>
      <c r="R1559" s="1583"/>
      <c r="S1559" s="1583"/>
      <c r="T1559" s="1604"/>
      <c r="U1559" s="1585"/>
      <c r="V1559" s="1585"/>
      <c r="W1559" s="1585"/>
      <c r="X1559" s="1585"/>
      <c r="Y1559" s="1585"/>
      <c r="Z1559" s="1585"/>
      <c r="AA1559" s="1585"/>
      <c r="AB1559" s="1585"/>
      <c r="AC1559" s="1585"/>
      <c r="AD1559" s="1601">
        <f t="shared" si="166"/>
        <v>0</v>
      </c>
      <c r="AE1559" s="1790">
        <v>0</v>
      </c>
      <c r="AF1559" s="1792"/>
    </row>
    <row r="1560" spans="1:32" ht="27.75" customHeight="1">
      <c r="A1560" s="1647" t="s">
        <v>3027</v>
      </c>
      <c r="B1560" s="1647" t="s">
        <v>3934</v>
      </c>
      <c r="C1560" s="1803"/>
      <c r="D1560" s="1804"/>
      <c r="E1560" s="1813"/>
      <c r="F1560" s="1811"/>
      <c r="G1560" s="1811"/>
      <c r="H1560" s="1811"/>
      <c r="I1560" s="1811"/>
      <c r="J1560" s="1811"/>
      <c r="K1560" s="1811"/>
      <c r="L1560" s="1811"/>
      <c r="M1560" s="1811"/>
      <c r="N1560" s="1811"/>
      <c r="O1560" s="1811"/>
      <c r="P1560" s="1811"/>
      <c r="Q1560" s="1814"/>
      <c r="R1560" s="1811"/>
      <c r="S1560" s="1811"/>
      <c r="T1560" s="1814"/>
      <c r="U1560" s="1812"/>
      <c r="V1560" s="1812"/>
      <c r="W1560" s="1812"/>
      <c r="X1560" s="1812"/>
      <c r="Y1560" s="1812"/>
      <c r="Z1560" s="1812"/>
      <c r="AA1560" s="1812"/>
      <c r="AB1560" s="1812"/>
      <c r="AC1560" s="1812"/>
      <c r="AD1560" s="1601">
        <f t="shared" si="166"/>
        <v>0</v>
      </c>
      <c r="AE1560" s="1790">
        <v>0</v>
      </c>
      <c r="AF1560" s="1792"/>
    </row>
    <row r="1561" spans="1:32" ht="27.75" customHeight="1">
      <c r="A1561" s="2899" t="s">
        <v>3029</v>
      </c>
      <c r="B1561" s="2901" t="s">
        <v>3935</v>
      </c>
      <c r="C1561" s="2903" t="s">
        <v>52</v>
      </c>
      <c r="D1561" s="2905">
        <v>3161.52</v>
      </c>
      <c r="E1561" s="1810" t="s">
        <v>2496</v>
      </c>
      <c r="F1561" s="1811"/>
      <c r="G1561" s="1811"/>
      <c r="H1561" s="1811"/>
      <c r="I1561" s="1811"/>
      <c r="J1561" s="1811"/>
      <c r="K1561" s="1811"/>
      <c r="L1561" s="1811"/>
      <c r="M1561" s="1811"/>
      <c r="N1561" s="1811"/>
      <c r="O1561" s="1811"/>
      <c r="P1561" s="1811"/>
      <c r="Q1561" s="1812"/>
      <c r="R1561" s="1811"/>
      <c r="S1561" s="1811"/>
      <c r="T1561" s="1812"/>
      <c r="U1561" s="1812"/>
      <c r="V1561" s="1812"/>
      <c r="W1561" s="1812"/>
      <c r="X1561" s="1812"/>
      <c r="Y1561" s="1812"/>
      <c r="Z1561" s="1812"/>
      <c r="AA1561" s="1812"/>
      <c r="AB1561" s="1585"/>
      <c r="AC1561" s="1812">
        <v>3161.52</v>
      </c>
      <c r="AD1561" s="1601">
        <f t="shared" si="166"/>
        <v>3161.52</v>
      </c>
      <c r="AE1561" s="1790">
        <v>0</v>
      </c>
      <c r="AF1561" s="1792"/>
    </row>
    <row r="1562" spans="1:32" ht="27.75" customHeight="1">
      <c r="A1562" s="2900" t="s">
        <v>3029</v>
      </c>
      <c r="B1562" s="2902" t="s">
        <v>3030</v>
      </c>
      <c r="C1562" s="2904" t="s">
        <v>52</v>
      </c>
      <c r="D1562" s="2906">
        <v>3161.52</v>
      </c>
      <c r="E1562" s="1603" t="s">
        <v>2497</v>
      </c>
      <c r="F1562" s="1583"/>
      <c r="G1562" s="1583"/>
      <c r="H1562" s="1583"/>
      <c r="I1562" s="1583"/>
      <c r="J1562" s="1583"/>
      <c r="K1562" s="1583"/>
      <c r="L1562" s="1583"/>
      <c r="M1562" s="1583"/>
      <c r="N1562" s="1583"/>
      <c r="O1562" s="1583"/>
      <c r="P1562" s="1583"/>
      <c r="Q1562" s="1604"/>
      <c r="R1562" s="1583"/>
      <c r="S1562" s="1583"/>
      <c r="T1562" s="1604"/>
      <c r="U1562" s="1592"/>
      <c r="V1562" s="1585"/>
      <c r="W1562" s="1585"/>
      <c r="X1562" s="1585"/>
      <c r="Y1562" s="1592"/>
      <c r="Z1562" s="1585"/>
      <c r="AA1562" s="1585"/>
      <c r="AB1562" s="1585"/>
      <c r="AC1562" s="1585"/>
      <c r="AD1562" s="1601">
        <f t="shared" si="166"/>
        <v>0</v>
      </c>
      <c r="AE1562" s="1790">
        <v>0</v>
      </c>
      <c r="AF1562" s="1792"/>
    </row>
    <row r="1563" spans="1:32" ht="27.75" customHeight="1">
      <c r="A1563" s="2899" t="s">
        <v>3031</v>
      </c>
      <c r="B1563" s="2901" t="s">
        <v>3936</v>
      </c>
      <c r="C1563" s="2903" t="s">
        <v>52</v>
      </c>
      <c r="D1563" s="2905">
        <v>16557.599999999999</v>
      </c>
      <c r="E1563" s="1598" t="s">
        <v>2496</v>
      </c>
      <c r="F1563" s="1583"/>
      <c r="G1563" s="1583"/>
      <c r="H1563" s="1583"/>
      <c r="I1563" s="1583"/>
      <c r="J1563" s="1583"/>
      <c r="K1563" s="1583"/>
      <c r="L1563" s="1583"/>
      <c r="M1563" s="1583"/>
      <c r="N1563" s="1583"/>
      <c r="O1563" s="1583"/>
      <c r="P1563" s="1583"/>
      <c r="Q1563" s="1585"/>
      <c r="R1563" s="1583"/>
      <c r="S1563" s="1583"/>
      <c r="T1563" s="1585"/>
      <c r="U1563" s="1585"/>
      <c r="V1563" s="1585"/>
      <c r="W1563" s="1585"/>
      <c r="X1563" s="1585"/>
      <c r="Y1563" s="1585"/>
      <c r="Z1563" s="1585"/>
      <c r="AA1563" s="1585"/>
      <c r="AB1563" s="1585"/>
      <c r="AC1563" s="1585">
        <v>16557.599999999999</v>
      </c>
      <c r="AD1563" s="1601">
        <f t="shared" si="166"/>
        <v>16557.599999999999</v>
      </c>
      <c r="AE1563" s="1790">
        <v>0</v>
      </c>
      <c r="AF1563" s="1792"/>
    </row>
    <row r="1564" spans="1:32" ht="27.75" customHeight="1">
      <c r="A1564" s="2900" t="s">
        <v>3031</v>
      </c>
      <c r="B1564" s="2902" t="s">
        <v>3032</v>
      </c>
      <c r="C1564" s="2904" t="s">
        <v>52</v>
      </c>
      <c r="D1564" s="2906">
        <v>16557.599999999999</v>
      </c>
      <c r="E1564" s="1603" t="s">
        <v>2497</v>
      </c>
      <c r="F1564" s="1583"/>
      <c r="G1564" s="1583"/>
      <c r="H1564" s="1583"/>
      <c r="I1564" s="1583"/>
      <c r="J1564" s="1583"/>
      <c r="K1564" s="1583"/>
      <c r="L1564" s="1583"/>
      <c r="M1564" s="1583"/>
      <c r="N1564" s="1583"/>
      <c r="O1564" s="1583"/>
      <c r="P1564" s="1583"/>
      <c r="Q1564" s="1604"/>
      <c r="R1564" s="1583"/>
      <c r="S1564" s="1583"/>
      <c r="T1564" s="1604"/>
      <c r="U1564" s="1585"/>
      <c r="V1564" s="1585"/>
      <c r="W1564" s="1585"/>
      <c r="X1564" s="1585"/>
      <c r="Y1564" s="1585"/>
      <c r="Z1564" s="1585"/>
      <c r="AA1564" s="1585"/>
      <c r="AB1564" s="1585"/>
      <c r="AC1564" s="1585"/>
      <c r="AD1564" s="1601">
        <f t="shared" si="166"/>
        <v>0</v>
      </c>
      <c r="AE1564" s="1790">
        <v>0</v>
      </c>
      <c r="AF1564" s="1792"/>
    </row>
    <row r="1565" spans="1:32" ht="27.75" customHeight="1">
      <c r="A1565" s="2899" t="s">
        <v>3033</v>
      </c>
      <c r="B1565" s="2901" t="s">
        <v>3937</v>
      </c>
      <c r="C1565" s="2903" t="s">
        <v>52</v>
      </c>
      <c r="D1565" s="2905">
        <v>3236.52</v>
      </c>
      <c r="E1565" s="1810" t="s">
        <v>2496</v>
      </c>
      <c r="F1565" s="1811"/>
      <c r="G1565" s="1811"/>
      <c r="H1565" s="1811"/>
      <c r="I1565" s="1811"/>
      <c r="J1565" s="1811"/>
      <c r="K1565" s="1811"/>
      <c r="L1565" s="1811"/>
      <c r="M1565" s="1811"/>
      <c r="N1565" s="1811"/>
      <c r="O1565" s="1811"/>
      <c r="P1565" s="1811"/>
      <c r="Q1565" s="1812"/>
      <c r="R1565" s="1811"/>
      <c r="S1565" s="1811"/>
      <c r="T1565" s="1812"/>
      <c r="U1565" s="1812"/>
      <c r="V1565" s="1812"/>
      <c r="W1565" s="1812"/>
      <c r="X1565" s="1812"/>
      <c r="Y1565" s="1812"/>
      <c r="Z1565" s="1812"/>
      <c r="AA1565" s="1812"/>
      <c r="AB1565" s="1585"/>
      <c r="AC1565" s="1812">
        <v>3236.52</v>
      </c>
      <c r="AD1565" s="1601">
        <f t="shared" si="166"/>
        <v>3236.52</v>
      </c>
      <c r="AE1565" s="1790">
        <v>0</v>
      </c>
      <c r="AF1565" s="1792"/>
    </row>
    <row r="1566" spans="1:32" ht="27.75" customHeight="1">
      <c r="A1566" s="2907" t="s">
        <v>3033</v>
      </c>
      <c r="B1566" s="2908" t="s">
        <v>3034</v>
      </c>
      <c r="C1566" s="2909" t="s">
        <v>52</v>
      </c>
      <c r="D1566" s="2910">
        <v>3236.52</v>
      </c>
      <c r="E1566" s="1806" t="s">
        <v>2497</v>
      </c>
      <c r="F1566" s="1807"/>
      <c r="G1566" s="1807"/>
      <c r="H1566" s="1807"/>
      <c r="I1566" s="1807"/>
      <c r="J1566" s="1807"/>
      <c r="K1566" s="1807"/>
      <c r="L1566" s="1807"/>
      <c r="M1566" s="1807"/>
      <c r="N1566" s="1807"/>
      <c r="O1566" s="1807"/>
      <c r="P1566" s="1807"/>
      <c r="Q1566" s="1808"/>
      <c r="R1566" s="1807"/>
      <c r="S1566" s="1807"/>
      <c r="T1566" s="1808"/>
      <c r="U1566" s="1815"/>
      <c r="V1566" s="1809"/>
      <c r="W1566" s="1809"/>
      <c r="X1566" s="1809"/>
      <c r="Y1566" s="1815"/>
      <c r="Z1566" s="1809"/>
      <c r="AA1566" s="1809"/>
      <c r="AB1566" s="1809"/>
      <c r="AC1566" s="1809"/>
      <c r="AD1566" s="1601">
        <f t="shared" si="166"/>
        <v>0</v>
      </c>
      <c r="AE1566" s="1790">
        <v>0</v>
      </c>
      <c r="AF1566" s="1792"/>
    </row>
    <row r="1567" spans="1:32" ht="27.75" customHeight="1">
      <c r="A1567" s="1647" t="s">
        <v>3035</v>
      </c>
      <c r="B1567" s="1647" t="s">
        <v>3938</v>
      </c>
      <c r="C1567" s="1625"/>
      <c r="D1567" s="1597"/>
      <c r="E1567" s="1599"/>
      <c r="F1567" s="1583"/>
      <c r="G1567" s="1583"/>
      <c r="H1567" s="1583"/>
      <c r="I1567" s="1583"/>
      <c r="J1567" s="1583"/>
      <c r="K1567" s="1583"/>
      <c r="L1567" s="1583"/>
      <c r="M1567" s="1583"/>
      <c r="N1567" s="1583"/>
      <c r="O1567" s="1583"/>
      <c r="P1567" s="1583"/>
      <c r="Q1567" s="1604"/>
      <c r="R1567" s="1583"/>
      <c r="S1567" s="1583"/>
      <c r="T1567" s="1604"/>
      <c r="U1567" s="1592"/>
      <c r="V1567" s="1585"/>
      <c r="W1567" s="1585"/>
      <c r="X1567" s="1585"/>
      <c r="Y1567" s="1592"/>
      <c r="Z1567" s="1585"/>
      <c r="AA1567" s="1585"/>
      <c r="AB1567" s="1585"/>
      <c r="AC1567" s="1585"/>
      <c r="AD1567" s="1601">
        <f t="shared" si="166"/>
        <v>0</v>
      </c>
      <c r="AE1567" s="1790">
        <v>0</v>
      </c>
      <c r="AF1567" s="1792"/>
    </row>
    <row r="1568" spans="1:32" ht="27.75" customHeight="1">
      <c r="A1568" s="1795" t="s">
        <v>3037</v>
      </c>
      <c r="B1568" s="1795" t="s">
        <v>3939</v>
      </c>
      <c r="C1568" s="1625"/>
      <c r="D1568" s="1597"/>
      <c r="E1568" s="1599"/>
      <c r="F1568" s="1583"/>
      <c r="G1568" s="1583"/>
      <c r="H1568" s="1583"/>
      <c r="I1568" s="1583"/>
      <c r="J1568" s="1583"/>
      <c r="K1568" s="1583"/>
      <c r="L1568" s="1583"/>
      <c r="M1568" s="1583"/>
      <c r="N1568" s="1583"/>
      <c r="O1568" s="1583"/>
      <c r="P1568" s="1583"/>
      <c r="Q1568" s="1604"/>
      <c r="R1568" s="1583"/>
      <c r="S1568" s="1583"/>
      <c r="T1568" s="1604"/>
      <c r="U1568" s="1592"/>
      <c r="V1568" s="1585"/>
      <c r="W1568" s="1585"/>
      <c r="X1568" s="1585"/>
      <c r="Y1568" s="1592"/>
      <c r="Z1568" s="1585"/>
      <c r="AA1568" s="1585"/>
      <c r="AB1568" s="1585"/>
      <c r="AC1568" s="1585"/>
      <c r="AD1568" s="1601">
        <f t="shared" si="166"/>
        <v>0</v>
      </c>
      <c r="AE1568" s="1790">
        <v>0</v>
      </c>
      <c r="AF1568" s="1792"/>
    </row>
    <row r="1569" spans="1:32" ht="27.75" customHeight="1">
      <c r="A1569" s="2907" t="s">
        <v>3039</v>
      </c>
      <c r="B1569" s="2908" t="s">
        <v>3940</v>
      </c>
      <c r="C1569" s="2909" t="s">
        <v>52</v>
      </c>
      <c r="D1569" s="2910">
        <v>5639.63</v>
      </c>
      <c r="E1569" s="1810" t="s">
        <v>2496</v>
      </c>
      <c r="F1569" s="1811"/>
      <c r="G1569" s="1811"/>
      <c r="H1569" s="1811"/>
      <c r="I1569" s="1811"/>
      <c r="J1569" s="1811"/>
      <c r="K1569" s="1811"/>
      <c r="L1569" s="1811"/>
      <c r="M1569" s="1811"/>
      <c r="N1569" s="1811"/>
      <c r="O1569" s="1811"/>
      <c r="P1569" s="1811"/>
      <c r="Q1569" s="1812"/>
      <c r="R1569" s="1811"/>
      <c r="S1569" s="1811"/>
      <c r="T1569" s="1812"/>
      <c r="U1569" s="1812"/>
      <c r="V1569" s="1812"/>
      <c r="W1569" s="1812"/>
      <c r="X1569" s="1812"/>
      <c r="Y1569" s="1812"/>
      <c r="Z1569" s="1812"/>
      <c r="AA1569" s="1812">
        <f>D1569</f>
        <v>5639.63</v>
      </c>
      <c r="AB1569" s="1812"/>
      <c r="AC1569" s="1812"/>
      <c r="AD1569" s="1601">
        <f t="shared" si="166"/>
        <v>5639.63</v>
      </c>
      <c r="AE1569" s="1790">
        <v>0</v>
      </c>
      <c r="AF1569" s="1792"/>
    </row>
    <row r="1570" spans="1:32" ht="27.75" customHeight="1">
      <c r="A1570" s="2900" t="s">
        <v>3039</v>
      </c>
      <c r="B1570" s="2902" t="s">
        <v>3040</v>
      </c>
      <c r="C1570" s="2904" t="s">
        <v>52</v>
      </c>
      <c r="D1570" s="2906">
        <v>5639.63</v>
      </c>
      <c r="E1570" s="1603" t="s">
        <v>2497</v>
      </c>
      <c r="F1570" s="1583"/>
      <c r="G1570" s="1583"/>
      <c r="H1570" s="1583"/>
      <c r="I1570" s="1583"/>
      <c r="J1570" s="1583"/>
      <c r="K1570" s="1583"/>
      <c r="L1570" s="1583"/>
      <c r="M1570" s="1583"/>
      <c r="N1570" s="1583"/>
      <c r="O1570" s="1583"/>
      <c r="P1570" s="1583"/>
      <c r="Q1570" s="1604"/>
      <c r="R1570" s="1583"/>
      <c r="S1570" s="1583"/>
      <c r="T1570" s="1604"/>
      <c r="U1570" s="1585"/>
      <c r="V1570" s="1585"/>
      <c r="W1570" s="1585"/>
      <c r="X1570" s="1585"/>
      <c r="Y1570" s="1585"/>
      <c r="Z1570" s="1585"/>
      <c r="AA1570" s="1585"/>
      <c r="AB1570" s="1585"/>
      <c r="AC1570" s="1585"/>
      <c r="AD1570" s="1601">
        <f t="shared" si="166"/>
        <v>0</v>
      </c>
      <c r="AE1570" s="1790">
        <v>0</v>
      </c>
      <c r="AF1570" s="1792"/>
    </row>
    <row r="1571" spans="1:32" ht="27.75" customHeight="1">
      <c r="A1571" s="2899" t="s">
        <v>3041</v>
      </c>
      <c r="B1571" s="2901" t="s">
        <v>3941</v>
      </c>
      <c r="C1571" s="2903" t="s">
        <v>52</v>
      </c>
      <c r="D1571" s="2905">
        <v>4083.87</v>
      </c>
      <c r="E1571" s="1810" t="s">
        <v>2496</v>
      </c>
      <c r="F1571" s="1811"/>
      <c r="G1571" s="1811"/>
      <c r="H1571" s="1811"/>
      <c r="I1571" s="1811"/>
      <c r="J1571" s="1811"/>
      <c r="K1571" s="1811"/>
      <c r="L1571" s="1811"/>
      <c r="M1571" s="1811"/>
      <c r="N1571" s="1811"/>
      <c r="O1571" s="1811"/>
      <c r="P1571" s="1811"/>
      <c r="Q1571" s="1812"/>
      <c r="R1571" s="1811"/>
      <c r="S1571" s="1811"/>
      <c r="T1571" s="1812"/>
      <c r="U1571" s="1812"/>
      <c r="V1571" s="1812"/>
      <c r="W1571" s="1812"/>
      <c r="X1571" s="1812"/>
      <c r="Y1571" s="1812"/>
      <c r="Z1571" s="1812"/>
      <c r="AA1571" s="1812">
        <f>D1571</f>
        <v>4083.87</v>
      </c>
      <c r="AB1571" s="1812"/>
      <c r="AC1571" s="1812"/>
      <c r="AD1571" s="1601">
        <f t="shared" si="166"/>
        <v>4083.87</v>
      </c>
      <c r="AE1571" s="1790">
        <v>0</v>
      </c>
      <c r="AF1571" s="1792"/>
    </row>
    <row r="1572" spans="1:32" ht="27.75" customHeight="1">
      <c r="A1572" s="2900" t="s">
        <v>3041</v>
      </c>
      <c r="B1572" s="2902" t="s">
        <v>3042</v>
      </c>
      <c r="C1572" s="2904" t="s">
        <v>52</v>
      </c>
      <c r="D1572" s="2906">
        <v>4083.87</v>
      </c>
      <c r="E1572" s="1603" t="s">
        <v>2497</v>
      </c>
      <c r="F1572" s="1583"/>
      <c r="G1572" s="1583"/>
      <c r="H1572" s="1583"/>
      <c r="I1572" s="1583"/>
      <c r="J1572" s="1583"/>
      <c r="K1572" s="1583"/>
      <c r="L1572" s="1583"/>
      <c r="M1572" s="1583"/>
      <c r="N1572" s="1583"/>
      <c r="O1572" s="1583"/>
      <c r="P1572" s="1583"/>
      <c r="Q1572" s="1604"/>
      <c r="R1572" s="1583"/>
      <c r="S1572" s="1583"/>
      <c r="T1572" s="1604"/>
      <c r="U1572" s="1592"/>
      <c r="V1572" s="1585"/>
      <c r="W1572" s="1585"/>
      <c r="X1572" s="1585"/>
      <c r="Y1572" s="1592"/>
      <c r="Z1572" s="1585"/>
      <c r="AA1572" s="1585"/>
      <c r="AB1572" s="1585"/>
      <c r="AC1572" s="1585"/>
      <c r="AD1572" s="1601">
        <f t="shared" si="166"/>
        <v>0</v>
      </c>
      <c r="AE1572" s="1790">
        <v>0</v>
      </c>
      <c r="AF1572" s="1792"/>
    </row>
    <row r="1573" spans="1:32" ht="27.75" customHeight="1">
      <c r="A1573" s="2899" t="s">
        <v>3043</v>
      </c>
      <c r="B1573" s="2901" t="s">
        <v>3942</v>
      </c>
      <c r="C1573" s="2903" t="s">
        <v>52</v>
      </c>
      <c r="D1573" s="2905">
        <v>827.18000000000006</v>
      </c>
      <c r="E1573" s="1598" t="s">
        <v>2496</v>
      </c>
      <c r="F1573" s="1583"/>
      <c r="G1573" s="1583"/>
      <c r="H1573" s="1583"/>
      <c r="I1573" s="1583"/>
      <c r="J1573" s="1583"/>
      <c r="K1573" s="1583"/>
      <c r="L1573" s="1583"/>
      <c r="M1573" s="1583"/>
      <c r="N1573" s="1583"/>
      <c r="O1573" s="1583"/>
      <c r="P1573" s="1583"/>
      <c r="Q1573" s="1585"/>
      <c r="R1573" s="1583"/>
      <c r="S1573" s="1583"/>
      <c r="T1573" s="1585"/>
      <c r="U1573" s="1585"/>
      <c r="V1573" s="1585"/>
      <c r="W1573" s="1585"/>
      <c r="X1573" s="1585"/>
      <c r="Y1573" s="1585"/>
      <c r="Z1573" s="1585"/>
      <c r="AA1573" s="1812">
        <f>D1573</f>
        <v>827.18000000000006</v>
      </c>
      <c r="AB1573" s="1585"/>
      <c r="AC1573" s="1585"/>
      <c r="AD1573" s="1601">
        <f t="shared" si="166"/>
        <v>827.18000000000006</v>
      </c>
      <c r="AE1573" s="1790">
        <v>0</v>
      </c>
      <c r="AF1573" s="1792"/>
    </row>
    <row r="1574" spans="1:32" ht="27.75" customHeight="1">
      <c r="A1574" s="2900" t="s">
        <v>3043</v>
      </c>
      <c r="B1574" s="2902" t="s">
        <v>3044</v>
      </c>
      <c r="C1574" s="2904" t="s">
        <v>52</v>
      </c>
      <c r="D1574" s="2906">
        <v>827.18000000000006</v>
      </c>
      <c r="E1574" s="1603" t="s">
        <v>2497</v>
      </c>
      <c r="F1574" s="1583"/>
      <c r="G1574" s="1583"/>
      <c r="H1574" s="1583"/>
      <c r="I1574" s="1583"/>
      <c r="J1574" s="1583"/>
      <c r="K1574" s="1583"/>
      <c r="L1574" s="1583"/>
      <c r="M1574" s="1583"/>
      <c r="N1574" s="1583"/>
      <c r="O1574" s="1583"/>
      <c r="P1574" s="1583"/>
      <c r="Q1574" s="1604"/>
      <c r="R1574" s="1583"/>
      <c r="S1574" s="1583"/>
      <c r="T1574" s="1604"/>
      <c r="U1574" s="1585"/>
      <c r="V1574" s="1585"/>
      <c r="W1574" s="1585"/>
      <c r="X1574" s="1585"/>
      <c r="Y1574" s="1585"/>
      <c r="Z1574" s="1585"/>
      <c r="AA1574" s="1585"/>
      <c r="AB1574" s="1585"/>
      <c r="AC1574" s="1585"/>
      <c r="AD1574" s="1601">
        <f t="shared" si="166"/>
        <v>0</v>
      </c>
      <c r="AE1574" s="1790">
        <v>0</v>
      </c>
      <c r="AF1574" s="1792"/>
    </row>
    <row r="1575" spans="1:32" ht="27.75" customHeight="1">
      <c r="A1575" s="2899" t="s">
        <v>3045</v>
      </c>
      <c r="B1575" s="2901" t="s">
        <v>3943</v>
      </c>
      <c r="C1575" s="2903" t="s">
        <v>52</v>
      </c>
      <c r="D1575" s="2905">
        <v>1240.77</v>
      </c>
      <c r="E1575" s="1810" t="s">
        <v>2496</v>
      </c>
      <c r="F1575" s="1811"/>
      <c r="G1575" s="1811"/>
      <c r="H1575" s="1811"/>
      <c r="I1575" s="1811"/>
      <c r="J1575" s="1811"/>
      <c r="K1575" s="1811"/>
      <c r="L1575" s="1811"/>
      <c r="M1575" s="1811"/>
      <c r="N1575" s="1811"/>
      <c r="O1575" s="1811"/>
      <c r="P1575" s="1811"/>
      <c r="Q1575" s="1812"/>
      <c r="R1575" s="1811"/>
      <c r="S1575" s="1811"/>
      <c r="T1575" s="1812"/>
      <c r="U1575" s="1812"/>
      <c r="V1575" s="1812"/>
      <c r="W1575" s="1812"/>
      <c r="X1575" s="1812"/>
      <c r="Y1575" s="1812"/>
      <c r="Z1575" s="1812"/>
      <c r="AA1575" s="1812">
        <f>D1575</f>
        <v>1240.77</v>
      </c>
      <c r="AB1575" s="1812"/>
      <c r="AC1575" s="1812"/>
      <c r="AD1575" s="1601">
        <f t="shared" si="166"/>
        <v>1240.77</v>
      </c>
      <c r="AE1575" s="1790">
        <v>0</v>
      </c>
      <c r="AF1575" s="1792"/>
    </row>
    <row r="1576" spans="1:32" ht="27.75" customHeight="1">
      <c r="A1576" s="2900" t="s">
        <v>3045</v>
      </c>
      <c r="B1576" s="2902" t="s">
        <v>3046</v>
      </c>
      <c r="C1576" s="2904" t="s">
        <v>52</v>
      </c>
      <c r="D1576" s="2906">
        <v>1240.77</v>
      </c>
      <c r="E1576" s="1603" t="s">
        <v>2497</v>
      </c>
      <c r="F1576" s="1583"/>
      <c r="G1576" s="1583"/>
      <c r="H1576" s="1583"/>
      <c r="I1576" s="1583"/>
      <c r="J1576" s="1583"/>
      <c r="K1576" s="1583"/>
      <c r="L1576" s="1583"/>
      <c r="M1576" s="1583"/>
      <c r="N1576" s="1583"/>
      <c r="O1576" s="1583"/>
      <c r="P1576" s="1583"/>
      <c r="Q1576" s="1604"/>
      <c r="R1576" s="1583"/>
      <c r="S1576" s="1583"/>
      <c r="T1576" s="1604"/>
      <c r="U1576" s="1592"/>
      <c r="V1576" s="1585"/>
      <c r="W1576" s="1585"/>
      <c r="X1576" s="1585"/>
      <c r="Y1576" s="1592"/>
      <c r="Z1576" s="1585"/>
      <c r="AA1576" s="1585"/>
      <c r="AB1576" s="1585"/>
      <c r="AC1576" s="1585"/>
      <c r="AD1576" s="1601">
        <f t="shared" si="166"/>
        <v>0</v>
      </c>
      <c r="AE1576" s="1790">
        <v>0</v>
      </c>
      <c r="AF1576" s="1792"/>
    </row>
    <row r="1577" spans="1:32" ht="27.75" customHeight="1">
      <c r="A1577" s="1795" t="s">
        <v>3047</v>
      </c>
      <c r="B1577" s="1795" t="s">
        <v>3944</v>
      </c>
      <c r="C1577" s="1803"/>
      <c r="D1577" s="1804"/>
      <c r="E1577" s="1599"/>
      <c r="F1577" s="1583"/>
      <c r="G1577" s="1583"/>
      <c r="H1577" s="1583"/>
      <c r="I1577" s="1583"/>
      <c r="J1577" s="1583"/>
      <c r="K1577" s="1583"/>
      <c r="L1577" s="1583"/>
      <c r="M1577" s="1583"/>
      <c r="N1577" s="1583"/>
      <c r="O1577" s="1583"/>
      <c r="P1577" s="1583"/>
      <c r="Q1577" s="1604"/>
      <c r="R1577" s="1583"/>
      <c r="S1577" s="1583"/>
      <c r="T1577" s="1604"/>
      <c r="U1577" s="1592"/>
      <c r="V1577" s="1585"/>
      <c r="W1577" s="1585"/>
      <c r="X1577" s="1585"/>
      <c r="Y1577" s="1592"/>
      <c r="Z1577" s="1585"/>
      <c r="AA1577" s="1585"/>
      <c r="AB1577" s="1585"/>
      <c r="AC1577" s="1585"/>
      <c r="AD1577" s="1601">
        <f t="shared" si="166"/>
        <v>0</v>
      </c>
      <c r="AE1577" s="1790">
        <v>0</v>
      </c>
      <c r="AF1577" s="1792"/>
    </row>
    <row r="1578" spans="1:32" ht="27.75" customHeight="1">
      <c r="A1578" s="2899" t="s">
        <v>3049</v>
      </c>
      <c r="B1578" s="2901" t="s">
        <v>3945</v>
      </c>
      <c r="C1578" s="2903" t="s">
        <v>52</v>
      </c>
      <c r="D1578" s="2905">
        <v>2640</v>
      </c>
      <c r="E1578" s="1598" t="s">
        <v>2496</v>
      </c>
      <c r="F1578" s="1583"/>
      <c r="G1578" s="1583"/>
      <c r="H1578" s="1583"/>
      <c r="I1578" s="1583"/>
      <c r="J1578" s="1583"/>
      <c r="K1578" s="1583"/>
      <c r="L1578" s="1583"/>
      <c r="M1578" s="1583"/>
      <c r="N1578" s="1583"/>
      <c r="O1578" s="1583"/>
      <c r="P1578" s="1583"/>
      <c r="Q1578" s="1585"/>
      <c r="R1578" s="1583"/>
      <c r="S1578" s="1583"/>
      <c r="T1578" s="1585"/>
      <c r="U1578" s="1585"/>
      <c r="V1578" s="1585"/>
      <c r="W1578" s="1585"/>
      <c r="X1578" s="1585"/>
      <c r="Y1578" s="1585"/>
      <c r="Z1578" s="1585"/>
      <c r="AA1578" s="1812">
        <f>D1578</f>
        <v>2640</v>
      </c>
      <c r="AB1578" s="1585"/>
      <c r="AC1578" s="1585"/>
      <c r="AD1578" s="1601">
        <f t="shared" si="166"/>
        <v>2640</v>
      </c>
      <c r="AE1578" s="1790">
        <v>0</v>
      </c>
      <c r="AF1578" s="1792"/>
    </row>
    <row r="1579" spans="1:32" ht="27.75" customHeight="1">
      <c r="A1579" s="2900" t="s">
        <v>3049</v>
      </c>
      <c r="B1579" s="2902" t="s">
        <v>3050</v>
      </c>
      <c r="C1579" s="2904" t="s">
        <v>52</v>
      </c>
      <c r="D1579" s="2906">
        <v>2640</v>
      </c>
      <c r="E1579" s="1603" t="s">
        <v>2497</v>
      </c>
      <c r="F1579" s="1583"/>
      <c r="G1579" s="1583"/>
      <c r="H1579" s="1583"/>
      <c r="I1579" s="1583"/>
      <c r="J1579" s="1583"/>
      <c r="K1579" s="1583"/>
      <c r="L1579" s="1583"/>
      <c r="M1579" s="1583"/>
      <c r="N1579" s="1583"/>
      <c r="O1579" s="1583"/>
      <c r="P1579" s="1583"/>
      <c r="Q1579" s="1604"/>
      <c r="R1579" s="1583"/>
      <c r="S1579" s="1583"/>
      <c r="T1579" s="1604"/>
      <c r="U1579" s="1585"/>
      <c r="V1579" s="1585"/>
      <c r="W1579" s="1585"/>
      <c r="X1579" s="1585"/>
      <c r="Y1579" s="1585"/>
      <c r="Z1579" s="1585"/>
      <c r="AA1579" s="1585"/>
      <c r="AB1579" s="1585"/>
      <c r="AC1579" s="1585"/>
      <c r="AD1579" s="1601">
        <f t="shared" si="166"/>
        <v>0</v>
      </c>
      <c r="AE1579" s="1790">
        <v>0</v>
      </c>
      <c r="AF1579" s="1792"/>
    </row>
    <row r="1580" spans="1:32" ht="27.75" customHeight="1">
      <c r="A1580" s="2899" t="s">
        <v>3051</v>
      </c>
      <c r="B1580" s="2901" t="s">
        <v>3946</v>
      </c>
      <c r="C1580" s="2903" t="s">
        <v>52</v>
      </c>
      <c r="D1580" s="2905">
        <v>986.00000000000011</v>
      </c>
      <c r="E1580" s="1810" t="s">
        <v>2496</v>
      </c>
      <c r="F1580" s="1811"/>
      <c r="G1580" s="1811"/>
      <c r="H1580" s="1811"/>
      <c r="I1580" s="1811"/>
      <c r="J1580" s="1811"/>
      <c r="K1580" s="1811"/>
      <c r="L1580" s="1811"/>
      <c r="M1580" s="1811"/>
      <c r="N1580" s="1811"/>
      <c r="O1580" s="1811"/>
      <c r="P1580" s="1811"/>
      <c r="Q1580" s="1812"/>
      <c r="R1580" s="1811"/>
      <c r="S1580" s="1811"/>
      <c r="T1580" s="1812"/>
      <c r="U1580" s="1812"/>
      <c r="V1580" s="1812"/>
      <c r="W1580" s="1812"/>
      <c r="X1580" s="1812"/>
      <c r="Y1580" s="1812"/>
      <c r="Z1580" s="1812"/>
      <c r="AA1580" s="1812">
        <f>D1580</f>
        <v>986.00000000000011</v>
      </c>
      <c r="AB1580" s="1812"/>
      <c r="AC1580" s="1812"/>
      <c r="AD1580" s="1601">
        <f t="shared" si="166"/>
        <v>986.00000000000011</v>
      </c>
      <c r="AE1580" s="1790">
        <v>0</v>
      </c>
      <c r="AF1580" s="1792"/>
    </row>
    <row r="1581" spans="1:32" ht="27.75" customHeight="1">
      <c r="A1581" s="2900" t="s">
        <v>3051</v>
      </c>
      <c r="B1581" s="2902" t="s">
        <v>3052</v>
      </c>
      <c r="C1581" s="2904" t="s">
        <v>52</v>
      </c>
      <c r="D1581" s="2906">
        <v>986.00000000000011</v>
      </c>
      <c r="E1581" s="1603" t="s">
        <v>2497</v>
      </c>
      <c r="F1581" s="1583"/>
      <c r="G1581" s="1583"/>
      <c r="H1581" s="1583"/>
      <c r="I1581" s="1583"/>
      <c r="J1581" s="1583"/>
      <c r="K1581" s="1583"/>
      <c r="L1581" s="1583"/>
      <c r="M1581" s="1583"/>
      <c r="N1581" s="1583"/>
      <c r="O1581" s="1583"/>
      <c r="P1581" s="1583"/>
      <c r="Q1581" s="1604"/>
      <c r="R1581" s="1583"/>
      <c r="S1581" s="1583"/>
      <c r="T1581" s="1604"/>
      <c r="U1581" s="1592"/>
      <c r="V1581" s="1585"/>
      <c r="W1581" s="1585"/>
      <c r="X1581" s="1585"/>
      <c r="Y1581" s="1592"/>
      <c r="Z1581" s="1585"/>
      <c r="AA1581" s="1585"/>
      <c r="AB1581" s="1585"/>
      <c r="AC1581" s="1585"/>
      <c r="AD1581" s="1601">
        <f t="shared" si="166"/>
        <v>0</v>
      </c>
      <c r="AE1581" s="1790">
        <v>0</v>
      </c>
      <c r="AF1581" s="1792"/>
    </row>
    <row r="1582" spans="1:32" ht="27.75" customHeight="1">
      <c r="A1582" s="1795" t="s">
        <v>3053</v>
      </c>
      <c r="B1582" s="1795" t="s">
        <v>3947</v>
      </c>
      <c r="C1582" s="1803"/>
      <c r="D1582" s="1804"/>
      <c r="E1582" s="1599"/>
      <c r="F1582" s="1583"/>
      <c r="G1582" s="1583"/>
      <c r="H1582" s="1583"/>
      <c r="I1582" s="1583"/>
      <c r="J1582" s="1583"/>
      <c r="K1582" s="1583"/>
      <c r="L1582" s="1583"/>
      <c r="M1582" s="1583"/>
      <c r="N1582" s="1583"/>
      <c r="O1582" s="1583"/>
      <c r="P1582" s="1583"/>
      <c r="Q1582" s="1604"/>
      <c r="R1582" s="1583"/>
      <c r="S1582" s="1583"/>
      <c r="T1582" s="1604"/>
      <c r="U1582" s="1592"/>
      <c r="V1582" s="1585"/>
      <c r="W1582" s="1585"/>
      <c r="X1582" s="1585"/>
      <c r="Y1582" s="1592"/>
      <c r="Z1582" s="1585"/>
      <c r="AA1582" s="1585"/>
      <c r="AB1582" s="1585"/>
      <c r="AC1582" s="1585"/>
      <c r="AD1582" s="1601">
        <f t="shared" si="166"/>
        <v>0</v>
      </c>
      <c r="AE1582" s="1790">
        <v>0</v>
      </c>
      <c r="AF1582" s="1792"/>
    </row>
    <row r="1583" spans="1:32" ht="27.75" customHeight="1">
      <c r="A1583" s="2899" t="s">
        <v>3055</v>
      </c>
      <c r="B1583" s="2901" t="s">
        <v>3948</v>
      </c>
      <c r="C1583" s="2903" t="s">
        <v>52</v>
      </c>
      <c r="D1583" s="2905">
        <v>3839.2000000000003</v>
      </c>
      <c r="E1583" s="1810" t="s">
        <v>2496</v>
      </c>
      <c r="F1583" s="1811"/>
      <c r="G1583" s="1811"/>
      <c r="H1583" s="1811"/>
      <c r="I1583" s="1811"/>
      <c r="J1583" s="1811"/>
      <c r="K1583" s="1811"/>
      <c r="L1583" s="1811"/>
      <c r="M1583" s="1811"/>
      <c r="N1583" s="1811"/>
      <c r="O1583" s="1811"/>
      <c r="P1583" s="1811"/>
      <c r="Q1583" s="1812"/>
      <c r="R1583" s="1811"/>
      <c r="S1583" s="1811"/>
      <c r="T1583" s="1812"/>
      <c r="U1583" s="1812"/>
      <c r="V1583" s="1812"/>
      <c r="W1583" s="1812"/>
      <c r="X1583" s="1812"/>
      <c r="Y1583" s="1812"/>
      <c r="Z1583" s="1812"/>
      <c r="AA1583" s="1812"/>
      <c r="AB1583" s="1812"/>
      <c r="AC1583" s="1812">
        <v>3839.2</v>
      </c>
      <c r="AD1583" s="1601">
        <f t="shared" si="166"/>
        <v>3839.2</v>
      </c>
      <c r="AE1583" s="1790">
        <v>0</v>
      </c>
      <c r="AF1583" s="1792"/>
    </row>
    <row r="1584" spans="1:32" ht="27.75" customHeight="1">
      <c r="A1584" s="2900" t="s">
        <v>3055</v>
      </c>
      <c r="B1584" s="2902" t="s">
        <v>3056</v>
      </c>
      <c r="C1584" s="2904" t="s">
        <v>52</v>
      </c>
      <c r="D1584" s="2906">
        <v>3839.2000000000003</v>
      </c>
      <c r="E1584" s="1603" t="s">
        <v>2497</v>
      </c>
      <c r="F1584" s="1583"/>
      <c r="G1584" s="1583"/>
      <c r="H1584" s="1583"/>
      <c r="I1584" s="1583"/>
      <c r="J1584" s="1583"/>
      <c r="K1584" s="1583"/>
      <c r="L1584" s="1583"/>
      <c r="M1584" s="1583"/>
      <c r="N1584" s="1583"/>
      <c r="O1584" s="1583"/>
      <c r="P1584" s="1583"/>
      <c r="Q1584" s="1604"/>
      <c r="R1584" s="1583"/>
      <c r="S1584" s="1583"/>
      <c r="T1584" s="1604"/>
      <c r="U1584" s="1585"/>
      <c r="V1584" s="1585"/>
      <c r="W1584" s="1585"/>
      <c r="X1584" s="1585"/>
      <c r="Y1584" s="1585"/>
      <c r="Z1584" s="1585"/>
      <c r="AA1584" s="1585"/>
      <c r="AB1584" s="1585"/>
      <c r="AC1584" s="1585"/>
      <c r="AD1584" s="1601">
        <f t="shared" si="166"/>
        <v>0</v>
      </c>
      <c r="AE1584" s="1790">
        <v>0</v>
      </c>
      <c r="AF1584" s="1792"/>
    </row>
    <row r="1585" spans="1:32" ht="27.75" customHeight="1">
      <c r="A1585" s="2899" t="s">
        <v>3057</v>
      </c>
      <c r="B1585" s="2901" t="s">
        <v>3949</v>
      </c>
      <c r="C1585" s="2903" t="s">
        <v>52</v>
      </c>
      <c r="D1585" s="2905">
        <v>1386</v>
      </c>
      <c r="E1585" s="1810" t="s">
        <v>2496</v>
      </c>
      <c r="F1585" s="1811"/>
      <c r="G1585" s="1811"/>
      <c r="H1585" s="1811"/>
      <c r="I1585" s="1811"/>
      <c r="J1585" s="1811"/>
      <c r="K1585" s="1811"/>
      <c r="L1585" s="1811"/>
      <c r="M1585" s="1811"/>
      <c r="N1585" s="1811"/>
      <c r="O1585" s="1811"/>
      <c r="P1585" s="1811"/>
      <c r="Q1585" s="1812"/>
      <c r="R1585" s="1811"/>
      <c r="S1585" s="1811"/>
      <c r="T1585" s="1812"/>
      <c r="U1585" s="1812"/>
      <c r="V1585" s="1812"/>
      <c r="W1585" s="1812"/>
      <c r="X1585" s="1812"/>
      <c r="Y1585" s="1812"/>
      <c r="Z1585" s="1812"/>
      <c r="AA1585" s="1812"/>
      <c r="AB1585" s="1812"/>
      <c r="AC1585" s="1812">
        <v>1386</v>
      </c>
      <c r="AD1585" s="1601">
        <f t="shared" si="166"/>
        <v>1386</v>
      </c>
      <c r="AE1585" s="1790">
        <v>0</v>
      </c>
      <c r="AF1585" s="1792"/>
    </row>
    <row r="1586" spans="1:32" ht="27.75" customHeight="1">
      <c r="A1586" s="2900" t="s">
        <v>3057</v>
      </c>
      <c r="B1586" s="2902" t="s">
        <v>3058</v>
      </c>
      <c r="C1586" s="2904" t="s">
        <v>52</v>
      </c>
      <c r="D1586" s="2906">
        <v>1386</v>
      </c>
      <c r="E1586" s="1603" t="s">
        <v>2497</v>
      </c>
      <c r="F1586" s="1583"/>
      <c r="G1586" s="1583"/>
      <c r="H1586" s="1583"/>
      <c r="I1586" s="1583"/>
      <c r="J1586" s="1583"/>
      <c r="K1586" s="1583"/>
      <c r="L1586" s="1583"/>
      <c r="M1586" s="1583"/>
      <c r="N1586" s="1583"/>
      <c r="O1586" s="1583"/>
      <c r="P1586" s="1583"/>
      <c r="Q1586" s="1604"/>
      <c r="R1586" s="1583"/>
      <c r="S1586" s="1583"/>
      <c r="T1586" s="1604"/>
      <c r="U1586" s="1592"/>
      <c r="V1586" s="1585"/>
      <c r="W1586" s="1585"/>
      <c r="X1586" s="1585"/>
      <c r="Y1586" s="1592"/>
      <c r="Z1586" s="1585"/>
      <c r="AA1586" s="1585"/>
      <c r="AB1586" s="1585"/>
      <c r="AC1586" s="1585"/>
      <c r="AD1586" s="1601">
        <f t="shared" si="166"/>
        <v>0</v>
      </c>
      <c r="AE1586" s="1790">
        <v>0</v>
      </c>
      <c r="AF1586" s="1792"/>
    </row>
    <row r="1587" spans="1:32" ht="27.75" customHeight="1">
      <c r="A1587" s="2899" t="s">
        <v>3059</v>
      </c>
      <c r="B1587" s="2901" t="s">
        <v>3950</v>
      </c>
      <c r="C1587" s="2903" t="s">
        <v>52</v>
      </c>
      <c r="D1587" s="2905">
        <v>792.68000000000006</v>
      </c>
      <c r="E1587" s="1598" t="s">
        <v>2496</v>
      </c>
      <c r="F1587" s="1583"/>
      <c r="G1587" s="1583"/>
      <c r="H1587" s="1583"/>
      <c r="I1587" s="1583"/>
      <c r="J1587" s="1583"/>
      <c r="K1587" s="1583"/>
      <c r="L1587" s="1583"/>
      <c r="M1587" s="1583"/>
      <c r="N1587" s="1583"/>
      <c r="O1587" s="1583"/>
      <c r="P1587" s="1583"/>
      <c r="Q1587" s="1585"/>
      <c r="R1587" s="1583"/>
      <c r="S1587" s="1583"/>
      <c r="T1587" s="1585"/>
      <c r="U1587" s="1585"/>
      <c r="V1587" s="1585"/>
      <c r="W1587" s="1585"/>
      <c r="X1587" s="1585"/>
      <c r="Y1587" s="1585"/>
      <c r="Z1587" s="1585"/>
      <c r="AA1587" s="1585"/>
      <c r="AB1587" s="1812"/>
      <c r="AC1587" s="1585">
        <v>792.68</v>
      </c>
      <c r="AD1587" s="1601">
        <f t="shared" si="166"/>
        <v>792.68</v>
      </c>
      <c r="AE1587" s="1790">
        <v>0</v>
      </c>
      <c r="AF1587" s="1792"/>
    </row>
    <row r="1588" spans="1:32" ht="27.75" customHeight="1">
      <c r="A1588" s="2900" t="s">
        <v>3059</v>
      </c>
      <c r="B1588" s="2902" t="s">
        <v>3060</v>
      </c>
      <c r="C1588" s="2904" t="s">
        <v>52</v>
      </c>
      <c r="D1588" s="2906">
        <v>792.68000000000006</v>
      </c>
      <c r="E1588" s="1603" t="s">
        <v>2497</v>
      </c>
      <c r="F1588" s="1583"/>
      <c r="G1588" s="1583"/>
      <c r="H1588" s="1583"/>
      <c r="I1588" s="1583"/>
      <c r="J1588" s="1583"/>
      <c r="K1588" s="1583"/>
      <c r="L1588" s="1583"/>
      <c r="M1588" s="1583"/>
      <c r="N1588" s="1583"/>
      <c r="O1588" s="1583"/>
      <c r="P1588" s="1583"/>
      <c r="Q1588" s="1604"/>
      <c r="R1588" s="1583"/>
      <c r="S1588" s="1583"/>
      <c r="T1588" s="1604"/>
      <c r="U1588" s="1585"/>
      <c r="V1588" s="1585"/>
      <c r="W1588" s="1585"/>
      <c r="X1588" s="1585"/>
      <c r="Y1588" s="1585"/>
      <c r="Z1588" s="1585"/>
      <c r="AA1588" s="1585"/>
      <c r="AB1588" s="1585"/>
      <c r="AC1588" s="1585"/>
      <c r="AD1588" s="1601">
        <f t="shared" si="166"/>
        <v>0</v>
      </c>
      <c r="AE1588" s="1790">
        <v>0</v>
      </c>
      <c r="AF1588" s="1792"/>
    </row>
    <row r="1589" spans="1:32" ht="27.75" customHeight="1">
      <c r="A1589" s="1795" t="s">
        <v>3061</v>
      </c>
      <c r="B1589" s="1795" t="s">
        <v>3951</v>
      </c>
      <c r="C1589" s="1803"/>
      <c r="D1589" s="1804"/>
      <c r="E1589" s="1813"/>
      <c r="F1589" s="1811"/>
      <c r="G1589" s="1811"/>
      <c r="H1589" s="1811"/>
      <c r="I1589" s="1811"/>
      <c r="J1589" s="1811"/>
      <c r="K1589" s="1811"/>
      <c r="L1589" s="1811"/>
      <c r="M1589" s="1811"/>
      <c r="N1589" s="1811"/>
      <c r="O1589" s="1811"/>
      <c r="P1589" s="1811"/>
      <c r="Q1589" s="1814"/>
      <c r="R1589" s="1811"/>
      <c r="S1589" s="1811"/>
      <c r="T1589" s="1814"/>
      <c r="U1589" s="1812"/>
      <c r="V1589" s="1812"/>
      <c r="W1589" s="1812"/>
      <c r="X1589" s="1812"/>
      <c r="Y1589" s="1812"/>
      <c r="Z1589" s="1812"/>
      <c r="AA1589" s="1812"/>
      <c r="AB1589" s="1812"/>
      <c r="AC1589" s="1812"/>
      <c r="AD1589" s="1601">
        <f t="shared" si="166"/>
        <v>0</v>
      </c>
      <c r="AE1589" s="1790">
        <v>0</v>
      </c>
      <c r="AF1589" s="1792"/>
    </row>
    <row r="1590" spans="1:32" ht="27.75" customHeight="1">
      <c r="A1590" s="2899" t="s">
        <v>3063</v>
      </c>
      <c r="B1590" s="2901" t="s">
        <v>3952</v>
      </c>
      <c r="C1590" s="2903" t="s">
        <v>51</v>
      </c>
      <c r="D1590" s="2905">
        <v>1452.816</v>
      </c>
      <c r="E1590" s="1810" t="s">
        <v>2496</v>
      </c>
      <c r="F1590" s="1811"/>
      <c r="G1590" s="1811"/>
      <c r="H1590" s="1811"/>
      <c r="I1590" s="1811"/>
      <c r="J1590" s="1811"/>
      <c r="K1590" s="1811"/>
      <c r="L1590" s="1811"/>
      <c r="M1590" s="1811"/>
      <c r="N1590" s="1811"/>
      <c r="O1590" s="1811"/>
      <c r="P1590" s="1811"/>
      <c r="Q1590" s="1812"/>
      <c r="R1590" s="1811"/>
      <c r="S1590" s="1811"/>
      <c r="T1590" s="1812"/>
      <c r="U1590" s="1812"/>
      <c r="V1590" s="1812"/>
      <c r="W1590" s="1812"/>
      <c r="X1590" s="1812"/>
      <c r="Y1590" s="1812"/>
      <c r="Z1590" s="1812"/>
      <c r="AA1590" s="1812"/>
      <c r="AB1590" s="1812"/>
      <c r="AC1590" s="1812">
        <v>1452.816</v>
      </c>
      <c r="AD1590" s="1601">
        <f t="shared" si="166"/>
        <v>1452.816</v>
      </c>
      <c r="AE1590" s="1790">
        <v>0</v>
      </c>
      <c r="AF1590" s="1792"/>
    </row>
    <row r="1591" spans="1:32" ht="27.75" customHeight="1">
      <c r="A1591" s="2907" t="s">
        <v>3063</v>
      </c>
      <c r="B1591" s="2908" t="s">
        <v>3064</v>
      </c>
      <c r="C1591" s="2909" t="s">
        <v>51</v>
      </c>
      <c r="D1591" s="2910">
        <v>1452.816</v>
      </c>
      <c r="E1591" s="1806" t="s">
        <v>2497</v>
      </c>
      <c r="F1591" s="1807"/>
      <c r="G1591" s="1807"/>
      <c r="H1591" s="1807"/>
      <c r="I1591" s="1807"/>
      <c r="J1591" s="1807"/>
      <c r="K1591" s="1807"/>
      <c r="L1591" s="1807"/>
      <c r="M1591" s="1807"/>
      <c r="N1591" s="1807"/>
      <c r="O1591" s="1807"/>
      <c r="P1591" s="1807"/>
      <c r="Q1591" s="1808"/>
      <c r="R1591" s="1807"/>
      <c r="S1591" s="1807"/>
      <c r="T1591" s="1808"/>
      <c r="U1591" s="1815"/>
      <c r="V1591" s="1809"/>
      <c r="W1591" s="1809"/>
      <c r="X1591" s="1809"/>
      <c r="Y1591" s="1815"/>
      <c r="Z1591" s="1809"/>
      <c r="AA1591" s="1809"/>
      <c r="AB1591" s="1809"/>
      <c r="AC1591" s="1809"/>
      <c r="AD1591" s="1601">
        <f t="shared" si="166"/>
        <v>0</v>
      </c>
      <c r="AE1591" s="1790">
        <v>0</v>
      </c>
      <c r="AF1591" s="1792"/>
    </row>
    <row r="1592" spans="1:32" ht="27.75" customHeight="1">
      <c r="A1592" s="1647" t="s">
        <v>3065</v>
      </c>
      <c r="B1592" s="1647" t="s">
        <v>3953</v>
      </c>
      <c r="C1592" s="1625"/>
      <c r="D1592" s="1597"/>
      <c r="E1592" s="1599"/>
      <c r="F1592" s="1583"/>
      <c r="G1592" s="1583"/>
      <c r="H1592" s="1583"/>
      <c r="I1592" s="1583"/>
      <c r="J1592" s="1583"/>
      <c r="K1592" s="1583"/>
      <c r="L1592" s="1583"/>
      <c r="M1592" s="1583"/>
      <c r="N1592" s="1583"/>
      <c r="O1592" s="1583"/>
      <c r="P1592" s="1583"/>
      <c r="Q1592" s="1604"/>
      <c r="R1592" s="1583"/>
      <c r="S1592" s="1583"/>
      <c r="T1592" s="1604"/>
      <c r="U1592" s="1592"/>
      <c r="V1592" s="1585"/>
      <c r="W1592" s="1585"/>
      <c r="X1592" s="1585"/>
      <c r="Y1592" s="1592"/>
      <c r="Z1592" s="1585"/>
      <c r="AA1592" s="1585"/>
      <c r="AB1592" s="1585"/>
      <c r="AC1592" s="1585"/>
      <c r="AD1592" s="1601">
        <f t="shared" si="166"/>
        <v>0</v>
      </c>
      <c r="AE1592" s="1790">
        <v>0</v>
      </c>
      <c r="AF1592" s="1792"/>
    </row>
    <row r="1593" spans="1:32" ht="27.75" customHeight="1">
      <c r="A1593" s="1795" t="s">
        <v>3067</v>
      </c>
      <c r="B1593" s="1795" t="s">
        <v>3954</v>
      </c>
      <c r="C1593" s="1625"/>
      <c r="D1593" s="1597"/>
      <c r="E1593" s="1599"/>
      <c r="F1593" s="1583"/>
      <c r="G1593" s="1583"/>
      <c r="H1593" s="1583"/>
      <c r="I1593" s="1583"/>
      <c r="J1593" s="1583"/>
      <c r="K1593" s="1583"/>
      <c r="L1593" s="1583"/>
      <c r="M1593" s="1583"/>
      <c r="N1593" s="1583"/>
      <c r="O1593" s="1583"/>
      <c r="P1593" s="1583"/>
      <c r="Q1593" s="1604"/>
      <c r="R1593" s="1583"/>
      <c r="S1593" s="1583"/>
      <c r="T1593" s="1604"/>
      <c r="U1593" s="1592"/>
      <c r="V1593" s="1585"/>
      <c r="W1593" s="1585"/>
      <c r="X1593" s="1585"/>
      <c r="Y1593" s="1592"/>
      <c r="Z1593" s="1585"/>
      <c r="AA1593" s="1585"/>
      <c r="AB1593" s="1585"/>
      <c r="AC1593" s="1585"/>
      <c r="AD1593" s="1601">
        <f t="shared" si="166"/>
        <v>0</v>
      </c>
      <c r="AE1593" s="1790">
        <v>0</v>
      </c>
      <c r="AF1593" s="1792"/>
    </row>
    <row r="1594" spans="1:32" ht="27.75" customHeight="1">
      <c r="A1594" s="2907" t="s">
        <v>3069</v>
      </c>
      <c r="B1594" s="2908" t="s">
        <v>3955</v>
      </c>
      <c r="C1594" s="2909" t="s">
        <v>51</v>
      </c>
      <c r="D1594" s="2910">
        <v>24520.870800000001</v>
      </c>
      <c r="E1594" s="1810" t="s">
        <v>2496</v>
      </c>
      <c r="F1594" s="1811"/>
      <c r="G1594" s="1811"/>
      <c r="H1594" s="1811"/>
      <c r="I1594" s="1811"/>
      <c r="J1594" s="1811"/>
      <c r="K1594" s="1811"/>
      <c r="L1594" s="1811"/>
      <c r="M1594" s="1811"/>
      <c r="N1594" s="1811"/>
      <c r="O1594" s="1811"/>
      <c r="P1594" s="1811"/>
      <c r="Q1594" s="1812"/>
      <c r="R1594" s="1811"/>
      <c r="S1594" s="1811"/>
      <c r="T1594" s="1812"/>
      <c r="U1594" s="1812"/>
      <c r="V1594" s="1812"/>
      <c r="W1594" s="1812"/>
      <c r="X1594" s="1812"/>
      <c r="Y1594" s="1812"/>
      <c r="Z1594" s="1812"/>
      <c r="AA1594" s="1812"/>
      <c r="AB1594" s="1812"/>
      <c r="AC1594" s="1812">
        <v>24520.870800000001</v>
      </c>
      <c r="AD1594" s="1601">
        <f t="shared" si="166"/>
        <v>24520.870800000001</v>
      </c>
      <c r="AE1594" s="1790">
        <v>0</v>
      </c>
      <c r="AF1594" s="1792"/>
    </row>
    <row r="1595" spans="1:32" ht="27.75" customHeight="1">
      <c r="A1595" s="2907" t="s">
        <v>3069</v>
      </c>
      <c r="B1595" s="2908" t="s">
        <v>3070</v>
      </c>
      <c r="C1595" s="2909" t="s">
        <v>51</v>
      </c>
      <c r="D1595" s="2910">
        <v>24520.870800000001</v>
      </c>
      <c r="E1595" s="1806" t="s">
        <v>2497</v>
      </c>
      <c r="F1595" s="1807"/>
      <c r="G1595" s="1807"/>
      <c r="H1595" s="1807"/>
      <c r="I1595" s="1807"/>
      <c r="J1595" s="1807"/>
      <c r="K1595" s="1807"/>
      <c r="L1595" s="1807"/>
      <c r="M1595" s="1807"/>
      <c r="N1595" s="1807"/>
      <c r="O1595" s="1807"/>
      <c r="P1595" s="1807"/>
      <c r="Q1595" s="1808"/>
      <c r="R1595" s="1807"/>
      <c r="S1595" s="1807"/>
      <c r="T1595" s="1808"/>
      <c r="U1595" s="1809"/>
      <c r="V1595" s="1809"/>
      <c r="W1595" s="1809"/>
      <c r="X1595" s="1809"/>
      <c r="Y1595" s="1809"/>
      <c r="Z1595" s="1809"/>
      <c r="AA1595" s="1809"/>
      <c r="AB1595" s="1809"/>
      <c r="AC1595" s="1809"/>
      <c r="AD1595" s="1601">
        <f t="shared" si="166"/>
        <v>0</v>
      </c>
      <c r="AE1595" s="1790">
        <v>0</v>
      </c>
      <c r="AF1595" s="1792"/>
    </row>
    <row r="1596" spans="1:32" ht="27.75" customHeight="1">
      <c r="A1596" s="1795" t="s">
        <v>3071</v>
      </c>
      <c r="B1596" s="1795" t="s">
        <v>3956</v>
      </c>
      <c r="C1596" s="1625"/>
      <c r="D1596" s="1597"/>
      <c r="E1596" s="1599"/>
      <c r="F1596" s="1583"/>
      <c r="G1596" s="1583"/>
      <c r="H1596" s="1583"/>
      <c r="I1596" s="1583"/>
      <c r="J1596" s="1583"/>
      <c r="K1596" s="1583"/>
      <c r="L1596" s="1583"/>
      <c r="M1596" s="1583"/>
      <c r="N1596" s="1583"/>
      <c r="O1596" s="1583"/>
      <c r="P1596" s="1583"/>
      <c r="Q1596" s="1604"/>
      <c r="R1596" s="1583"/>
      <c r="S1596" s="1583"/>
      <c r="T1596" s="1604"/>
      <c r="U1596" s="1585"/>
      <c r="V1596" s="1585"/>
      <c r="W1596" s="1585"/>
      <c r="X1596" s="1585"/>
      <c r="Y1596" s="1585"/>
      <c r="Z1596" s="1585"/>
      <c r="AA1596" s="1585"/>
      <c r="AB1596" s="1585"/>
      <c r="AC1596" s="1585"/>
      <c r="AD1596" s="1601">
        <f t="shared" si="166"/>
        <v>0</v>
      </c>
      <c r="AE1596" s="1790">
        <v>0</v>
      </c>
      <c r="AF1596" s="1792"/>
    </row>
    <row r="1597" spans="1:32" ht="27.75" customHeight="1">
      <c r="A1597" s="2899" t="s">
        <v>3073</v>
      </c>
      <c r="B1597" s="2901" t="s">
        <v>3957</v>
      </c>
      <c r="C1597" s="2903" t="s">
        <v>49</v>
      </c>
      <c r="D1597" s="2905">
        <v>22739.9516</v>
      </c>
      <c r="E1597" s="1810" t="s">
        <v>2496</v>
      </c>
      <c r="F1597" s="1811"/>
      <c r="G1597" s="1811"/>
      <c r="H1597" s="1811"/>
      <c r="I1597" s="1811"/>
      <c r="J1597" s="1811"/>
      <c r="K1597" s="1811"/>
      <c r="L1597" s="1811"/>
      <c r="M1597" s="1811"/>
      <c r="N1597" s="1811"/>
      <c r="O1597" s="1811"/>
      <c r="P1597" s="1811"/>
      <c r="Q1597" s="1812"/>
      <c r="R1597" s="1811"/>
      <c r="S1597" s="1811"/>
      <c r="T1597" s="1812"/>
      <c r="U1597" s="1812"/>
      <c r="V1597" s="1812"/>
      <c r="W1597" s="1812"/>
      <c r="X1597" s="1812"/>
      <c r="Y1597" s="1812"/>
      <c r="Z1597" s="1812"/>
      <c r="AA1597" s="1812"/>
      <c r="AB1597" s="1812"/>
      <c r="AC1597" s="1812">
        <v>22739.9516</v>
      </c>
      <c r="AD1597" s="1601">
        <f t="shared" si="166"/>
        <v>22739.9516</v>
      </c>
      <c r="AE1597" s="1790">
        <v>0</v>
      </c>
      <c r="AF1597" s="1792"/>
    </row>
    <row r="1598" spans="1:32" ht="27.75" customHeight="1">
      <c r="A1598" s="2900" t="s">
        <v>3073</v>
      </c>
      <c r="B1598" s="2902" t="s">
        <v>3074</v>
      </c>
      <c r="C1598" s="2904" t="s">
        <v>49</v>
      </c>
      <c r="D1598" s="2906">
        <v>22739.9516</v>
      </c>
      <c r="E1598" s="1603" t="s">
        <v>2497</v>
      </c>
      <c r="F1598" s="1583"/>
      <c r="G1598" s="1583"/>
      <c r="H1598" s="1583"/>
      <c r="I1598" s="1583"/>
      <c r="J1598" s="1583"/>
      <c r="K1598" s="1583"/>
      <c r="L1598" s="1583"/>
      <c r="M1598" s="1583"/>
      <c r="N1598" s="1583"/>
      <c r="O1598" s="1583"/>
      <c r="P1598" s="1583"/>
      <c r="Q1598" s="1604"/>
      <c r="R1598" s="1583"/>
      <c r="S1598" s="1583"/>
      <c r="T1598" s="1604"/>
      <c r="U1598" s="1592"/>
      <c r="V1598" s="1585"/>
      <c r="W1598" s="1585"/>
      <c r="X1598" s="1585"/>
      <c r="Y1598" s="1592"/>
      <c r="Z1598" s="1585"/>
      <c r="AA1598" s="1585"/>
      <c r="AB1598" s="1585"/>
      <c r="AC1598" s="1585"/>
      <c r="AD1598" s="1601">
        <f t="shared" si="166"/>
        <v>0</v>
      </c>
      <c r="AE1598" s="1790">
        <v>0</v>
      </c>
      <c r="AF1598" s="1792"/>
    </row>
    <row r="1599" spans="1:32" ht="27.75" customHeight="1">
      <c r="A1599" s="2899" t="s">
        <v>3075</v>
      </c>
      <c r="B1599" s="2901" t="s">
        <v>3958</v>
      </c>
      <c r="C1599" s="2903" t="s">
        <v>49</v>
      </c>
      <c r="D1599" s="2905">
        <v>4340.7360000000008</v>
      </c>
      <c r="E1599" s="1598" t="s">
        <v>2496</v>
      </c>
      <c r="F1599" s="1583"/>
      <c r="G1599" s="1583"/>
      <c r="H1599" s="1583"/>
      <c r="I1599" s="1583"/>
      <c r="J1599" s="1583"/>
      <c r="K1599" s="1583"/>
      <c r="L1599" s="1583"/>
      <c r="M1599" s="1583"/>
      <c r="N1599" s="1583"/>
      <c r="O1599" s="1583"/>
      <c r="P1599" s="1583"/>
      <c r="Q1599" s="1585"/>
      <c r="R1599" s="1583"/>
      <c r="S1599" s="1583"/>
      <c r="T1599" s="1585"/>
      <c r="U1599" s="1585"/>
      <c r="V1599" s="1585"/>
      <c r="W1599" s="1585"/>
      <c r="X1599" s="1585"/>
      <c r="Y1599" s="1585"/>
      <c r="Z1599" s="1585"/>
      <c r="AA1599" s="1585"/>
      <c r="AB1599" s="1812"/>
      <c r="AC1599" s="1585">
        <v>4340.7360000000008</v>
      </c>
      <c r="AD1599" s="1601">
        <f t="shared" si="166"/>
        <v>4340.7360000000008</v>
      </c>
      <c r="AE1599" s="1790">
        <v>0</v>
      </c>
      <c r="AF1599" s="1792"/>
    </row>
    <row r="1600" spans="1:32" ht="27.75" customHeight="1">
      <c r="A1600" s="2900" t="s">
        <v>3075</v>
      </c>
      <c r="B1600" s="2902" t="s">
        <v>3076</v>
      </c>
      <c r="C1600" s="2904" t="s">
        <v>49</v>
      </c>
      <c r="D1600" s="2906">
        <v>4340.7360000000008</v>
      </c>
      <c r="E1600" s="1603" t="s">
        <v>2497</v>
      </c>
      <c r="F1600" s="1583"/>
      <c r="G1600" s="1583"/>
      <c r="H1600" s="1583"/>
      <c r="I1600" s="1583"/>
      <c r="J1600" s="1583"/>
      <c r="K1600" s="1583"/>
      <c r="L1600" s="1583"/>
      <c r="M1600" s="1583"/>
      <c r="N1600" s="1583"/>
      <c r="O1600" s="1583"/>
      <c r="P1600" s="1583"/>
      <c r="Q1600" s="1604"/>
      <c r="R1600" s="1583"/>
      <c r="S1600" s="1583"/>
      <c r="T1600" s="1604"/>
      <c r="U1600" s="1585"/>
      <c r="V1600" s="1585"/>
      <c r="W1600" s="1585"/>
      <c r="X1600" s="1585"/>
      <c r="Y1600" s="1585"/>
      <c r="Z1600" s="1585"/>
      <c r="AA1600" s="1585"/>
      <c r="AB1600" s="1585"/>
      <c r="AC1600" s="1585"/>
      <c r="AD1600" s="1601">
        <f t="shared" si="166"/>
        <v>0</v>
      </c>
      <c r="AE1600" s="1790">
        <v>0</v>
      </c>
      <c r="AF1600" s="1792"/>
    </row>
    <row r="1601" spans="1:32" ht="27.75" customHeight="1">
      <c r="A1601" s="1795" t="s">
        <v>3077</v>
      </c>
      <c r="B1601" s="1795" t="s">
        <v>3959</v>
      </c>
      <c r="C1601" s="1803"/>
      <c r="D1601" s="1804"/>
      <c r="E1601" s="1813"/>
      <c r="F1601" s="1811"/>
      <c r="G1601" s="1811"/>
      <c r="H1601" s="1811"/>
      <c r="I1601" s="1811"/>
      <c r="J1601" s="1811"/>
      <c r="K1601" s="1811"/>
      <c r="L1601" s="1811"/>
      <c r="M1601" s="1811"/>
      <c r="N1601" s="1811"/>
      <c r="O1601" s="1811"/>
      <c r="P1601" s="1811"/>
      <c r="Q1601" s="1814"/>
      <c r="R1601" s="1811"/>
      <c r="S1601" s="1811"/>
      <c r="T1601" s="1814"/>
      <c r="U1601" s="1812"/>
      <c r="V1601" s="1812"/>
      <c r="W1601" s="1812"/>
      <c r="X1601" s="1812"/>
      <c r="Y1601" s="1812"/>
      <c r="Z1601" s="1812"/>
      <c r="AA1601" s="1812"/>
      <c r="AB1601" s="1812"/>
      <c r="AC1601" s="1812"/>
      <c r="AD1601" s="1601">
        <f t="shared" si="166"/>
        <v>0</v>
      </c>
      <c r="AE1601" s="1790">
        <v>0</v>
      </c>
      <c r="AF1601" s="1792"/>
    </row>
    <row r="1602" spans="1:32" ht="27.75" customHeight="1">
      <c r="A1602" s="2899" t="s">
        <v>3079</v>
      </c>
      <c r="B1602" s="2901" t="s">
        <v>3960</v>
      </c>
      <c r="C1602" s="2903" t="s">
        <v>49</v>
      </c>
      <c r="D1602" s="2905">
        <v>5863.3595999999998</v>
      </c>
      <c r="E1602" s="1810" t="s">
        <v>2496</v>
      </c>
      <c r="F1602" s="1811"/>
      <c r="G1602" s="1811"/>
      <c r="H1602" s="1811"/>
      <c r="I1602" s="1811"/>
      <c r="J1602" s="1811"/>
      <c r="K1602" s="1811"/>
      <c r="L1602" s="1811"/>
      <c r="M1602" s="1811"/>
      <c r="N1602" s="1811"/>
      <c r="O1602" s="1811"/>
      <c r="P1602" s="1811"/>
      <c r="Q1602" s="1812"/>
      <c r="R1602" s="1811"/>
      <c r="S1602" s="1811"/>
      <c r="T1602" s="1812"/>
      <c r="U1602" s="1812"/>
      <c r="V1602" s="1812"/>
      <c r="W1602" s="1812"/>
      <c r="X1602" s="1812"/>
      <c r="Y1602" s="1812"/>
      <c r="Z1602" s="1812"/>
      <c r="AA1602" s="1812"/>
      <c r="AB1602" s="1812"/>
      <c r="AC1602" s="1812">
        <v>5863.3595999999998</v>
      </c>
      <c r="AD1602" s="1601">
        <f t="shared" si="166"/>
        <v>5863.3595999999998</v>
      </c>
      <c r="AE1602" s="1790">
        <v>0</v>
      </c>
      <c r="AF1602" s="1792"/>
    </row>
    <row r="1603" spans="1:32" ht="27.75" customHeight="1">
      <c r="A1603" s="2900" t="s">
        <v>3079</v>
      </c>
      <c r="B1603" s="2902" t="s">
        <v>3080</v>
      </c>
      <c r="C1603" s="2904" t="s">
        <v>49</v>
      </c>
      <c r="D1603" s="2906">
        <v>5863.3595999999998</v>
      </c>
      <c r="E1603" s="1603" t="s">
        <v>2497</v>
      </c>
      <c r="F1603" s="1583"/>
      <c r="G1603" s="1583"/>
      <c r="H1603" s="1583"/>
      <c r="I1603" s="1583"/>
      <c r="J1603" s="1583"/>
      <c r="K1603" s="1583"/>
      <c r="L1603" s="1583"/>
      <c r="M1603" s="1583"/>
      <c r="N1603" s="1583"/>
      <c r="O1603" s="1583"/>
      <c r="P1603" s="1583"/>
      <c r="Q1603" s="1604"/>
      <c r="R1603" s="1583"/>
      <c r="S1603" s="1583"/>
      <c r="T1603" s="1604"/>
      <c r="U1603" s="1592"/>
      <c r="V1603" s="1585"/>
      <c r="W1603" s="1585"/>
      <c r="X1603" s="1585"/>
      <c r="Y1603" s="1592"/>
      <c r="Z1603" s="1585"/>
      <c r="AA1603" s="1585"/>
      <c r="AB1603" s="1585"/>
      <c r="AC1603" s="1585"/>
      <c r="AD1603" s="1601">
        <f t="shared" si="166"/>
        <v>0</v>
      </c>
      <c r="AE1603" s="1790">
        <v>0</v>
      </c>
      <c r="AF1603" s="1792"/>
    </row>
    <row r="1604" spans="1:32" ht="27.75" customHeight="1">
      <c r="A1604" s="1795" t="s">
        <v>3081</v>
      </c>
      <c r="B1604" s="1795" t="s">
        <v>3961</v>
      </c>
      <c r="C1604" s="1803"/>
      <c r="D1604" s="1804"/>
      <c r="E1604" s="1813"/>
      <c r="F1604" s="1811"/>
      <c r="G1604" s="1811"/>
      <c r="H1604" s="1811"/>
      <c r="I1604" s="1811"/>
      <c r="J1604" s="1811"/>
      <c r="K1604" s="1811"/>
      <c r="L1604" s="1811"/>
      <c r="M1604" s="1811"/>
      <c r="N1604" s="1811"/>
      <c r="O1604" s="1811"/>
      <c r="P1604" s="1811"/>
      <c r="Q1604" s="1814"/>
      <c r="R1604" s="1811"/>
      <c r="S1604" s="1811"/>
      <c r="T1604" s="1814"/>
      <c r="U1604" s="1816"/>
      <c r="V1604" s="1812"/>
      <c r="W1604" s="1812"/>
      <c r="X1604" s="1812"/>
      <c r="Y1604" s="1816"/>
      <c r="Z1604" s="1812"/>
      <c r="AA1604" s="1812"/>
      <c r="AB1604" s="1812"/>
      <c r="AC1604" s="1812"/>
      <c r="AD1604" s="1601">
        <f t="shared" si="166"/>
        <v>0</v>
      </c>
      <c r="AE1604" s="1790">
        <v>0</v>
      </c>
      <c r="AF1604" s="1792"/>
    </row>
    <row r="1605" spans="1:32" ht="27.75" customHeight="1">
      <c r="A1605" s="2899" t="s">
        <v>3083</v>
      </c>
      <c r="B1605" s="2901" t="s">
        <v>3962</v>
      </c>
      <c r="C1605" s="2903" t="s">
        <v>49</v>
      </c>
      <c r="D1605" s="2905">
        <v>1218.2786000000001</v>
      </c>
      <c r="E1605" s="1810" t="s">
        <v>2496</v>
      </c>
      <c r="F1605" s="1811"/>
      <c r="G1605" s="1811"/>
      <c r="H1605" s="1811"/>
      <c r="I1605" s="1811"/>
      <c r="J1605" s="1811"/>
      <c r="K1605" s="1811"/>
      <c r="L1605" s="1811"/>
      <c r="M1605" s="1811"/>
      <c r="N1605" s="1811"/>
      <c r="O1605" s="1811"/>
      <c r="P1605" s="1811"/>
      <c r="Q1605" s="1812"/>
      <c r="R1605" s="1811"/>
      <c r="S1605" s="1811"/>
      <c r="T1605" s="1812"/>
      <c r="U1605" s="1812"/>
      <c r="V1605" s="1812"/>
      <c r="W1605" s="1812"/>
      <c r="X1605" s="1812"/>
      <c r="Y1605" s="1812"/>
      <c r="Z1605" s="1812"/>
      <c r="AA1605" s="1812"/>
      <c r="AB1605" s="1812"/>
      <c r="AC1605" s="1812">
        <f>D1605</f>
        <v>1218.2786000000001</v>
      </c>
      <c r="AD1605" s="1601">
        <f t="shared" si="166"/>
        <v>1218.2786000000001</v>
      </c>
      <c r="AE1605" s="1790">
        <v>0</v>
      </c>
      <c r="AF1605" s="1792"/>
    </row>
    <row r="1606" spans="1:32" ht="27.75" customHeight="1">
      <c r="A1606" s="2900" t="s">
        <v>3083</v>
      </c>
      <c r="B1606" s="2902" t="s">
        <v>3084</v>
      </c>
      <c r="C1606" s="2904" t="s">
        <v>49</v>
      </c>
      <c r="D1606" s="2906">
        <v>1218.2786000000001</v>
      </c>
      <c r="E1606" s="1603" t="s">
        <v>2497</v>
      </c>
      <c r="F1606" s="1583"/>
      <c r="G1606" s="1583"/>
      <c r="H1606" s="1583"/>
      <c r="I1606" s="1583"/>
      <c r="J1606" s="1583"/>
      <c r="K1606" s="1583"/>
      <c r="L1606" s="1583"/>
      <c r="M1606" s="1583"/>
      <c r="N1606" s="1583"/>
      <c r="O1606" s="1583"/>
      <c r="P1606" s="1583"/>
      <c r="Q1606" s="1604"/>
      <c r="R1606" s="1583"/>
      <c r="S1606" s="1583"/>
      <c r="T1606" s="1604"/>
      <c r="U1606" s="1585"/>
      <c r="V1606" s="1585"/>
      <c r="W1606" s="1585"/>
      <c r="X1606" s="1585"/>
      <c r="Y1606" s="1585"/>
      <c r="Z1606" s="1585"/>
      <c r="AA1606" s="1585"/>
      <c r="AB1606" s="1585"/>
      <c r="AC1606" s="1585"/>
      <c r="AD1606" s="1601">
        <f t="shared" si="166"/>
        <v>0</v>
      </c>
      <c r="AE1606" s="1790">
        <v>0</v>
      </c>
      <c r="AF1606" s="1792"/>
    </row>
    <row r="1607" spans="1:32" ht="27.75" customHeight="1">
      <c r="A1607" s="1795" t="s">
        <v>3085</v>
      </c>
      <c r="B1607" s="1795" t="s">
        <v>3963</v>
      </c>
      <c r="C1607" s="1803"/>
      <c r="D1607" s="1804"/>
      <c r="E1607" s="1813"/>
      <c r="F1607" s="1811"/>
      <c r="G1607" s="1811"/>
      <c r="H1607" s="1811"/>
      <c r="I1607" s="1811"/>
      <c r="J1607" s="1811"/>
      <c r="K1607" s="1811"/>
      <c r="L1607" s="1811"/>
      <c r="M1607" s="1811"/>
      <c r="N1607" s="1811"/>
      <c r="O1607" s="1811"/>
      <c r="P1607" s="1811"/>
      <c r="Q1607" s="1814"/>
      <c r="R1607" s="1811"/>
      <c r="S1607" s="1811"/>
      <c r="T1607" s="1814"/>
      <c r="U1607" s="1812"/>
      <c r="V1607" s="1812"/>
      <c r="W1607" s="1812"/>
      <c r="X1607" s="1812"/>
      <c r="Y1607" s="1812"/>
      <c r="Z1607" s="1812"/>
      <c r="AA1607" s="1812"/>
      <c r="AB1607" s="1812"/>
      <c r="AC1607" s="1812"/>
      <c r="AD1607" s="1601">
        <f t="shared" si="166"/>
        <v>0</v>
      </c>
      <c r="AE1607" s="1790">
        <v>0</v>
      </c>
      <c r="AF1607" s="1792"/>
    </row>
    <row r="1608" spans="1:32" ht="27.75" customHeight="1">
      <c r="A1608" s="2899" t="s">
        <v>3087</v>
      </c>
      <c r="B1608" s="2901" t="s">
        <v>3964</v>
      </c>
      <c r="C1608" s="2903" t="s">
        <v>49</v>
      </c>
      <c r="D1608" s="2905">
        <v>3043.7349999999997</v>
      </c>
      <c r="E1608" s="1810" t="s">
        <v>2496</v>
      </c>
      <c r="F1608" s="1811"/>
      <c r="G1608" s="1811"/>
      <c r="H1608" s="1811"/>
      <c r="I1608" s="1811"/>
      <c r="J1608" s="1811"/>
      <c r="K1608" s="1811"/>
      <c r="L1608" s="1811"/>
      <c r="M1608" s="1811"/>
      <c r="N1608" s="1811"/>
      <c r="O1608" s="1811"/>
      <c r="P1608" s="1811"/>
      <c r="Q1608" s="1812"/>
      <c r="R1608" s="1811"/>
      <c r="S1608" s="1811"/>
      <c r="T1608" s="1812"/>
      <c r="U1608" s="1812"/>
      <c r="V1608" s="1812"/>
      <c r="W1608" s="1812"/>
      <c r="X1608" s="1812"/>
      <c r="Y1608" s="1812"/>
      <c r="Z1608" s="1812"/>
      <c r="AA1608" s="1812"/>
      <c r="AB1608" s="1812"/>
      <c r="AC1608" s="1812">
        <f>D1608</f>
        <v>3043.7349999999997</v>
      </c>
      <c r="AD1608" s="1601">
        <f t="shared" si="166"/>
        <v>3043.7349999999997</v>
      </c>
      <c r="AE1608" s="1790">
        <v>0</v>
      </c>
      <c r="AF1608" s="1792"/>
    </row>
    <row r="1609" spans="1:32" ht="27.75" customHeight="1">
      <c r="A1609" s="2900" t="s">
        <v>3087</v>
      </c>
      <c r="B1609" s="2902" t="s">
        <v>3088</v>
      </c>
      <c r="C1609" s="2904" t="s">
        <v>49</v>
      </c>
      <c r="D1609" s="2906">
        <v>3043.7349999999997</v>
      </c>
      <c r="E1609" s="1603" t="s">
        <v>2497</v>
      </c>
      <c r="F1609" s="1583"/>
      <c r="G1609" s="1583"/>
      <c r="H1609" s="1583"/>
      <c r="I1609" s="1583"/>
      <c r="J1609" s="1583"/>
      <c r="K1609" s="1583"/>
      <c r="L1609" s="1583"/>
      <c r="M1609" s="1583"/>
      <c r="N1609" s="1583"/>
      <c r="O1609" s="1583"/>
      <c r="P1609" s="1583"/>
      <c r="Q1609" s="1604"/>
      <c r="R1609" s="1583"/>
      <c r="S1609" s="1583"/>
      <c r="T1609" s="1604"/>
      <c r="U1609" s="1592"/>
      <c r="V1609" s="1585"/>
      <c r="W1609" s="1585"/>
      <c r="X1609" s="1585"/>
      <c r="Y1609" s="1592"/>
      <c r="Z1609" s="1585"/>
      <c r="AA1609" s="1585"/>
      <c r="AB1609" s="1585"/>
      <c r="AC1609" s="1585"/>
      <c r="AD1609" s="1601">
        <f t="shared" si="166"/>
        <v>0</v>
      </c>
      <c r="AE1609" s="1790">
        <v>0</v>
      </c>
      <c r="AF1609" s="1792"/>
    </row>
    <row r="1610" spans="1:32" ht="27.75" customHeight="1">
      <c r="A1610" s="1647" t="s">
        <v>3089</v>
      </c>
      <c r="B1610" s="1647" t="s">
        <v>3965</v>
      </c>
      <c r="C1610" s="1625"/>
      <c r="D1610" s="1597"/>
      <c r="E1610" s="1599"/>
      <c r="F1610" s="1583"/>
      <c r="G1610" s="1583"/>
      <c r="H1610" s="1583"/>
      <c r="I1610" s="1583"/>
      <c r="J1610" s="1583"/>
      <c r="K1610" s="1583"/>
      <c r="L1610" s="1583"/>
      <c r="M1610" s="1583"/>
      <c r="N1610" s="1583"/>
      <c r="O1610" s="1583"/>
      <c r="P1610" s="1583"/>
      <c r="Q1610" s="1604"/>
      <c r="R1610" s="1583"/>
      <c r="S1610" s="1583"/>
      <c r="T1610" s="1604"/>
      <c r="U1610" s="1592"/>
      <c r="V1610" s="1585"/>
      <c r="W1610" s="1585"/>
      <c r="X1610" s="1585"/>
      <c r="Y1610" s="1592"/>
      <c r="Z1610" s="1585"/>
      <c r="AA1610" s="1585"/>
      <c r="AB1610" s="1585"/>
      <c r="AC1610" s="1585"/>
      <c r="AD1610" s="1601">
        <f t="shared" si="166"/>
        <v>0</v>
      </c>
      <c r="AE1610" s="1790">
        <v>0</v>
      </c>
      <c r="AF1610" s="1792"/>
    </row>
    <row r="1611" spans="1:32" ht="27.75" customHeight="1">
      <c r="A1611" s="1795" t="s">
        <v>3091</v>
      </c>
      <c r="B1611" s="1795" t="s">
        <v>3966</v>
      </c>
      <c r="C1611" s="1625"/>
      <c r="D1611" s="1597"/>
      <c r="E1611" s="1599"/>
      <c r="F1611" s="1583"/>
      <c r="G1611" s="1583"/>
      <c r="H1611" s="1583"/>
      <c r="I1611" s="1583"/>
      <c r="J1611" s="1583"/>
      <c r="K1611" s="1583"/>
      <c r="L1611" s="1583"/>
      <c r="M1611" s="1583"/>
      <c r="N1611" s="1583"/>
      <c r="O1611" s="1583"/>
      <c r="P1611" s="1583"/>
      <c r="Q1611" s="1604"/>
      <c r="R1611" s="1583"/>
      <c r="S1611" s="1583"/>
      <c r="T1611" s="1604"/>
      <c r="U1611" s="1592"/>
      <c r="V1611" s="1585"/>
      <c r="W1611" s="1585"/>
      <c r="X1611" s="1585"/>
      <c r="Y1611" s="1592"/>
      <c r="Z1611" s="1585"/>
      <c r="AA1611" s="1585"/>
      <c r="AB1611" s="1585"/>
      <c r="AC1611" s="1585"/>
      <c r="AD1611" s="1601">
        <f t="shared" si="166"/>
        <v>0</v>
      </c>
      <c r="AE1611" s="1790">
        <v>0</v>
      </c>
      <c r="AF1611" s="1792"/>
    </row>
    <row r="1612" spans="1:32" ht="27.75" customHeight="1">
      <c r="A1612" s="2899" t="s">
        <v>3093</v>
      </c>
      <c r="B1612" s="2901" t="s">
        <v>3967</v>
      </c>
      <c r="C1612" s="2903" t="s">
        <v>49</v>
      </c>
      <c r="D1612" s="2905">
        <v>27638.782800000001</v>
      </c>
      <c r="E1612" s="1598" t="s">
        <v>2496</v>
      </c>
      <c r="F1612" s="1583"/>
      <c r="G1612" s="1583"/>
      <c r="H1612" s="1583"/>
      <c r="I1612" s="1583"/>
      <c r="J1612" s="1583"/>
      <c r="K1612" s="1583"/>
      <c r="L1612" s="1583"/>
      <c r="M1612" s="1583"/>
      <c r="N1612" s="1583"/>
      <c r="O1612" s="1583"/>
      <c r="P1612" s="1583"/>
      <c r="Q1612" s="1585"/>
      <c r="R1612" s="1583"/>
      <c r="S1612" s="1583"/>
      <c r="T1612" s="1585"/>
      <c r="U1612" s="1585"/>
      <c r="V1612" s="1585"/>
      <c r="W1612" s="1585"/>
      <c r="X1612" s="1585"/>
      <c r="Y1612" s="1585"/>
      <c r="Z1612" s="1585"/>
      <c r="AA1612" s="1585"/>
      <c r="AB1612" s="1585"/>
      <c r="AC1612" s="1812">
        <f>D1612</f>
        <v>27638.782800000001</v>
      </c>
      <c r="AD1612" s="1601">
        <f t="shared" si="166"/>
        <v>27638.782800000001</v>
      </c>
      <c r="AE1612" s="1790">
        <v>0</v>
      </c>
      <c r="AF1612" s="1792"/>
    </row>
    <row r="1613" spans="1:32" ht="27.75" customHeight="1">
      <c r="A1613" s="2900" t="s">
        <v>3093</v>
      </c>
      <c r="B1613" s="2902" t="s">
        <v>3094</v>
      </c>
      <c r="C1613" s="2904" t="s">
        <v>49</v>
      </c>
      <c r="D1613" s="2906">
        <v>27638.782800000001</v>
      </c>
      <c r="E1613" s="1603" t="s">
        <v>2497</v>
      </c>
      <c r="F1613" s="1583"/>
      <c r="G1613" s="1583"/>
      <c r="H1613" s="1583"/>
      <c r="I1613" s="1583"/>
      <c r="J1613" s="1583"/>
      <c r="K1613" s="1583"/>
      <c r="L1613" s="1583"/>
      <c r="M1613" s="1583"/>
      <c r="N1613" s="1583"/>
      <c r="O1613" s="1583"/>
      <c r="P1613" s="1583"/>
      <c r="Q1613" s="1604"/>
      <c r="R1613" s="1583"/>
      <c r="S1613" s="1583"/>
      <c r="T1613" s="1604"/>
      <c r="U1613" s="1585"/>
      <c r="V1613" s="1585"/>
      <c r="W1613" s="1585"/>
      <c r="X1613" s="1585"/>
      <c r="Y1613" s="1585"/>
      <c r="Z1613" s="1585"/>
      <c r="AA1613" s="1585"/>
      <c r="AB1613" s="1585"/>
      <c r="AC1613" s="1585"/>
      <c r="AD1613" s="1601">
        <f t="shared" si="166"/>
        <v>0</v>
      </c>
      <c r="AE1613" s="1790">
        <v>0</v>
      </c>
      <c r="AF1613" s="1792"/>
    </row>
    <row r="1614" spans="1:32" ht="27.75" customHeight="1">
      <c r="A1614" s="2899" t="s">
        <v>3095</v>
      </c>
      <c r="B1614" s="2901" t="s">
        <v>3968</v>
      </c>
      <c r="C1614" s="2903" t="s">
        <v>49</v>
      </c>
      <c r="D1614" s="2905">
        <v>13760</v>
      </c>
      <c r="E1614" s="1810" t="s">
        <v>2496</v>
      </c>
      <c r="F1614" s="1811"/>
      <c r="G1614" s="1811"/>
      <c r="H1614" s="1811"/>
      <c r="I1614" s="1811"/>
      <c r="J1614" s="1811"/>
      <c r="K1614" s="1811"/>
      <c r="L1614" s="1811"/>
      <c r="M1614" s="1811"/>
      <c r="N1614" s="1811"/>
      <c r="O1614" s="1811"/>
      <c r="P1614" s="1811"/>
      <c r="Q1614" s="1812"/>
      <c r="R1614" s="1811"/>
      <c r="S1614" s="1811"/>
      <c r="T1614" s="1812"/>
      <c r="U1614" s="1812"/>
      <c r="V1614" s="1812"/>
      <c r="W1614" s="1812"/>
      <c r="X1614" s="1812"/>
      <c r="Y1614" s="1812"/>
      <c r="Z1614" s="1812">
        <f>D1614</f>
        <v>13760</v>
      </c>
      <c r="AA1614" s="1812"/>
      <c r="AB1614" s="1812"/>
      <c r="AC1614" s="1812"/>
      <c r="AD1614" s="1601">
        <f t="shared" si="166"/>
        <v>13760</v>
      </c>
      <c r="AE1614" s="1790">
        <v>0</v>
      </c>
      <c r="AF1614" s="1792"/>
    </row>
    <row r="1615" spans="1:32" ht="27.75" customHeight="1">
      <c r="A1615" s="2900" t="s">
        <v>3095</v>
      </c>
      <c r="B1615" s="2902" t="s">
        <v>3096</v>
      </c>
      <c r="C1615" s="2904" t="s">
        <v>49</v>
      </c>
      <c r="D1615" s="2906">
        <v>13760</v>
      </c>
      <c r="E1615" s="1603" t="s">
        <v>2497</v>
      </c>
      <c r="F1615" s="1583"/>
      <c r="G1615" s="1583"/>
      <c r="H1615" s="1583"/>
      <c r="I1615" s="1583"/>
      <c r="J1615" s="1583"/>
      <c r="K1615" s="1583"/>
      <c r="L1615" s="1583"/>
      <c r="M1615" s="1583"/>
      <c r="N1615" s="1583"/>
      <c r="O1615" s="1583"/>
      <c r="P1615" s="1583"/>
      <c r="Q1615" s="1604"/>
      <c r="R1615" s="1583"/>
      <c r="S1615" s="1583"/>
      <c r="T1615" s="1604"/>
      <c r="U1615" s="1592"/>
      <c r="V1615" s="1585"/>
      <c r="W1615" s="1585"/>
      <c r="X1615" s="1585"/>
      <c r="Y1615" s="1592"/>
      <c r="Z1615" s="1585"/>
      <c r="AA1615" s="1585"/>
      <c r="AB1615" s="1585"/>
      <c r="AC1615" s="1585"/>
      <c r="AD1615" s="1601">
        <f t="shared" si="166"/>
        <v>0</v>
      </c>
      <c r="AE1615" s="1790">
        <v>0</v>
      </c>
      <c r="AF1615" s="1792"/>
    </row>
    <row r="1616" spans="1:32" ht="27.75" customHeight="1">
      <c r="A1616" s="1795" t="s">
        <v>3097</v>
      </c>
      <c r="B1616" s="1795" t="s">
        <v>3969</v>
      </c>
      <c r="C1616" s="1803"/>
      <c r="D1616" s="1804"/>
      <c r="E1616" s="1813"/>
      <c r="F1616" s="1811"/>
      <c r="G1616" s="1811"/>
      <c r="H1616" s="1811"/>
      <c r="I1616" s="1811"/>
      <c r="J1616" s="1811"/>
      <c r="K1616" s="1811"/>
      <c r="L1616" s="1811"/>
      <c r="M1616" s="1811"/>
      <c r="N1616" s="1811"/>
      <c r="O1616" s="1811"/>
      <c r="P1616" s="1811"/>
      <c r="Q1616" s="1814"/>
      <c r="R1616" s="1811"/>
      <c r="S1616" s="1811"/>
      <c r="T1616" s="1814"/>
      <c r="U1616" s="1816"/>
      <c r="V1616" s="1812"/>
      <c r="W1616" s="1812"/>
      <c r="X1616" s="1812"/>
      <c r="Y1616" s="1816"/>
      <c r="Z1616" s="1812"/>
      <c r="AA1616" s="1812"/>
      <c r="AB1616" s="1812"/>
      <c r="AC1616" s="1812"/>
      <c r="AD1616" s="1601">
        <f t="shared" si="166"/>
        <v>0</v>
      </c>
      <c r="AE1616" s="1790">
        <v>0</v>
      </c>
      <c r="AF1616" s="1792"/>
    </row>
    <row r="1617" spans="1:32" ht="27.75" customHeight="1">
      <c r="A1617" s="2899" t="s">
        <v>3099</v>
      </c>
      <c r="B1617" s="2901" t="s">
        <v>3970</v>
      </c>
      <c r="C1617" s="2903" t="s">
        <v>52</v>
      </c>
      <c r="D1617" s="2905">
        <v>1440</v>
      </c>
      <c r="E1617" s="1810" t="s">
        <v>2496</v>
      </c>
      <c r="F1617" s="1811"/>
      <c r="G1617" s="1811"/>
      <c r="H1617" s="1811"/>
      <c r="I1617" s="1811"/>
      <c r="J1617" s="1811"/>
      <c r="K1617" s="1811"/>
      <c r="L1617" s="1811"/>
      <c r="M1617" s="1811"/>
      <c r="N1617" s="1811"/>
      <c r="O1617" s="1811"/>
      <c r="P1617" s="1811"/>
      <c r="Q1617" s="1812"/>
      <c r="R1617" s="1811"/>
      <c r="S1617" s="1811"/>
      <c r="T1617" s="1812"/>
      <c r="U1617" s="1812"/>
      <c r="V1617" s="1812"/>
      <c r="W1617" s="1812"/>
      <c r="X1617" s="1812"/>
      <c r="Y1617" s="1812"/>
      <c r="Z1617" s="1812"/>
      <c r="AA1617" s="1812">
        <f>D1617</f>
        <v>1440</v>
      </c>
      <c r="AB1617" s="1812"/>
      <c r="AC1617" s="1812"/>
      <c r="AD1617" s="1601">
        <f t="shared" ref="AD1617:AD1680" si="167">SUM(F1617:AC1617)</f>
        <v>1440</v>
      </c>
      <c r="AE1617" s="1790">
        <v>0</v>
      </c>
      <c r="AF1617" s="1792"/>
    </row>
    <row r="1618" spans="1:32" ht="27.75" customHeight="1">
      <c r="A1618" s="2900" t="s">
        <v>3099</v>
      </c>
      <c r="B1618" s="2902" t="s">
        <v>3100</v>
      </c>
      <c r="C1618" s="2904" t="s">
        <v>52</v>
      </c>
      <c r="D1618" s="2906">
        <v>1440</v>
      </c>
      <c r="E1618" s="1603" t="s">
        <v>2497</v>
      </c>
      <c r="F1618" s="1583"/>
      <c r="G1618" s="1583"/>
      <c r="H1618" s="1583"/>
      <c r="I1618" s="1583"/>
      <c r="J1618" s="1583"/>
      <c r="K1618" s="1583"/>
      <c r="L1618" s="1583"/>
      <c r="M1618" s="1583"/>
      <c r="N1618" s="1583"/>
      <c r="O1618" s="1583"/>
      <c r="P1618" s="1583"/>
      <c r="Q1618" s="1604"/>
      <c r="R1618" s="1583"/>
      <c r="S1618" s="1583"/>
      <c r="T1618" s="1604"/>
      <c r="U1618" s="1585"/>
      <c r="V1618" s="1585"/>
      <c r="W1618" s="1585"/>
      <c r="X1618" s="1585"/>
      <c r="Y1618" s="1585"/>
      <c r="Z1618" s="1585"/>
      <c r="AA1618" s="1585"/>
      <c r="AB1618" s="1585"/>
      <c r="AC1618" s="1585"/>
      <c r="AD1618" s="1601">
        <f t="shared" si="167"/>
        <v>0</v>
      </c>
      <c r="AE1618" s="1790">
        <v>0</v>
      </c>
      <c r="AF1618" s="1792"/>
    </row>
    <row r="1619" spans="1:32" ht="27.75" customHeight="1">
      <c r="A1619" s="2899" t="s">
        <v>3101</v>
      </c>
      <c r="B1619" s="2901" t="s">
        <v>3971</v>
      </c>
      <c r="C1619" s="2903" t="s">
        <v>52</v>
      </c>
      <c r="D1619" s="2905">
        <v>2250</v>
      </c>
      <c r="E1619" s="1810" t="s">
        <v>2496</v>
      </c>
      <c r="F1619" s="1811"/>
      <c r="G1619" s="1811"/>
      <c r="H1619" s="1811"/>
      <c r="I1619" s="1811"/>
      <c r="J1619" s="1811"/>
      <c r="K1619" s="1811"/>
      <c r="L1619" s="1811"/>
      <c r="M1619" s="1811"/>
      <c r="N1619" s="1811"/>
      <c r="O1619" s="1811"/>
      <c r="P1619" s="1811"/>
      <c r="Q1619" s="1812"/>
      <c r="R1619" s="1811"/>
      <c r="S1619" s="1811"/>
      <c r="T1619" s="1812"/>
      <c r="U1619" s="1812"/>
      <c r="V1619" s="1812"/>
      <c r="W1619" s="1812"/>
      <c r="X1619" s="1812"/>
      <c r="Y1619" s="1812"/>
      <c r="Z1619" s="1812"/>
      <c r="AA1619" s="1812">
        <f>D1619</f>
        <v>2250</v>
      </c>
      <c r="AB1619" s="1812"/>
      <c r="AC1619" s="1812"/>
      <c r="AD1619" s="1601">
        <f t="shared" si="167"/>
        <v>2250</v>
      </c>
      <c r="AE1619" s="1790">
        <v>0</v>
      </c>
      <c r="AF1619" s="1792"/>
    </row>
    <row r="1620" spans="1:32" ht="27.75" customHeight="1">
      <c r="A1620" s="2900" t="s">
        <v>3101</v>
      </c>
      <c r="B1620" s="2902" t="s">
        <v>3102</v>
      </c>
      <c r="C1620" s="2904" t="s">
        <v>52</v>
      </c>
      <c r="D1620" s="2906">
        <v>2250</v>
      </c>
      <c r="E1620" s="1603" t="s">
        <v>2497</v>
      </c>
      <c r="F1620" s="1583"/>
      <c r="G1620" s="1583"/>
      <c r="H1620" s="1583"/>
      <c r="I1620" s="1583"/>
      <c r="J1620" s="1583"/>
      <c r="K1620" s="1583"/>
      <c r="L1620" s="1583"/>
      <c r="M1620" s="1583"/>
      <c r="N1620" s="1583"/>
      <c r="O1620" s="1583"/>
      <c r="P1620" s="1583"/>
      <c r="Q1620" s="1604"/>
      <c r="R1620" s="1583"/>
      <c r="S1620" s="1583"/>
      <c r="T1620" s="1604"/>
      <c r="U1620" s="1592"/>
      <c r="V1620" s="1585"/>
      <c r="W1620" s="1585"/>
      <c r="X1620" s="1585"/>
      <c r="Y1620" s="1592"/>
      <c r="Z1620" s="1585"/>
      <c r="AA1620" s="1585"/>
      <c r="AB1620" s="1585"/>
      <c r="AC1620" s="1585"/>
      <c r="AD1620" s="1601">
        <f t="shared" si="167"/>
        <v>0</v>
      </c>
      <c r="AE1620" s="1790">
        <v>0</v>
      </c>
      <c r="AF1620" s="1792"/>
    </row>
    <row r="1621" spans="1:32" ht="27.75" customHeight="1">
      <c r="A1621" s="2899" t="s">
        <v>3103</v>
      </c>
      <c r="B1621" s="2901" t="s">
        <v>3972</v>
      </c>
      <c r="C1621" s="2903" t="s">
        <v>52</v>
      </c>
      <c r="D1621" s="2905">
        <v>1080</v>
      </c>
      <c r="E1621" s="1598" t="s">
        <v>2496</v>
      </c>
      <c r="F1621" s="1583"/>
      <c r="G1621" s="1583"/>
      <c r="H1621" s="1583"/>
      <c r="I1621" s="1583"/>
      <c r="J1621" s="1583"/>
      <c r="K1621" s="1583"/>
      <c r="L1621" s="1583"/>
      <c r="M1621" s="1583"/>
      <c r="N1621" s="1583"/>
      <c r="O1621" s="1583"/>
      <c r="P1621" s="1583"/>
      <c r="Q1621" s="1585"/>
      <c r="R1621" s="1583"/>
      <c r="S1621" s="1583"/>
      <c r="T1621" s="1585"/>
      <c r="U1621" s="1585"/>
      <c r="V1621" s="1585"/>
      <c r="W1621" s="1585"/>
      <c r="X1621" s="1585"/>
      <c r="Y1621" s="1585"/>
      <c r="Z1621" s="1585"/>
      <c r="AA1621" s="1812">
        <f>D1621</f>
        <v>1080</v>
      </c>
      <c r="AB1621" s="1585"/>
      <c r="AC1621" s="1585"/>
      <c r="AD1621" s="1601">
        <f t="shared" si="167"/>
        <v>1080</v>
      </c>
      <c r="AE1621" s="1790">
        <v>0</v>
      </c>
      <c r="AF1621" s="1792"/>
    </row>
    <row r="1622" spans="1:32" ht="27.75" customHeight="1">
      <c r="A1622" s="2900" t="s">
        <v>3103</v>
      </c>
      <c r="B1622" s="2902" t="s">
        <v>3104</v>
      </c>
      <c r="C1622" s="2904" t="s">
        <v>52</v>
      </c>
      <c r="D1622" s="2906">
        <v>1080</v>
      </c>
      <c r="E1622" s="1603" t="s">
        <v>2497</v>
      </c>
      <c r="F1622" s="1583"/>
      <c r="G1622" s="1583"/>
      <c r="H1622" s="1583"/>
      <c r="I1622" s="1583"/>
      <c r="J1622" s="1583"/>
      <c r="K1622" s="1583"/>
      <c r="L1622" s="1583"/>
      <c r="M1622" s="1583"/>
      <c r="N1622" s="1583"/>
      <c r="O1622" s="1583"/>
      <c r="P1622" s="1583"/>
      <c r="Q1622" s="1604"/>
      <c r="R1622" s="1583"/>
      <c r="S1622" s="1583"/>
      <c r="T1622" s="1604"/>
      <c r="U1622" s="1585"/>
      <c r="V1622" s="1585"/>
      <c r="W1622" s="1585"/>
      <c r="X1622" s="1585"/>
      <c r="Y1622" s="1585"/>
      <c r="Z1622" s="1585"/>
      <c r="AA1622" s="1585"/>
      <c r="AB1622" s="1585"/>
      <c r="AC1622" s="1585"/>
      <c r="AD1622" s="1601">
        <f t="shared" si="167"/>
        <v>0</v>
      </c>
      <c r="AE1622" s="1790">
        <v>0</v>
      </c>
      <c r="AF1622" s="1792"/>
    </row>
    <row r="1623" spans="1:32" ht="27.75" customHeight="1">
      <c r="A1623" s="2899" t="s">
        <v>3105</v>
      </c>
      <c r="B1623" s="2901" t="s">
        <v>3973</v>
      </c>
      <c r="C1623" s="2903" t="s">
        <v>52</v>
      </c>
      <c r="D1623" s="2905">
        <v>1260</v>
      </c>
      <c r="E1623" s="1810" t="s">
        <v>2496</v>
      </c>
      <c r="F1623" s="1811"/>
      <c r="G1623" s="1811"/>
      <c r="H1623" s="1811"/>
      <c r="I1623" s="1811"/>
      <c r="J1623" s="1811"/>
      <c r="K1623" s="1811"/>
      <c r="L1623" s="1811"/>
      <c r="M1623" s="1811"/>
      <c r="N1623" s="1811"/>
      <c r="O1623" s="1811"/>
      <c r="P1623" s="1811"/>
      <c r="Q1623" s="1812"/>
      <c r="R1623" s="1811"/>
      <c r="S1623" s="1811"/>
      <c r="T1623" s="1812"/>
      <c r="U1623" s="1812"/>
      <c r="V1623" s="1812"/>
      <c r="W1623" s="1812"/>
      <c r="X1623" s="1812"/>
      <c r="Y1623" s="1812"/>
      <c r="Z1623" s="1812"/>
      <c r="AA1623" s="1812">
        <f>D1623</f>
        <v>1260</v>
      </c>
      <c r="AB1623" s="1812"/>
      <c r="AC1623" s="1812"/>
      <c r="AD1623" s="1601">
        <f t="shared" si="167"/>
        <v>1260</v>
      </c>
      <c r="AE1623" s="1790">
        <v>0</v>
      </c>
      <c r="AF1623" s="1792"/>
    </row>
    <row r="1624" spans="1:32" ht="27.75" customHeight="1">
      <c r="A1624" s="2900" t="s">
        <v>3105</v>
      </c>
      <c r="B1624" s="2902" t="s">
        <v>3106</v>
      </c>
      <c r="C1624" s="2904" t="s">
        <v>52</v>
      </c>
      <c r="D1624" s="2906">
        <v>1260</v>
      </c>
      <c r="E1624" s="1603" t="s">
        <v>2497</v>
      </c>
      <c r="F1624" s="1583"/>
      <c r="G1624" s="1583"/>
      <c r="H1624" s="1583"/>
      <c r="I1624" s="1583"/>
      <c r="J1624" s="1583"/>
      <c r="K1624" s="1583"/>
      <c r="L1624" s="1583"/>
      <c r="M1624" s="1583"/>
      <c r="N1624" s="1583"/>
      <c r="O1624" s="1583"/>
      <c r="P1624" s="1583"/>
      <c r="Q1624" s="1604"/>
      <c r="R1624" s="1583"/>
      <c r="S1624" s="1583"/>
      <c r="T1624" s="1604"/>
      <c r="U1624" s="1592"/>
      <c r="V1624" s="1585"/>
      <c r="W1624" s="1585"/>
      <c r="X1624" s="1585"/>
      <c r="Y1624" s="1592"/>
      <c r="Z1624" s="1585"/>
      <c r="AA1624" s="1585"/>
      <c r="AB1624" s="1585"/>
      <c r="AC1624" s="1585"/>
      <c r="AD1624" s="1601">
        <f t="shared" si="167"/>
        <v>0</v>
      </c>
      <c r="AE1624" s="1790">
        <v>0</v>
      </c>
      <c r="AF1624" s="1792"/>
    </row>
    <row r="1625" spans="1:32" ht="27.75" customHeight="1">
      <c r="A1625" s="2899" t="s">
        <v>3107</v>
      </c>
      <c r="B1625" s="2901" t="s">
        <v>3974</v>
      </c>
      <c r="C1625" s="2903" t="s">
        <v>52</v>
      </c>
      <c r="D1625" s="2905">
        <v>2079</v>
      </c>
      <c r="E1625" s="1810" t="s">
        <v>2496</v>
      </c>
      <c r="F1625" s="1811"/>
      <c r="G1625" s="1811"/>
      <c r="H1625" s="1811"/>
      <c r="I1625" s="1811"/>
      <c r="J1625" s="1811"/>
      <c r="K1625" s="1811"/>
      <c r="L1625" s="1811"/>
      <c r="M1625" s="1811"/>
      <c r="N1625" s="1811"/>
      <c r="O1625" s="1811"/>
      <c r="P1625" s="1811"/>
      <c r="Q1625" s="1812"/>
      <c r="R1625" s="1811"/>
      <c r="S1625" s="1811"/>
      <c r="T1625" s="1812"/>
      <c r="U1625" s="1812"/>
      <c r="V1625" s="1812"/>
      <c r="W1625" s="1812"/>
      <c r="X1625" s="1812"/>
      <c r="Y1625" s="1812"/>
      <c r="Z1625" s="1812"/>
      <c r="AA1625" s="1812">
        <f>D1625</f>
        <v>2079</v>
      </c>
      <c r="AB1625" s="1812"/>
      <c r="AC1625" s="1812"/>
      <c r="AD1625" s="1601">
        <f t="shared" si="167"/>
        <v>2079</v>
      </c>
      <c r="AE1625" s="1790">
        <v>0</v>
      </c>
      <c r="AF1625" s="1792"/>
    </row>
    <row r="1626" spans="1:32" ht="27.75" customHeight="1">
      <c r="A1626" s="2900" t="s">
        <v>3107</v>
      </c>
      <c r="B1626" s="2902" t="s">
        <v>3108</v>
      </c>
      <c r="C1626" s="2904" t="s">
        <v>52</v>
      </c>
      <c r="D1626" s="2906">
        <v>2079</v>
      </c>
      <c r="E1626" s="1603" t="s">
        <v>2497</v>
      </c>
      <c r="F1626" s="1583"/>
      <c r="G1626" s="1583"/>
      <c r="H1626" s="1583"/>
      <c r="I1626" s="1583"/>
      <c r="J1626" s="1583"/>
      <c r="K1626" s="1583"/>
      <c r="L1626" s="1583"/>
      <c r="M1626" s="1583"/>
      <c r="N1626" s="1583"/>
      <c r="O1626" s="1583"/>
      <c r="P1626" s="1583"/>
      <c r="Q1626" s="1604"/>
      <c r="R1626" s="1583"/>
      <c r="S1626" s="1583"/>
      <c r="T1626" s="1604"/>
      <c r="U1626" s="1585"/>
      <c r="V1626" s="1585"/>
      <c r="W1626" s="1585"/>
      <c r="X1626" s="1585"/>
      <c r="Y1626" s="1585"/>
      <c r="Z1626" s="1585"/>
      <c r="AA1626" s="1585"/>
      <c r="AB1626" s="1585"/>
      <c r="AC1626" s="1585"/>
      <c r="AD1626" s="1601">
        <f t="shared" si="167"/>
        <v>0</v>
      </c>
      <c r="AE1626" s="1790">
        <v>0</v>
      </c>
      <c r="AF1626" s="1792"/>
    </row>
    <row r="1627" spans="1:32" ht="27.75" customHeight="1">
      <c r="A1627" s="2899" t="s">
        <v>3109</v>
      </c>
      <c r="B1627" s="2901" t="s">
        <v>3975</v>
      </c>
      <c r="C1627" s="2903" t="s">
        <v>52</v>
      </c>
      <c r="D1627" s="2905">
        <v>150</v>
      </c>
      <c r="E1627" s="1810" t="s">
        <v>2496</v>
      </c>
      <c r="F1627" s="1811"/>
      <c r="G1627" s="1811"/>
      <c r="H1627" s="1811"/>
      <c r="I1627" s="1811"/>
      <c r="J1627" s="1811"/>
      <c r="K1627" s="1811"/>
      <c r="L1627" s="1811"/>
      <c r="M1627" s="1811"/>
      <c r="N1627" s="1811"/>
      <c r="O1627" s="1811"/>
      <c r="P1627" s="1811"/>
      <c r="Q1627" s="1812"/>
      <c r="R1627" s="1811"/>
      <c r="S1627" s="1811"/>
      <c r="T1627" s="1812"/>
      <c r="U1627" s="1812"/>
      <c r="V1627" s="1812"/>
      <c r="W1627" s="1812"/>
      <c r="X1627" s="1812"/>
      <c r="Y1627" s="1812"/>
      <c r="Z1627" s="1812"/>
      <c r="AA1627" s="1812">
        <f>D1627</f>
        <v>150</v>
      </c>
      <c r="AB1627" s="1812"/>
      <c r="AC1627" s="1812"/>
      <c r="AD1627" s="1601">
        <f t="shared" si="167"/>
        <v>150</v>
      </c>
      <c r="AE1627" s="1790">
        <v>0</v>
      </c>
      <c r="AF1627" s="1792"/>
    </row>
    <row r="1628" spans="1:32" ht="27.75" customHeight="1">
      <c r="A1628" s="2900" t="s">
        <v>3109</v>
      </c>
      <c r="B1628" s="2902" t="s">
        <v>3110</v>
      </c>
      <c r="C1628" s="2904" t="s">
        <v>52</v>
      </c>
      <c r="D1628" s="2906">
        <v>150</v>
      </c>
      <c r="E1628" s="1603" t="s">
        <v>2497</v>
      </c>
      <c r="F1628" s="1583"/>
      <c r="G1628" s="1583"/>
      <c r="H1628" s="1583"/>
      <c r="I1628" s="1583"/>
      <c r="J1628" s="1583"/>
      <c r="K1628" s="1583"/>
      <c r="L1628" s="1583"/>
      <c r="M1628" s="1583"/>
      <c r="N1628" s="1583"/>
      <c r="O1628" s="1583"/>
      <c r="P1628" s="1583"/>
      <c r="Q1628" s="1604"/>
      <c r="R1628" s="1583"/>
      <c r="S1628" s="1583"/>
      <c r="T1628" s="1604"/>
      <c r="U1628" s="1592"/>
      <c r="V1628" s="1585"/>
      <c r="W1628" s="1585"/>
      <c r="X1628" s="1585"/>
      <c r="Y1628" s="1592"/>
      <c r="Z1628" s="1585"/>
      <c r="AA1628" s="1585"/>
      <c r="AB1628" s="1585"/>
      <c r="AC1628" s="1585"/>
      <c r="AD1628" s="1601">
        <f t="shared" si="167"/>
        <v>0</v>
      </c>
      <c r="AE1628" s="1790">
        <v>0</v>
      </c>
      <c r="AF1628" s="1792"/>
    </row>
    <row r="1629" spans="1:32" ht="27.75" customHeight="1">
      <c r="A1629" s="2899" t="s">
        <v>3111</v>
      </c>
      <c r="B1629" s="2901" t="s">
        <v>3976</v>
      </c>
      <c r="C1629" s="2903" t="s">
        <v>52</v>
      </c>
      <c r="D1629" s="2905">
        <v>210</v>
      </c>
      <c r="E1629" s="1598" t="s">
        <v>2496</v>
      </c>
      <c r="F1629" s="1583"/>
      <c r="G1629" s="1583"/>
      <c r="H1629" s="1583"/>
      <c r="I1629" s="1583"/>
      <c r="J1629" s="1583"/>
      <c r="K1629" s="1583"/>
      <c r="L1629" s="1583"/>
      <c r="M1629" s="1583"/>
      <c r="N1629" s="1583"/>
      <c r="O1629" s="1583"/>
      <c r="P1629" s="1583"/>
      <c r="Q1629" s="1585"/>
      <c r="R1629" s="1583"/>
      <c r="S1629" s="1583"/>
      <c r="T1629" s="1585"/>
      <c r="U1629" s="1585"/>
      <c r="V1629" s="1585"/>
      <c r="W1629" s="1585"/>
      <c r="X1629" s="1585"/>
      <c r="Y1629" s="1585"/>
      <c r="Z1629" s="1585"/>
      <c r="AA1629" s="1812">
        <f>D1629</f>
        <v>210</v>
      </c>
      <c r="AB1629" s="1585"/>
      <c r="AC1629" s="1585"/>
      <c r="AD1629" s="1601">
        <f t="shared" si="167"/>
        <v>210</v>
      </c>
      <c r="AE1629" s="1790">
        <v>0</v>
      </c>
      <c r="AF1629" s="1792"/>
    </row>
    <row r="1630" spans="1:32" ht="27.75" customHeight="1">
      <c r="A1630" s="2900" t="s">
        <v>3111</v>
      </c>
      <c r="B1630" s="2902" t="s">
        <v>3112</v>
      </c>
      <c r="C1630" s="2904" t="s">
        <v>52</v>
      </c>
      <c r="D1630" s="2906">
        <v>210</v>
      </c>
      <c r="E1630" s="1603" t="s">
        <v>2497</v>
      </c>
      <c r="F1630" s="1583"/>
      <c r="G1630" s="1583"/>
      <c r="H1630" s="1583"/>
      <c r="I1630" s="1583"/>
      <c r="J1630" s="1583"/>
      <c r="K1630" s="1583"/>
      <c r="L1630" s="1583"/>
      <c r="M1630" s="1583"/>
      <c r="N1630" s="1583"/>
      <c r="O1630" s="1583"/>
      <c r="P1630" s="1583"/>
      <c r="Q1630" s="1604"/>
      <c r="R1630" s="1583"/>
      <c r="S1630" s="1583"/>
      <c r="T1630" s="1604"/>
      <c r="U1630" s="1585"/>
      <c r="V1630" s="1585"/>
      <c r="W1630" s="1585"/>
      <c r="X1630" s="1585"/>
      <c r="Y1630" s="1585"/>
      <c r="Z1630" s="1585"/>
      <c r="AA1630" s="1585"/>
      <c r="AB1630" s="1585"/>
      <c r="AC1630" s="1585"/>
      <c r="AD1630" s="1601">
        <f t="shared" si="167"/>
        <v>0</v>
      </c>
      <c r="AE1630" s="1790">
        <v>0</v>
      </c>
      <c r="AF1630" s="1792"/>
    </row>
    <row r="1631" spans="1:32" ht="27.75" customHeight="1">
      <c r="A1631" s="2899" t="s">
        <v>3113</v>
      </c>
      <c r="B1631" s="2901" t="s">
        <v>3977</v>
      </c>
      <c r="C1631" s="2903" t="s">
        <v>52</v>
      </c>
      <c r="D1631" s="2905">
        <v>1125</v>
      </c>
      <c r="E1631" s="1810" t="s">
        <v>2496</v>
      </c>
      <c r="F1631" s="1811"/>
      <c r="G1631" s="1811"/>
      <c r="H1631" s="1811"/>
      <c r="I1631" s="1811"/>
      <c r="J1631" s="1811"/>
      <c r="K1631" s="1811"/>
      <c r="L1631" s="1811"/>
      <c r="M1631" s="1811"/>
      <c r="N1631" s="1811"/>
      <c r="O1631" s="1811"/>
      <c r="P1631" s="1811"/>
      <c r="Q1631" s="1812"/>
      <c r="R1631" s="1811"/>
      <c r="S1631" s="1811"/>
      <c r="T1631" s="1812"/>
      <c r="U1631" s="1812"/>
      <c r="V1631" s="1812"/>
      <c r="W1631" s="1812"/>
      <c r="X1631" s="1812"/>
      <c r="Y1631" s="1812"/>
      <c r="Z1631" s="1812"/>
      <c r="AA1631" s="1812">
        <f>D1631</f>
        <v>1125</v>
      </c>
      <c r="AB1631" s="1812"/>
      <c r="AC1631" s="1812"/>
      <c r="AD1631" s="1601">
        <f t="shared" si="167"/>
        <v>1125</v>
      </c>
      <c r="AE1631" s="1790">
        <v>0</v>
      </c>
      <c r="AF1631" s="1792"/>
    </row>
    <row r="1632" spans="1:32" ht="27.75" customHeight="1">
      <c r="A1632" s="2900" t="s">
        <v>3113</v>
      </c>
      <c r="B1632" s="2902" t="s">
        <v>3114</v>
      </c>
      <c r="C1632" s="2904" t="s">
        <v>52</v>
      </c>
      <c r="D1632" s="2906">
        <v>1125</v>
      </c>
      <c r="E1632" s="1603" t="s">
        <v>2497</v>
      </c>
      <c r="F1632" s="1583"/>
      <c r="G1632" s="1583"/>
      <c r="H1632" s="1583"/>
      <c r="I1632" s="1583"/>
      <c r="J1632" s="1583"/>
      <c r="K1632" s="1583"/>
      <c r="L1632" s="1583"/>
      <c r="M1632" s="1583"/>
      <c r="N1632" s="1583"/>
      <c r="O1632" s="1583"/>
      <c r="P1632" s="1583"/>
      <c r="Q1632" s="1604"/>
      <c r="R1632" s="1583"/>
      <c r="S1632" s="1583"/>
      <c r="T1632" s="1604"/>
      <c r="U1632" s="1592"/>
      <c r="V1632" s="1585"/>
      <c r="W1632" s="1585"/>
      <c r="X1632" s="1585"/>
      <c r="Y1632" s="1592"/>
      <c r="Z1632" s="1585"/>
      <c r="AA1632" s="1585"/>
      <c r="AB1632" s="1585"/>
      <c r="AC1632" s="1585"/>
      <c r="AD1632" s="1601">
        <f t="shared" si="167"/>
        <v>0</v>
      </c>
      <c r="AE1632" s="1790">
        <v>0</v>
      </c>
      <c r="AF1632" s="1792"/>
    </row>
    <row r="1633" spans="1:32" ht="27.75" customHeight="1">
      <c r="A1633" s="2899" t="s">
        <v>3115</v>
      </c>
      <c r="B1633" s="2901" t="s">
        <v>3978</v>
      </c>
      <c r="C1633" s="2903" t="s">
        <v>52</v>
      </c>
      <c r="D1633" s="2905">
        <v>750</v>
      </c>
      <c r="E1633" s="1810" t="s">
        <v>2496</v>
      </c>
      <c r="F1633" s="1811"/>
      <c r="G1633" s="1811"/>
      <c r="H1633" s="1811"/>
      <c r="I1633" s="1811"/>
      <c r="J1633" s="1811"/>
      <c r="K1633" s="1811"/>
      <c r="L1633" s="1811"/>
      <c r="M1633" s="1811"/>
      <c r="N1633" s="1811"/>
      <c r="O1633" s="1811"/>
      <c r="P1633" s="1811"/>
      <c r="Q1633" s="1812"/>
      <c r="R1633" s="1811"/>
      <c r="S1633" s="1811"/>
      <c r="T1633" s="1812"/>
      <c r="U1633" s="1812"/>
      <c r="V1633" s="1812"/>
      <c r="W1633" s="1812"/>
      <c r="X1633" s="1812"/>
      <c r="Y1633" s="1812"/>
      <c r="Z1633" s="1812"/>
      <c r="AA1633" s="1812">
        <f>D1633</f>
        <v>750</v>
      </c>
      <c r="AB1633" s="1812"/>
      <c r="AC1633" s="1812"/>
      <c r="AD1633" s="1601">
        <f t="shared" si="167"/>
        <v>750</v>
      </c>
      <c r="AE1633" s="1790">
        <v>0</v>
      </c>
      <c r="AF1633" s="1792"/>
    </row>
    <row r="1634" spans="1:32" ht="27.75" customHeight="1">
      <c r="A1634" s="2900" t="s">
        <v>3115</v>
      </c>
      <c r="B1634" s="2902" t="s">
        <v>3116</v>
      </c>
      <c r="C1634" s="2904" t="s">
        <v>52</v>
      </c>
      <c r="D1634" s="2906">
        <v>750</v>
      </c>
      <c r="E1634" s="1603" t="s">
        <v>2497</v>
      </c>
      <c r="F1634" s="1583"/>
      <c r="G1634" s="1583"/>
      <c r="H1634" s="1583"/>
      <c r="I1634" s="1583"/>
      <c r="J1634" s="1583"/>
      <c r="K1634" s="1583"/>
      <c r="L1634" s="1583"/>
      <c r="M1634" s="1583"/>
      <c r="N1634" s="1583"/>
      <c r="O1634" s="1583"/>
      <c r="P1634" s="1583"/>
      <c r="Q1634" s="1604"/>
      <c r="R1634" s="1583"/>
      <c r="S1634" s="1583"/>
      <c r="T1634" s="1604"/>
      <c r="U1634" s="1585"/>
      <c r="V1634" s="1585"/>
      <c r="W1634" s="1585"/>
      <c r="X1634" s="1585"/>
      <c r="Y1634" s="1585"/>
      <c r="Z1634" s="1585"/>
      <c r="AA1634" s="1585"/>
      <c r="AB1634" s="1585"/>
      <c r="AC1634" s="1585"/>
      <c r="AD1634" s="1601">
        <f t="shared" si="167"/>
        <v>0</v>
      </c>
      <c r="AE1634" s="1790">
        <v>0</v>
      </c>
      <c r="AF1634" s="1792"/>
    </row>
    <row r="1635" spans="1:32" ht="27.75" customHeight="1">
      <c r="A1635" s="2899" t="s">
        <v>3117</v>
      </c>
      <c r="B1635" s="2901" t="s">
        <v>3979</v>
      </c>
      <c r="C1635" s="2903" t="s">
        <v>52</v>
      </c>
      <c r="D1635" s="2905">
        <v>80</v>
      </c>
      <c r="E1635" s="1810" t="s">
        <v>2496</v>
      </c>
      <c r="F1635" s="1811"/>
      <c r="G1635" s="1811"/>
      <c r="H1635" s="1811"/>
      <c r="I1635" s="1811"/>
      <c r="J1635" s="1811"/>
      <c r="K1635" s="1811"/>
      <c r="L1635" s="1811"/>
      <c r="M1635" s="1811"/>
      <c r="N1635" s="1811"/>
      <c r="O1635" s="1811"/>
      <c r="P1635" s="1811"/>
      <c r="Q1635" s="1812"/>
      <c r="R1635" s="1811"/>
      <c r="S1635" s="1811"/>
      <c r="T1635" s="1812"/>
      <c r="U1635" s="1812"/>
      <c r="V1635" s="1812"/>
      <c r="W1635" s="1812"/>
      <c r="X1635" s="1812"/>
      <c r="Y1635" s="1812"/>
      <c r="Z1635" s="1812"/>
      <c r="AA1635" s="1812">
        <f>D1635</f>
        <v>80</v>
      </c>
      <c r="AB1635" s="1812"/>
      <c r="AC1635" s="1812"/>
      <c r="AD1635" s="1601">
        <f t="shared" si="167"/>
        <v>80</v>
      </c>
      <c r="AE1635" s="1790">
        <v>0</v>
      </c>
      <c r="AF1635" s="1792"/>
    </row>
    <row r="1636" spans="1:32" ht="27.75" customHeight="1">
      <c r="A1636" s="2900" t="s">
        <v>3117</v>
      </c>
      <c r="B1636" s="2902" t="s">
        <v>3118</v>
      </c>
      <c r="C1636" s="2904" t="s">
        <v>52</v>
      </c>
      <c r="D1636" s="2906">
        <v>80</v>
      </c>
      <c r="E1636" s="1603" t="s">
        <v>2497</v>
      </c>
      <c r="F1636" s="1583"/>
      <c r="G1636" s="1583"/>
      <c r="H1636" s="1583"/>
      <c r="I1636" s="1583"/>
      <c r="J1636" s="1583"/>
      <c r="K1636" s="1583"/>
      <c r="L1636" s="1583"/>
      <c r="M1636" s="1583"/>
      <c r="N1636" s="1583"/>
      <c r="O1636" s="1583"/>
      <c r="P1636" s="1583"/>
      <c r="Q1636" s="1604"/>
      <c r="R1636" s="1583"/>
      <c r="S1636" s="1583"/>
      <c r="T1636" s="1604"/>
      <c r="U1636" s="1592"/>
      <c r="V1636" s="1585"/>
      <c r="W1636" s="1585"/>
      <c r="X1636" s="1585"/>
      <c r="Y1636" s="1592"/>
      <c r="Z1636" s="1585"/>
      <c r="AA1636" s="1585"/>
      <c r="AB1636" s="1585"/>
      <c r="AC1636" s="1585"/>
      <c r="AD1636" s="1601">
        <f t="shared" si="167"/>
        <v>0</v>
      </c>
      <c r="AE1636" s="1790">
        <v>0</v>
      </c>
      <c r="AF1636" s="1792"/>
    </row>
    <row r="1637" spans="1:32" ht="27.75" customHeight="1">
      <c r="A1637" s="1795" t="s">
        <v>3119</v>
      </c>
      <c r="B1637" s="1795" t="s">
        <v>3980</v>
      </c>
      <c r="C1637" s="1803"/>
      <c r="D1637" s="1804"/>
      <c r="E1637" s="1599"/>
      <c r="F1637" s="1583"/>
      <c r="G1637" s="1583"/>
      <c r="H1637" s="1583"/>
      <c r="I1637" s="1583"/>
      <c r="J1637" s="1583"/>
      <c r="K1637" s="1583"/>
      <c r="L1637" s="1583"/>
      <c r="M1637" s="1583"/>
      <c r="N1637" s="1583"/>
      <c r="O1637" s="1583"/>
      <c r="P1637" s="1583"/>
      <c r="Q1637" s="1604"/>
      <c r="R1637" s="1583"/>
      <c r="S1637" s="1583"/>
      <c r="T1637" s="1604"/>
      <c r="U1637" s="1592"/>
      <c r="V1637" s="1585"/>
      <c r="W1637" s="1585"/>
      <c r="X1637" s="1585"/>
      <c r="Y1637" s="1592"/>
      <c r="Z1637" s="1585"/>
      <c r="AA1637" s="1585"/>
      <c r="AB1637" s="1585"/>
      <c r="AC1637" s="1585"/>
      <c r="AD1637" s="1601">
        <f t="shared" si="167"/>
        <v>0</v>
      </c>
      <c r="AE1637" s="1790">
        <v>0</v>
      </c>
      <c r="AF1637" s="1792"/>
    </row>
    <row r="1638" spans="1:32" ht="27.75" customHeight="1">
      <c r="A1638" s="2899" t="s">
        <v>3121</v>
      </c>
      <c r="B1638" s="2901" t="s">
        <v>3981</v>
      </c>
      <c r="C1638" s="2903" t="s">
        <v>50</v>
      </c>
      <c r="D1638" s="2905">
        <v>18554.184999999998</v>
      </c>
      <c r="E1638" s="1598" t="s">
        <v>2496</v>
      </c>
      <c r="F1638" s="1583"/>
      <c r="G1638" s="1583"/>
      <c r="H1638" s="1583"/>
      <c r="I1638" s="1583"/>
      <c r="J1638" s="1583"/>
      <c r="K1638" s="1583"/>
      <c r="L1638" s="1583"/>
      <c r="M1638" s="1583"/>
      <c r="N1638" s="1583"/>
      <c r="O1638" s="1583"/>
      <c r="P1638" s="1583"/>
      <c r="Q1638" s="1585"/>
      <c r="R1638" s="1583"/>
      <c r="S1638" s="1583"/>
      <c r="T1638" s="1585"/>
      <c r="U1638" s="1585"/>
      <c r="V1638" s="1585"/>
      <c r="W1638" s="1585"/>
      <c r="X1638" s="1585"/>
      <c r="Y1638" s="1585"/>
      <c r="Z1638" s="1585"/>
      <c r="AA1638" s="1812">
        <f>D1638</f>
        <v>18554.184999999998</v>
      </c>
      <c r="AB1638" s="1585"/>
      <c r="AC1638" s="1585"/>
      <c r="AD1638" s="1601">
        <f t="shared" si="167"/>
        <v>18554.184999999998</v>
      </c>
      <c r="AE1638" s="1790">
        <v>0</v>
      </c>
      <c r="AF1638" s="1792"/>
    </row>
    <row r="1639" spans="1:32" ht="27.75" customHeight="1">
      <c r="A1639" s="2900" t="s">
        <v>3121</v>
      </c>
      <c r="B1639" s="2902" t="s">
        <v>3122</v>
      </c>
      <c r="C1639" s="2904" t="s">
        <v>50</v>
      </c>
      <c r="D1639" s="2906">
        <v>18554.184999999998</v>
      </c>
      <c r="E1639" s="1603" t="s">
        <v>2497</v>
      </c>
      <c r="F1639" s="1583"/>
      <c r="G1639" s="1583"/>
      <c r="H1639" s="1583"/>
      <c r="I1639" s="1583"/>
      <c r="J1639" s="1583"/>
      <c r="K1639" s="1583"/>
      <c r="L1639" s="1583"/>
      <c r="M1639" s="1583"/>
      <c r="N1639" s="1583"/>
      <c r="O1639" s="1583"/>
      <c r="P1639" s="1583"/>
      <c r="Q1639" s="1604"/>
      <c r="R1639" s="1583"/>
      <c r="S1639" s="1583"/>
      <c r="T1639" s="1604"/>
      <c r="U1639" s="1585"/>
      <c r="V1639" s="1585"/>
      <c r="W1639" s="1585"/>
      <c r="X1639" s="1585"/>
      <c r="Y1639" s="1585"/>
      <c r="Z1639" s="1585"/>
      <c r="AA1639" s="1585"/>
      <c r="AB1639" s="1585"/>
      <c r="AC1639" s="1585"/>
      <c r="AD1639" s="1601">
        <f t="shared" si="167"/>
        <v>0</v>
      </c>
      <c r="AE1639" s="1790">
        <v>0</v>
      </c>
      <c r="AF1639" s="1792"/>
    </row>
    <row r="1640" spans="1:32" ht="27.75" customHeight="1">
      <c r="A1640" s="1795" t="s">
        <v>3123</v>
      </c>
      <c r="B1640" s="1795" t="s">
        <v>3982</v>
      </c>
      <c r="C1640" s="1803"/>
      <c r="D1640" s="1804"/>
      <c r="E1640" s="1813"/>
      <c r="F1640" s="1811"/>
      <c r="G1640" s="1811"/>
      <c r="H1640" s="1811"/>
      <c r="I1640" s="1811"/>
      <c r="J1640" s="1811"/>
      <c r="K1640" s="1811"/>
      <c r="L1640" s="1811"/>
      <c r="M1640" s="1811"/>
      <c r="N1640" s="1811"/>
      <c r="O1640" s="1811"/>
      <c r="P1640" s="1811"/>
      <c r="Q1640" s="1814"/>
      <c r="R1640" s="1811"/>
      <c r="S1640" s="1811"/>
      <c r="T1640" s="1814"/>
      <c r="U1640" s="1812"/>
      <c r="V1640" s="1812"/>
      <c r="W1640" s="1812"/>
      <c r="X1640" s="1812"/>
      <c r="Y1640" s="1812"/>
      <c r="Z1640" s="1812"/>
      <c r="AA1640" s="1812"/>
      <c r="AB1640" s="1812"/>
      <c r="AC1640" s="1812"/>
      <c r="AD1640" s="1601">
        <f t="shared" si="167"/>
        <v>0</v>
      </c>
      <c r="AE1640" s="1790">
        <v>0</v>
      </c>
      <c r="AF1640" s="1792"/>
    </row>
    <row r="1641" spans="1:32" ht="27.75" customHeight="1">
      <c r="A1641" s="2899" t="s">
        <v>3125</v>
      </c>
      <c r="B1641" s="2901" t="s">
        <v>3982</v>
      </c>
      <c r="C1641" s="2903" t="s">
        <v>268</v>
      </c>
      <c r="D1641" s="2905">
        <v>5693.84</v>
      </c>
      <c r="E1641" s="1810" t="s">
        <v>2496</v>
      </c>
      <c r="F1641" s="1811"/>
      <c r="G1641" s="1811"/>
      <c r="H1641" s="1811"/>
      <c r="I1641" s="1811"/>
      <c r="J1641" s="1811"/>
      <c r="K1641" s="1811"/>
      <c r="L1641" s="1811"/>
      <c r="M1641" s="1811"/>
      <c r="N1641" s="1811"/>
      <c r="O1641" s="1811"/>
      <c r="P1641" s="1811"/>
      <c r="Q1641" s="1812"/>
      <c r="R1641" s="1811"/>
      <c r="S1641" s="1811"/>
      <c r="T1641" s="1812"/>
      <c r="U1641" s="1812"/>
      <c r="V1641" s="1812"/>
      <c r="W1641" s="1812"/>
      <c r="X1641" s="1812"/>
      <c r="Y1641" s="1812"/>
      <c r="Z1641" s="1812"/>
      <c r="AA1641" s="1812"/>
      <c r="AB1641" s="1812"/>
      <c r="AC1641" s="1812">
        <v>5693.84</v>
      </c>
      <c r="AD1641" s="1601">
        <f t="shared" si="167"/>
        <v>5693.84</v>
      </c>
      <c r="AE1641" s="1790">
        <v>0</v>
      </c>
      <c r="AF1641" s="1792"/>
    </row>
    <row r="1642" spans="1:32" ht="27.75" customHeight="1">
      <c r="A1642" s="2900" t="s">
        <v>3125</v>
      </c>
      <c r="B1642" s="2902" t="s">
        <v>3126</v>
      </c>
      <c r="C1642" s="2904" t="s">
        <v>268</v>
      </c>
      <c r="D1642" s="2906">
        <v>5693.84</v>
      </c>
      <c r="E1642" s="1603" t="s">
        <v>2497</v>
      </c>
      <c r="F1642" s="1583"/>
      <c r="G1642" s="1583"/>
      <c r="H1642" s="1583"/>
      <c r="I1642" s="1583"/>
      <c r="J1642" s="1583"/>
      <c r="K1642" s="1583"/>
      <c r="L1642" s="1583"/>
      <c r="M1642" s="1583"/>
      <c r="N1642" s="1583"/>
      <c r="O1642" s="1583"/>
      <c r="P1642" s="1583"/>
      <c r="Q1642" s="1604"/>
      <c r="R1642" s="1583"/>
      <c r="S1642" s="1583"/>
      <c r="T1642" s="1604"/>
      <c r="U1642" s="1592"/>
      <c r="V1642" s="1585"/>
      <c r="W1642" s="1585"/>
      <c r="X1642" s="1585"/>
      <c r="Y1642" s="1592"/>
      <c r="Z1642" s="1585"/>
      <c r="AA1642" s="1585"/>
      <c r="AB1642" s="1585"/>
      <c r="AC1642" s="1585"/>
      <c r="AD1642" s="1601">
        <f t="shared" si="167"/>
        <v>0</v>
      </c>
      <c r="AE1642" s="1790">
        <v>0</v>
      </c>
      <c r="AF1642" s="1792"/>
    </row>
    <row r="1643" spans="1:32" ht="27.75" customHeight="1">
      <c r="A1643" s="2899" t="s">
        <v>3127</v>
      </c>
      <c r="B1643" s="2901" t="s">
        <v>3983</v>
      </c>
      <c r="C1643" s="2903" t="s">
        <v>268</v>
      </c>
      <c r="D1643" s="2905">
        <v>1019.3</v>
      </c>
      <c r="E1643" s="1810" t="s">
        <v>2496</v>
      </c>
      <c r="F1643" s="1811"/>
      <c r="G1643" s="1811"/>
      <c r="H1643" s="1811"/>
      <c r="I1643" s="1811"/>
      <c r="J1643" s="1811"/>
      <c r="K1643" s="1811"/>
      <c r="L1643" s="1811"/>
      <c r="M1643" s="1811"/>
      <c r="N1643" s="1811"/>
      <c r="O1643" s="1811"/>
      <c r="P1643" s="1811"/>
      <c r="Q1643" s="1812"/>
      <c r="R1643" s="1811"/>
      <c r="S1643" s="1811"/>
      <c r="T1643" s="1812"/>
      <c r="U1643" s="1812"/>
      <c r="V1643" s="1812"/>
      <c r="W1643" s="1812"/>
      <c r="X1643" s="1812"/>
      <c r="Y1643" s="1812"/>
      <c r="Z1643" s="1812"/>
      <c r="AA1643" s="1812"/>
      <c r="AB1643" s="1812"/>
      <c r="AC1643" s="1812">
        <v>1019.3</v>
      </c>
      <c r="AD1643" s="1601">
        <f t="shared" si="167"/>
        <v>1019.3</v>
      </c>
      <c r="AE1643" s="1790">
        <v>0</v>
      </c>
      <c r="AF1643" s="1792"/>
    </row>
    <row r="1644" spans="1:32" ht="27.75" customHeight="1">
      <c r="A1644" s="2900" t="s">
        <v>3127</v>
      </c>
      <c r="B1644" s="2902" t="s">
        <v>3128</v>
      </c>
      <c r="C1644" s="2904" t="s">
        <v>268</v>
      </c>
      <c r="D1644" s="2906">
        <v>1019.3</v>
      </c>
      <c r="E1644" s="1603" t="s">
        <v>2497</v>
      </c>
      <c r="F1644" s="1583"/>
      <c r="G1644" s="1583"/>
      <c r="H1644" s="1583"/>
      <c r="I1644" s="1583"/>
      <c r="J1644" s="1583"/>
      <c r="K1644" s="1583"/>
      <c r="L1644" s="1583"/>
      <c r="M1644" s="1583"/>
      <c r="N1644" s="1583"/>
      <c r="O1644" s="1583"/>
      <c r="P1644" s="1583"/>
      <c r="Q1644" s="1604"/>
      <c r="R1644" s="1583"/>
      <c r="S1644" s="1583"/>
      <c r="T1644" s="1604"/>
      <c r="U1644" s="1585"/>
      <c r="V1644" s="1585"/>
      <c r="W1644" s="1585"/>
      <c r="X1644" s="1585"/>
      <c r="Y1644" s="1585"/>
      <c r="Z1644" s="1585"/>
      <c r="AA1644" s="1585"/>
      <c r="AB1644" s="1585"/>
      <c r="AC1644" s="1585"/>
      <c r="AD1644" s="1601">
        <f t="shared" si="167"/>
        <v>0</v>
      </c>
      <c r="AE1644" s="1790">
        <v>0</v>
      </c>
      <c r="AF1644" s="1792"/>
    </row>
    <row r="1645" spans="1:32" ht="27.75" customHeight="1">
      <c r="A1645" s="1647" t="s">
        <v>3129</v>
      </c>
      <c r="B1645" s="1647" t="s">
        <v>3984</v>
      </c>
      <c r="C1645" s="1625"/>
      <c r="D1645" s="1597"/>
      <c r="E1645" s="1813"/>
      <c r="F1645" s="1811"/>
      <c r="G1645" s="1811"/>
      <c r="H1645" s="1811"/>
      <c r="I1645" s="1811"/>
      <c r="J1645" s="1811"/>
      <c r="K1645" s="1811"/>
      <c r="L1645" s="1811"/>
      <c r="M1645" s="1811"/>
      <c r="N1645" s="1811"/>
      <c r="O1645" s="1811"/>
      <c r="P1645" s="1811"/>
      <c r="Q1645" s="1814"/>
      <c r="R1645" s="1811"/>
      <c r="S1645" s="1811"/>
      <c r="T1645" s="1814"/>
      <c r="U1645" s="1812"/>
      <c r="V1645" s="1812"/>
      <c r="W1645" s="1812"/>
      <c r="X1645" s="1812"/>
      <c r="Y1645" s="1812"/>
      <c r="Z1645" s="1812"/>
      <c r="AA1645" s="1812"/>
      <c r="AB1645" s="1812"/>
      <c r="AC1645" s="1812"/>
      <c r="AD1645" s="1601">
        <f t="shared" si="167"/>
        <v>0</v>
      </c>
      <c r="AE1645" s="1790">
        <v>0</v>
      </c>
      <c r="AF1645" s="1792"/>
    </row>
    <row r="1646" spans="1:32" ht="27.75" customHeight="1">
      <c r="A1646" s="1795" t="s">
        <v>3131</v>
      </c>
      <c r="B1646" s="1795" t="s">
        <v>3985</v>
      </c>
      <c r="C1646" s="1625"/>
      <c r="D1646" s="1597"/>
      <c r="E1646" s="1813"/>
      <c r="F1646" s="1811"/>
      <c r="G1646" s="1811"/>
      <c r="H1646" s="1811"/>
      <c r="I1646" s="1811"/>
      <c r="J1646" s="1811"/>
      <c r="K1646" s="1811"/>
      <c r="L1646" s="1811"/>
      <c r="M1646" s="1811"/>
      <c r="N1646" s="1811"/>
      <c r="O1646" s="1811"/>
      <c r="P1646" s="1811"/>
      <c r="Q1646" s="1814"/>
      <c r="R1646" s="1811"/>
      <c r="S1646" s="1811"/>
      <c r="T1646" s="1814"/>
      <c r="U1646" s="1812"/>
      <c r="V1646" s="1812"/>
      <c r="W1646" s="1812"/>
      <c r="X1646" s="1812"/>
      <c r="Y1646" s="1812"/>
      <c r="Z1646" s="1812"/>
      <c r="AA1646" s="1812"/>
      <c r="AB1646" s="1812"/>
      <c r="AC1646" s="1812"/>
      <c r="AD1646" s="1601">
        <f t="shared" si="167"/>
        <v>0</v>
      </c>
      <c r="AE1646" s="1790">
        <v>0</v>
      </c>
      <c r="AF1646" s="1792"/>
    </row>
    <row r="1647" spans="1:32" ht="27.75" customHeight="1">
      <c r="A1647" s="2899" t="s">
        <v>3133</v>
      </c>
      <c r="B1647" s="2901" t="s">
        <v>3986</v>
      </c>
      <c r="C1647" s="2903" t="s">
        <v>268</v>
      </c>
      <c r="D1647" s="2905">
        <v>6807.35</v>
      </c>
      <c r="E1647" s="1810" t="s">
        <v>2496</v>
      </c>
      <c r="F1647" s="1811"/>
      <c r="G1647" s="1811"/>
      <c r="H1647" s="1811"/>
      <c r="I1647" s="1811"/>
      <c r="J1647" s="1811"/>
      <c r="K1647" s="1811"/>
      <c r="L1647" s="1811"/>
      <c r="M1647" s="1811"/>
      <c r="N1647" s="1811"/>
      <c r="O1647" s="1811"/>
      <c r="P1647" s="1811"/>
      <c r="Q1647" s="1812"/>
      <c r="R1647" s="1811"/>
      <c r="S1647" s="1811"/>
      <c r="T1647" s="1812"/>
      <c r="U1647" s="1812"/>
      <c r="V1647" s="1812"/>
      <c r="W1647" s="1812"/>
      <c r="X1647" s="1812"/>
      <c r="Y1647" s="1812"/>
      <c r="Z1647" s="1812"/>
      <c r="AA1647" s="1812"/>
      <c r="AB1647" s="1812"/>
      <c r="AC1647" s="1812">
        <v>6807.35</v>
      </c>
      <c r="AD1647" s="1601">
        <f t="shared" si="167"/>
        <v>6807.35</v>
      </c>
      <c r="AE1647" s="1790">
        <v>0</v>
      </c>
      <c r="AF1647" s="1792"/>
    </row>
    <row r="1648" spans="1:32" ht="27.75" customHeight="1">
      <c r="A1648" s="2900" t="s">
        <v>3133</v>
      </c>
      <c r="B1648" s="2902" t="s">
        <v>3134</v>
      </c>
      <c r="C1648" s="2904" t="s">
        <v>268</v>
      </c>
      <c r="D1648" s="2906">
        <v>6807.35</v>
      </c>
      <c r="E1648" s="1603" t="s">
        <v>2497</v>
      </c>
      <c r="F1648" s="1583"/>
      <c r="G1648" s="1583"/>
      <c r="H1648" s="1583"/>
      <c r="I1648" s="1583"/>
      <c r="J1648" s="1583"/>
      <c r="K1648" s="1583"/>
      <c r="L1648" s="1583"/>
      <c r="M1648" s="1583"/>
      <c r="N1648" s="1583"/>
      <c r="O1648" s="1583"/>
      <c r="P1648" s="1583"/>
      <c r="Q1648" s="1604"/>
      <c r="R1648" s="1583"/>
      <c r="S1648" s="1583"/>
      <c r="T1648" s="1604"/>
      <c r="U1648" s="1592"/>
      <c r="V1648" s="1585"/>
      <c r="W1648" s="1585"/>
      <c r="X1648" s="1585"/>
      <c r="Y1648" s="1592"/>
      <c r="Z1648" s="1585"/>
      <c r="AA1648" s="1585"/>
      <c r="AB1648" s="1585"/>
      <c r="AC1648" s="1585"/>
      <c r="AD1648" s="1601">
        <f t="shared" si="167"/>
        <v>0</v>
      </c>
      <c r="AE1648" s="1790">
        <v>0</v>
      </c>
      <c r="AF1648" s="1792"/>
    </row>
    <row r="1649" spans="1:32" ht="27.75" customHeight="1">
      <c r="A1649" s="2899" t="s">
        <v>3135</v>
      </c>
      <c r="B1649" s="2901" t="s">
        <v>3987</v>
      </c>
      <c r="C1649" s="2903" t="s">
        <v>268</v>
      </c>
      <c r="D1649" s="2905">
        <v>4807.3500000000004</v>
      </c>
      <c r="E1649" s="1598" t="s">
        <v>2496</v>
      </c>
      <c r="F1649" s="1583"/>
      <c r="G1649" s="1583"/>
      <c r="H1649" s="1583"/>
      <c r="I1649" s="1583"/>
      <c r="J1649" s="1583"/>
      <c r="K1649" s="1583"/>
      <c r="L1649" s="1583"/>
      <c r="M1649" s="1583"/>
      <c r="N1649" s="1583"/>
      <c r="O1649" s="1583"/>
      <c r="P1649" s="1583"/>
      <c r="Q1649" s="1585"/>
      <c r="R1649" s="1583"/>
      <c r="S1649" s="1583"/>
      <c r="T1649" s="1585"/>
      <c r="U1649" s="1585"/>
      <c r="V1649" s="1585"/>
      <c r="W1649" s="1585"/>
      <c r="X1649" s="1585"/>
      <c r="Y1649" s="1585"/>
      <c r="Z1649" s="1585"/>
      <c r="AA1649" s="1585"/>
      <c r="AB1649" s="1812"/>
      <c r="AC1649" s="1585">
        <v>4807.3500000000004</v>
      </c>
      <c r="AD1649" s="1601">
        <f t="shared" si="167"/>
        <v>4807.3500000000004</v>
      </c>
      <c r="AE1649" s="1790">
        <v>0</v>
      </c>
      <c r="AF1649" s="1792"/>
    </row>
    <row r="1650" spans="1:32" ht="27.75" customHeight="1">
      <c r="A1650" s="2900" t="s">
        <v>3135</v>
      </c>
      <c r="B1650" s="2902" t="s">
        <v>3136</v>
      </c>
      <c r="C1650" s="2904" t="s">
        <v>268</v>
      </c>
      <c r="D1650" s="2906">
        <v>4807.3500000000004</v>
      </c>
      <c r="E1650" s="1603" t="s">
        <v>2497</v>
      </c>
      <c r="F1650" s="1583"/>
      <c r="G1650" s="1583"/>
      <c r="H1650" s="1583"/>
      <c r="I1650" s="1583"/>
      <c r="J1650" s="1583"/>
      <c r="K1650" s="1583"/>
      <c r="L1650" s="1583"/>
      <c r="M1650" s="1583"/>
      <c r="N1650" s="1583"/>
      <c r="O1650" s="1583"/>
      <c r="P1650" s="1583"/>
      <c r="Q1650" s="1604"/>
      <c r="R1650" s="1583"/>
      <c r="S1650" s="1583"/>
      <c r="T1650" s="1604"/>
      <c r="U1650" s="1585"/>
      <c r="V1650" s="1585"/>
      <c r="W1650" s="1585"/>
      <c r="X1650" s="1585"/>
      <c r="Y1650" s="1585"/>
      <c r="Z1650" s="1585"/>
      <c r="AA1650" s="1585"/>
      <c r="AB1650" s="1585"/>
      <c r="AC1650" s="1585"/>
      <c r="AD1650" s="1601">
        <f t="shared" si="167"/>
        <v>0</v>
      </c>
      <c r="AE1650" s="1790">
        <v>0</v>
      </c>
      <c r="AF1650" s="1792"/>
    </row>
    <row r="1651" spans="1:32" ht="27.75" customHeight="1">
      <c r="A1651" s="2899" t="s">
        <v>3137</v>
      </c>
      <c r="B1651" s="2901" t="s">
        <v>3988</v>
      </c>
      <c r="C1651" s="2903" t="s">
        <v>52</v>
      </c>
      <c r="D1651" s="2905">
        <v>9692.9500000000007</v>
      </c>
      <c r="E1651" s="1810" t="s">
        <v>2496</v>
      </c>
      <c r="F1651" s="1811"/>
      <c r="G1651" s="1811"/>
      <c r="H1651" s="1811"/>
      <c r="I1651" s="1811"/>
      <c r="J1651" s="1811"/>
      <c r="K1651" s="1811"/>
      <c r="L1651" s="1811"/>
      <c r="M1651" s="1811"/>
      <c r="N1651" s="1811"/>
      <c r="O1651" s="1811"/>
      <c r="P1651" s="1811"/>
      <c r="Q1651" s="1812"/>
      <c r="R1651" s="1811"/>
      <c r="S1651" s="1811"/>
      <c r="T1651" s="1812"/>
      <c r="U1651" s="1812"/>
      <c r="V1651" s="1812"/>
      <c r="W1651" s="1812"/>
      <c r="X1651" s="1812"/>
      <c r="Y1651" s="1812"/>
      <c r="Z1651" s="1812"/>
      <c r="AA1651" s="1812"/>
      <c r="AB1651" s="1812"/>
      <c r="AC1651" s="1812">
        <v>9692.9500000000007</v>
      </c>
      <c r="AD1651" s="1601">
        <f t="shared" si="167"/>
        <v>9692.9500000000007</v>
      </c>
      <c r="AE1651" s="1790">
        <v>0</v>
      </c>
      <c r="AF1651" s="1792"/>
    </row>
    <row r="1652" spans="1:32" ht="27.75" customHeight="1">
      <c r="A1652" s="2900" t="s">
        <v>3137</v>
      </c>
      <c r="B1652" s="2902" t="s">
        <v>3138</v>
      </c>
      <c r="C1652" s="2904" t="s">
        <v>52</v>
      </c>
      <c r="D1652" s="2906">
        <v>9692.9500000000007</v>
      </c>
      <c r="E1652" s="1603" t="s">
        <v>2497</v>
      </c>
      <c r="F1652" s="1583"/>
      <c r="G1652" s="1583"/>
      <c r="H1652" s="1583"/>
      <c r="I1652" s="1583"/>
      <c r="J1652" s="1583"/>
      <c r="K1652" s="1583"/>
      <c r="L1652" s="1583"/>
      <c r="M1652" s="1583"/>
      <c r="N1652" s="1583"/>
      <c r="O1652" s="1583"/>
      <c r="P1652" s="1583"/>
      <c r="Q1652" s="1604"/>
      <c r="R1652" s="1583"/>
      <c r="S1652" s="1583"/>
      <c r="T1652" s="1604"/>
      <c r="U1652" s="1592"/>
      <c r="V1652" s="1585"/>
      <c r="W1652" s="1585"/>
      <c r="X1652" s="1585"/>
      <c r="Y1652" s="1592"/>
      <c r="Z1652" s="1585"/>
      <c r="AA1652" s="1585"/>
      <c r="AB1652" s="1585"/>
      <c r="AC1652" s="1585"/>
      <c r="AD1652" s="1601">
        <f t="shared" si="167"/>
        <v>0</v>
      </c>
      <c r="AE1652" s="1790">
        <v>0</v>
      </c>
      <c r="AF1652" s="1792"/>
    </row>
    <row r="1653" spans="1:32" ht="27.75" customHeight="1">
      <c r="A1653" s="2899" t="s">
        <v>3139</v>
      </c>
      <c r="B1653" s="2901" t="s">
        <v>3989</v>
      </c>
      <c r="C1653" s="2903" t="s">
        <v>52</v>
      </c>
      <c r="D1653" s="2905">
        <v>15000</v>
      </c>
      <c r="E1653" s="1810" t="s">
        <v>2496</v>
      </c>
      <c r="F1653" s="1811"/>
      <c r="G1653" s="1811"/>
      <c r="H1653" s="1811"/>
      <c r="I1653" s="1811"/>
      <c r="J1653" s="1811"/>
      <c r="K1653" s="1811"/>
      <c r="L1653" s="1811"/>
      <c r="M1653" s="1811"/>
      <c r="N1653" s="1811"/>
      <c r="O1653" s="1811"/>
      <c r="P1653" s="1811"/>
      <c r="Q1653" s="1812"/>
      <c r="R1653" s="1811"/>
      <c r="S1653" s="1811"/>
      <c r="T1653" s="1812"/>
      <c r="U1653" s="1812"/>
      <c r="V1653" s="1812"/>
      <c r="W1653" s="1812"/>
      <c r="X1653" s="1812"/>
      <c r="Y1653" s="1812"/>
      <c r="Z1653" s="1812"/>
      <c r="AA1653" s="1812"/>
      <c r="AB1653" s="1812"/>
      <c r="AC1653" s="1812">
        <v>15000</v>
      </c>
      <c r="AD1653" s="1601">
        <f t="shared" si="167"/>
        <v>15000</v>
      </c>
      <c r="AE1653" s="1790">
        <v>0</v>
      </c>
      <c r="AF1653" s="1792"/>
    </row>
    <row r="1654" spans="1:32" ht="27.75" customHeight="1">
      <c r="A1654" s="2900" t="s">
        <v>3139</v>
      </c>
      <c r="B1654" s="2902" t="s">
        <v>3140</v>
      </c>
      <c r="C1654" s="2904" t="s">
        <v>52</v>
      </c>
      <c r="D1654" s="2906">
        <v>15000</v>
      </c>
      <c r="E1654" s="1603" t="s">
        <v>2497</v>
      </c>
      <c r="F1654" s="1583"/>
      <c r="G1654" s="1583"/>
      <c r="H1654" s="1583"/>
      <c r="I1654" s="1583"/>
      <c r="J1654" s="1583"/>
      <c r="K1654" s="1583"/>
      <c r="L1654" s="1583"/>
      <c r="M1654" s="1583"/>
      <c r="N1654" s="1583"/>
      <c r="O1654" s="1583"/>
      <c r="P1654" s="1583"/>
      <c r="Q1654" s="1604"/>
      <c r="R1654" s="1583"/>
      <c r="S1654" s="1583"/>
      <c r="T1654" s="1604"/>
      <c r="U1654" s="1585"/>
      <c r="V1654" s="1585"/>
      <c r="W1654" s="1585"/>
      <c r="X1654" s="1585"/>
      <c r="Y1654" s="1585"/>
      <c r="Z1654" s="1585"/>
      <c r="AA1654" s="1585"/>
      <c r="AB1654" s="1585"/>
      <c r="AC1654" s="1585"/>
      <c r="AD1654" s="1601">
        <f t="shared" si="167"/>
        <v>0</v>
      </c>
      <c r="AE1654" s="1790">
        <v>0</v>
      </c>
      <c r="AF1654" s="1792"/>
    </row>
    <row r="1655" spans="1:32" ht="27.75" customHeight="1">
      <c r="A1655" s="1817" t="s">
        <v>46</v>
      </c>
      <c r="B1655" s="1818" t="s">
        <v>1784</v>
      </c>
      <c r="C1655" s="1625"/>
      <c r="D1655" s="1597"/>
      <c r="E1655" s="1813"/>
      <c r="F1655" s="1811"/>
      <c r="G1655" s="1811"/>
      <c r="H1655" s="1811"/>
      <c r="I1655" s="1811"/>
      <c r="J1655" s="1811"/>
      <c r="K1655" s="1811"/>
      <c r="L1655" s="1811"/>
      <c r="M1655" s="1811"/>
      <c r="N1655" s="1811"/>
      <c r="O1655" s="1811"/>
      <c r="P1655" s="1811"/>
      <c r="Q1655" s="1814"/>
      <c r="R1655" s="1811"/>
      <c r="S1655" s="1811"/>
      <c r="T1655" s="1814"/>
      <c r="U1655" s="1812"/>
      <c r="V1655" s="1812"/>
      <c r="W1655" s="1812"/>
      <c r="X1655" s="1812"/>
      <c r="Y1655" s="1812"/>
      <c r="Z1655" s="1812"/>
      <c r="AA1655" s="1812"/>
      <c r="AB1655" s="1812"/>
      <c r="AC1655" s="1812"/>
      <c r="AD1655" s="1601">
        <f t="shared" si="167"/>
        <v>0</v>
      </c>
      <c r="AE1655" s="1790">
        <v>0</v>
      </c>
      <c r="AF1655" s="1792"/>
    </row>
    <row r="1656" spans="1:32" ht="27.75" customHeight="1">
      <c r="A1656" s="1647" t="s">
        <v>47</v>
      </c>
      <c r="B1656" s="1647" t="s">
        <v>3990</v>
      </c>
      <c r="C1656" s="1625"/>
      <c r="D1656" s="1597"/>
      <c r="E1656" s="1813"/>
      <c r="F1656" s="1811"/>
      <c r="G1656" s="1811"/>
      <c r="H1656" s="1811"/>
      <c r="I1656" s="1811"/>
      <c r="J1656" s="1811"/>
      <c r="K1656" s="1811"/>
      <c r="L1656" s="1811"/>
      <c r="M1656" s="1811"/>
      <c r="N1656" s="1811"/>
      <c r="O1656" s="1811"/>
      <c r="P1656" s="1811"/>
      <c r="Q1656" s="1814"/>
      <c r="R1656" s="1811"/>
      <c r="S1656" s="1811"/>
      <c r="T1656" s="1814"/>
      <c r="U1656" s="1812"/>
      <c r="V1656" s="1812"/>
      <c r="W1656" s="1812"/>
      <c r="X1656" s="1812"/>
      <c r="Y1656" s="1812"/>
      <c r="Z1656" s="1812"/>
      <c r="AA1656" s="1812"/>
      <c r="AB1656" s="1812"/>
      <c r="AC1656" s="1812"/>
      <c r="AD1656" s="1601">
        <f t="shared" si="167"/>
        <v>0</v>
      </c>
      <c r="AE1656" s="1790">
        <v>0</v>
      </c>
      <c r="AF1656" s="1792"/>
    </row>
    <row r="1657" spans="1:32" ht="27.75" customHeight="1">
      <c r="A1657" s="1795" t="s">
        <v>406</v>
      </c>
      <c r="B1657" s="1795" t="s">
        <v>3991</v>
      </c>
      <c r="C1657" s="1625"/>
      <c r="D1657" s="1597"/>
      <c r="E1657" s="1813"/>
      <c r="F1657" s="1811"/>
      <c r="G1657" s="1811"/>
      <c r="H1657" s="1811"/>
      <c r="I1657" s="1811"/>
      <c r="J1657" s="1811"/>
      <c r="K1657" s="1811"/>
      <c r="L1657" s="1811"/>
      <c r="M1657" s="1811"/>
      <c r="N1657" s="1811"/>
      <c r="O1657" s="1811"/>
      <c r="P1657" s="1811"/>
      <c r="Q1657" s="1814"/>
      <c r="R1657" s="1811"/>
      <c r="S1657" s="1811"/>
      <c r="T1657" s="1814"/>
      <c r="U1657" s="1812"/>
      <c r="V1657" s="1812"/>
      <c r="W1657" s="1812"/>
      <c r="X1657" s="1812"/>
      <c r="Y1657" s="1812"/>
      <c r="Z1657" s="1812"/>
      <c r="AA1657" s="1812"/>
      <c r="AB1657" s="1812"/>
      <c r="AC1657" s="1812"/>
      <c r="AD1657" s="1601">
        <f t="shared" si="167"/>
        <v>0</v>
      </c>
      <c r="AE1657" s="1790">
        <v>0</v>
      </c>
      <c r="AF1657" s="1792"/>
    </row>
    <row r="1658" spans="1:32" ht="27.75" customHeight="1">
      <c r="A1658" s="2899" t="s">
        <v>3143</v>
      </c>
      <c r="B1658" s="2901" t="s">
        <v>3992</v>
      </c>
      <c r="C1658" s="2903" t="s">
        <v>1145</v>
      </c>
      <c r="D1658" s="2905">
        <v>20757.510000000002</v>
      </c>
      <c r="E1658" s="1810" t="s">
        <v>2496</v>
      </c>
      <c r="F1658" s="1811"/>
      <c r="G1658" s="1811"/>
      <c r="H1658" s="1811"/>
      <c r="I1658" s="1811"/>
      <c r="J1658" s="1811"/>
      <c r="K1658" s="1811"/>
      <c r="L1658" s="1811"/>
      <c r="M1658" s="1811"/>
      <c r="N1658" s="1811"/>
      <c r="O1658" s="1811"/>
      <c r="P1658" s="1811"/>
      <c r="Q1658" s="1812"/>
      <c r="R1658" s="1811"/>
      <c r="S1658" s="1811"/>
      <c r="T1658" s="1812"/>
      <c r="U1658" s="1812"/>
      <c r="V1658" s="1812"/>
      <c r="W1658" s="1812"/>
      <c r="X1658" s="1812"/>
      <c r="Y1658" s="1812"/>
      <c r="Z1658" s="1812"/>
      <c r="AA1658" s="1812">
        <f>D1658</f>
        <v>20757.510000000002</v>
      </c>
      <c r="AB1658" s="1812"/>
      <c r="AC1658" s="1812"/>
      <c r="AD1658" s="1601">
        <f t="shared" si="167"/>
        <v>20757.510000000002</v>
      </c>
      <c r="AE1658" s="1790">
        <v>0</v>
      </c>
      <c r="AF1658" s="1792"/>
    </row>
    <row r="1659" spans="1:32" ht="27.75" customHeight="1">
      <c r="A1659" s="2900" t="s">
        <v>3143</v>
      </c>
      <c r="B1659" s="2902" t="s">
        <v>3144</v>
      </c>
      <c r="C1659" s="2904" t="s">
        <v>1145</v>
      </c>
      <c r="D1659" s="2906">
        <v>20757.510000000002</v>
      </c>
      <c r="E1659" s="1603" t="s">
        <v>2497</v>
      </c>
      <c r="F1659" s="1583"/>
      <c r="G1659" s="1583"/>
      <c r="H1659" s="1583"/>
      <c r="I1659" s="1583"/>
      <c r="J1659" s="1583"/>
      <c r="K1659" s="1583"/>
      <c r="L1659" s="1583"/>
      <c r="M1659" s="1583"/>
      <c r="N1659" s="1583"/>
      <c r="O1659" s="1583"/>
      <c r="P1659" s="1583"/>
      <c r="Q1659" s="1604"/>
      <c r="R1659" s="1583"/>
      <c r="S1659" s="1583"/>
      <c r="T1659" s="1604"/>
      <c r="U1659" s="1592"/>
      <c r="V1659" s="1585"/>
      <c r="W1659" s="1585"/>
      <c r="X1659" s="1585"/>
      <c r="Y1659" s="1592"/>
      <c r="Z1659" s="1585"/>
      <c r="AA1659" s="1585"/>
      <c r="AB1659" s="1585"/>
      <c r="AC1659" s="1585"/>
      <c r="AD1659" s="1601">
        <f t="shared" si="167"/>
        <v>0</v>
      </c>
      <c r="AE1659" s="1790">
        <v>0</v>
      </c>
      <c r="AF1659" s="1792"/>
    </row>
    <row r="1660" spans="1:32" ht="27.75" customHeight="1">
      <c r="A1660" s="1795" t="s">
        <v>1088</v>
      </c>
      <c r="B1660" s="1795" t="s">
        <v>3993</v>
      </c>
      <c r="C1660" s="1803"/>
      <c r="D1660" s="1804"/>
      <c r="E1660" s="1599"/>
      <c r="F1660" s="1583"/>
      <c r="G1660" s="1583"/>
      <c r="H1660" s="1583"/>
      <c r="I1660" s="1583"/>
      <c r="J1660" s="1583"/>
      <c r="K1660" s="1583"/>
      <c r="L1660" s="1583"/>
      <c r="M1660" s="1583"/>
      <c r="N1660" s="1583"/>
      <c r="O1660" s="1583"/>
      <c r="P1660" s="1583"/>
      <c r="Q1660" s="1604"/>
      <c r="R1660" s="1583"/>
      <c r="S1660" s="1583"/>
      <c r="T1660" s="1604"/>
      <c r="U1660" s="1592"/>
      <c r="V1660" s="1585"/>
      <c r="W1660" s="1585"/>
      <c r="X1660" s="1585"/>
      <c r="Y1660" s="1592"/>
      <c r="Z1660" s="1585"/>
      <c r="AA1660" s="1585"/>
      <c r="AB1660" s="1585"/>
      <c r="AC1660" s="1585"/>
      <c r="AD1660" s="1601">
        <f t="shared" si="167"/>
        <v>0</v>
      </c>
      <c r="AE1660" s="1790">
        <v>0</v>
      </c>
      <c r="AF1660" s="1792"/>
    </row>
    <row r="1661" spans="1:32" ht="27.75" customHeight="1">
      <c r="A1661" s="2899" t="s">
        <v>3146</v>
      </c>
      <c r="B1661" s="2901" t="s">
        <v>3994</v>
      </c>
      <c r="C1661" s="2903" t="s">
        <v>51</v>
      </c>
      <c r="D1661" s="2905">
        <v>7940.2400000000007</v>
      </c>
      <c r="E1661" s="1598" t="s">
        <v>2496</v>
      </c>
      <c r="F1661" s="1583"/>
      <c r="G1661" s="1583"/>
      <c r="H1661" s="1583"/>
      <c r="I1661" s="1583"/>
      <c r="J1661" s="1583"/>
      <c r="K1661" s="1583"/>
      <c r="L1661" s="1583"/>
      <c r="M1661" s="1583"/>
      <c r="N1661" s="1583"/>
      <c r="O1661" s="1583"/>
      <c r="P1661" s="1583"/>
      <c r="Q1661" s="1585"/>
      <c r="R1661" s="1583"/>
      <c r="S1661" s="1583"/>
      <c r="T1661" s="1585"/>
      <c r="U1661" s="1585"/>
      <c r="V1661" s="1585"/>
      <c r="W1661" s="1585"/>
      <c r="X1661" s="1585"/>
      <c r="Y1661" s="1585"/>
      <c r="Z1661" s="1585"/>
      <c r="AA1661" s="1585">
        <f>D1661</f>
        <v>7940.2400000000007</v>
      </c>
      <c r="AB1661" s="1585"/>
      <c r="AC1661" s="1585"/>
      <c r="AD1661" s="1601">
        <f t="shared" si="167"/>
        <v>7940.2400000000007</v>
      </c>
      <c r="AE1661" s="1790">
        <v>0</v>
      </c>
      <c r="AF1661" s="1792"/>
    </row>
    <row r="1662" spans="1:32" ht="27.75" customHeight="1">
      <c r="A1662" s="2900" t="s">
        <v>3146</v>
      </c>
      <c r="B1662" s="2902" t="s">
        <v>3147</v>
      </c>
      <c r="C1662" s="2904" t="s">
        <v>51</v>
      </c>
      <c r="D1662" s="2906">
        <v>7940.2400000000007</v>
      </c>
      <c r="E1662" s="1603" t="s">
        <v>2497</v>
      </c>
      <c r="F1662" s="1583"/>
      <c r="G1662" s="1583"/>
      <c r="H1662" s="1583"/>
      <c r="I1662" s="1583"/>
      <c r="J1662" s="1583"/>
      <c r="K1662" s="1583"/>
      <c r="L1662" s="1583"/>
      <c r="M1662" s="1583"/>
      <c r="N1662" s="1583"/>
      <c r="O1662" s="1583"/>
      <c r="P1662" s="1583"/>
      <c r="Q1662" s="1604"/>
      <c r="R1662" s="1583"/>
      <c r="S1662" s="1583"/>
      <c r="T1662" s="1604"/>
      <c r="U1662" s="1585"/>
      <c r="V1662" s="1585"/>
      <c r="W1662" s="1585"/>
      <c r="X1662" s="1585"/>
      <c r="Y1662" s="1585"/>
      <c r="Z1662" s="1585"/>
      <c r="AA1662" s="1585"/>
      <c r="AB1662" s="1585"/>
      <c r="AC1662" s="1585"/>
      <c r="AD1662" s="1601">
        <f t="shared" si="167"/>
        <v>0</v>
      </c>
      <c r="AE1662" s="1790">
        <v>0</v>
      </c>
      <c r="AF1662" s="1792"/>
    </row>
    <row r="1663" spans="1:32" ht="27.75" customHeight="1">
      <c r="A1663" s="1795" t="s">
        <v>3148</v>
      </c>
      <c r="B1663" s="1795" t="s">
        <v>3995</v>
      </c>
      <c r="C1663" s="1803"/>
      <c r="D1663" s="1804"/>
      <c r="E1663" s="1813"/>
      <c r="F1663" s="1811"/>
      <c r="G1663" s="1811"/>
      <c r="H1663" s="1811"/>
      <c r="I1663" s="1811"/>
      <c r="J1663" s="1811"/>
      <c r="K1663" s="1811"/>
      <c r="L1663" s="1811"/>
      <c r="M1663" s="1811"/>
      <c r="N1663" s="1811"/>
      <c r="O1663" s="1811"/>
      <c r="P1663" s="1811"/>
      <c r="Q1663" s="1814"/>
      <c r="R1663" s="1811"/>
      <c r="S1663" s="1811"/>
      <c r="T1663" s="1814"/>
      <c r="U1663" s="1812"/>
      <c r="V1663" s="1812"/>
      <c r="W1663" s="1812"/>
      <c r="X1663" s="1812"/>
      <c r="Y1663" s="1812"/>
      <c r="Z1663" s="1812"/>
      <c r="AA1663" s="1812"/>
      <c r="AB1663" s="1812"/>
      <c r="AC1663" s="1812"/>
      <c r="AD1663" s="1601">
        <f t="shared" si="167"/>
        <v>0</v>
      </c>
      <c r="AE1663" s="1790">
        <v>0</v>
      </c>
      <c r="AF1663" s="1792"/>
    </row>
    <row r="1664" spans="1:32" ht="27.75" customHeight="1">
      <c r="A1664" s="2899" t="s">
        <v>3150</v>
      </c>
      <c r="B1664" s="2901" t="s">
        <v>3996</v>
      </c>
      <c r="C1664" s="2903" t="s">
        <v>52</v>
      </c>
      <c r="D1664" s="2905">
        <v>6844.54</v>
      </c>
      <c r="E1664" s="1810" t="s">
        <v>2496</v>
      </c>
      <c r="F1664" s="1811"/>
      <c r="G1664" s="1811"/>
      <c r="H1664" s="1811"/>
      <c r="I1664" s="1811"/>
      <c r="J1664" s="1811"/>
      <c r="K1664" s="1811"/>
      <c r="L1664" s="1811"/>
      <c r="M1664" s="1811"/>
      <c r="N1664" s="1811"/>
      <c r="O1664" s="1811"/>
      <c r="P1664" s="1811"/>
      <c r="Q1664" s="1812"/>
      <c r="R1664" s="1811"/>
      <c r="S1664" s="1811"/>
      <c r="T1664" s="1812"/>
      <c r="U1664" s="1812"/>
      <c r="V1664" s="1812"/>
      <c r="W1664" s="1812"/>
      <c r="X1664" s="1812"/>
      <c r="Y1664" s="1812"/>
      <c r="Z1664" s="1812"/>
      <c r="AA1664" s="1812">
        <f>D1664</f>
        <v>6844.54</v>
      </c>
      <c r="AB1664" s="1812"/>
      <c r="AC1664" s="1812"/>
      <c r="AD1664" s="1601">
        <f t="shared" si="167"/>
        <v>6844.54</v>
      </c>
      <c r="AE1664" s="1790">
        <v>0</v>
      </c>
      <c r="AF1664" s="1792"/>
    </row>
    <row r="1665" spans="1:32" ht="27.75" customHeight="1">
      <c r="A1665" s="2900" t="s">
        <v>3150</v>
      </c>
      <c r="B1665" s="2902" t="s">
        <v>3151</v>
      </c>
      <c r="C1665" s="2904" t="s">
        <v>52</v>
      </c>
      <c r="D1665" s="2906">
        <v>6844.54</v>
      </c>
      <c r="E1665" s="1603" t="s">
        <v>2497</v>
      </c>
      <c r="F1665" s="1583"/>
      <c r="G1665" s="1583"/>
      <c r="H1665" s="1583"/>
      <c r="I1665" s="1583"/>
      <c r="J1665" s="1583"/>
      <c r="K1665" s="1583"/>
      <c r="L1665" s="1583"/>
      <c r="M1665" s="1583"/>
      <c r="N1665" s="1583"/>
      <c r="O1665" s="1583"/>
      <c r="P1665" s="1583"/>
      <c r="Q1665" s="1604"/>
      <c r="R1665" s="1583"/>
      <c r="S1665" s="1583"/>
      <c r="T1665" s="1604"/>
      <c r="U1665" s="1592"/>
      <c r="V1665" s="1585"/>
      <c r="W1665" s="1585"/>
      <c r="X1665" s="1585"/>
      <c r="Y1665" s="1592"/>
      <c r="Z1665" s="1585"/>
      <c r="AA1665" s="1585"/>
      <c r="AB1665" s="1585"/>
      <c r="AC1665" s="1585"/>
      <c r="AD1665" s="1601">
        <f t="shared" si="167"/>
        <v>0</v>
      </c>
      <c r="AE1665" s="1790">
        <v>0</v>
      </c>
      <c r="AF1665" s="1792"/>
    </row>
    <row r="1666" spans="1:32" ht="27.75" customHeight="1">
      <c r="A1666" s="2899" t="s">
        <v>3152</v>
      </c>
      <c r="B1666" s="2901" t="s">
        <v>3997</v>
      </c>
      <c r="C1666" s="2903" t="s">
        <v>52</v>
      </c>
      <c r="D1666" s="2905">
        <v>4058.6</v>
      </c>
      <c r="E1666" s="1810" t="s">
        <v>2496</v>
      </c>
      <c r="F1666" s="1811"/>
      <c r="G1666" s="1811"/>
      <c r="H1666" s="1811"/>
      <c r="I1666" s="1811"/>
      <c r="J1666" s="1811"/>
      <c r="K1666" s="1811"/>
      <c r="L1666" s="1811"/>
      <c r="M1666" s="1811"/>
      <c r="N1666" s="1811"/>
      <c r="O1666" s="1811"/>
      <c r="P1666" s="1811"/>
      <c r="Q1666" s="1812"/>
      <c r="R1666" s="1811"/>
      <c r="S1666" s="1811"/>
      <c r="T1666" s="1812"/>
      <c r="U1666" s="1812"/>
      <c r="V1666" s="1812"/>
      <c r="W1666" s="1812"/>
      <c r="X1666" s="1812"/>
      <c r="Y1666" s="1812"/>
      <c r="Z1666" s="1812"/>
      <c r="AA1666" s="1812">
        <f>D1666</f>
        <v>4058.6</v>
      </c>
      <c r="AB1666" s="1812"/>
      <c r="AC1666" s="1812"/>
      <c r="AD1666" s="1601">
        <f t="shared" si="167"/>
        <v>4058.6</v>
      </c>
      <c r="AE1666" s="1790">
        <v>0</v>
      </c>
      <c r="AF1666" s="1792"/>
    </row>
    <row r="1667" spans="1:32" ht="27.75" customHeight="1">
      <c r="A1667" s="2900" t="s">
        <v>3152</v>
      </c>
      <c r="B1667" s="2902" t="s">
        <v>3153</v>
      </c>
      <c r="C1667" s="2904" t="s">
        <v>52</v>
      </c>
      <c r="D1667" s="2906">
        <v>4058.6</v>
      </c>
      <c r="E1667" s="1603" t="s">
        <v>2497</v>
      </c>
      <c r="F1667" s="1583"/>
      <c r="G1667" s="1583"/>
      <c r="H1667" s="1583"/>
      <c r="I1667" s="1583"/>
      <c r="J1667" s="1583"/>
      <c r="K1667" s="1583"/>
      <c r="L1667" s="1583"/>
      <c r="M1667" s="1583"/>
      <c r="N1667" s="1583"/>
      <c r="O1667" s="1583"/>
      <c r="P1667" s="1583"/>
      <c r="Q1667" s="1604"/>
      <c r="R1667" s="1583"/>
      <c r="S1667" s="1583"/>
      <c r="T1667" s="1604"/>
      <c r="U1667" s="1585"/>
      <c r="V1667" s="1585"/>
      <c r="W1667" s="1585"/>
      <c r="X1667" s="1585"/>
      <c r="Y1667" s="1585"/>
      <c r="Z1667" s="1585"/>
      <c r="AA1667" s="1585"/>
      <c r="AB1667" s="1585"/>
      <c r="AC1667" s="1585"/>
      <c r="AD1667" s="1601">
        <f t="shared" si="167"/>
        <v>0</v>
      </c>
      <c r="AE1667" s="1790">
        <v>0</v>
      </c>
      <c r="AF1667" s="1792"/>
    </row>
    <row r="1668" spans="1:32" ht="27.75" customHeight="1">
      <c r="A1668" s="2899" t="s">
        <v>3154</v>
      </c>
      <c r="B1668" s="2901" t="s">
        <v>3998</v>
      </c>
      <c r="C1668" s="2903" t="s">
        <v>52</v>
      </c>
      <c r="D1668" s="2905">
        <v>562.5</v>
      </c>
      <c r="E1668" s="1810" t="s">
        <v>2496</v>
      </c>
      <c r="F1668" s="1811"/>
      <c r="G1668" s="1811"/>
      <c r="H1668" s="1811"/>
      <c r="I1668" s="1811"/>
      <c r="J1668" s="1811"/>
      <c r="K1668" s="1811"/>
      <c r="L1668" s="1811"/>
      <c r="M1668" s="1811"/>
      <c r="N1668" s="1811"/>
      <c r="O1668" s="1811"/>
      <c r="P1668" s="1811"/>
      <c r="Q1668" s="1812"/>
      <c r="R1668" s="1811"/>
      <c r="S1668" s="1811"/>
      <c r="T1668" s="1812"/>
      <c r="U1668" s="1812"/>
      <c r="V1668" s="1812"/>
      <c r="W1668" s="1812"/>
      <c r="X1668" s="1812"/>
      <c r="Y1668" s="1812"/>
      <c r="Z1668" s="1812"/>
      <c r="AA1668" s="1812">
        <f>D1668</f>
        <v>562.5</v>
      </c>
      <c r="AB1668" s="1812"/>
      <c r="AC1668" s="1812"/>
      <c r="AD1668" s="1601">
        <f t="shared" si="167"/>
        <v>562.5</v>
      </c>
      <c r="AE1668" s="1790">
        <v>0</v>
      </c>
      <c r="AF1668" s="1792"/>
    </row>
    <row r="1669" spans="1:32" ht="27.75" customHeight="1">
      <c r="A1669" s="2900" t="s">
        <v>3154</v>
      </c>
      <c r="B1669" s="2902" t="s">
        <v>3155</v>
      </c>
      <c r="C1669" s="2904" t="s">
        <v>52</v>
      </c>
      <c r="D1669" s="2906">
        <v>562.5</v>
      </c>
      <c r="E1669" s="1603" t="s">
        <v>2497</v>
      </c>
      <c r="F1669" s="1583"/>
      <c r="G1669" s="1583"/>
      <c r="H1669" s="1583"/>
      <c r="I1669" s="1583"/>
      <c r="J1669" s="1583"/>
      <c r="K1669" s="1583"/>
      <c r="L1669" s="1583"/>
      <c r="M1669" s="1583"/>
      <c r="N1669" s="1583"/>
      <c r="O1669" s="1583"/>
      <c r="P1669" s="1583"/>
      <c r="Q1669" s="1604"/>
      <c r="R1669" s="1583"/>
      <c r="S1669" s="1583"/>
      <c r="T1669" s="1604"/>
      <c r="U1669" s="1592"/>
      <c r="V1669" s="1585"/>
      <c r="W1669" s="1585"/>
      <c r="X1669" s="1585"/>
      <c r="Y1669" s="1592"/>
      <c r="Z1669" s="1585"/>
      <c r="AA1669" s="1585"/>
      <c r="AB1669" s="1585"/>
      <c r="AC1669" s="1585"/>
      <c r="AD1669" s="1601">
        <f t="shared" si="167"/>
        <v>0</v>
      </c>
      <c r="AE1669" s="1790">
        <v>0</v>
      </c>
      <c r="AF1669" s="1792"/>
    </row>
    <row r="1670" spans="1:32" ht="27.75" customHeight="1">
      <c r="A1670" s="2899" t="s">
        <v>3156</v>
      </c>
      <c r="B1670" s="2901" t="s">
        <v>3999</v>
      </c>
      <c r="C1670" s="2903" t="s">
        <v>52</v>
      </c>
      <c r="D1670" s="2905">
        <v>4152.42</v>
      </c>
      <c r="E1670" s="1598" t="s">
        <v>2496</v>
      </c>
      <c r="F1670" s="1583"/>
      <c r="G1670" s="1583"/>
      <c r="H1670" s="1583"/>
      <c r="I1670" s="1583"/>
      <c r="J1670" s="1583"/>
      <c r="K1670" s="1583"/>
      <c r="L1670" s="1583"/>
      <c r="M1670" s="1583"/>
      <c r="N1670" s="1583"/>
      <c r="O1670" s="1583"/>
      <c r="P1670" s="1583"/>
      <c r="Q1670" s="1585"/>
      <c r="R1670" s="1583"/>
      <c r="S1670" s="1583"/>
      <c r="T1670" s="1585"/>
      <c r="U1670" s="1585"/>
      <c r="V1670" s="1585"/>
      <c r="W1670" s="1585"/>
      <c r="X1670" s="1585"/>
      <c r="Y1670" s="1585"/>
      <c r="Z1670" s="1585"/>
      <c r="AA1670" s="1812">
        <f>D1670</f>
        <v>4152.42</v>
      </c>
      <c r="AB1670" s="1585"/>
      <c r="AC1670" s="1585"/>
      <c r="AD1670" s="1601">
        <f t="shared" si="167"/>
        <v>4152.42</v>
      </c>
      <c r="AE1670" s="1790">
        <v>0</v>
      </c>
      <c r="AF1670" s="1792"/>
    </row>
    <row r="1671" spans="1:32" ht="27.75" customHeight="1">
      <c r="A1671" s="2900" t="s">
        <v>3156</v>
      </c>
      <c r="B1671" s="2902" t="s">
        <v>3157</v>
      </c>
      <c r="C1671" s="2904" t="s">
        <v>52</v>
      </c>
      <c r="D1671" s="2906">
        <v>4152.42</v>
      </c>
      <c r="E1671" s="1603" t="s">
        <v>2497</v>
      </c>
      <c r="F1671" s="1583"/>
      <c r="G1671" s="1583"/>
      <c r="H1671" s="1583"/>
      <c r="I1671" s="1583"/>
      <c r="J1671" s="1583"/>
      <c r="K1671" s="1583"/>
      <c r="L1671" s="1583"/>
      <c r="M1671" s="1583"/>
      <c r="N1671" s="1583"/>
      <c r="O1671" s="1583"/>
      <c r="P1671" s="1583"/>
      <c r="Q1671" s="1604"/>
      <c r="R1671" s="1583"/>
      <c r="S1671" s="1583"/>
      <c r="T1671" s="1604"/>
      <c r="U1671" s="1585"/>
      <c r="V1671" s="1585"/>
      <c r="W1671" s="1585"/>
      <c r="X1671" s="1585"/>
      <c r="Y1671" s="1585"/>
      <c r="Z1671" s="1585"/>
      <c r="AA1671" s="1585"/>
      <c r="AB1671" s="1585"/>
      <c r="AC1671" s="1585"/>
      <c r="AD1671" s="1601">
        <f t="shared" si="167"/>
        <v>0</v>
      </c>
      <c r="AE1671" s="1790">
        <v>0</v>
      </c>
      <c r="AF1671" s="1792"/>
    </row>
    <row r="1672" spans="1:32" ht="27.75" customHeight="1">
      <c r="A1672" s="1795" t="s">
        <v>3158</v>
      </c>
      <c r="B1672" s="1795" t="s">
        <v>1800</v>
      </c>
      <c r="C1672" s="1803"/>
      <c r="D1672" s="1804"/>
      <c r="E1672" s="1813"/>
      <c r="F1672" s="1811"/>
      <c r="G1672" s="1811"/>
      <c r="H1672" s="1811"/>
      <c r="I1672" s="1811"/>
      <c r="J1672" s="1811"/>
      <c r="K1672" s="1811"/>
      <c r="L1672" s="1811"/>
      <c r="M1672" s="1811"/>
      <c r="N1672" s="1811"/>
      <c r="O1672" s="1811"/>
      <c r="P1672" s="1811"/>
      <c r="Q1672" s="1814"/>
      <c r="R1672" s="1811"/>
      <c r="S1672" s="1811"/>
      <c r="T1672" s="1814"/>
      <c r="U1672" s="1812"/>
      <c r="V1672" s="1812"/>
      <c r="W1672" s="1812"/>
      <c r="X1672" s="1812"/>
      <c r="Y1672" s="1812"/>
      <c r="Z1672" s="1812"/>
      <c r="AA1672" s="1812"/>
      <c r="AB1672" s="1812"/>
      <c r="AC1672" s="1812"/>
      <c r="AD1672" s="1601">
        <f t="shared" si="167"/>
        <v>0</v>
      </c>
      <c r="AE1672" s="1790">
        <v>0</v>
      </c>
      <c r="AF1672" s="1792"/>
    </row>
    <row r="1673" spans="1:32" ht="27.75" customHeight="1">
      <c r="A1673" s="2899" t="s">
        <v>3160</v>
      </c>
      <c r="B1673" s="2901" t="s">
        <v>4000</v>
      </c>
      <c r="C1673" s="2903" t="s">
        <v>51</v>
      </c>
      <c r="D1673" s="2905">
        <v>12250.44</v>
      </c>
      <c r="E1673" s="1810" t="s">
        <v>2496</v>
      </c>
      <c r="F1673" s="1811"/>
      <c r="G1673" s="1811"/>
      <c r="H1673" s="1811"/>
      <c r="I1673" s="1811"/>
      <c r="J1673" s="1811"/>
      <c r="K1673" s="1811"/>
      <c r="L1673" s="1811"/>
      <c r="M1673" s="1811"/>
      <c r="N1673" s="1811"/>
      <c r="O1673" s="1811"/>
      <c r="P1673" s="1811"/>
      <c r="Q1673" s="1812"/>
      <c r="R1673" s="1811"/>
      <c r="S1673" s="1811"/>
      <c r="T1673" s="1812"/>
      <c r="U1673" s="1812"/>
      <c r="V1673" s="1812"/>
      <c r="W1673" s="1812"/>
      <c r="X1673" s="1812"/>
      <c r="Y1673" s="1812"/>
      <c r="Z1673" s="1812"/>
      <c r="AA1673" s="1812">
        <f>D1673</f>
        <v>12250.44</v>
      </c>
      <c r="AB1673" s="1812"/>
      <c r="AC1673" s="1812"/>
      <c r="AD1673" s="1601">
        <f t="shared" si="167"/>
        <v>12250.44</v>
      </c>
      <c r="AE1673" s="1790">
        <v>0</v>
      </c>
      <c r="AF1673" s="1792"/>
    </row>
    <row r="1674" spans="1:32" ht="27.75" customHeight="1">
      <c r="A1674" s="2900" t="s">
        <v>3160</v>
      </c>
      <c r="B1674" s="2902" t="s">
        <v>3161</v>
      </c>
      <c r="C1674" s="2904" t="s">
        <v>51</v>
      </c>
      <c r="D1674" s="2906">
        <v>12250.44</v>
      </c>
      <c r="E1674" s="1603" t="s">
        <v>2497</v>
      </c>
      <c r="F1674" s="1583"/>
      <c r="G1674" s="1583"/>
      <c r="H1674" s="1583"/>
      <c r="I1674" s="1583"/>
      <c r="J1674" s="1583"/>
      <c r="K1674" s="1583"/>
      <c r="L1674" s="1583"/>
      <c r="M1674" s="1583"/>
      <c r="N1674" s="1583"/>
      <c r="O1674" s="1583"/>
      <c r="P1674" s="1583"/>
      <c r="Q1674" s="1604"/>
      <c r="R1674" s="1583"/>
      <c r="S1674" s="1583"/>
      <c r="T1674" s="1604"/>
      <c r="U1674" s="1592"/>
      <c r="V1674" s="1585"/>
      <c r="W1674" s="1585"/>
      <c r="X1674" s="1585"/>
      <c r="Y1674" s="1592"/>
      <c r="Z1674" s="1585"/>
      <c r="AA1674" s="1585"/>
      <c r="AB1674" s="1585"/>
      <c r="AC1674" s="1585"/>
      <c r="AD1674" s="1601">
        <f t="shared" si="167"/>
        <v>0</v>
      </c>
      <c r="AE1674" s="1790">
        <v>0</v>
      </c>
      <c r="AF1674" s="1792"/>
    </row>
    <row r="1675" spans="1:32" ht="27.75" customHeight="1">
      <c r="A1675" s="1795" t="s">
        <v>3162</v>
      </c>
      <c r="B1675" s="1795" t="s">
        <v>1812</v>
      </c>
      <c r="C1675" s="1803"/>
      <c r="D1675" s="1804"/>
      <c r="E1675" s="1813"/>
      <c r="F1675" s="1811"/>
      <c r="G1675" s="1811"/>
      <c r="H1675" s="1811"/>
      <c r="I1675" s="1811"/>
      <c r="J1675" s="1811"/>
      <c r="K1675" s="1811"/>
      <c r="L1675" s="1811"/>
      <c r="M1675" s="1811"/>
      <c r="N1675" s="1811"/>
      <c r="O1675" s="1811"/>
      <c r="P1675" s="1811"/>
      <c r="Q1675" s="1814"/>
      <c r="R1675" s="1811"/>
      <c r="S1675" s="1811"/>
      <c r="T1675" s="1814"/>
      <c r="U1675" s="1816"/>
      <c r="V1675" s="1812"/>
      <c r="W1675" s="1812"/>
      <c r="X1675" s="1812"/>
      <c r="Y1675" s="1816"/>
      <c r="Z1675" s="1812"/>
      <c r="AA1675" s="1812"/>
      <c r="AB1675" s="1812"/>
      <c r="AC1675" s="1812"/>
      <c r="AD1675" s="1601">
        <f t="shared" si="167"/>
        <v>0</v>
      </c>
      <c r="AE1675" s="1790">
        <v>0</v>
      </c>
      <c r="AF1675" s="1792"/>
    </row>
    <row r="1676" spans="1:32" ht="27.75" customHeight="1">
      <c r="A1676" s="2899" t="s">
        <v>3164</v>
      </c>
      <c r="B1676" s="2901" t="s">
        <v>4001</v>
      </c>
      <c r="C1676" s="2903" t="s">
        <v>52</v>
      </c>
      <c r="D1676" s="2905">
        <v>4123.08</v>
      </c>
      <c r="E1676" s="1810" t="s">
        <v>2496</v>
      </c>
      <c r="F1676" s="1811"/>
      <c r="G1676" s="1811"/>
      <c r="H1676" s="1811"/>
      <c r="I1676" s="1811"/>
      <c r="J1676" s="1811"/>
      <c r="K1676" s="1811"/>
      <c r="L1676" s="1811"/>
      <c r="M1676" s="1811"/>
      <c r="N1676" s="1811"/>
      <c r="O1676" s="1811"/>
      <c r="P1676" s="1811"/>
      <c r="Q1676" s="1812"/>
      <c r="R1676" s="1811"/>
      <c r="S1676" s="1811"/>
      <c r="T1676" s="1812"/>
      <c r="U1676" s="1812"/>
      <c r="V1676" s="1812"/>
      <c r="W1676" s="1812"/>
      <c r="X1676" s="1812"/>
      <c r="Y1676" s="1812"/>
      <c r="Z1676" s="1812"/>
      <c r="AA1676" s="1812">
        <f>D1676</f>
        <v>4123.08</v>
      </c>
      <c r="AB1676" s="1812"/>
      <c r="AC1676" s="1812"/>
      <c r="AD1676" s="1601">
        <f t="shared" si="167"/>
        <v>4123.08</v>
      </c>
      <c r="AE1676" s="1790">
        <v>0</v>
      </c>
      <c r="AF1676" s="1792"/>
    </row>
    <row r="1677" spans="1:32" ht="27.75" customHeight="1">
      <c r="A1677" s="2900" t="s">
        <v>3164</v>
      </c>
      <c r="B1677" s="2902" t="s">
        <v>3165</v>
      </c>
      <c r="C1677" s="2904" t="s">
        <v>52</v>
      </c>
      <c r="D1677" s="2906">
        <v>4123.08</v>
      </c>
      <c r="E1677" s="1603" t="s">
        <v>2497</v>
      </c>
      <c r="F1677" s="1583"/>
      <c r="G1677" s="1583"/>
      <c r="H1677" s="1583"/>
      <c r="I1677" s="1583"/>
      <c r="J1677" s="1583"/>
      <c r="K1677" s="1583"/>
      <c r="L1677" s="1583"/>
      <c r="M1677" s="1583"/>
      <c r="N1677" s="1583"/>
      <c r="O1677" s="1583"/>
      <c r="P1677" s="1583"/>
      <c r="Q1677" s="1604"/>
      <c r="R1677" s="1583"/>
      <c r="S1677" s="1583"/>
      <c r="T1677" s="1604"/>
      <c r="U1677" s="1585"/>
      <c r="V1677" s="1585"/>
      <c r="W1677" s="1585"/>
      <c r="X1677" s="1585"/>
      <c r="Y1677" s="1585"/>
      <c r="Z1677" s="1585"/>
      <c r="AA1677" s="1585"/>
      <c r="AB1677" s="1585"/>
      <c r="AC1677" s="1585"/>
      <c r="AD1677" s="1601">
        <f t="shared" si="167"/>
        <v>0</v>
      </c>
      <c r="AE1677" s="1790">
        <v>0</v>
      </c>
      <c r="AF1677" s="1792"/>
    </row>
    <row r="1678" spans="1:32" ht="27.75" customHeight="1">
      <c r="A1678" s="1795" t="s">
        <v>3166</v>
      </c>
      <c r="B1678" s="1795" t="s">
        <v>4002</v>
      </c>
      <c r="C1678" s="1803"/>
      <c r="D1678" s="1804"/>
      <c r="E1678" s="1813"/>
      <c r="F1678" s="1811"/>
      <c r="G1678" s="1811"/>
      <c r="H1678" s="1811"/>
      <c r="I1678" s="1811"/>
      <c r="J1678" s="1811"/>
      <c r="K1678" s="1811"/>
      <c r="L1678" s="1811"/>
      <c r="M1678" s="1811"/>
      <c r="N1678" s="1811"/>
      <c r="O1678" s="1811"/>
      <c r="P1678" s="1811"/>
      <c r="Q1678" s="1814"/>
      <c r="R1678" s="1811"/>
      <c r="S1678" s="1811"/>
      <c r="T1678" s="1814"/>
      <c r="U1678" s="1812"/>
      <c r="V1678" s="1812"/>
      <c r="W1678" s="1812"/>
      <c r="X1678" s="1812"/>
      <c r="Y1678" s="1812"/>
      <c r="Z1678" s="1812"/>
      <c r="AA1678" s="1812"/>
      <c r="AB1678" s="1812"/>
      <c r="AC1678" s="1812"/>
      <c r="AD1678" s="1601">
        <f t="shared" si="167"/>
        <v>0</v>
      </c>
      <c r="AE1678" s="1790">
        <v>0</v>
      </c>
      <c r="AF1678" s="1792"/>
    </row>
    <row r="1679" spans="1:32" ht="27.75" customHeight="1">
      <c r="A1679" s="2899" t="s">
        <v>3168</v>
      </c>
      <c r="B1679" s="2901" t="s">
        <v>4003</v>
      </c>
      <c r="C1679" s="2903" t="s">
        <v>52</v>
      </c>
      <c r="D1679" s="2905">
        <v>17725.5</v>
      </c>
      <c r="E1679" s="1810" t="s">
        <v>2496</v>
      </c>
      <c r="F1679" s="1811"/>
      <c r="G1679" s="1811"/>
      <c r="H1679" s="1811"/>
      <c r="I1679" s="1811"/>
      <c r="J1679" s="1811"/>
      <c r="K1679" s="1811"/>
      <c r="L1679" s="1811"/>
      <c r="M1679" s="1811"/>
      <c r="N1679" s="1811"/>
      <c r="O1679" s="1811"/>
      <c r="P1679" s="1811"/>
      <c r="Q1679" s="1812"/>
      <c r="R1679" s="1811"/>
      <c r="S1679" s="1811"/>
      <c r="T1679" s="1812"/>
      <c r="U1679" s="1812"/>
      <c r="V1679" s="1812"/>
      <c r="W1679" s="1812"/>
      <c r="X1679" s="1812"/>
      <c r="Y1679" s="1812"/>
      <c r="Z1679" s="1812"/>
      <c r="AA1679" s="1812"/>
      <c r="AB1679" s="1812"/>
      <c r="AC1679" s="1812">
        <v>17725.5</v>
      </c>
      <c r="AD1679" s="1601">
        <f t="shared" si="167"/>
        <v>17725.5</v>
      </c>
      <c r="AE1679" s="1790">
        <v>0</v>
      </c>
      <c r="AF1679" s="1792"/>
    </row>
    <row r="1680" spans="1:32" ht="27.75" customHeight="1">
      <c r="A1680" s="2900" t="s">
        <v>3168</v>
      </c>
      <c r="B1680" s="2902" t="s">
        <v>3169</v>
      </c>
      <c r="C1680" s="2904" t="s">
        <v>52</v>
      </c>
      <c r="D1680" s="2906">
        <v>17725.5</v>
      </c>
      <c r="E1680" s="1603" t="s">
        <v>2497</v>
      </c>
      <c r="F1680" s="1583"/>
      <c r="G1680" s="1583"/>
      <c r="H1680" s="1583"/>
      <c r="I1680" s="1583"/>
      <c r="J1680" s="1583"/>
      <c r="K1680" s="1583"/>
      <c r="L1680" s="1583"/>
      <c r="M1680" s="1583"/>
      <c r="N1680" s="1583"/>
      <c r="O1680" s="1583"/>
      <c r="P1680" s="1583"/>
      <c r="Q1680" s="1604"/>
      <c r="R1680" s="1583"/>
      <c r="S1680" s="1583"/>
      <c r="T1680" s="1604"/>
      <c r="U1680" s="1592"/>
      <c r="V1680" s="1585"/>
      <c r="W1680" s="1585"/>
      <c r="X1680" s="1585"/>
      <c r="Y1680" s="1592"/>
      <c r="Z1680" s="1585"/>
      <c r="AA1680" s="1585"/>
      <c r="AB1680" s="1585"/>
      <c r="AC1680" s="1585"/>
      <c r="AD1680" s="1601">
        <f t="shared" si="167"/>
        <v>0</v>
      </c>
      <c r="AE1680" s="1790">
        <v>0</v>
      </c>
      <c r="AF1680" s="1792"/>
    </row>
    <row r="1681" spans="1:32" ht="27.75" customHeight="1">
      <c r="A1681" s="2899" t="s">
        <v>3170</v>
      </c>
      <c r="B1681" s="2901" t="s">
        <v>4004</v>
      </c>
      <c r="C1681" s="2903" t="s">
        <v>52</v>
      </c>
      <c r="D1681" s="2905">
        <v>14154.7</v>
      </c>
      <c r="E1681" s="1598" t="s">
        <v>2496</v>
      </c>
      <c r="F1681" s="1583"/>
      <c r="G1681" s="1583"/>
      <c r="H1681" s="1583"/>
      <c r="I1681" s="1583"/>
      <c r="J1681" s="1583"/>
      <c r="K1681" s="1583"/>
      <c r="L1681" s="1583"/>
      <c r="M1681" s="1583"/>
      <c r="N1681" s="1583"/>
      <c r="O1681" s="1583"/>
      <c r="P1681" s="1583"/>
      <c r="Q1681" s="1585"/>
      <c r="R1681" s="1583"/>
      <c r="S1681" s="1583"/>
      <c r="T1681" s="1585"/>
      <c r="U1681" s="1585"/>
      <c r="V1681" s="1585"/>
      <c r="W1681" s="1585"/>
      <c r="X1681" s="1585"/>
      <c r="Y1681" s="1585"/>
      <c r="Z1681" s="1585"/>
      <c r="AA1681" s="1585"/>
      <c r="AB1681" s="1812"/>
      <c r="AC1681" s="1585">
        <v>14154.7</v>
      </c>
      <c r="AD1681" s="1601">
        <f t="shared" ref="AD1681:AD1744" si="168">SUM(F1681:AC1681)</f>
        <v>14154.7</v>
      </c>
      <c r="AE1681" s="1790">
        <v>0</v>
      </c>
      <c r="AF1681" s="1792"/>
    </row>
    <row r="1682" spans="1:32" ht="27.75" customHeight="1">
      <c r="A1682" s="2900" t="s">
        <v>3170</v>
      </c>
      <c r="B1682" s="2902" t="s">
        <v>3171</v>
      </c>
      <c r="C1682" s="2904" t="s">
        <v>52</v>
      </c>
      <c r="D1682" s="2906">
        <v>14154.7</v>
      </c>
      <c r="E1682" s="1603" t="s">
        <v>2497</v>
      </c>
      <c r="F1682" s="1583"/>
      <c r="G1682" s="1583"/>
      <c r="H1682" s="1583"/>
      <c r="I1682" s="1583"/>
      <c r="J1682" s="1583"/>
      <c r="K1682" s="1583"/>
      <c r="L1682" s="1583"/>
      <c r="M1682" s="1583"/>
      <c r="N1682" s="1583"/>
      <c r="O1682" s="1583"/>
      <c r="P1682" s="1583"/>
      <c r="Q1682" s="1604"/>
      <c r="R1682" s="1583"/>
      <c r="S1682" s="1583"/>
      <c r="T1682" s="1604"/>
      <c r="U1682" s="1585"/>
      <c r="V1682" s="1585"/>
      <c r="W1682" s="1585"/>
      <c r="X1682" s="1585"/>
      <c r="Y1682" s="1585"/>
      <c r="Z1682" s="1585"/>
      <c r="AA1682" s="1585"/>
      <c r="AB1682" s="1585"/>
      <c r="AC1682" s="1585"/>
      <c r="AD1682" s="1601">
        <f t="shared" si="168"/>
        <v>0</v>
      </c>
      <c r="AE1682" s="1790">
        <v>0</v>
      </c>
      <c r="AF1682" s="1792"/>
    </row>
    <row r="1683" spans="1:32" ht="27.75" customHeight="1">
      <c r="A1683" s="2899" t="s">
        <v>3172</v>
      </c>
      <c r="B1683" s="2901" t="s">
        <v>4005</v>
      </c>
      <c r="C1683" s="2903" t="s">
        <v>52</v>
      </c>
      <c r="D1683" s="2905">
        <v>8376</v>
      </c>
      <c r="E1683" s="1810" t="s">
        <v>2496</v>
      </c>
      <c r="F1683" s="1811"/>
      <c r="G1683" s="1811"/>
      <c r="H1683" s="1811"/>
      <c r="I1683" s="1811"/>
      <c r="J1683" s="1811"/>
      <c r="K1683" s="1811"/>
      <c r="L1683" s="1811"/>
      <c r="M1683" s="1811"/>
      <c r="N1683" s="1811"/>
      <c r="O1683" s="1811"/>
      <c r="P1683" s="1811"/>
      <c r="Q1683" s="1812"/>
      <c r="R1683" s="1811"/>
      <c r="S1683" s="1811"/>
      <c r="T1683" s="1812"/>
      <c r="U1683" s="1812"/>
      <c r="V1683" s="1812"/>
      <c r="W1683" s="1812"/>
      <c r="X1683" s="1812"/>
      <c r="Y1683" s="1812"/>
      <c r="Z1683" s="1812"/>
      <c r="AA1683" s="1812"/>
      <c r="AB1683" s="1812"/>
      <c r="AC1683" s="1812">
        <v>8376</v>
      </c>
      <c r="AD1683" s="1601">
        <f t="shared" si="168"/>
        <v>8376</v>
      </c>
      <c r="AE1683" s="1790">
        <v>0</v>
      </c>
      <c r="AF1683" s="1792"/>
    </row>
    <row r="1684" spans="1:32" ht="27.75" customHeight="1">
      <c r="A1684" s="2900" t="s">
        <v>3172</v>
      </c>
      <c r="B1684" s="2902" t="s">
        <v>3173</v>
      </c>
      <c r="C1684" s="2904" t="s">
        <v>52</v>
      </c>
      <c r="D1684" s="2906">
        <v>8376</v>
      </c>
      <c r="E1684" s="1603" t="s">
        <v>2497</v>
      </c>
      <c r="F1684" s="1583"/>
      <c r="G1684" s="1583"/>
      <c r="H1684" s="1583"/>
      <c r="I1684" s="1583"/>
      <c r="J1684" s="1583"/>
      <c r="K1684" s="1583"/>
      <c r="L1684" s="1583"/>
      <c r="M1684" s="1583"/>
      <c r="N1684" s="1583"/>
      <c r="O1684" s="1583"/>
      <c r="P1684" s="1583"/>
      <c r="Q1684" s="1604"/>
      <c r="R1684" s="1583"/>
      <c r="S1684" s="1583"/>
      <c r="T1684" s="1604"/>
      <c r="U1684" s="1592"/>
      <c r="V1684" s="1585"/>
      <c r="W1684" s="1585"/>
      <c r="X1684" s="1585"/>
      <c r="Y1684" s="1592"/>
      <c r="Z1684" s="1585"/>
      <c r="AA1684" s="1585"/>
      <c r="AB1684" s="1585"/>
      <c r="AC1684" s="1585"/>
      <c r="AD1684" s="1601">
        <f t="shared" si="168"/>
        <v>0</v>
      </c>
      <c r="AE1684" s="1790">
        <v>0</v>
      </c>
      <c r="AF1684" s="1792"/>
    </row>
    <row r="1685" spans="1:32" ht="27.75" customHeight="1">
      <c r="A1685" s="2899" t="s">
        <v>3174</v>
      </c>
      <c r="B1685" s="2901" t="s">
        <v>4006</v>
      </c>
      <c r="C1685" s="2903" t="s">
        <v>52</v>
      </c>
      <c r="D1685" s="2905">
        <v>11060</v>
      </c>
      <c r="E1685" s="1810" t="s">
        <v>2496</v>
      </c>
      <c r="F1685" s="1811"/>
      <c r="G1685" s="1811"/>
      <c r="H1685" s="1811"/>
      <c r="I1685" s="1811"/>
      <c r="J1685" s="1811"/>
      <c r="K1685" s="1811"/>
      <c r="L1685" s="1811"/>
      <c r="M1685" s="1811"/>
      <c r="N1685" s="1811"/>
      <c r="O1685" s="1811"/>
      <c r="P1685" s="1811"/>
      <c r="Q1685" s="1812"/>
      <c r="R1685" s="1811"/>
      <c r="S1685" s="1811"/>
      <c r="T1685" s="1812"/>
      <c r="U1685" s="1812"/>
      <c r="V1685" s="1812"/>
      <c r="W1685" s="1812"/>
      <c r="X1685" s="1812"/>
      <c r="Y1685" s="1812"/>
      <c r="Z1685" s="1812"/>
      <c r="AA1685" s="1812"/>
      <c r="AB1685" s="1812"/>
      <c r="AC1685" s="1812">
        <v>11060</v>
      </c>
      <c r="AD1685" s="1601">
        <f t="shared" si="168"/>
        <v>11060</v>
      </c>
      <c r="AE1685" s="1790">
        <v>0</v>
      </c>
      <c r="AF1685" s="1792"/>
    </row>
    <row r="1686" spans="1:32" ht="27.75" customHeight="1">
      <c r="A1686" s="2900" t="s">
        <v>3174</v>
      </c>
      <c r="B1686" s="2902" t="s">
        <v>3175</v>
      </c>
      <c r="C1686" s="2904" t="s">
        <v>52</v>
      </c>
      <c r="D1686" s="2906">
        <v>11060</v>
      </c>
      <c r="E1686" s="1603" t="s">
        <v>2497</v>
      </c>
      <c r="F1686" s="1583"/>
      <c r="G1686" s="1583"/>
      <c r="H1686" s="1583"/>
      <c r="I1686" s="1583"/>
      <c r="J1686" s="1583"/>
      <c r="K1686" s="1583"/>
      <c r="L1686" s="1583"/>
      <c r="M1686" s="1583"/>
      <c r="N1686" s="1583"/>
      <c r="O1686" s="1583"/>
      <c r="P1686" s="1583"/>
      <c r="Q1686" s="1604"/>
      <c r="R1686" s="1583"/>
      <c r="S1686" s="1583"/>
      <c r="T1686" s="1604"/>
      <c r="U1686" s="1592"/>
      <c r="V1686" s="1585"/>
      <c r="W1686" s="1585"/>
      <c r="X1686" s="1585"/>
      <c r="Y1686" s="1592"/>
      <c r="Z1686" s="1585"/>
      <c r="AA1686" s="1585"/>
      <c r="AB1686" s="1585"/>
      <c r="AC1686" s="1585"/>
      <c r="AD1686" s="1601">
        <f t="shared" si="168"/>
        <v>0</v>
      </c>
      <c r="AE1686" s="1790">
        <v>0</v>
      </c>
      <c r="AF1686" s="1792"/>
    </row>
    <row r="1687" spans="1:32" ht="27.75" customHeight="1">
      <c r="A1687" s="1795" t="s">
        <v>3176</v>
      </c>
      <c r="B1687" s="1795" t="s">
        <v>4007</v>
      </c>
      <c r="C1687" s="1803"/>
      <c r="D1687" s="1804"/>
      <c r="E1687" s="1813"/>
      <c r="F1687" s="1811"/>
      <c r="G1687" s="1811"/>
      <c r="H1687" s="1811"/>
      <c r="I1687" s="1811"/>
      <c r="J1687" s="1811"/>
      <c r="K1687" s="1811"/>
      <c r="L1687" s="1811"/>
      <c r="M1687" s="1811"/>
      <c r="N1687" s="1811"/>
      <c r="O1687" s="1811"/>
      <c r="P1687" s="1811"/>
      <c r="Q1687" s="1814"/>
      <c r="R1687" s="1811"/>
      <c r="S1687" s="1811"/>
      <c r="T1687" s="1814"/>
      <c r="U1687" s="1816"/>
      <c r="V1687" s="1812"/>
      <c r="W1687" s="1812"/>
      <c r="X1687" s="1812"/>
      <c r="Y1687" s="1816"/>
      <c r="Z1687" s="1812"/>
      <c r="AA1687" s="1812"/>
      <c r="AB1687" s="1812"/>
      <c r="AC1687" s="1812"/>
      <c r="AD1687" s="1601">
        <f t="shared" si="168"/>
        <v>0</v>
      </c>
      <c r="AE1687" s="1790">
        <v>0</v>
      </c>
      <c r="AF1687" s="1792"/>
    </row>
    <row r="1688" spans="1:32" ht="27.75" customHeight="1">
      <c r="A1688" s="2899" t="s">
        <v>3178</v>
      </c>
      <c r="B1688" s="2901" t="s">
        <v>4008</v>
      </c>
      <c r="C1688" s="2903" t="s">
        <v>52</v>
      </c>
      <c r="D1688" s="2905">
        <v>8806.6550000000007</v>
      </c>
      <c r="E1688" s="1810" t="s">
        <v>2496</v>
      </c>
      <c r="F1688" s="1811"/>
      <c r="G1688" s="1811"/>
      <c r="H1688" s="1811"/>
      <c r="I1688" s="1811"/>
      <c r="J1688" s="1811"/>
      <c r="K1688" s="1811"/>
      <c r="L1688" s="1811"/>
      <c r="M1688" s="1811"/>
      <c r="N1688" s="1811"/>
      <c r="O1688" s="1811"/>
      <c r="P1688" s="1811"/>
      <c r="Q1688" s="1812"/>
      <c r="R1688" s="1811"/>
      <c r="S1688" s="1811"/>
      <c r="T1688" s="1812"/>
      <c r="U1688" s="1812"/>
      <c r="V1688" s="1812"/>
      <c r="W1688" s="1812"/>
      <c r="X1688" s="1812"/>
      <c r="Y1688" s="1812"/>
      <c r="Z1688" s="1812"/>
      <c r="AA1688" s="1812"/>
      <c r="AB1688" s="1812"/>
      <c r="AC1688" s="1812">
        <v>8806.6550000000007</v>
      </c>
      <c r="AD1688" s="1601">
        <f t="shared" si="168"/>
        <v>8806.6550000000007</v>
      </c>
      <c r="AE1688" s="1790">
        <v>0</v>
      </c>
      <c r="AF1688" s="1792"/>
    </row>
    <row r="1689" spans="1:32" ht="27.75" customHeight="1">
      <c r="A1689" s="2900" t="s">
        <v>3178</v>
      </c>
      <c r="B1689" s="2902" t="s">
        <v>3179</v>
      </c>
      <c r="C1689" s="2904" t="s">
        <v>52</v>
      </c>
      <c r="D1689" s="2906">
        <v>8806.6550000000007</v>
      </c>
      <c r="E1689" s="1603" t="s">
        <v>2497</v>
      </c>
      <c r="F1689" s="1583"/>
      <c r="G1689" s="1583"/>
      <c r="H1689" s="1583"/>
      <c r="I1689" s="1583"/>
      <c r="J1689" s="1583"/>
      <c r="K1689" s="1583"/>
      <c r="L1689" s="1583"/>
      <c r="M1689" s="1583"/>
      <c r="N1689" s="1583"/>
      <c r="O1689" s="1583"/>
      <c r="P1689" s="1583"/>
      <c r="Q1689" s="1604"/>
      <c r="R1689" s="1583"/>
      <c r="S1689" s="1583"/>
      <c r="T1689" s="1604"/>
      <c r="U1689" s="1592"/>
      <c r="V1689" s="1585"/>
      <c r="W1689" s="1585"/>
      <c r="X1689" s="1585"/>
      <c r="Y1689" s="1592"/>
      <c r="Z1689" s="1585"/>
      <c r="AA1689" s="1585"/>
      <c r="AB1689" s="1585"/>
      <c r="AC1689" s="1585"/>
      <c r="AD1689" s="1601">
        <f t="shared" si="168"/>
        <v>0</v>
      </c>
      <c r="AE1689" s="1790">
        <v>0</v>
      </c>
      <c r="AF1689" s="1792"/>
    </row>
    <row r="1690" spans="1:32" ht="27.75" customHeight="1">
      <c r="A1690" s="1647" t="s">
        <v>48</v>
      </c>
      <c r="B1690" s="1647" t="s">
        <v>2721</v>
      </c>
      <c r="C1690" s="1625"/>
      <c r="D1690" s="1597"/>
      <c r="E1690" s="1599"/>
      <c r="F1690" s="1583"/>
      <c r="G1690" s="1583"/>
      <c r="H1690" s="1583"/>
      <c r="I1690" s="1583"/>
      <c r="J1690" s="1583"/>
      <c r="K1690" s="1583"/>
      <c r="L1690" s="1583"/>
      <c r="M1690" s="1583"/>
      <c r="N1690" s="1583"/>
      <c r="O1690" s="1583"/>
      <c r="P1690" s="1583"/>
      <c r="Q1690" s="1604"/>
      <c r="R1690" s="1583"/>
      <c r="S1690" s="1583"/>
      <c r="T1690" s="1604"/>
      <c r="U1690" s="1592"/>
      <c r="V1690" s="1585"/>
      <c r="W1690" s="1585"/>
      <c r="X1690" s="1585"/>
      <c r="Y1690" s="1592"/>
      <c r="Z1690" s="1585"/>
      <c r="AA1690" s="1585"/>
      <c r="AB1690" s="1585"/>
      <c r="AC1690" s="1585"/>
      <c r="AD1690" s="1601">
        <f t="shared" si="168"/>
        <v>0</v>
      </c>
      <c r="AE1690" s="1790">
        <v>0</v>
      </c>
      <c r="AF1690" s="1792"/>
    </row>
    <row r="1691" spans="1:32" ht="27.75" customHeight="1">
      <c r="A1691" s="1795" t="s">
        <v>407</v>
      </c>
      <c r="B1691" s="1795" t="s">
        <v>1830</v>
      </c>
      <c r="C1691" s="1625"/>
      <c r="D1691" s="1597"/>
      <c r="E1691" s="1599"/>
      <c r="F1691" s="1583"/>
      <c r="G1691" s="1583"/>
      <c r="H1691" s="1583"/>
      <c r="I1691" s="1583"/>
      <c r="J1691" s="1583"/>
      <c r="K1691" s="1583"/>
      <c r="L1691" s="1583"/>
      <c r="M1691" s="1583"/>
      <c r="N1691" s="1583"/>
      <c r="O1691" s="1583"/>
      <c r="P1691" s="1583"/>
      <c r="Q1691" s="1604"/>
      <c r="R1691" s="1583"/>
      <c r="S1691" s="1583"/>
      <c r="T1691" s="1604"/>
      <c r="U1691" s="1592"/>
      <c r="V1691" s="1585"/>
      <c r="W1691" s="1585"/>
      <c r="X1691" s="1585"/>
      <c r="Y1691" s="1592"/>
      <c r="Z1691" s="1585"/>
      <c r="AA1691" s="1585"/>
      <c r="AB1691" s="1585"/>
      <c r="AC1691" s="1585"/>
      <c r="AD1691" s="1601">
        <f t="shared" si="168"/>
        <v>0</v>
      </c>
      <c r="AE1691" s="1790">
        <v>0</v>
      </c>
      <c r="AF1691" s="1792"/>
    </row>
    <row r="1692" spans="1:32" ht="27.75" customHeight="1">
      <c r="A1692" s="2899" t="s">
        <v>3182</v>
      </c>
      <c r="B1692" s="2901" t="s">
        <v>4009</v>
      </c>
      <c r="C1692" s="2903" t="s">
        <v>1145</v>
      </c>
      <c r="D1692" s="2905">
        <v>63367.5</v>
      </c>
      <c r="E1692" s="1598" t="s">
        <v>2496</v>
      </c>
      <c r="F1692" s="1583"/>
      <c r="G1692" s="1583"/>
      <c r="H1692" s="1583"/>
      <c r="I1692" s="1583"/>
      <c r="J1692" s="1583"/>
      <c r="K1692" s="1583"/>
      <c r="L1692" s="1583"/>
      <c r="M1692" s="1583"/>
      <c r="N1692" s="1583"/>
      <c r="O1692" s="1583"/>
      <c r="P1692" s="1583"/>
      <c r="Q1692" s="1585"/>
      <c r="R1692" s="1583"/>
      <c r="S1692" s="1583"/>
      <c r="T1692" s="1585"/>
      <c r="U1692" s="1585"/>
      <c r="V1692" s="1585"/>
      <c r="W1692" s="1585"/>
      <c r="X1692" s="1585"/>
      <c r="Y1692" s="1585"/>
      <c r="Z1692" s="1585"/>
      <c r="AA1692" s="1585">
        <f>D1692</f>
        <v>63367.5</v>
      </c>
      <c r="AB1692" s="1585"/>
      <c r="AC1692" s="1585"/>
      <c r="AD1692" s="1601">
        <f t="shared" si="168"/>
        <v>63367.5</v>
      </c>
      <c r="AE1692" s="1790">
        <v>0</v>
      </c>
      <c r="AF1692" s="1792"/>
    </row>
    <row r="1693" spans="1:32" ht="27.75" customHeight="1">
      <c r="A1693" s="2900" t="s">
        <v>3182</v>
      </c>
      <c r="B1693" s="2902" t="s">
        <v>3183</v>
      </c>
      <c r="C1693" s="2904" t="s">
        <v>1145</v>
      </c>
      <c r="D1693" s="2906">
        <v>63367.5</v>
      </c>
      <c r="E1693" s="1603" t="s">
        <v>2497</v>
      </c>
      <c r="F1693" s="1583"/>
      <c r="G1693" s="1583"/>
      <c r="H1693" s="1583"/>
      <c r="I1693" s="1583"/>
      <c r="J1693" s="1583"/>
      <c r="K1693" s="1583"/>
      <c r="L1693" s="1583"/>
      <c r="M1693" s="1583"/>
      <c r="N1693" s="1583"/>
      <c r="O1693" s="1583"/>
      <c r="P1693" s="1583"/>
      <c r="Q1693" s="1604"/>
      <c r="R1693" s="1583"/>
      <c r="S1693" s="1583"/>
      <c r="T1693" s="1604"/>
      <c r="U1693" s="1585"/>
      <c r="V1693" s="1585"/>
      <c r="W1693" s="1585"/>
      <c r="X1693" s="1585"/>
      <c r="Y1693" s="1585"/>
      <c r="Z1693" s="1585"/>
      <c r="AA1693" s="1585"/>
      <c r="AB1693" s="1585"/>
      <c r="AC1693" s="1585"/>
      <c r="AD1693" s="1601">
        <f t="shared" si="168"/>
        <v>0</v>
      </c>
      <c r="AE1693" s="1790">
        <v>0</v>
      </c>
      <c r="AF1693" s="1792"/>
    </row>
    <row r="1694" spans="1:32" ht="27.75" customHeight="1">
      <c r="A1694" s="1795" t="s">
        <v>1089</v>
      </c>
      <c r="B1694" s="1795" t="s">
        <v>2722</v>
      </c>
      <c r="C1694" s="1803"/>
      <c r="D1694" s="1804"/>
      <c r="E1694" s="1813"/>
      <c r="F1694" s="1811"/>
      <c r="G1694" s="1811"/>
      <c r="H1694" s="1811"/>
      <c r="I1694" s="1811"/>
      <c r="J1694" s="1811"/>
      <c r="K1694" s="1811"/>
      <c r="L1694" s="1811"/>
      <c r="M1694" s="1811"/>
      <c r="N1694" s="1811"/>
      <c r="O1694" s="1811"/>
      <c r="P1694" s="1811"/>
      <c r="Q1694" s="1814"/>
      <c r="R1694" s="1811"/>
      <c r="S1694" s="1811"/>
      <c r="T1694" s="1814"/>
      <c r="U1694" s="1812"/>
      <c r="V1694" s="1812"/>
      <c r="W1694" s="1812"/>
      <c r="X1694" s="1812"/>
      <c r="Y1694" s="1812"/>
      <c r="Z1694" s="1812"/>
      <c r="AA1694" s="1812"/>
      <c r="AB1694" s="1812"/>
      <c r="AC1694" s="1812"/>
      <c r="AD1694" s="1601">
        <f t="shared" si="168"/>
        <v>0</v>
      </c>
      <c r="AE1694" s="1790">
        <v>0</v>
      </c>
      <c r="AF1694" s="1792"/>
    </row>
    <row r="1695" spans="1:32" ht="27.75" customHeight="1">
      <c r="A1695" s="2899" t="s">
        <v>3185</v>
      </c>
      <c r="B1695" s="2901" t="s">
        <v>4010</v>
      </c>
      <c r="C1695" s="2903" t="s">
        <v>51</v>
      </c>
      <c r="D1695" s="2905">
        <v>8579.4920000000002</v>
      </c>
      <c r="E1695" s="1810" t="s">
        <v>2496</v>
      </c>
      <c r="F1695" s="1811"/>
      <c r="G1695" s="1811"/>
      <c r="H1695" s="1811"/>
      <c r="I1695" s="1811"/>
      <c r="J1695" s="1811"/>
      <c r="K1695" s="1811"/>
      <c r="L1695" s="1811"/>
      <c r="M1695" s="1811"/>
      <c r="N1695" s="1811"/>
      <c r="O1695" s="1811"/>
      <c r="P1695" s="1811"/>
      <c r="Q1695" s="1812"/>
      <c r="R1695" s="1811"/>
      <c r="S1695" s="1811"/>
      <c r="T1695" s="1812"/>
      <c r="U1695" s="1812"/>
      <c r="V1695" s="1812"/>
      <c r="W1695" s="1812"/>
      <c r="X1695" s="1812"/>
      <c r="Y1695" s="1812"/>
      <c r="Z1695" s="1812"/>
      <c r="AA1695" s="1812">
        <f>D1695</f>
        <v>8579.4920000000002</v>
      </c>
      <c r="AB1695" s="1812"/>
      <c r="AC1695" s="1812"/>
      <c r="AD1695" s="1601">
        <f t="shared" si="168"/>
        <v>8579.4920000000002</v>
      </c>
      <c r="AE1695" s="1790">
        <v>0</v>
      </c>
      <c r="AF1695" s="1792"/>
    </row>
    <row r="1696" spans="1:32" ht="27.75" customHeight="1">
      <c r="A1696" s="2900" t="s">
        <v>3185</v>
      </c>
      <c r="B1696" s="2902" t="s">
        <v>3186</v>
      </c>
      <c r="C1696" s="2904" t="s">
        <v>51</v>
      </c>
      <c r="D1696" s="2906">
        <v>8579.4920000000002</v>
      </c>
      <c r="E1696" s="1603" t="s">
        <v>2497</v>
      </c>
      <c r="F1696" s="1583"/>
      <c r="G1696" s="1583"/>
      <c r="H1696" s="1583"/>
      <c r="I1696" s="1583"/>
      <c r="J1696" s="1583"/>
      <c r="K1696" s="1583"/>
      <c r="L1696" s="1583"/>
      <c r="M1696" s="1583"/>
      <c r="N1696" s="1583"/>
      <c r="O1696" s="1583"/>
      <c r="P1696" s="1583"/>
      <c r="Q1696" s="1604"/>
      <c r="R1696" s="1583"/>
      <c r="S1696" s="1583"/>
      <c r="T1696" s="1604"/>
      <c r="U1696" s="1592"/>
      <c r="V1696" s="1585"/>
      <c r="W1696" s="1585"/>
      <c r="X1696" s="1585"/>
      <c r="Y1696" s="1592"/>
      <c r="Z1696" s="1585"/>
      <c r="AA1696" s="1585"/>
      <c r="AB1696" s="1585"/>
      <c r="AC1696" s="1585"/>
      <c r="AD1696" s="1601">
        <f t="shared" si="168"/>
        <v>0</v>
      </c>
      <c r="AE1696" s="1790">
        <v>0</v>
      </c>
      <c r="AF1696" s="1792"/>
    </row>
    <row r="1697" spans="1:32" ht="27.75" customHeight="1">
      <c r="A1697" s="2899" t="s">
        <v>3187</v>
      </c>
      <c r="B1697" s="2901" t="s">
        <v>4011</v>
      </c>
      <c r="C1697" s="2903" t="s">
        <v>51</v>
      </c>
      <c r="D1697" s="2905">
        <v>6513.3</v>
      </c>
      <c r="E1697" s="1810" t="s">
        <v>2496</v>
      </c>
      <c r="F1697" s="1811"/>
      <c r="G1697" s="1811"/>
      <c r="H1697" s="1811"/>
      <c r="I1697" s="1811"/>
      <c r="J1697" s="1811"/>
      <c r="K1697" s="1811"/>
      <c r="L1697" s="1811"/>
      <c r="M1697" s="1811"/>
      <c r="N1697" s="1811"/>
      <c r="O1697" s="1811"/>
      <c r="P1697" s="1811"/>
      <c r="Q1697" s="1812"/>
      <c r="R1697" s="1811"/>
      <c r="S1697" s="1811"/>
      <c r="T1697" s="1812"/>
      <c r="U1697" s="1812"/>
      <c r="V1697" s="1812"/>
      <c r="W1697" s="1812"/>
      <c r="X1697" s="1812"/>
      <c r="Y1697" s="1812"/>
      <c r="Z1697" s="1812"/>
      <c r="AA1697" s="1812">
        <f>D1697</f>
        <v>6513.3</v>
      </c>
      <c r="AB1697" s="1812"/>
      <c r="AC1697" s="1812"/>
      <c r="AD1697" s="1601">
        <f t="shared" si="168"/>
        <v>6513.3</v>
      </c>
      <c r="AE1697" s="1790">
        <v>0</v>
      </c>
      <c r="AF1697" s="1792"/>
    </row>
    <row r="1698" spans="1:32" ht="27.75" customHeight="1">
      <c r="A1698" s="2900" t="s">
        <v>3187</v>
      </c>
      <c r="B1698" s="2902" t="s">
        <v>3188</v>
      </c>
      <c r="C1698" s="2904" t="s">
        <v>51</v>
      </c>
      <c r="D1698" s="2906">
        <v>6513.3</v>
      </c>
      <c r="E1698" s="1603" t="s">
        <v>2497</v>
      </c>
      <c r="F1698" s="1583"/>
      <c r="G1698" s="1583"/>
      <c r="H1698" s="1583"/>
      <c r="I1698" s="1583"/>
      <c r="J1698" s="1583"/>
      <c r="K1698" s="1583"/>
      <c r="L1698" s="1583"/>
      <c r="M1698" s="1583"/>
      <c r="N1698" s="1583"/>
      <c r="O1698" s="1583"/>
      <c r="P1698" s="1583"/>
      <c r="Q1698" s="1604"/>
      <c r="R1698" s="1583"/>
      <c r="S1698" s="1583"/>
      <c r="T1698" s="1604"/>
      <c r="U1698" s="1592"/>
      <c r="V1698" s="1585"/>
      <c r="W1698" s="1585"/>
      <c r="X1698" s="1585"/>
      <c r="Y1698" s="1592"/>
      <c r="Z1698" s="1585"/>
      <c r="AA1698" s="1585"/>
      <c r="AB1698" s="1585"/>
      <c r="AC1698" s="1585"/>
      <c r="AD1698" s="1601">
        <f t="shared" si="168"/>
        <v>0</v>
      </c>
      <c r="AE1698" s="1790">
        <v>0</v>
      </c>
      <c r="AF1698" s="1792"/>
    </row>
    <row r="1699" spans="1:32" ht="27.75" customHeight="1">
      <c r="A1699" s="2899" t="s">
        <v>3189</v>
      </c>
      <c r="B1699" s="2901" t="s">
        <v>4012</v>
      </c>
      <c r="C1699" s="2903" t="s">
        <v>51</v>
      </c>
      <c r="D1699" s="2905">
        <v>15198.320000000002</v>
      </c>
      <c r="E1699" s="1810" t="s">
        <v>2496</v>
      </c>
      <c r="F1699" s="1811"/>
      <c r="G1699" s="1811"/>
      <c r="H1699" s="1811"/>
      <c r="I1699" s="1811"/>
      <c r="J1699" s="1811"/>
      <c r="K1699" s="1811"/>
      <c r="L1699" s="1811"/>
      <c r="M1699" s="1811"/>
      <c r="N1699" s="1811"/>
      <c r="O1699" s="1811"/>
      <c r="P1699" s="1811"/>
      <c r="Q1699" s="1812"/>
      <c r="R1699" s="1811"/>
      <c r="S1699" s="1811"/>
      <c r="T1699" s="1812"/>
      <c r="U1699" s="1812"/>
      <c r="V1699" s="1812"/>
      <c r="W1699" s="1812"/>
      <c r="X1699" s="1812"/>
      <c r="Y1699" s="1812"/>
      <c r="Z1699" s="1812"/>
      <c r="AA1699" s="1812">
        <f>D1699</f>
        <v>15198.320000000002</v>
      </c>
      <c r="AB1699" s="1812"/>
      <c r="AC1699" s="1812"/>
      <c r="AD1699" s="1601">
        <f t="shared" si="168"/>
        <v>15198.320000000002</v>
      </c>
      <c r="AE1699" s="1790">
        <v>0</v>
      </c>
      <c r="AF1699" s="1792"/>
    </row>
    <row r="1700" spans="1:32" ht="27.75" customHeight="1">
      <c r="A1700" s="2900" t="s">
        <v>3189</v>
      </c>
      <c r="B1700" s="2902" t="s">
        <v>3190</v>
      </c>
      <c r="C1700" s="2904" t="s">
        <v>51</v>
      </c>
      <c r="D1700" s="2906">
        <v>15198.320000000002</v>
      </c>
      <c r="E1700" s="1603" t="s">
        <v>2497</v>
      </c>
      <c r="F1700" s="1583"/>
      <c r="G1700" s="1583"/>
      <c r="H1700" s="1583"/>
      <c r="I1700" s="1583"/>
      <c r="J1700" s="1583"/>
      <c r="K1700" s="1583"/>
      <c r="L1700" s="1583"/>
      <c r="M1700" s="1583"/>
      <c r="N1700" s="1583"/>
      <c r="O1700" s="1583"/>
      <c r="P1700" s="1583"/>
      <c r="Q1700" s="1604"/>
      <c r="R1700" s="1583"/>
      <c r="S1700" s="1583"/>
      <c r="T1700" s="1604"/>
      <c r="U1700" s="1592"/>
      <c r="V1700" s="1585"/>
      <c r="W1700" s="1585"/>
      <c r="X1700" s="1585"/>
      <c r="Y1700" s="1592"/>
      <c r="Z1700" s="1585"/>
      <c r="AA1700" s="1585"/>
      <c r="AB1700" s="1585"/>
      <c r="AC1700" s="1585"/>
      <c r="AD1700" s="1601">
        <f t="shared" si="168"/>
        <v>0</v>
      </c>
      <c r="AE1700" s="1790">
        <v>0</v>
      </c>
      <c r="AF1700" s="1792"/>
    </row>
    <row r="1701" spans="1:32" ht="27.75" customHeight="1">
      <c r="A1701" s="2899" t="s">
        <v>3191</v>
      </c>
      <c r="B1701" s="2901" t="s">
        <v>4013</v>
      </c>
      <c r="C1701" s="2903" t="s">
        <v>52</v>
      </c>
      <c r="D1701" s="2905">
        <v>4297.8</v>
      </c>
      <c r="E1701" s="1598" t="s">
        <v>2496</v>
      </c>
      <c r="F1701" s="1583"/>
      <c r="G1701" s="1583"/>
      <c r="H1701" s="1583"/>
      <c r="I1701" s="1583"/>
      <c r="J1701" s="1583"/>
      <c r="K1701" s="1583"/>
      <c r="L1701" s="1583"/>
      <c r="M1701" s="1583"/>
      <c r="N1701" s="1583"/>
      <c r="O1701" s="1583"/>
      <c r="P1701" s="1583"/>
      <c r="Q1701" s="1585"/>
      <c r="R1701" s="1583"/>
      <c r="S1701" s="1583"/>
      <c r="T1701" s="1585"/>
      <c r="U1701" s="1585"/>
      <c r="V1701" s="1585"/>
      <c r="W1701" s="1585"/>
      <c r="X1701" s="1585"/>
      <c r="Y1701" s="1585"/>
      <c r="Z1701" s="1585"/>
      <c r="AA1701" s="1812">
        <f>D1701</f>
        <v>4297.8</v>
      </c>
      <c r="AB1701" s="1585"/>
      <c r="AC1701" s="1585"/>
      <c r="AD1701" s="1601">
        <f t="shared" si="168"/>
        <v>4297.8</v>
      </c>
      <c r="AE1701" s="1790">
        <v>0</v>
      </c>
      <c r="AF1701" s="1792"/>
    </row>
    <row r="1702" spans="1:32" ht="27.75" customHeight="1">
      <c r="A1702" s="2900" t="s">
        <v>3191</v>
      </c>
      <c r="B1702" s="2902" t="s">
        <v>3192</v>
      </c>
      <c r="C1702" s="2904" t="s">
        <v>52</v>
      </c>
      <c r="D1702" s="2906">
        <v>4297.8</v>
      </c>
      <c r="E1702" s="1603" t="s">
        <v>2497</v>
      </c>
      <c r="F1702" s="1583"/>
      <c r="G1702" s="1583"/>
      <c r="H1702" s="1583"/>
      <c r="I1702" s="1583"/>
      <c r="J1702" s="1583"/>
      <c r="K1702" s="1583"/>
      <c r="L1702" s="1583"/>
      <c r="M1702" s="1583"/>
      <c r="N1702" s="1583"/>
      <c r="O1702" s="1583"/>
      <c r="P1702" s="1583"/>
      <c r="Q1702" s="1604"/>
      <c r="R1702" s="1583"/>
      <c r="S1702" s="1583"/>
      <c r="T1702" s="1604"/>
      <c r="U1702" s="1585"/>
      <c r="V1702" s="1585"/>
      <c r="W1702" s="1585"/>
      <c r="X1702" s="1585"/>
      <c r="Y1702" s="1585"/>
      <c r="Z1702" s="1585"/>
      <c r="AA1702" s="1585"/>
      <c r="AB1702" s="1585"/>
      <c r="AC1702" s="1585"/>
      <c r="AD1702" s="1601">
        <f t="shared" si="168"/>
        <v>0</v>
      </c>
      <c r="AE1702" s="1790">
        <v>0</v>
      </c>
      <c r="AF1702" s="1792"/>
    </row>
    <row r="1703" spans="1:32" ht="27.75" customHeight="1">
      <c r="A1703" s="2899" t="s">
        <v>3193</v>
      </c>
      <c r="B1703" s="2901" t="s">
        <v>4014</v>
      </c>
      <c r="C1703" s="2903" t="s">
        <v>52</v>
      </c>
      <c r="D1703" s="2905">
        <v>1133.55</v>
      </c>
      <c r="E1703" s="1810" t="s">
        <v>2496</v>
      </c>
      <c r="F1703" s="1811"/>
      <c r="G1703" s="1811"/>
      <c r="H1703" s="1811"/>
      <c r="I1703" s="1811"/>
      <c r="J1703" s="1811"/>
      <c r="K1703" s="1811"/>
      <c r="L1703" s="1811"/>
      <c r="M1703" s="1811"/>
      <c r="N1703" s="1811"/>
      <c r="O1703" s="1811"/>
      <c r="P1703" s="1811"/>
      <c r="Q1703" s="1812"/>
      <c r="R1703" s="1811"/>
      <c r="S1703" s="1811"/>
      <c r="T1703" s="1812"/>
      <c r="U1703" s="1812"/>
      <c r="V1703" s="1812"/>
      <c r="W1703" s="1812"/>
      <c r="X1703" s="1812"/>
      <c r="Y1703" s="1812"/>
      <c r="Z1703" s="1812"/>
      <c r="AA1703" s="1812">
        <f>D1703</f>
        <v>1133.55</v>
      </c>
      <c r="AB1703" s="1812"/>
      <c r="AC1703" s="1812"/>
      <c r="AD1703" s="1601">
        <f t="shared" si="168"/>
        <v>1133.55</v>
      </c>
      <c r="AE1703" s="1790">
        <v>0</v>
      </c>
      <c r="AF1703" s="1792"/>
    </row>
    <row r="1704" spans="1:32" ht="27.75" customHeight="1">
      <c r="A1704" s="2900" t="s">
        <v>3193</v>
      </c>
      <c r="B1704" s="2902" t="s">
        <v>3194</v>
      </c>
      <c r="C1704" s="2904" t="s">
        <v>52</v>
      </c>
      <c r="D1704" s="2906">
        <v>1133.55</v>
      </c>
      <c r="E1704" s="1603" t="s">
        <v>2497</v>
      </c>
      <c r="F1704" s="1583"/>
      <c r="G1704" s="1583"/>
      <c r="H1704" s="1583"/>
      <c r="I1704" s="1583"/>
      <c r="J1704" s="1583"/>
      <c r="K1704" s="1583"/>
      <c r="L1704" s="1583"/>
      <c r="M1704" s="1583"/>
      <c r="N1704" s="1583"/>
      <c r="O1704" s="1583"/>
      <c r="P1704" s="1583"/>
      <c r="Q1704" s="1604"/>
      <c r="R1704" s="1583"/>
      <c r="S1704" s="1583"/>
      <c r="T1704" s="1604"/>
      <c r="U1704" s="1592"/>
      <c r="V1704" s="1585"/>
      <c r="W1704" s="1585"/>
      <c r="X1704" s="1585"/>
      <c r="Y1704" s="1592"/>
      <c r="Z1704" s="1585"/>
      <c r="AA1704" s="1585"/>
      <c r="AB1704" s="1585"/>
      <c r="AC1704" s="1585"/>
      <c r="AD1704" s="1601">
        <f t="shared" si="168"/>
        <v>0</v>
      </c>
      <c r="AE1704" s="1790">
        <v>0</v>
      </c>
      <c r="AF1704" s="1792"/>
    </row>
    <row r="1705" spans="1:32" ht="27.75" customHeight="1">
      <c r="A1705" s="2899" t="s">
        <v>3195</v>
      </c>
      <c r="B1705" s="2901" t="s">
        <v>4015</v>
      </c>
      <c r="C1705" s="2903" t="s">
        <v>52</v>
      </c>
      <c r="D1705" s="2905">
        <v>2602.58</v>
      </c>
      <c r="E1705" s="1810" t="s">
        <v>2496</v>
      </c>
      <c r="F1705" s="1811"/>
      <c r="G1705" s="1811"/>
      <c r="H1705" s="1811"/>
      <c r="I1705" s="1811"/>
      <c r="J1705" s="1811"/>
      <c r="K1705" s="1811"/>
      <c r="L1705" s="1811"/>
      <c r="M1705" s="1811"/>
      <c r="N1705" s="1811"/>
      <c r="O1705" s="1811"/>
      <c r="P1705" s="1811"/>
      <c r="Q1705" s="1812"/>
      <c r="R1705" s="1811"/>
      <c r="S1705" s="1811"/>
      <c r="T1705" s="1812"/>
      <c r="U1705" s="1812"/>
      <c r="V1705" s="1812"/>
      <c r="W1705" s="1812"/>
      <c r="X1705" s="1812"/>
      <c r="Y1705" s="1812"/>
      <c r="Z1705" s="1812"/>
      <c r="AA1705" s="1812">
        <f>D1705</f>
        <v>2602.58</v>
      </c>
      <c r="AB1705" s="1812"/>
      <c r="AC1705" s="1812"/>
      <c r="AD1705" s="1601">
        <f t="shared" si="168"/>
        <v>2602.58</v>
      </c>
      <c r="AE1705" s="1790">
        <v>0</v>
      </c>
      <c r="AF1705" s="1792"/>
    </row>
    <row r="1706" spans="1:32" ht="27.75" customHeight="1">
      <c r="A1706" s="2900" t="s">
        <v>3195</v>
      </c>
      <c r="B1706" s="2902" t="s">
        <v>3196</v>
      </c>
      <c r="C1706" s="2904" t="s">
        <v>52</v>
      </c>
      <c r="D1706" s="2906">
        <v>2602.58</v>
      </c>
      <c r="E1706" s="1603" t="s">
        <v>2497</v>
      </c>
      <c r="F1706" s="1583"/>
      <c r="G1706" s="1583"/>
      <c r="H1706" s="1583"/>
      <c r="I1706" s="1583"/>
      <c r="J1706" s="1583"/>
      <c r="K1706" s="1583"/>
      <c r="L1706" s="1583"/>
      <c r="M1706" s="1583"/>
      <c r="N1706" s="1583"/>
      <c r="O1706" s="1583"/>
      <c r="P1706" s="1583"/>
      <c r="Q1706" s="1604"/>
      <c r="R1706" s="1583"/>
      <c r="S1706" s="1583"/>
      <c r="T1706" s="1604"/>
      <c r="U1706" s="1592"/>
      <c r="V1706" s="1585"/>
      <c r="W1706" s="1585"/>
      <c r="X1706" s="1585"/>
      <c r="Y1706" s="1592"/>
      <c r="Z1706" s="1585"/>
      <c r="AA1706" s="1585"/>
      <c r="AB1706" s="1585"/>
      <c r="AC1706" s="1585"/>
      <c r="AD1706" s="1601">
        <f t="shared" si="168"/>
        <v>0</v>
      </c>
      <c r="AE1706" s="1790">
        <v>0</v>
      </c>
      <c r="AF1706" s="1792"/>
    </row>
    <row r="1707" spans="1:32" ht="27.75" customHeight="1">
      <c r="A1707" s="2899" t="s">
        <v>3197</v>
      </c>
      <c r="B1707" s="2901" t="s">
        <v>4016</v>
      </c>
      <c r="C1707" s="2903" t="s">
        <v>52</v>
      </c>
      <c r="D1707" s="2905">
        <v>540.30000000000007</v>
      </c>
      <c r="E1707" s="1810" t="s">
        <v>2496</v>
      </c>
      <c r="F1707" s="1811"/>
      <c r="G1707" s="1811"/>
      <c r="H1707" s="1811"/>
      <c r="I1707" s="1811"/>
      <c r="J1707" s="1811"/>
      <c r="K1707" s="1811"/>
      <c r="L1707" s="1811"/>
      <c r="M1707" s="1811"/>
      <c r="N1707" s="1811"/>
      <c r="O1707" s="1811"/>
      <c r="P1707" s="1811"/>
      <c r="Q1707" s="1812"/>
      <c r="R1707" s="1811"/>
      <c r="S1707" s="1811"/>
      <c r="T1707" s="1812"/>
      <c r="U1707" s="1812"/>
      <c r="V1707" s="1812"/>
      <c r="W1707" s="1812"/>
      <c r="X1707" s="1812"/>
      <c r="Y1707" s="1812"/>
      <c r="Z1707" s="1812"/>
      <c r="AA1707" s="1812">
        <f>D1707</f>
        <v>540.30000000000007</v>
      </c>
      <c r="AB1707" s="1812"/>
      <c r="AC1707" s="1812"/>
      <c r="AD1707" s="1601">
        <f t="shared" si="168"/>
        <v>540.30000000000007</v>
      </c>
      <c r="AE1707" s="1790">
        <v>0</v>
      </c>
      <c r="AF1707" s="1792"/>
    </row>
    <row r="1708" spans="1:32" ht="27.75" customHeight="1">
      <c r="A1708" s="2900" t="s">
        <v>3197</v>
      </c>
      <c r="B1708" s="2902" t="s">
        <v>3198</v>
      </c>
      <c r="C1708" s="2904" t="s">
        <v>52</v>
      </c>
      <c r="D1708" s="2906">
        <v>540.30000000000007</v>
      </c>
      <c r="E1708" s="1603" t="s">
        <v>2497</v>
      </c>
      <c r="F1708" s="1583"/>
      <c r="G1708" s="1583"/>
      <c r="H1708" s="1583"/>
      <c r="I1708" s="1583"/>
      <c r="J1708" s="1583"/>
      <c r="K1708" s="1583"/>
      <c r="L1708" s="1583"/>
      <c r="M1708" s="1583"/>
      <c r="N1708" s="1583"/>
      <c r="O1708" s="1583"/>
      <c r="P1708" s="1583"/>
      <c r="Q1708" s="1604"/>
      <c r="R1708" s="1583"/>
      <c r="S1708" s="1583"/>
      <c r="T1708" s="1604"/>
      <c r="U1708" s="1592"/>
      <c r="V1708" s="1585"/>
      <c r="W1708" s="1585"/>
      <c r="X1708" s="1585"/>
      <c r="Y1708" s="1592"/>
      <c r="Z1708" s="1585"/>
      <c r="AA1708" s="1585"/>
      <c r="AB1708" s="1585"/>
      <c r="AC1708" s="1585"/>
      <c r="AD1708" s="1601">
        <f t="shared" si="168"/>
        <v>0</v>
      </c>
      <c r="AE1708" s="1790">
        <v>0</v>
      </c>
      <c r="AF1708" s="1792"/>
    </row>
    <row r="1709" spans="1:32" ht="27.75" customHeight="1">
      <c r="A1709" s="2899" t="s">
        <v>3199</v>
      </c>
      <c r="B1709" s="2901" t="s">
        <v>4017</v>
      </c>
      <c r="C1709" s="2903" t="s">
        <v>52</v>
      </c>
      <c r="D1709" s="2905">
        <v>999.2</v>
      </c>
      <c r="E1709" s="1598" t="s">
        <v>2496</v>
      </c>
      <c r="F1709" s="1583"/>
      <c r="G1709" s="1583"/>
      <c r="H1709" s="1583"/>
      <c r="I1709" s="1583"/>
      <c r="J1709" s="1583"/>
      <c r="K1709" s="1583"/>
      <c r="L1709" s="1583"/>
      <c r="M1709" s="1583"/>
      <c r="N1709" s="1583"/>
      <c r="O1709" s="1583"/>
      <c r="P1709" s="1583"/>
      <c r="Q1709" s="1585"/>
      <c r="R1709" s="1583"/>
      <c r="S1709" s="1583"/>
      <c r="T1709" s="1585"/>
      <c r="U1709" s="1585"/>
      <c r="V1709" s="1585"/>
      <c r="W1709" s="1585"/>
      <c r="X1709" s="1585"/>
      <c r="Y1709" s="1585"/>
      <c r="Z1709" s="1585"/>
      <c r="AA1709" s="1812">
        <f>D1709</f>
        <v>999.2</v>
      </c>
      <c r="AB1709" s="1585"/>
      <c r="AC1709" s="1585"/>
      <c r="AD1709" s="1601">
        <f t="shared" si="168"/>
        <v>999.2</v>
      </c>
      <c r="AE1709" s="1790">
        <v>0</v>
      </c>
      <c r="AF1709" s="1792"/>
    </row>
    <row r="1710" spans="1:32" ht="27.75" customHeight="1">
      <c r="A1710" s="2900" t="s">
        <v>3199</v>
      </c>
      <c r="B1710" s="2902" t="s">
        <v>3200</v>
      </c>
      <c r="C1710" s="2904" t="s">
        <v>52</v>
      </c>
      <c r="D1710" s="2906">
        <v>999.2</v>
      </c>
      <c r="E1710" s="1603" t="s">
        <v>2497</v>
      </c>
      <c r="F1710" s="1583"/>
      <c r="G1710" s="1583"/>
      <c r="H1710" s="1583"/>
      <c r="I1710" s="1583"/>
      <c r="J1710" s="1583"/>
      <c r="K1710" s="1583"/>
      <c r="L1710" s="1583"/>
      <c r="M1710" s="1583"/>
      <c r="N1710" s="1583"/>
      <c r="O1710" s="1583"/>
      <c r="P1710" s="1583"/>
      <c r="Q1710" s="1604"/>
      <c r="R1710" s="1583"/>
      <c r="S1710" s="1583"/>
      <c r="T1710" s="1604"/>
      <c r="U1710" s="1585"/>
      <c r="V1710" s="1585"/>
      <c r="W1710" s="1585"/>
      <c r="X1710" s="1585"/>
      <c r="Y1710" s="1585"/>
      <c r="Z1710" s="1585"/>
      <c r="AA1710" s="1585"/>
      <c r="AB1710" s="1585"/>
      <c r="AC1710" s="1585"/>
      <c r="AD1710" s="1601">
        <f t="shared" si="168"/>
        <v>0</v>
      </c>
      <c r="AE1710" s="1790">
        <v>0</v>
      </c>
      <c r="AF1710" s="1792"/>
    </row>
    <row r="1711" spans="1:32" ht="27.75" customHeight="1">
      <c r="A1711" s="2899" t="s">
        <v>3201</v>
      </c>
      <c r="B1711" s="2901" t="s">
        <v>4018</v>
      </c>
      <c r="C1711" s="2903" t="s">
        <v>52</v>
      </c>
      <c r="D1711" s="2905">
        <v>565.6</v>
      </c>
      <c r="E1711" s="1810" t="s">
        <v>2496</v>
      </c>
      <c r="F1711" s="1811"/>
      <c r="G1711" s="1811"/>
      <c r="H1711" s="1811"/>
      <c r="I1711" s="1811"/>
      <c r="J1711" s="1811"/>
      <c r="K1711" s="1811"/>
      <c r="L1711" s="1811"/>
      <c r="M1711" s="1811"/>
      <c r="N1711" s="1811"/>
      <c r="O1711" s="1811"/>
      <c r="P1711" s="1811"/>
      <c r="Q1711" s="1812"/>
      <c r="R1711" s="1811"/>
      <c r="S1711" s="1811"/>
      <c r="T1711" s="1812"/>
      <c r="U1711" s="1812"/>
      <c r="V1711" s="1812"/>
      <c r="W1711" s="1812"/>
      <c r="X1711" s="1812"/>
      <c r="Y1711" s="1812"/>
      <c r="Z1711" s="1812"/>
      <c r="AA1711" s="1812">
        <f>D1711</f>
        <v>565.6</v>
      </c>
      <c r="AB1711" s="1812"/>
      <c r="AC1711" s="1812"/>
      <c r="AD1711" s="1601">
        <f t="shared" si="168"/>
        <v>565.6</v>
      </c>
      <c r="AE1711" s="1790">
        <v>0</v>
      </c>
      <c r="AF1711" s="1792"/>
    </row>
    <row r="1712" spans="1:32" ht="27.75" customHeight="1">
      <c r="A1712" s="2900" t="s">
        <v>3201</v>
      </c>
      <c r="B1712" s="2902" t="s">
        <v>3202</v>
      </c>
      <c r="C1712" s="2904" t="s">
        <v>52</v>
      </c>
      <c r="D1712" s="2906">
        <v>565.6</v>
      </c>
      <c r="E1712" s="1603" t="s">
        <v>2497</v>
      </c>
      <c r="F1712" s="1583"/>
      <c r="G1712" s="1583"/>
      <c r="H1712" s="1583"/>
      <c r="I1712" s="1583"/>
      <c r="J1712" s="1583"/>
      <c r="K1712" s="1583"/>
      <c r="L1712" s="1583"/>
      <c r="M1712" s="1583"/>
      <c r="N1712" s="1583"/>
      <c r="O1712" s="1583"/>
      <c r="P1712" s="1583"/>
      <c r="Q1712" s="1604"/>
      <c r="R1712" s="1583"/>
      <c r="S1712" s="1583"/>
      <c r="T1712" s="1604"/>
      <c r="U1712" s="1592"/>
      <c r="V1712" s="1585"/>
      <c r="W1712" s="1585"/>
      <c r="X1712" s="1585"/>
      <c r="Y1712" s="1592"/>
      <c r="Z1712" s="1585"/>
      <c r="AA1712" s="1585"/>
      <c r="AB1712" s="1585"/>
      <c r="AC1712" s="1585"/>
      <c r="AD1712" s="1601">
        <f t="shared" si="168"/>
        <v>0</v>
      </c>
      <c r="AE1712" s="1790">
        <v>0</v>
      </c>
      <c r="AF1712" s="1792"/>
    </row>
    <row r="1713" spans="1:32" ht="27.75" customHeight="1">
      <c r="A1713" s="2899" t="s">
        <v>3203</v>
      </c>
      <c r="B1713" s="2901" t="s">
        <v>4019</v>
      </c>
      <c r="C1713" s="2903" t="s">
        <v>52</v>
      </c>
      <c r="D1713" s="2905">
        <v>2149.5</v>
      </c>
      <c r="E1713" s="1810" t="s">
        <v>2496</v>
      </c>
      <c r="F1713" s="1811"/>
      <c r="G1713" s="1811"/>
      <c r="H1713" s="1811"/>
      <c r="I1713" s="1811"/>
      <c r="J1713" s="1811"/>
      <c r="K1713" s="1811"/>
      <c r="L1713" s="1811"/>
      <c r="M1713" s="1811"/>
      <c r="N1713" s="1811"/>
      <c r="O1713" s="1811"/>
      <c r="P1713" s="1811"/>
      <c r="Q1713" s="1812"/>
      <c r="R1713" s="1811"/>
      <c r="S1713" s="1811"/>
      <c r="T1713" s="1812"/>
      <c r="U1713" s="1812"/>
      <c r="V1713" s="1812"/>
      <c r="W1713" s="1812"/>
      <c r="X1713" s="1812"/>
      <c r="Y1713" s="1812"/>
      <c r="Z1713" s="1812"/>
      <c r="AA1713" s="1812">
        <f>D1713</f>
        <v>2149.5</v>
      </c>
      <c r="AB1713" s="1812"/>
      <c r="AC1713" s="1812"/>
      <c r="AD1713" s="1601">
        <f t="shared" si="168"/>
        <v>2149.5</v>
      </c>
      <c r="AE1713" s="1790">
        <v>0</v>
      </c>
      <c r="AF1713" s="1792"/>
    </row>
    <row r="1714" spans="1:32" ht="27.75" customHeight="1">
      <c r="A1714" s="2900" t="s">
        <v>3203</v>
      </c>
      <c r="B1714" s="2902" t="s">
        <v>3204</v>
      </c>
      <c r="C1714" s="2904" t="s">
        <v>52</v>
      </c>
      <c r="D1714" s="2906">
        <v>2149.5</v>
      </c>
      <c r="E1714" s="1603" t="s">
        <v>2497</v>
      </c>
      <c r="F1714" s="1583"/>
      <c r="G1714" s="1583"/>
      <c r="H1714" s="1583"/>
      <c r="I1714" s="1583"/>
      <c r="J1714" s="1583"/>
      <c r="K1714" s="1583"/>
      <c r="L1714" s="1583"/>
      <c r="M1714" s="1583"/>
      <c r="N1714" s="1583"/>
      <c r="O1714" s="1583"/>
      <c r="P1714" s="1583"/>
      <c r="Q1714" s="1604"/>
      <c r="R1714" s="1583"/>
      <c r="S1714" s="1583"/>
      <c r="T1714" s="1604"/>
      <c r="U1714" s="1592"/>
      <c r="V1714" s="1585"/>
      <c r="W1714" s="1585"/>
      <c r="X1714" s="1585"/>
      <c r="Y1714" s="1592"/>
      <c r="Z1714" s="1585"/>
      <c r="AA1714" s="1585"/>
      <c r="AB1714" s="1585"/>
      <c r="AC1714" s="1585"/>
      <c r="AD1714" s="1601">
        <f t="shared" si="168"/>
        <v>0</v>
      </c>
      <c r="AE1714" s="1790">
        <v>0</v>
      </c>
      <c r="AF1714" s="1792"/>
    </row>
    <row r="1715" spans="1:32" ht="27.75" customHeight="1">
      <c r="A1715" s="2899" t="s">
        <v>3205</v>
      </c>
      <c r="B1715" s="2901" t="s">
        <v>4020</v>
      </c>
      <c r="C1715" s="2903" t="s">
        <v>52</v>
      </c>
      <c r="D1715" s="2905">
        <v>285.45000000000005</v>
      </c>
      <c r="E1715" s="1810" t="s">
        <v>2496</v>
      </c>
      <c r="F1715" s="1811"/>
      <c r="G1715" s="1811"/>
      <c r="H1715" s="1811"/>
      <c r="I1715" s="1811"/>
      <c r="J1715" s="1811"/>
      <c r="K1715" s="1811"/>
      <c r="L1715" s="1811"/>
      <c r="M1715" s="1811"/>
      <c r="N1715" s="1811"/>
      <c r="O1715" s="1811"/>
      <c r="P1715" s="1811"/>
      <c r="Q1715" s="1812"/>
      <c r="R1715" s="1811"/>
      <c r="S1715" s="1811"/>
      <c r="T1715" s="1812"/>
      <c r="U1715" s="1812"/>
      <c r="V1715" s="1812"/>
      <c r="W1715" s="1812"/>
      <c r="X1715" s="1812"/>
      <c r="Y1715" s="1812"/>
      <c r="Z1715" s="1812"/>
      <c r="AA1715" s="1812">
        <f>D1715</f>
        <v>285.45000000000005</v>
      </c>
      <c r="AB1715" s="1812"/>
      <c r="AC1715" s="1812"/>
      <c r="AD1715" s="1601">
        <f t="shared" si="168"/>
        <v>285.45000000000005</v>
      </c>
      <c r="AE1715" s="1790">
        <v>0</v>
      </c>
      <c r="AF1715" s="1792"/>
    </row>
    <row r="1716" spans="1:32" ht="27.75" customHeight="1">
      <c r="A1716" s="2900" t="s">
        <v>3205</v>
      </c>
      <c r="B1716" s="2902" t="s">
        <v>3206</v>
      </c>
      <c r="C1716" s="2904" t="s">
        <v>52</v>
      </c>
      <c r="D1716" s="2906">
        <v>285.45000000000005</v>
      </c>
      <c r="E1716" s="1603" t="s">
        <v>2497</v>
      </c>
      <c r="F1716" s="1583"/>
      <c r="G1716" s="1583"/>
      <c r="H1716" s="1583"/>
      <c r="I1716" s="1583"/>
      <c r="J1716" s="1583"/>
      <c r="K1716" s="1583"/>
      <c r="L1716" s="1583"/>
      <c r="M1716" s="1583"/>
      <c r="N1716" s="1583"/>
      <c r="O1716" s="1583"/>
      <c r="P1716" s="1583"/>
      <c r="Q1716" s="1604"/>
      <c r="R1716" s="1583"/>
      <c r="S1716" s="1583"/>
      <c r="T1716" s="1604"/>
      <c r="U1716" s="1592"/>
      <c r="V1716" s="1585"/>
      <c r="W1716" s="1585"/>
      <c r="X1716" s="1585"/>
      <c r="Y1716" s="1592"/>
      <c r="Z1716" s="1585"/>
      <c r="AA1716" s="1585"/>
      <c r="AB1716" s="1585"/>
      <c r="AC1716" s="1585"/>
      <c r="AD1716" s="1601">
        <f t="shared" si="168"/>
        <v>0</v>
      </c>
      <c r="AE1716" s="1790">
        <v>0</v>
      </c>
      <c r="AF1716" s="1792"/>
    </row>
    <row r="1717" spans="1:32" ht="27.75" customHeight="1">
      <c r="A1717" s="2899" t="s">
        <v>3207</v>
      </c>
      <c r="B1717" s="2901" t="s">
        <v>4021</v>
      </c>
      <c r="C1717" s="2903" t="s">
        <v>52</v>
      </c>
      <c r="D1717" s="2905">
        <v>648.55000000000007</v>
      </c>
      <c r="E1717" s="1598" t="s">
        <v>2496</v>
      </c>
      <c r="F1717" s="1583"/>
      <c r="G1717" s="1583"/>
      <c r="H1717" s="1583"/>
      <c r="I1717" s="1583"/>
      <c r="J1717" s="1583"/>
      <c r="K1717" s="1583"/>
      <c r="L1717" s="1583"/>
      <c r="M1717" s="1583"/>
      <c r="N1717" s="1583"/>
      <c r="O1717" s="1583"/>
      <c r="P1717" s="1583"/>
      <c r="Q1717" s="1585"/>
      <c r="R1717" s="1583"/>
      <c r="S1717" s="1583"/>
      <c r="T1717" s="1585"/>
      <c r="U1717" s="1585"/>
      <c r="V1717" s="1585"/>
      <c r="W1717" s="1585"/>
      <c r="X1717" s="1585"/>
      <c r="Y1717" s="1585"/>
      <c r="Z1717" s="1585"/>
      <c r="AA1717" s="1812">
        <f>D1717</f>
        <v>648.55000000000007</v>
      </c>
      <c r="AB1717" s="1585"/>
      <c r="AC1717" s="1585"/>
      <c r="AD1717" s="1601">
        <f t="shared" si="168"/>
        <v>648.55000000000007</v>
      </c>
      <c r="AE1717" s="1790">
        <v>0</v>
      </c>
      <c r="AF1717" s="1792"/>
    </row>
    <row r="1718" spans="1:32" ht="27.75" customHeight="1">
      <c r="A1718" s="2900" t="s">
        <v>3207</v>
      </c>
      <c r="B1718" s="2902" t="s">
        <v>3208</v>
      </c>
      <c r="C1718" s="2904" t="s">
        <v>52</v>
      </c>
      <c r="D1718" s="2906">
        <v>648.55000000000007</v>
      </c>
      <c r="E1718" s="1603" t="s">
        <v>2497</v>
      </c>
      <c r="F1718" s="1583"/>
      <c r="G1718" s="1583"/>
      <c r="H1718" s="1583"/>
      <c r="I1718" s="1583"/>
      <c r="J1718" s="1583"/>
      <c r="K1718" s="1583"/>
      <c r="L1718" s="1583"/>
      <c r="M1718" s="1583"/>
      <c r="N1718" s="1583"/>
      <c r="O1718" s="1583"/>
      <c r="P1718" s="1583"/>
      <c r="Q1718" s="1604"/>
      <c r="R1718" s="1583"/>
      <c r="S1718" s="1583"/>
      <c r="T1718" s="1604"/>
      <c r="U1718" s="1585"/>
      <c r="V1718" s="1585"/>
      <c r="W1718" s="1585"/>
      <c r="X1718" s="1585"/>
      <c r="Y1718" s="1585"/>
      <c r="Z1718" s="1585"/>
      <c r="AA1718" s="1585"/>
      <c r="AB1718" s="1585"/>
      <c r="AC1718" s="1585"/>
      <c r="AD1718" s="1601">
        <f t="shared" si="168"/>
        <v>0</v>
      </c>
      <c r="AE1718" s="1790">
        <v>0</v>
      </c>
      <c r="AF1718" s="1792"/>
    </row>
    <row r="1719" spans="1:32" ht="27.75" customHeight="1">
      <c r="A1719" s="2899" t="s">
        <v>3209</v>
      </c>
      <c r="B1719" s="2901" t="s">
        <v>4022</v>
      </c>
      <c r="C1719" s="2903" t="s">
        <v>52</v>
      </c>
      <c r="D1719" s="2905">
        <v>1099.8000000000002</v>
      </c>
      <c r="E1719" s="1810" t="s">
        <v>2496</v>
      </c>
      <c r="F1719" s="1811"/>
      <c r="G1719" s="1811"/>
      <c r="H1719" s="1811"/>
      <c r="I1719" s="1811"/>
      <c r="J1719" s="1811"/>
      <c r="K1719" s="1811"/>
      <c r="L1719" s="1811"/>
      <c r="M1719" s="1811"/>
      <c r="N1719" s="1811"/>
      <c r="O1719" s="1811"/>
      <c r="P1719" s="1811"/>
      <c r="Q1719" s="1812"/>
      <c r="R1719" s="1811"/>
      <c r="S1719" s="1811"/>
      <c r="T1719" s="1812"/>
      <c r="U1719" s="1812"/>
      <c r="V1719" s="1812"/>
      <c r="W1719" s="1812"/>
      <c r="X1719" s="1812"/>
      <c r="Y1719" s="1812"/>
      <c r="Z1719" s="1812"/>
      <c r="AA1719" s="1812">
        <f>D1719</f>
        <v>1099.8000000000002</v>
      </c>
      <c r="AB1719" s="1812"/>
      <c r="AC1719" s="1812"/>
      <c r="AD1719" s="1601">
        <f t="shared" si="168"/>
        <v>1099.8000000000002</v>
      </c>
      <c r="AE1719" s="1790">
        <v>0</v>
      </c>
      <c r="AF1719" s="1792"/>
    </row>
    <row r="1720" spans="1:32" ht="27.75" customHeight="1">
      <c r="A1720" s="2900" t="s">
        <v>3209</v>
      </c>
      <c r="B1720" s="2902" t="s">
        <v>3210</v>
      </c>
      <c r="C1720" s="2904" t="s">
        <v>52</v>
      </c>
      <c r="D1720" s="2906">
        <v>1099.8000000000002</v>
      </c>
      <c r="E1720" s="1603" t="s">
        <v>2497</v>
      </c>
      <c r="F1720" s="1583"/>
      <c r="G1720" s="1583"/>
      <c r="H1720" s="1583"/>
      <c r="I1720" s="1583"/>
      <c r="J1720" s="1583"/>
      <c r="K1720" s="1583"/>
      <c r="L1720" s="1583"/>
      <c r="M1720" s="1583"/>
      <c r="N1720" s="1583"/>
      <c r="O1720" s="1583"/>
      <c r="P1720" s="1583"/>
      <c r="Q1720" s="1604"/>
      <c r="R1720" s="1583"/>
      <c r="S1720" s="1583"/>
      <c r="T1720" s="1604"/>
      <c r="U1720" s="1592"/>
      <c r="V1720" s="1585"/>
      <c r="W1720" s="1585"/>
      <c r="X1720" s="1585"/>
      <c r="Y1720" s="1592"/>
      <c r="Z1720" s="1585"/>
      <c r="AA1720" s="1585"/>
      <c r="AB1720" s="1585"/>
      <c r="AC1720" s="1585"/>
      <c r="AD1720" s="1601">
        <f t="shared" si="168"/>
        <v>0</v>
      </c>
      <c r="AE1720" s="1790">
        <v>0</v>
      </c>
      <c r="AF1720" s="1792"/>
    </row>
    <row r="1721" spans="1:32" ht="27.75" customHeight="1">
      <c r="A1721" s="2899" t="s">
        <v>3211</v>
      </c>
      <c r="B1721" s="2901" t="s">
        <v>4023</v>
      </c>
      <c r="C1721" s="2903" t="s">
        <v>52</v>
      </c>
      <c r="D1721" s="2905">
        <v>766.5</v>
      </c>
      <c r="E1721" s="1810" t="s">
        <v>2496</v>
      </c>
      <c r="F1721" s="1811"/>
      <c r="G1721" s="1811"/>
      <c r="H1721" s="1811"/>
      <c r="I1721" s="1811"/>
      <c r="J1721" s="1811"/>
      <c r="K1721" s="1811"/>
      <c r="L1721" s="1811"/>
      <c r="M1721" s="1811"/>
      <c r="N1721" s="1811"/>
      <c r="O1721" s="1811"/>
      <c r="P1721" s="1811"/>
      <c r="Q1721" s="1812"/>
      <c r="R1721" s="1811"/>
      <c r="S1721" s="1811"/>
      <c r="T1721" s="1812"/>
      <c r="U1721" s="1812"/>
      <c r="V1721" s="1812"/>
      <c r="W1721" s="1812"/>
      <c r="X1721" s="1812"/>
      <c r="Y1721" s="1812"/>
      <c r="Z1721" s="1812"/>
      <c r="AA1721" s="1812">
        <f>D1721</f>
        <v>766.5</v>
      </c>
      <c r="AB1721" s="1812"/>
      <c r="AC1721" s="1812"/>
      <c r="AD1721" s="1601">
        <f t="shared" si="168"/>
        <v>766.5</v>
      </c>
      <c r="AE1721" s="1790">
        <v>0</v>
      </c>
      <c r="AF1721" s="1792"/>
    </row>
    <row r="1722" spans="1:32" ht="27.75" customHeight="1">
      <c r="A1722" s="2900" t="s">
        <v>3211</v>
      </c>
      <c r="B1722" s="2902" t="s">
        <v>3212</v>
      </c>
      <c r="C1722" s="2904" t="s">
        <v>52</v>
      </c>
      <c r="D1722" s="2906">
        <v>766.5</v>
      </c>
      <c r="E1722" s="1603" t="s">
        <v>2497</v>
      </c>
      <c r="F1722" s="1583"/>
      <c r="G1722" s="1583"/>
      <c r="H1722" s="1583"/>
      <c r="I1722" s="1583"/>
      <c r="J1722" s="1583"/>
      <c r="K1722" s="1583"/>
      <c r="L1722" s="1583"/>
      <c r="M1722" s="1583"/>
      <c r="N1722" s="1583"/>
      <c r="O1722" s="1583"/>
      <c r="P1722" s="1583"/>
      <c r="Q1722" s="1604"/>
      <c r="R1722" s="1583"/>
      <c r="S1722" s="1583"/>
      <c r="T1722" s="1604"/>
      <c r="U1722" s="1592"/>
      <c r="V1722" s="1585"/>
      <c r="W1722" s="1585"/>
      <c r="X1722" s="1585"/>
      <c r="Y1722" s="1592"/>
      <c r="Z1722" s="1585"/>
      <c r="AA1722" s="1585"/>
      <c r="AB1722" s="1585"/>
      <c r="AC1722" s="1585"/>
      <c r="AD1722" s="1601">
        <f t="shared" si="168"/>
        <v>0</v>
      </c>
      <c r="AE1722" s="1790">
        <v>0</v>
      </c>
      <c r="AF1722" s="1792"/>
    </row>
    <row r="1723" spans="1:32" ht="27.75" customHeight="1">
      <c r="A1723" s="2899" t="s">
        <v>3213</v>
      </c>
      <c r="B1723" s="2901" t="s">
        <v>4024</v>
      </c>
      <c r="C1723" s="2903" t="s">
        <v>52</v>
      </c>
      <c r="D1723" s="2905">
        <v>1149.75</v>
      </c>
      <c r="E1723" s="1810" t="s">
        <v>2496</v>
      </c>
      <c r="F1723" s="1811"/>
      <c r="G1723" s="1811"/>
      <c r="H1723" s="1811"/>
      <c r="I1723" s="1811"/>
      <c r="J1723" s="1811"/>
      <c r="K1723" s="1811"/>
      <c r="L1723" s="1811"/>
      <c r="M1723" s="1811"/>
      <c r="N1723" s="1811"/>
      <c r="O1723" s="1811"/>
      <c r="P1723" s="1811"/>
      <c r="Q1723" s="1812"/>
      <c r="R1723" s="1811"/>
      <c r="S1723" s="1811"/>
      <c r="T1723" s="1812"/>
      <c r="U1723" s="1812"/>
      <c r="V1723" s="1812"/>
      <c r="W1723" s="1812"/>
      <c r="X1723" s="1812"/>
      <c r="Y1723" s="1812"/>
      <c r="Z1723" s="1812"/>
      <c r="AA1723" s="1812">
        <f>D1723</f>
        <v>1149.75</v>
      </c>
      <c r="AB1723" s="1812"/>
      <c r="AC1723" s="1812"/>
      <c r="AD1723" s="1601">
        <f t="shared" si="168"/>
        <v>1149.75</v>
      </c>
      <c r="AE1723" s="1790">
        <v>0</v>
      </c>
      <c r="AF1723" s="1792"/>
    </row>
    <row r="1724" spans="1:32" ht="27.75" customHeight="1">
      <c r="A1724" s="2900" t="s">
        <v>3213</v>
      </c>
      <c r="B1724" s="2902" t="s">
        <v>3214</v>
      </c>
      <c r="C1724" s="2904" t="s">
        <v>52</v>
      </c>
      <c r="D1724" s="2906">
        <v>1149.75</v>
      </c>
      <c r="E1724" s="1603" t="s">
        <v>2497</v>
      </c>
      <c r="F1724" s="1583"/>
      <c r="G1724" s="1583"/>
      <c r="H1724" s="1583"/>
      <c r="I1724" s="1583"/>
      <c r="J1724" s="1583"/>
      <c r="K1724" s="1583"/>
      <c r="L1724" s="1583"/>
      <c r="M1724" s="1583"/>
      <c r="N1724" s="1583"/>
      <c r="O1724" s="1583"/>
      <c r="P1724" s="1583"/>
      <c r="Q1724" s="1604"/>
      <c r="R1724" s="1583"/>
      <c r="S1724" s="1583"/>
      <c r="T1724" s="1604"/>
      <c r="U1724" s="1592"/>
      <c r="V1724" s="1585"/>
      <c r="W1724" s="1585"/>
      <c r="X1724" s="1585"/>
      <c r="Y1724" s="1592"/>
      <c r="Z1724" s="1585"/>
      <c r="AA1724" s="1585"/>
      <c r="AB1724" s="1585"/>
      <c r="AC1724" s="1585"/>
      <c r="AD1724" s="1601">
        <f t="shared" si="168"/>
        <v>0</v>
      </c>
      <c r="AE1724" s="1790">
        <v>0</v>
      </c>
      <c r="AF1724" s="1792"/>
    </row>
    <row r="1725" spans="1:32" ht="27.75" customHeight="1">
      <c r="A1725" s="1795" t="s">
        <v>1090</v>
      </c>
      <c r="B1725" s="1795" t="s">
        <v>1846</v>
      </c>
      <c r="C1725" s="1803"/>
      <c r="D1725" s="1804"/>
      <c r="E1725" s="1599"/>
      <c r="F1725" s="1583"/>
      <c r="G1725" s="1583"/>
      <c r="H1725" s="1583"/>
      <c r="I1725" s="1583"/>
      <c r="J1725" s="1583"/>
      <c r="K1725" s="1583"/>
      <c r="L1725" s="1583"/>
      <c r="M1725" s="1583"/>
      <c r="N1725" s="1583"/>
      <c r="O1725" s="1583"/>
      <c r="P1725" s="1583"/>
      <c r="Q1725" s="1604"/>
      <c r="R1725" s="1583"/>
      <c r="S1725" s="1583"/>
      <c r="T1725" s="1604"/>
      <c r="U1725" s="1592"/>
      <c r="V1725" s="1585"/>
      <c r="W1725" s="1585"/>
      <c r="X1725" s="1585"/>
      <c r="Y1725" s="1592"/>
      <c r="Z1725" s="1585"/>
      <c r="AA1725" s="1585"/>
      <c r="AB1725" s="1585"/>
      <c r="AC1725" s="1585"/>
      <c r="AD1725" s="1601">
        <f t="shared" si="168"/>
        <v>0</v>
      </c>
      <c r="AE1725" s="1790">
        <v>0</v>
      </c>
      <c r="AF1725" s="1792"/>
    </row>
    <row r="1726" spans="1:32" ht="27.75" customHeight="1">
      <c r="A1726" s="2899" t="s">
        <v>3216</v>
      </c>
      <c r="B1726" s="2901" t="s">
        <v>4025</v>
      </c>
      <c r="C1726" s="2903" t="s">
        <v>52</v>
      </c>
      <c r="D1726" s="2905">
        <v>2432.6</v>
      </c>
      <c r="E1726" s="1598" t="s">
        <v>2496</v>
      </c>
      <c r="F1726" s="1583"/>
      <c r="G1726" s="1583"/>
      <c r="H1726" s="1583"/>
      <c r="I1726" s="1583"/>
      <c r="J1726" s="1583"/>
      <c r="K1726" s="1583"/>
      <c r="L1726" s="1583"/>
      <c r="M1726" s="1583"/>
      <c r="N1726" s="1583"/>
      <c r="O1726" s="1583"/>
      <c r="P1726" s="1583"/>
      <c r="Q1726" s="1585"/>
      <c r="R1726" s="1583"/>
      <c r="S1726" s="1583"/>
      <c r="T1726" s="1585"/>
      <c r="U1726" s="1585"/>
      <c r="V1726" s="1585"/>
      <c r="W1726" s="1585"/>
      <c r="X1726" s="1585"/>
      <c r="Y1726" s="1585"/>
      <c r="Z1726" s="1585"/>
      <c r="AA1726" s="1812">
        <f>D1726</f>
        <v>2432.6</v>
      </c>
      <c r="AB1726" s="1585"/>
      <c r="AC1726" s="1585"/>
      <c r="AD1726" s="1601">
        <f t="shared" si="168"/>
        <v>2432.6</v>
      </c>
      <c r="AE1726" s="1790">
        <v>0</v>
      </c>
      <c r="AF1726" s="1792"/>
    </row>
    <row r="1727" spans="1:32" ht="27.75" customHeight="1">
      <c r="A1727" s="2900" t="s">
        <v>3216</v>
      </c>
      <c r="B1727" s="2902" t="s">
        <v>3217</v>
      </c>
      <c r="C1727" s="2904" t="s">
        <v>52</v>
      </c>
      <c r="D1727" s="2906">
        <v>2432.6</v>
      </c>
      <c r="E1727" s="1603" t="s">
        <v>2497</v>
      </c>
      <c r="F1727" s="1583"/>
      <c r="G1727" s="1583"/>
      <c r="H1727" s="1583"/>
      <c r="I1727" s="1583"/>
      <c r="J1727" s="1583"/>
      <c r="K1727" s="1583"/>
      <c r="L1727" s="1583"/>
      <c r="M1727" s="1583"/>
      <c r="N1727" s="1583"/>
      <c r="O1727" s="1583"/>
      <c r="P1727" s="1583"/>
      <c r="Q1727" s="1604"/>
      <c r="R1727" s="1583"/>
      <c r="S1727" s="1583"/>
      <c r="T1727" s="1604"/>
      <c r="U1727" s="1585"/>
      <c r="V1727" s="1585"/>
      <c r="W1727" s="1585"/>
      <c r="X1727" s="1585"/>
      <c r="Y1727" s="1585"/>
      <c r="Z1727" s="1585"/>
      <c r="AA1727" s="1585"/>
      <c r="AB1727" s="1585"/>
      <c r="AC1727" s="1585"/>
      <c r="AD1727" s="1601">
        <f t="shared" si="168"/>
        <v>0</v>
      </c>
      <c r="AE1727" s="1790">
        <v>0</v>
      </c>
      <c r="AF1727" s="1792"/>
    </row>
    <row r="1728" spans="1:32" ht="27.75" customHeight="1">
      <c r="A1728" s="2899" t="s">
        <v>3218</v>
      </c>
      <c r="B1728" s="2901" t="s">
        <v>4026</v>
      </c>
      <c r="C1728" s="2903" t="s">
        <v>52</v>
      </c>
      <c r="D1728" s="2905">
        <v>3235.98</v>
      </c>
      <c r="E1728" s="1810" t="s">
        <v>2496</v>
      </c>
      <c r="F1728" s="1811"/>
      <c r="G1728" s="1811"/>
      <c r="H1728" s="1811"/>
      <c r="I1728" s="1811"/>
      <c r="J1728" s="1811"/>
      <c r="K1728" s="1811"/>
      <c r="L1728" s="1811"/>
      <c r="M1728" s="1811"/>
      <c r="N1728" s="1811"/>
      <c r="O1728" s="1811"/>
      <c r="P1728" s="1811"/>
      <c r="Q1728" s="1812"/>
      <c r="R1728" s="1811"/>
      <c r="S1728" s="1811"/>
      <c r="T1728" s="1812"/>
      <c r="U1728" s="1812"/>
      <c r="V1728" s="1812"/>
      <c r="W1728" s="1812"/>
      <c r="X1728" s="1812"/>
      <c r="Y1728" s="1812"/>
      <c r="Z1728" s="1812"/>
      <c r="AA1728" s="1812">
        <f>D1728</f>
        <v>3235.98</v>
      </c>
      <c r="AB1728" s="1812"/>
      <c r="AC1728" s="1812"/>
      <c r="AD1728" s="1601">
        <f t="shared" si="168"/>
        <v>3235.98</v>
      </c>
      <c r="AE1728" s="1790">
        <v>0</v>
      </c>
      <c r="AF1728" s="1792"/>
    </row>
    <row r="1729" spans="1:32" ht="27.75" customHeight="1">
      <c r="A1729" s="2900" t="s">
        <v>3218</v>
      </c>
      <c r="B1729" s="2902" t="s">
        <v>3219</v>
      </c>
      <c r="C1729" s="2904" t="s">
        <v>52</v>
      </c>
      <c r="D1729" s="2906">
        <v>3235.98</v>
      </c>
      <c r="E1729" s="1603" t="s">
        <v>2497</v>
      </c>
      <c r="F1729" s="1583"/>
      <c r="G1729" s="1583"/>
      <c r="H1729" s="1583"/>
      <c r="I1729" s="1583"/>
      <c r="J1729" s="1583"/>
      <c r="K1729" s="1583"/>
      <c r="L1729" s="1583"/>
      <c r="M1729" s="1583"/>
      <c r="N1729" s="1583"/>
      <c r="O1729" s="1583"/>
      <c r="P1729" s="1583"/>
      <c r="Q1729" s="1604"/>
      <c r="R1729" s="1583"/>
      <c r="S1729" s="1583"/>
      <c r="T1729" s="1604"/>
      <c r="U1729" s="1592"/>
      <c r="V1729" s="1585"/>
      <c r="W1729" s="1585"/>
      <c r="X1729" s="1585"/>
      <c r="Y1729" s="1592"/>
      <c r="Z1729" s="1585"/>
      <c r="AA1729" s="1585"/>
      <c r="AB1729" s="1585"/>
      <c r="AC1729" s="1585"/>
      <c r="AD1729" s="1601">
        <f t="shared" si="168"/>
        <v>0</v>
      </c>
      <c r="AE1729" s="1790">
        <v>0</v>
      </c>
      <c r="AF1729" s="1792"/>
    </row>
    <row r="1730" spans="1:32" ht="27.75" customHeight="1">
      <c r="A1730" s="2899" t="s">
        <v>3220</v>
      </c>
      <c r="B1730" s="2901" t="s">
        <v>4027</v>
      </c>
      <c r="C1730" s="2903" t="s">
        <v>52</v>
      </c>
      <c r="D1730" s="2905">
        <v>1374</v>
      </c>
      <c r="E1730" s="1810" t="s">
        <v>2496</v>
      </c>
      <c r="F1730" s="1811"/>
      <c r="G1730" s="1811"/>
      <c r="H1730" s="1811"/>
      <c r="I1730" s="1811"/>
      <c r="J1730" s="1811"/>
      <c r="K1730" s="1811"/>
      <c r="L1730" s="1811"/>
      <c r="M1730" s="1811"/>
      <c r="N1730" s="1811"/>
      <c r="O1730" s="1811"/>
      <c r="P1730" s="1811"/>
      <c r="Q1730" s="1812"/>
      <c r="R1730" s="1811"/>
      <c r="S1730" s="1811"/>
      <c r="T1730" s="1812"/>
      <c r="U1730" s="1812"/>
      <c r="V1730" s="1812"/>
      <c r="W1730" s="1812"/>
      <c r="X1730" s="1812"/>
      <c r="Y1730" s="1812"/>
      <c r="Z1730" s="1812"/>
      <c r="AA1730" s="1812">
        <f>D1730</f>
        <v>1374</v>
      </c>
      <c r="AB1730" s="1812"/>
      <c r="AC1730" s="1812"/>
      <c r="AD1730" s="1601">
        <f t="shared" si="168"/>
        <v>1374</v>
      </c>
      <c r="AE1730" s="1790">
        <v>0</v>
      </c>
      <c r="AF1730" s="1792"/>
    </row>
    <row r="1731" spans="1:32" ht="27.75" customHeight="1">
      <c r="A1731" s="2900" t="s">
        <v>3220</v>
      </c>
      <c r="B1731" s="2902" t="s">
        <v>3221</v>
      </c>
      <c r="C1731" s="2904" t="s">
        <v>52</v>
      </c>
      <c r="D1731" s="2906">
        <v>1374</v>
      </c>
      <c r="E1731" s="1603" t="s">
        <v>2497</v>
      </c>
      <c r="F1731" s="1583"/>
      <c r="G1731" s="1583"/>
      <c r="H1731" s="1583"/>
      <c r="I1731" s="1583"/>
      <c r="J1731" s="1583"/>
      <c r="K1731" s="1583"/>
      <c r="L1731" s="1583"/>
      <c r="M1731" s="1583"/>
      <c r="N1731" s="1583"/>
      <c r="O1731" s="1583"/>
      <c r="P1731" s="1583"/>
      <c r="Q1731" s="1604"/>
      <c r="R1731" s="1583"/>
      <c r="S1731" s="1583"/>
      <c r="T1731" s="1604"/>
      <c r="U1731" s="1592"/>
      <c r="V1731" s="1585"/>
      <c r="W1731" s="1585"/>
      <c r="X1731" s="1585"/>
      <c r="Y1731" s="1592"/>
      <c r="Z1731" s="1585"/>
      <c r="AA1731" s="1585"/>
      <c r="AB1731" s="1585"/>
      <c r="AC1731" s="1585"/>
      <c r="AD1731" s="1601">
        <f t="shared" si="168"/>
        <v>0</v>
      </c>
      <c r="AE1731" s="1790">
        <v>0</v>
      </c>
      <c r="AF1731" s="1792"/>
    </row>
    <row r="1732" spans="1:32" ht="27.75" customHeight="1">
      <c r="A1732" s="2899" t="s">
        <v>3222</v>
      </c>
      <c r="B1732" s="2901" t="s">
        <v>4028</v>
      </c>
      <c r="C1732" s="2903" t="s">
        <v>52</v>
      </c>
      <c r="D1732" s="2905">
        <v>2829</v>
      </c>
      <c r="E1732" s="1810" t="s">
        <v>2496</v>
      </c>
      <c r="F1732" s="1811"/>
      <c r="G1732" s="1811"/>
      <c r="H1732" s="1811"/>
      <c r="I1732" s="1811"/>
      <c r="J1732" s="1811"/>
      <c r="K1732" s="1811"/>
      <c r="L1732" s="1811"/>
      <c r="M1732" s="1811"/>
      <c r="N1732" s="1811"/>
      <c r="O1732" s="1811"/>
      <c r="P1732" s="1811"/>
      <c r="Q1732" s="1812"/>
      <c r="R1732" s="1811"/>
      <c r="S1732" s="1811"/>
      <c r="T1732" s="1812"/>
      <c r="U1732" s="1812"/>
      <c r="V1732" s="1812"/>
      <c r="W1732" s="1812"/>
      <c r="X1732" s="1812"/>
      <c r="Y1732" s="1812"/>
      <c r="Z1732" s="1812"/>
      <c r="AA1732" s="1812">
        <f>D1732</f>
        <v>2829</v>
      </c>
      <c r="AB1732" s="1812"/>
      <c r="AC1732" s="1812"/>
      <c r="AD1732" s="1601">
        <f t="shared" si="168"/>
        <v>2829</v>
      </c>
      <c r="AE1732" s="1790">
        <v>0</v>
      </c>
      <c r="AF1732" s="1792"/>
    </row>
    <row r="1733" spans="1:32" ht="27.75" customHeight="1">
      <c r="A1733" s="2900" t="s">
        <v>3222</v>
      </c>
      <c r="B1733" s="2902" t="s">
        <v>3223</v>
      </c>
      <c r="C1733" s="2904" t="s">
        <v>52</v>
      </c>
      <c r="D1733" s="2906">
        <v>2829</v>
      </c>
      <c r="E1733" s="1603" t="s">
        <v>2497</v>
      </c>
      <c r="F1733" s="1583"/>
      <c r="G1733" s="1583"/>
      <c r="H1733" s="1583"/>
      <c r="I1733" s="1583"/>
      <c r="J1733" s="1583"/>
      <c r="K1733" s="1583"/>
      <c r="L1733" s="1583"/>
      <c r="M1733" s="1583"/>
      <c r="N1733" s="1583"/>
      <c r="O1733" s="1583"/>
      <c r="P1733" s="1583"/>
      <c r="Q1733" s="1604"/>
      <c r="R1733" s="1583"/>
      <c r="S1733" s="1583"/>
      <c r="T1733" s="1604"/>
      <c r="U1733" s="1592"/>
      <c r="V1733" s="1585"/>
      <c r="W1733" s="1585"/>
      <c r="X1733" s="1585"/>
      <c r="Y1733" s="1592"/>
      <c r="Z1733" s="1585"/>
      <c r="AA1733" s="1585"/>
      <c r="AB1733" s="1585"/>
      <c r="AC1733" s="1585"/>
      <c r="AD1733" s="1601">
        <f t="shared" si="168"/>
        <v>0</v>
      </c>
      <c r="AE1733" s="1790">
        <v>0</v>
      </c>
      <c r="AF1733" s="1792"/>
    </row>
    <row r="1734" spans="1:32" ht="27.75" customHeight="1">
      <c r="A1734" s="1795" t="s">
        <v>1091</v>
      </c>
      <c r="B1734" s="1795" t="s">
        <v>4002</v>
      </c>
      <c r="C1734" s="1803"/>
      <c r="D1734" s="1804"/>
      <c r="E1734" s="1599"/>
      <c r="F1734" s="1583"/>
      <c r="G1734" s="1583"/>
      <c r="H1734" s="1583"/>
      <c r="I1734" s="1583"/>
      <c r="J1734" s="1583"/>
      <c r="K1734" s="1583"/>
      <c r="L1734" s="1583"/>
      <c r="M1734" s="1583"/>
      <c r="N1734" s="1583"/>
      <c r="O1734" s="1583"/>
      <c r="P1734" s="1583"/>
      <c r="Q1734" s="1604"/>
      <c r="R1734" s="1583"/>
      <c r="S1734" s="1583"/>
      <c r="T1734" s="1604"/>
      <c r="U1734" s="1592"/>
      <c r="V1734" s="1585"/>
      <c r="W1734" s="1585"/>
      <c r="X1734" s="1585"/>
      <c r="Y1734" s="1592"/>
      <c r="Z1734" s="1585"/>
      <c r="AA1734" s="1585"/>
      <c r="AB1734" s="1585"/>
      <c r="AC1734" s="1585"/>
      <c r="AD1734" s="1601">
        <f t="shared" si="168"/>
        <v>0</v>
      </c>
      <c r="AE1734" s="1790">
        <v>0</v>
      </c>
      <c r="AF1734" s="1792"/>
    </row>
    <row r="1735" spans="1:32" ht="27.75" customHeight="1">
      <c r="A1735" s="2899" t="s">
        <v>3224</v>
      </c>
      <c r="B1735" s="2901" t="s">
        <v>4029</v>
      </c>
      <c r="C1735" s="2903" t="s">
        <v>52</v>
      </c>
      <c r="D1735" s="2905">
        <v>1930.5</v>
      </c>
      <c r="E1735" s="1598" t="s">
        <v>2496</v>
      </c>
      <c r="F1735" s="1583"/>
      <c r="G1735" s="1583"/>
      <c r="H1735" s="1583"/>
      <c r="I1735" s="1583"/>
      <c r="J1735" s="1583"/>
      <c r="K1735" s="1583"/>
      <c r="L1735" s="1583"/>
      <c r="M1735" s="1583"/>
      <c r="N1735" s="1583"/>
      <c r="O1735" s="1583"/>
      <c r="P1735" s="1583"/>
      <c r="Q1735" s="1585"/>
      <c r="R1735" s="1583"/>
      <c r="S1735" s="1583"/>
      <c r="T1735" s="1585"/>
      <c r="U1735" s="1585"/>
      <c r="V1735" s="1585"/>
      <c r="W1735" s="1585"/>
      <c r="X1735" s="1585"/>
      <c r="Y1735" s="1585"/>
      <c r="Z1735" s="1585"/>
      <c r="AA1735" s="1812">
        <f>D1735</f>
        <v>1930.5</v>
      </c>
      <c r="AB1735" s="1585"/>
      <c r="AC1735" s="1585"/>
      <c r="AD1735" s="1601">
        <f t="shared" si="168"/>
        <v>1930.5</v>
      </c>
      <c r="AE1735" s="1790">
        <v>0</v>
      </c>
      <c r="AF1735" s="1792"/>
    </row>
    <row r="1736" spans="1:32" ht="27.75" customHeight="1">
      <c r="A1736" s="2900" t="s">
        <v>3224</v>
      </c>
      <c r="B1736" s="2902" t="s">
        <v>3225</v>
      </c>
      <c r="C1736" s="2904" t="s">
        <v>52</v>
      </c>
      <c r="D1736" s="2906">
        <v>1930.5</v>
      </c>
      <c r="E1736" s="1603" t="s">
        <v>2497</v>
      </c>
      <c r="F1736" s="1583"/>
      <c r="G1736" s="1583"/>
      <c r="H1736" s="1583"/>
      <c r="I1736" s="1583"/>
      <c r="J1736" s="1583"/>
      <c r="K1736" s="1583"/>
      <c r="L1736" s="1583"/>
      <c r="M1736" s="1583"/>
      <c r="N1736" s="1583"/>
      <c r="O1736" s="1583"/>
      <c r="P1736" s="1583"/>
      <c r="Q1736" s="1604"/>
      <c r="R1736" s="1583"/>
      <c r="S1736" s="1583"/>
      <c r="T1736" s="1604"/>
      <c r="U1736" s="1585"/>
      <c r="V1736" s="1585"/>
      <c r="W1736" s="1585"/>
      <c r="X1736" s="1585"/>
      <c r="Y1736" s="1585"/>
      <c r="Z1736" s="1585"/>
      <c r="AA1736" s="1585"/>
      <c r="AB1736" s="1585"/>
      <c r="AC1736" s="1585"/>
      <c r="AD1736" s="1601">
        <f t="shared" si="168"/>
        <v>0</v>
      </c>
      <c r="AE1736" s="1790">
        <v>0</v>
      </c>
      <c r="AF1736" s="1792"/>
    </row>
    <row r="1737" spans="1:32" ht="27.75" customHeight="1">
      <c r="A1737" s="2899" t="s">
        <v>3226</v>
      </c>
      <c r="B1737" s="2901" t="s">
        <v>4030</v>
      </c>
      <c r="C1737" s="2903" t="s">
        <v>52</v>
      </c>
      <c r="D1737" s="2905">
        <v>930.00000000000011</v>
      </c>
      <c r="E1737" s="1810" t="s">
        <v>2496</v>
      </c>
      <c r="F1737" s="1811"/>
      <c r="G1737" s="1811"/>
      <c r="H1737" s="1811"/>
      <c r="I1737" s="1811"/>
      <c r="J1737" s="1811"/>
      <c r="K1737" s="1811"/>
      <c r="L1737" s="1811"/>
      <c r="M1737" s="1811"/>
      <c r="N1737" s="1811"/>
      <c r="O1737" s="1811"/>
      <c r="P1737" s="1811"/>
      <c r="Q1737" s="1812"/>
      <c r="R1737" s="1811"/>
      <c r="S1737" s="1811"/>
      <c r="T1737" s="1812"/>
      <c r="U1737" s="1812"/>
      <c r="V1737" s="1812"/>
      <c r="W1737" s="1812"/>
      <c r="X1737" s="1812"/>
      <c r="Y1737" s="1812"/>
      <c r="Z1737" s="1812"/>
      <c r="AA1737" s="1812">
        <f>D1737</f>
        <v>930.00000000000011</v>
      </c>
      <c r="AB1737" s="1812"/>
      <c r="AC1737" s="1812"/>
      <c r="AD1737" s="1601">
        <f t="shared" si="168"/>
        <v>930.00000000000011</v>
      </c>
      <c r="AE1737" s="1790">
        <v>0</v>
      </c>
      <c r="AF1737" s="1792"/>
    </row>
    <row r="1738" spans="1:32" ht="27.75" customHeight="1">
      <c r="A1738" s="2900" t="s">
        <v>3226</v>
      </c>
      <c r="B1738" s="2902" t="s">
        <v>3227</v>
      </c>
      <c r="C1738" s="2904" t="s">
        <v>52</v>
      </c>
      <c r="D1738" s="2906">
        <v>930.00000000000011</v>
      </c>
      <c r="E1738" s="1603" t="s">
        <v>2497</v>
      </c>
      <c r="F1738" s="1583"/>
      <c r="G1738" s="1583"/>
      <c r="H1738" s="1583"/>
      <c r="I1738" s="1583"/>
      <c r="J1738" s="1583"/>
      <c r="K1738" s="1583"/>
      <c r="L1738" s="1583"/>
      <c r="M1738" s="1583"/>
      <c r="N1738" s="1583"/>
      <c r="O1738" s="1583"/>
      <c r="P1738" s="1583"/>
      <c r="Q1738" s="1604"/>
      <c r="R1738" s="1583"/>
      <c r="S1738" s="1583"/>
      <c r="T1738" s="1604"/>
      <c r="U1738" s="1592"/>
      <c r="V1738" s="1585"/>
      <c r="W1738" s="1585"/>
      <c r="X1738" s="1585"/>
      <c r="Y1738" s="1592"/>
      <c r="Z1738" s="1585"/>
      <c r="AA1738" s="1585"/>
      <c r="AB1738" s="1585"/>
      <c r="AC1738" s="1585"/>
      <c r="AD1738" s="1601">
        <f t="shared" si="168"/>
        <v>0</v>
      </c>
      <c r="AE1738" s="1790">
        <v>0</v>
      </c>
      <c r="AF1738" s="1792"/>
    </row>
    <row r="1739" spans="1:32" ht="27.75" customHeight="1">
      <c r="A1739" s="2899" t="s">
        <v>3228</v>
      </c>
      <c r="B1739" s="2901" t="s">
        <v>4031</v>
      </c>
      <c r="C1739" s="2903" t="s">
        <v>52</v>
      </c>
      <c r="D1739" s="2905">
        <v>1745.1000000000001</v>
      </c>
      <c r="E1739" s="1810" t="s">
        <v>2496</v>
      </c>
      <c r="F1739" s="1811"/>
      <c r="G1739" s="1811"/>
      <c r="H1739" s="1811"/>
      <c r="I1739" s="1811"/>
      <c r="J1739" s="1811"/>
      <c r="K1739" s="1811"/>
      <c r="L1739" s="1811"/>
      <c r="M1739" s="1811"/>
      <c r="N1739" s="1811"/>
      <c r="O1739" s="1811"/>
      <c r="P1739" s="1811"/>
      <c r="Q1739" s="1812"/>
      <c r="R1739" s="1811"/>
      <c r="S1739" s="1811"/>
      <c r="T1739" s="1812"/>
      <c r="U1739" s="1812"/>
      <c r="V1739" s="1812"/>
      <c r="W1739" s="1812"/>
      <c r="X1739" s="1812"/>
      <c r="Y1739" s="1812"/>
      <c r="Z1739" s="1812"/>
      <c r="AA1739" s="1812">
        <f>D1739</f>
        <v>1745.1000000000001</v>
      </c>
      <c r="AB1739" s="1812"/>
      <c r="AC1739" s="1812"/>
      <c r="AD1739" s="1601">
        <f t="shared" si="168"/>
        <v>1745.1000000000001</v>
      </c>
      <c r="AE1739" s="1790">
        <v>0</v>
      </c>
      <c r="AF1739" s="1792"/>
    </row>
    <row r="1740" spans="1:32" ht="27.75" customHeight="1">
      <c r="A1740" s="2900" t="s">
        <v>3228</v>
      </c>
      <c r="B1740" s="2902" t="s">
        <v>3229</v>
      </c>
      <c r="C1740" s="2904" t="s">
        <v>52</v>
      </c>
      <c r="D1740" s="2906">
        <v>1745.1000000000001</v>
      </c>
      <c r="E1740" s="1603" t="s">
        <v>2497</v>
      </c>
      <c r="F1740" s="1583"/>
      <c r="G1740" s="1583"/>
      <c r="H1740" s="1583"/>
      <c r="I1740" s="1583"/>
      <c r="J1740" s="1583"/>
      <c r="K1740" s="1583"/>
      <c r="L1740" s="1583"/>
      <c r="M1740" s="1583"/>
      <c r="N1740" s="1583"/>
      <c r="O1740" s="1583"/>
      <c r="P1740" s="1583"/>
      <c r="Q1740" s="1604"/>
      <c r="R1740" s="1583"/>
      <c r="S1740" s="1583"/>
      <c r="T1740" s="1604"/>
      <c r="U1740" s="1592"/>
      <c r="V1740" s="1585"/>
      <c r="W1740" s="1585"/>
      <c r="X1740" s="1585"/>
      <c r="Y1740" s="1592"/>
      <c r="Z1740" s="1585"/>
      <c r="AA1740" s="1585"/>
      <c r="AB1740" s="1585"/>
      <c r="AC1740" s="1585"/>
      <c r="AD1740" s="1601">
        <f t="shared" si="168"/>
        <v>0</v>
      </c>
      <c r="AE1740" s="1790">
        <v>0</v>
      </c>
      <c r="AF1740" s="1792"/>
    </row>
    <row r="1741" spans="1:32" ht="27.75" customHeight="1">
      <c r="A1741" s="2899" t="s">
        <v>3230</v>
      </c>
      <c r="B1741" s="2901" t="s">
        <v>4032</v>
      </c>
      <c r="C1741" s="2903" t="s">
        <v>52</v>
      </c>
      <c r="D1741" s="2905">
        <v>2759.25</v>
      </c>
      <c r="E1741" s="1810" t="s">
        <v>2496</v>
      </c>
      <c r="F1741" s="1811"/>
      <c r="G1741" s="1811"/>
      <c r="H1741" s="1811"/>
      <c r="I1741" s="1811"/>
      <c r="J1741" s="1811"/>
      <c r="K1741" s="1811"/>
      <c r="L1741" s="1811"/>
      <c r="M1741" s="1811"/>
      <c r="N1741" s="1811"/>
      <c r="O1741" s="1811"/>
      <c r="P1741" s="1811"/>
      <c r="Q1741" s="1812"/>
      <c r="R1741" s="1811"/>
      <c r="S1741" s="1811"/>
      <c r="T1741" s="1812"/>
      <c r="U1741" s="1812"/>
      <c r="V1741" s="1812"/>
      <c r="W1741" s="1812"/>
      <c r="X1741" s="1812"/>
      <c r="Y1741" s="1812"/>
      <c r="Z1741" s="1812"/>
      <c r="AA1741" s="1812">
        <f>D1741</f>
        <v>2759.25</v>
      </c>
      <c r="AB1741" s="1812"/>
      <c r="AC1741" s="1812"/>
      <c r="AD1741" s="1601">
        <f t="shared" si="168"/>
        <v>2759.25</v>
      </c>
      <c r="AE1741" s="1790">
        <v>0</v>
      </c>
      <c r="AF1741" s="1792"/>
    </row>
    <row r="1742" spans="1:32" ht="27.75" customHeight="1">
      <c r="A1742" s="2900" t="s">
        <v>3230</v>
      </c>
      <c r="B1742" s="2902" t="s">
        <v>3231</v>
      </c>
      <c r="C1742" s="2904" t="s">
        <v>52</v>
      </c>
      <c r="D1742" s="2906">
        <v>2759.25</v>
      </c>
      <c r="E1742" s="1603" t="s">
        <v>2497</v>
      </c>
      <c r="F1742" s="1583"/>
      <c r="G1742" s="1583"/>
      <c r="H1742" s="1583"/>
      <c r="I1742" s="1583"/>
      <c r="J1742" s="1583"/>
      <c r="K1742" s="1583"/>
      <c r="L1742" s="1583"/>
      <c r="M1742" s="1583"/>
      <c r="N1742" s="1583"/>
      <c r="O1742" s="1583"/>
      <c r="P1742" s="1583"/>
      <c r="Q1742" s="1604"/>
      <c r="R1742" s="1583"/>
      <c r="S1742" s="1583"/>
      <c r="T1742" s="1604"/>
      <c r="U1742" s="1592"/>
      <c r="V1742" s="1585"/>
      <c r="W1742" s="1585"/>
      <c r="X1742" s="1585"/>
      <c r="Y1742" s="1592"/>
      <c r="Z1742" s="1585"/>
      <c r="AA1742" s="1585"/>
      <c r="AB1742" s="1585"/>
      <c r="AC1742" s="1585"/>
      <c r="AD1742" s="1601">
        <f t="shared" si="168"/>
        <v>0</v>
      </c>
      <c r="AE1742" s="1790">
        <v>0</v>
      </c>
      <c r="AF1742" s="1792"/>
    </row>
    <row r="1743" spans="1:32" ht="27.75" customHeight="1">
      <c r="A1743" s="2899" t="s">
        <v>3232</v>
      </c>
      <c r="B1743" s="2901" t="s">
        <v>4033</v>
      </c>
      <c r="C1743" s="2903" t="s">
        <v>52</v>
      </c>
      <c r="D1743" s="2905">
        <v>1569.75</v>
      </c>
      <c r="E1743" s="1598" t="s">
        <v>2496</v>
      </c>
      <c r="F1743" s="1583"/>
      <c r="G1743" s="1583"/>
      <c r="H1743" s="1583"/>
      <c r="I1743" s="1583"/>
      <c r="J1743" s="1583"/>
      <c r="K1743" s="1583"/>
      <c r="L1743" s="1583"/>
      <c r="M1743" s="1583"/>
      <c r="N1743" s="1583"/>
      <c r="O1743" s="1583"/>
      <c r="P1743" s="1583"/>
      <c r="Q1743" s="1585"/>
      <c r="R1743" s="1583"/>
      <c r="S1743" s="1583"/>
      <c r="T1743" s="1585"/>
      <c r="U1743" s="1585"/>
      <c r="V1743" s="1585"/>
      <c r="W1743" s="1585"/>
      <c r="X1743" s="1585"/>
      <c r="Y1743" s="1585"/>
      <c r="Z1743" s="1585"/>
      <c r="AA1743" s="1585"/>
      <c r="AB1743" s="1585"/>
      <c r="AC1743" s="1585">
        <v>1569.75</v>
      </c>
      <c r="AD1743" s="1601">
        <f t="shared" si="168"/>
        <v>1569.75</v>
      </c>
      <c r="AE1743" s="1790">
        <v>0</v>
      </c>
      <c r="AF1743" s="1792"/>
    </row>
    <row r="1744" spans="1:32" ht="27.75" customHeight="1">
      <c r="A1744" s="2900" t="s">
        <v>3232</v>
      </c>
      <c r="B1744" s="2902" t="s">
        <v>3233</v>
      </c>
      <c r="C1744" s="2904" t="s">
        <v>52</v>
      </c>
      <c r="D1744" s="2906">
        <v>1569.75</v>
      </c>
      <c r="E1744" s="1603" t="s">
        <v>2497</v>
      </c>
      <c r="F1744" s="1583"/>
      <c r="G1744" s="1583"/>
      <c r="H1744" s="1583"/>
      <c r="I1744" s="1583"/>
      <c r="J1744" s="1583"/>
      <c r="K1744" s="1583"/>
      <c r="L1744" s="1583"/>
      <c r="M1744" s="1583"/>
      <c r="N1744" s="1583"/>
      <c r="O1744" s="1583"/>
      <c r="P1744" s="1583"/>
      <c r="Q1744" s="1604"/>
      <c r="R1744" s="1583"/>
      <c r="S1744" s="1583"/>
      <c r="T1744" s="1604"/>
      <c r="U1744" s="1585"/>
      <c r="V1744" s="1585"/>
      <c r="W1744" s="1585"/>
      <c r="X1744" s="1585"/>
      <c r="Y1744" s="1585"/>
      <c r="Z1744" s="1585"/>
      <c r="AA1744" s="1585"/>
      <c r="AB1744" s="1585"/>
      <c r="AC1744" s="1585"/>
      <c r="AD1744" s="1601">
        <f t="shared" si="168"/>
        <v>0</v>
      </c>
      <c r="AE1744" s="1790">
        <v>0</v>
      </c>
      <c r="AF1744" s="1792"/>
    </row>
    <row r="1745" spans="1:32" ht="27.75" customHeight="1">
      <c r="A1745" s="2899" t="s">
        <v>3234</v>
      </c>
      <c r="B1745" s="2901" t="s">
        <v>4034</v>
      </c>
      <c r="C1745" s="2903" t="s">
        <v>52</v>
      </c>
      <c r="D1745" s="2905">
        <v>2297.2799999999997</v>
      </c>
      <c r="E1745" s="1810" t="s">
        <v>2496</v>
      </c>
      <c r="F1745" s="1811"/>
      <c r="G1745" s="1811"/>
      <c r="H1745" s="1811"/>
      <c r="I1745" s="1811"/>
      <c r="J1745" s="1811"/>
      <c r="K1745" s="1811"/>
      <c r="L1745" s="1811"/>
      <c r="M1745" s="1811"/>
      <c r="N1745" s="1811"/>
      <c r="O1745" s="1811"/>
      <c r="P1745" s="1811"/>
      <c r="Q1745" s="1812"/>
      <c r="R1745" s="1811"/>
      <c r="S1745" s="1811"/>
      <c r="T1745" s="1812"/>
      <c r="U1745" s="1812"/>
      <c r="V1745" s="1812"/>
      <c r="W1745" s="1812"/>
      <c r="X1745" s="1812"/>
      <c r="Y1745" s="1812"/>
      <c r="Z1745" s="1812"/>
      <c r="AA1745" s="1812"/>
      <c r="AB1745" s="1585"/>
      <c r="AC1745" s="1812">
        <v>2297.2799999999997</v>
      </c>
      <c r="AD1745" s="1601">
        <f t="shared" ref="AD1745:AD1808" si="169">SUM(F1745:AC1745)</f>
        <v>2297.2799999999997</v>
      </c>
      <c r="AE1745" s="1790">
        <v>0</v>
      </c>
      <c r="AF1745" s="1792"/>
    </row>
    <row r="1746" spans="1:32" ht="27.75" customHeight="1">
      <c r="A1746" s="2900" t="s">
        <v>3234</v>
      </c>
      <c r="B1746" s="2902" t="s">
        <v>3235</v>
      </c>
      <c r="C1746" s="2904" t="s">
        <v>52</v>
      </c>
      <c r="D1746" s="2906">
        <v>2297.2799999999997</v>
      </c>
      <c r="E1746" s="1603" t="s">
        <v>2497</v>
      </c>
      <c r="F1746" s="1583"/>
      <c r="G1746" s="1583"/>
      <c r="H1746" s="1583"/>
      <c r="I1746" s="1583"/>
      <c r="J1746" s="1583"/>
      <c r="K1746" s="1583"/>
      <c r="L1746" s="1583"/>
      <c r="M1746" s="1583"/>
      <c r="N1746" s="1583"/>
      <c r="O1746" s="1583"/>
      <c r="P1746" s="1583"/>
      <c r="Q1746" s="1604"/>
      <c r="R1746" s="1583"/>
      <c r="S1746" s="1583"/>
      <c r="T1746" s="1604"/>
      <c r="U1746" s="1592"/>
      <c r="V1746" s="1585"/>
      <c r="W1746" s="1585"/>
      <c r="X1746" s="1585"/>
      <c r="Y1746" s="1592"/>
      <c r="Z1746" s="1585"/>
      <c r="AA1746" s="1585"/>
      <c r="AB1746" s="1585"/>
      <c r="AC1746" s="1585"/>
      <c r="AD1746" s="1601">
        <f t="shared" si="169"/>
        <v>0</v>
      </c>
      <c r="AE1746" s="1790">
        <v>0</v>
      </c>
      <c r="AF1746" s="1792"/>
    </row>
    <row r="1747" spans="1:32" ht="27.75" customHeight="1">
      <c r="A1747" s="2899" t="s">
        <v>3236</v>
      </c>
      <c r="B1747" s="2901" t="s">
        <v>4035</v>
      </c>
      <c r="C1747" s="2903" t="s">
        <v>52</v>
      </c>
      <c r="D1747" s="2905">
        <v>903.7</v>
      </c>
      <c r="E1747" s="1810" t="s">
        <v>2496</v>
      </c>
      <c r="F1747" s="1811"/>
      <c r="G1747" s="1811"/>
      <c r="H1747" s="1811"/>
      <c r="I1747" s="1811"/>
      <c r="J1747" s="1811"/>
      <c r="K1747" s="1811"/>
      <c r="L1747" s="1811"/>
      <c r="M1747" s="1811"/>
      <c r="N1747" s="1811"/>
      <c r="O1747" s="1811"/>
      <c r="P1747" s="1811"/>
      <c r="Q1747" s="1812"/>
      <c r="R1747" s="1811"/>
      <c r="S1747" s="1811"/>
      <c r="T1747" s="1812"/>
      <c r="U1747" s="1812"/>
      <c r="V1747" s="1812"/>
      <c r="W1747" s="1812"/>
      <c r="X1747" s="1812"/>
      <c r="Y1747" s="1812"/>
      <c r="Z1747" s="1812"/>
      <c r="AA1747" s="1812"/>
      <c r="AB1747" s="1585"/>
      <c r="AC1747" s="1812">
        <v>903.7</v>
      </c>
      <c r="AD1747" s="1601">
        <f t="shared" si="169"/>
        <v>903.7</v>
      </c>
      <c r="AE1747" s="1790">
        <v>0</v>
      </c>
      <c r="AF1747" s="1792"/>
    </row>
    <row r="1748" spans="1:32" ht="27.75" customHeight="1">
      <c r="A1748" s="2900" t="s">
        <v>3236</v>
      </c>
      <c r="B1748" s="2902" t="s">
        <v>3237</v>
      </c>
      <c r="C1748" s="2904" t="s">
        <v>52</v>
      </c>
      <c r="D1748" s="2906">
        <v>903.7</v>
      </c>
      <c r="E1748" s="1603" t="s">
        <v>2497</v>
      </c>
      <c r="F1748" s="1583"/>
      <c r="G1748" s="1583"/>
      <c r="H1748" s="1583"/>
      <c r="I1748" s="1583"/>
      <c r="J1748" s="1583"/>
      <c r="K1748" s="1583"/>
      <c r="L1748" s="1583"/>
      <c r="M1748" s="1583"/>
      <c r="N1748" s="1583"/>
      <c r="O1748" s="1583"/>
      <c r="P1748" s="1583"/>
      <c r="Q1748" s="1604"/>
      <c r="R1748" s="1583"/>
      <c r="S1748" s="1583"/>
      <c r="T1748" s="1604"/>
      <c r="U1748" s="1592"/>
      <c r="V1748" s="1585"/>
      <c r="W1748" s="1585"/>
      <c r="X1748" s="1585"/>
      <c r="Y1748" s="1592"/>
      <c r="Z1748" s="1585"/>
      <c r="AA1748" s="1585"/>
      <c r="AB1748" s="1585"/>
      <c r="AC1748" s="1585"/>
      <c r="AD1748" s="1601">
        <f t="shared" si="169"/>
        <v>0</v>
      </c>
      <c r="AE1748" s="1790">
        <v>0</v>
      </c>
      <c r="AF1748" s="1792"/>
    </row>
    <row r="1749" spans="1:32" ht="27.75" customHeight="1">
      <c r="A1749" s="2899" t="s">
        <v>3238</v>
      </c>
      <c r="B1749" s="2901" t="s">
        <v>4036</v>
      </c>
      <c r="C1749" s="2903" t="s">
        <v>52</v>
      </c>
      <c r="D1749" s="2905">
        <v>1084.8</v>
      </c>
      <c r="E1749" s="1598" t="s">
        <v>2496</v>
      </c>
      <c r="F1749" s="1583"/>
      <c r="G1749" s="1583"/>
      <c r="H1749" s="1583"/>
      <c r="I1749" s="1583"/>
      <c r="J1749" s="1583"/>
      <c r="K1749" s="1583"/>
      <c r="L1749" s="1583"/>
      <c r="M1749" s="1583"/>
      <c r="N1749" s="1583"/>
      <c r="O1749" s="1583"/>
      <c r="P1749" s="1583"/>
      <c r="Q1749" s="1585"/>
      <c r="R1749" s="1583"/>
      <c r="S1749" s="1583"/>
      <c r="T1749" s="1585"/>
      <c r="U1749" s="1585"/>
      <c r="V1749" s="1585"/>
      <c r="W1749" s="1585"/>
      <c r="X1749" s="1585"/>
      <c r="Y1749" s="1585"/>
      <c r="Z1749" s="1585"/>
      <c r="AA1749" s="1585"/>
      <c r="AB1749" s="1585"/>
      <c r="AC1749" s="1585">
        <v>1084.8</v>
      </c>
      <c r="AD1749" s="1601">
        <f t="shared" si="169"/>
        <v>1084.8</v>
      </c>
      <c r="AE1749" s="1790">
        <v>0</v>
      </c>
      <c r="AF1749" s="1792"/>
    </row>
    <row r="1750" spans="1:32" ht="27.75" customHeight="1">
      <c r="A1750" s="2900" t="s">
        <v>3238</v>
      </c>
      <c r="B1750" s="2902" t="s">
        <v>3239</v>
      </c>
      <c r="C1750" s="2904" t="s">
        <v>52</v>
      </c>
      <c r="D1750" s="2906">
        <v>1084.8</v>
      </c>
      <c r="E1750" s="1603" t="s">
        <v>2497</v>
      </c>
      <c r="F1750" s="1583"/>
      <c r="G1750" s="1583"/>
      <c r="H1750" s="1583"/>
      <c r="I1750" s="1583"/>
      <c r="J1750" s="1583"/>
      <c r="K1750" s="1583"/>
      <c r="L1750" s="1583"/>
      <c r="M1750" s="1583"/>
      <c r="N1750" s="1583"/>
      <c r="O1750" s="1583"/>
      <c r="P1750" s="1583"/>
      <c r="Q1750" s="1604"/>
      <c r="R1750" s="1583"/>
      <c r="S1750" s="1583"/>
      <c r="T1750" s="1604"/>
      <c r="U1750" s="1585"/>
      <c r="V1750" s="1585"/>
      <c r="W1750" s="1585"/>
      <c r="X1750" s="1585"/>
      <c r="Y1750" s="1585"/>
      <c r="Z1750" s="1585"/>
      <c r="AA1750" s="1585"/>
      <c r="AB1750" s="1585"/>
      <c r="AC1750" s="1585"/>
      <c r="AD1750" s="1601">
        <f t="shared" si="169"/>
        <v>0</v>
      </c>
      <c r="AE1750" s="1790">
        <v>0</v>
      </c>
      <c r="AF1750" s="1792"/>
    </row>
    <row r="1751" spans="1:32" ht="27.75" customHeight="1">
      <c r="A1751" s="2899" t="s">
        <v>3240</v>
      </c>
      <c r="B1751" s="2901" t="s">
        <v>4037</v>
      </c>
      <c r="C1751" s="2903" t="s">
        <v>52</v>
      </c>
      <c r="D1751" s="2905">
        <v>2073.4</v>
      </c>
      <c r="E1751" s="1810" t="s">
        <v>2496</v>
      </c>
      <c r="F1751" s="1811"/>
      <c r="G1751" s="1811"/>
      <c r="H1751" s="1811"/>
      <c r="I1751" s="1811"/>
      <c r="J1751" s="1811"/>
      <c r="K1751" s="1811"/>
      <c r="L1751" s="1811"/>
      <c r="M1751" s="1811"/>
      <c r="N1751" s="1811"/>
      <c r="O1751" s="1811"/>
      <c r="P1751" s="1811"/>
      <c r="Q1751" s="1812"/>
      <c r="R1751" s="1811"/>
      <c r="S1751" s="1811"/>
      <c r="T1751" s="1812"/>
      <c r="U1751" s="1812"/>
      <c r="V1751" s="1812"/>
      <c r="W1751" s="1812"/>
      <c r="X1751" s="1812"/>
      <c r="Y1751" s="1812"/>
      <c r="Z1751" s="1812"/>
      <c r="AA1751" s="1812"/>
      <c r="AB1751" s="1585"/>
      <c r="AC1751" s="1812">
        <v>2073.4</v>
      </c>
      <c r="AD1751" s="1601">
        <f t="shared" si="169"/>
        <v>2073.4</v>
      </c>
      <c r="AE1751" s="1790">
        <v>0</v>
      </c>
      <c r="AF1751" s="1792"/>
    </row>
    <row r="1752" spans="1:32" ht="27.75" customHeight="1">
      <c r="A1752" s="2900" t="s">
        <v>3240</v>
      </c>
      <c r="B1752" s="2902" t="s">
        <v>3241</v>
      </c>
      <c r="C1752" s="2904" t="s">
        <v>52</v>
      </c>
      <c r="D1752" s="2906">
        <v>2073.4</v>
      </c>
      <c r="E1752" s="1603" t="s">
        <v>2497</v>
      </c>
      <c r="F1752" s="1583"/>
      <c r="G1752" s="1583"/>
      <c r="H1752" s="1583"/>
      <c r="I1752" s="1583"/>
      <c r="J1752" s="1583"/>
      <c r="K1752" s="1583"/>
      <c r="L1752" s="1583"/>
      <c r="M1752" s="1583"/>
      <c r="N1752" s="1583"/>
      <c r="O1752" s="1583"/>
      <c r="P1752" s="1583"/>
      <c r="Q1752" s="1604"/>
      <c r="R1752" s="1583"/>
      <c r="S1752" s="1583"/>
      <c r="T1752" s="1604"/>
      <c r="U1752" s="1592"/>
      <c r="V1752" s="1585"/>
      <c r="W1752" s="1585"/>
      <c r="X1752" s="1585"/>
      <c r="Y1752" s="1592"/>
      <c r="Z1752" s="1585"/>
      <c r="AA1752" s="1585"/>
      <c r="AB1752" s="1585"/>
      <c r="AC1752" s="1585"/>
      <c r="AD1752" s="1601">
        <f t="shared" si="169"/>
        <v>0</v>
      </c>
      <c r="AE1752" s="1790">
        <v>0</v>
      </c>
      <c r="AF1752" s="1792"/>
    </row>
    <row r="1753" spans="1:32" ht="27.75" customHeight="1">
      <c r="A1753" s="1795" t="s">
        <v>3242</v>
      </c>
      <c r="B1753" s="1795" t="s">
        <v>4038</v>
      </c>
      <c r="C1753" s="1803"/>
      <c r="D1753" s="1804"/>
      <c r="E1753" s="1599"/>
      <c r="F1753" s="1583"/>
      <c r="G1753" s="1583"/>
      <c r="H1753" s="1583"/>
      <c r="I1753" s="1583"/>
      <c r="J1753" s="1583"/>
      <c r="K1753" s="1583"/>
      <c r="L1753" s="1583"/>
      <c r="M1753" s="1583"/>
      <c r="N1753" s="1583"/>
      <c r="O1753" s="1583"/>
      <c r="P1753" s="1583"/>
      <c r="Q1753" s="1604"/>
      <c r="R1753" s="1583"/>
      <c r="S1753" s="1583"/>
      <c r="T1753" s="1604"/>
      <c r="U1753" s="1592"/>
      <c r="V1753" s="1585"/>
      <c r="W1753" s="1585"/>
      <c r="X1753" s="1585"/>
      <c r="Y1753" s="1592"/>
      <c r="Z1753" s="1585"/>
      <c r="AA1753" s="1585"/>
      <c r="AB1753" s="1585"/>
      <c r="AC1753" s="1585"/>
      <c r="AD1753" s="1601">
        <f t="shared" si="169"/>
        <v>0</v>
      </c>
      <c r="AE1753" s="1790">
        <v>0</v>
      </c>
      <c r="AF1753" s="1792"/>
    </row>
    <row r="1754" spans="1:32" ht="27.75" customHeight="1">
      <c r="A1754" s="2899" t="s">
        <v>3244</v>
      </c>
      <c r="B1754" s="2901" t="s">
        <v>4039</v>
      </c>
      <c r="C1754" s="2903" t="s">
        <v>52</v>
      </c>
      <c r="D1754" s="2905">
        <v>13679.7</v>
      </c>
      <c r="E1754" s="1598" t="s">
        <v>2496</v>
      </c>
      <c r="F1754" s="1583"/>
      <c r="G1754" s="1583"/>
      <c r="H1754" s="1583"/>
      <c r="I1754" s="1583"/>
      <c r="J1754" s="1583"/>
      <c r="K1754" s="1583"/>
      <c r="L1754" s="1583"/>
      <c r="M1754" s="1583"/>
      <c r="N1754" s="1583"/>
      <c r="O1754" s="1583"/>
      <c r="P1754" s="1583"/>
      <c r="Q1754" s="1585"/>
      <c r="R1754" s="1583"/>
      <c r="S1754" s="1583"/>
      <c r="T1754" s="1585"/>
      <c r="U1754" s="1585"/>
      <c r="V1754" s="1585"/>
      <c r="W1754" s="1585"/>
      <c r="X1754" s="1585"/>
      <c r="Y1754" s="1585"/>
      <c r="Z1754" s="1585"/>
      <c r="AA1754" s="1585"/>
      <c r="AB1754" s="1585"/>
      <c r="AC1754" s="1585">
        <v>13679.7</v>
      </c>
      <c r="AD1754" s="1601">
        <f t="shared" si="169"/>
        <v>13679.7</v>
      </c>
      <c r="AE1754" s="1790">
        <v>0</v>
      </c>
      <c r="AF1754" s="1792"/>
    </row>
    <row r="1755" spans="1:32" ht="27.75" customHeight="1">
      <c r="A1755" s="2900" t="s">
        <v>3244</v>
      </c>
      <c r="B1755" s="2902" t="s">
        <v>3245</v>
      </c>
      <c r="C1755" s="2904" t="s">
        <v>52</v>
      </c>
      <c r="D1755" s="2906">
        <v>13679.7</v>
      </c>
      <c r="E1755" s="1603" t="s">
        <v>2497</v>
      </c>
      <c r="F1755" s="1583"/>
      <c r="G1755" s="1583"/>
      <c r="H1755" s="1583"/>
      <c r="I1755" s="1583"/>
      <c r="J1755" s="1583"/>
      <c r="K1755" s="1583"/>
      <c r="L1755" s="1583"/>
      <c r="M1755" s="1583"/>
      <c r="N1755" s="1583"/>
      <c r="O1755" s="1583"/>
      <c r="P1755" s="1583"/>
      <c r="Q1755" s="1604"/>
      <c r="R1755" s="1583"/>
      <c r="S1755" s="1583"/>
      <c r="T1755" s="1604"/>
      <c r="U1755" s="1585"/>
      <c r="V1755" s="1585"/>
      <c r="W1755" s="1585"/>
      <c r="X1755" s="1585"/>
      <c r="Y1755" s="1585"/>
      <c r="Z1755" s="1585"/>
      <c r="AA1755" s="1585"/>
      <c r="AB1755" s="1585"/>
      <c r="AC1755" s="1585"/>
      <c r="AD1755" s="1601">
        <f t="shared" si="169"/>
        <v>0</v>
      </c>
      <c r="AE1755" s="1790">
        <v>0</v>
      </c>
      <c r="AF1755" s="1792"/>
    </row>
    <row r="1756" spans="1:32" ht="27.75" customHeight="1">
      <c r="A1756" s="2899" t="s">
        <v>3246</v>
      </c>
      <c r="B1756" s="2901" t="s">
        <v>4040</v>
      </c>
      <c r="C1756" s="2903" t="s">
        <v>268</v>
      </c>
      <c r="D1756" s="2905">
        <v>1859.23</v>
      </c>
      <c r="E1756" s="1810" t="s">
        <v>2496</v>
      </c>
      <c r="F1756" s="1811"/>
      <c r="G1756" s="1811"/>
      <c r="H1756" s="1811"/>
      <c r="I1756" s="1811"/>
      <c r="J1756" s="1811"/>
      <c r="K1756" s="1811"/>
      <c r="L1756" s="1811"/>
      <c r="M1756" s="1811"/>
      <c r="N1756" s="1811"/>
      <c r="O1756" s="1811"/>
      <c r="P1756" s="1811"/>
      <c r="Q1756" s="1812"/>
      <c r="R1756" s="1811"/>
      <c r="S1756" s="1811"/>
      <c r="T1756" s="1812"/>
      <c r="U1756" s="1812"/>
      <c r="V1756" s="1812"/>
      <c r="W1756" s="1812"/>
      <c r="X1756" s="1812"/>
      <c r="Y1756" s="1812"/>
      <c r="Z1756" s="1812"/>
      <c r="AA1756" s="1812"/>
      <c r="AB1756" s="1585"/>
      <c r="AC1756" s="1812">
        <v>1859.23</v>
      </c>
      <c r="AD1756" s="1601">
        <f t="shared" si="169"/>
        <v>1859.23</v>
      </c>
      <c r="AE1756" s="1790">
        <v>0</v>
      </c>
      <c r="AF1756" s="1792"/>
    </row>
    <row r="1757" spans="1:32" ht="27.75" customHeight="1">
      <c r="A1757" s="2900" t="s">
        <v>3246</v>
      </c>
      <c r="B1757" s="2902" t="s">
        <v>3247</v>
      </c>
      <c r="C1757" s="2904" t="s">
        <v>268</v>
      </c>
      <c r="D1757" s="2906">
        <v>1859.23</v>
      </c>
      <c r="E1757" s="1603" t="s">
        <v>2497</v>
      </c>
      <c r="F1757" s="1583"/>
      <c r="G1757" s="1583"/>
      <c r="H1757" s="1583"/>
      <c r="I1757" s="1583"/>
      <c r="J1757" s="1583"/>
      <c r="K1757" s="1583"/>
      <c r="L1757" s="1583"/>
      <c r="M1757" s="1583"/>
      <c r="N1757" s="1583"/>
      <c r="O1757" s="1583"/>
      <c r="P1757" s="1583"/>
      <c r="Q1757" s="1604"/>
      <c r="R1757" s="1583"/>
      <c r="S1757" s="1583"/>
      <c r="T1757" s="1604"/>
      <c r="U1757" s="1592"/>
      <c r="V1757" s="1585"/>
      <c r="W1757" s="1585"/>
      <c r="X1757" s="1585"/>
      <c r="Y1757" s="1592"/>
      <c r="Z1757" s="1585"/>
      <c r="AA1757" s="1585"/>
      <c r="AB1757" s="1585"/>
      <c r="AC1757" s="1585"/>
      <c r="AD1757" s="1601">
        <f t="shared" si="169"/>
        <v>0</v>
      </c>
      <c r="AE1757" s="1790">
        <v>0</v>
      </c>
      <c r="AF1757" s="1792"/>
    </row>
    <row r="1758" spans="1:32" ht="27.75" customHeight="1">
      <c r="A1758" s="1647" t="s">
        <v>3248</v>
      </c>
      <c r="B1758" s="1647" t="s">
        <v>4041</v>
      </c>
      <c r="C1758" s="1625"/>
      <c r="D1758" s="1597"/>
      <c r="E1758" s="1813"/>
      <c r="F1758" s="1811"/>
      <c r="G1758" s="1811"/>
      <c r="H1758" s="1811"/>
      <c r="I1758" s="1811"/>
      <c r="J1758" s="1811"/>
      <c r="K1758" s="1811"/>
      <c r="L1758" s="1811"/>
      <c r="M1758" s="1811"/>
      <c r="N1758" s="1811"/>
      <c r="O1758" s="1811"/>
      <c r="P1758" s="1811"/>
      <c r="Q1758" s="1814"/>
      <c r="R1758" s="1811"/>
      <c r="S1758" s="1811"/>
      <c r="T1758" s="1814"/>
      <c r="U1758" s="1816"/>
      <c r="V1758" s="1812"/>
      <c r="W1758" s="1812"/>
      <c r="X1758" s="1812"/>
      <c r="Y1758" s="1816"/>
      <c r="Z1758" s="1812"/>
      <c r="AA1758" s="1812"/>
      <c r="AB1758" s="1812"/>
      <c r="AC1758" s="1812"/>
      <c r="AD1758" s="1601">
        <f t="shared" si="169"/>
        <v>0</v>
      </c>
      <c r="AE1758" s="1790">
        <v>0</v>
      </c>
      <c r="AF1758" s="1792"/>
    </row>
    <row r="1759" spans="1:32" ht="27.75" customHeight="1">
      <c r="A1759" s="1795" t="s">
        <v>3250</v>
      </c>
      <c r="B1759" s="1795" t="s">
        <v>4042</v>
      </c>
      <c r="C1759" s="1625"/>
      <c r="D1759" s="1597"/>
      <c r="E1759" s="1813"/>
      <c r="F1759" s="1811"/>
      <c r="G1759" s="1811"/>
      <c r="H1759" s="1811"/>
      <c r="I1759" s="1811"/>
      <c r="J1759" s="1811"/>
      <c r="K1759" s="1811"/>
      <c r="L1759" s="1811"/>
      <c r="M1759" s="1811"/>
      <c r="N1759" s="1811"/>
      <c r="O1759" s="1811"/>
      <c r="P1759" s="1811"/>
      <c r="Q1759" s="1814"/>
      <c r="R1759" s="1811"/>
      <c r="S1759" s="1811"/>
      <c r="T1759" s="1814"/>
      <c r="U1759" s="1816"/>
      <c r="V1759" s="1812"/>
      <c r="W1759" s="1812"/>
      <c r="X1759" s="1812"/>
      <c r="Y1759" s="1816"/>
      <c r="Z1759" s="1812"/>
      <c r="AA1759" s="1812"/>
      <c r="AB1759" s="1812"/>
      <c r="AC1759" s="1812"/>
      <c r="AD1759" s="1601">
        <f t="shared" si="169"/>
        <v>0</v>
      </c>
      <c r="AE1759" s="1790">
        <v>0</v>
      </c>
      <c r="AF1759" s="1792"/>
    </row>
    <row r="1760" spans="1:32" ht="27.75" customHeight="1">
      <c r="A1760" s="2899" t="s">
        <v>3252</v>
      </c>
      <c r="B1760" s="2901" t="s">
        <v>4043</v>
      </c>
      <c r="C1760" s="2903" t="s">
        <v>51</v>
      </c>
      <c r="D1760" s="2905">
        <v>75102.8</v>
      </c>
      <c r="E1760" s="1810" t="s">
        <v>2496</v>
      </c>
      <c r="F1760" s="1811"/>
      <c r="G1760" s="1811"/>
      <c r="H1760" s="1811"/>
      <c r="I1760" s="1811"/>
      <c r="J1760" s="1811"/>
      <c r="K1760" s="1811"/>
      <c r="L1760" s="1811"/>
      <c r="M1760" s="1811"/>
      <c r="N1760" s="1811"/>
      <c r="O1760" s="1811"/>
      <c r="P1760" s="1811"/>
      <c r="Q1760" s="1812"/>
      <c r="R1760" s="1811"/>
      <c r="S1760" s="1811"/>
      <c r="T1760" s="1812"/>
      <c r="U1760" s="1812"/>
      <c r="V1760" s="1812"/>
      <c r="W1760" s="1812"/>
      <c r="X1760" s="1812"/>
      <c r="Y1760" s="1812"/>
      <c r="Z1760" s="1812"/>
      <c r="AA1760" s="1812"/>
      <c r="AB1760" s="1585"/>
      <c r="AC1760" s="1812">
        <v>75102.8</v>
      </c>
      <c r="AD1760" s="1601">
        <f t="shared" si="169"/>
        <v>75102.8</v>
      </c>
      <c r="AE1760" s="1790">
        <v>0</v>
      </c>
      <c r="AF1760" s="1792"/>
    </row>
    <row r="1761" spans="1:32" ht="27.75" customHeight="1">
      <c r="A1761" s="2900" t="s">
        <v>3252</v>
      </c>
      <c r="B1761" s="2902" t="s">
        <v>3253</v>
      </c>
      <c r="C1761" s="2904" t="s">
        <v>51</v>
      </c>
      <c r="D1761" s="2906">
        <v>75102.8</v>
      </c>
      <c r="E1761" s="1603" t="s">
        <v>2497</v>
      </c>
      <c r="F1761" s="1583"/>
      <c r="G1761" s="1583"/>
      <c r="H1761" s="1583"/>
      <c r="I1761" s="1583"/>
      <c r="J1761" s="1583"/>
      <c r="K1761" s="1583"/>
      <c r="L1761" s="1583"/>
      <c r="M1761" s="1583"/>
      <c r="N1761" s="1583"/>
      <c r="O1761" s="1583"/>
      <c r="P1761" s="1583"/>
      <c r="Q1761" s="1604"/>
      <c r="R1761" s="1583"/>
      <c r="S1761" s="1583"/>
      <c r="T1761" s="1604"/>
      <c r="U1761" s="1592"/>
      <c r="V1761" s="1585"/>
      <c r="W1761" s="1585"/>
      <c r="X1761" s="1585"/>
      <c r="Y1761" s="1592"/>
      <c r="Z1761" s="1585"/>
      <c r="AA1761" s="1585"/>
      <c r="AB1761" s="1585"/>
      <c r="AC1761" s="1585"/>
      <c r="AD1761" s="1601">
        <f t="shared" si="169"/>
        <v>0</v>
      </c>
      <c r="AE1761" s="1790">
        <v>0</v>
      </c>
      <c r="AF1761" s="1792"/>
    </row>
    <row r="1762" spans="1:32" ht="27.75" customHeight="1">
      <c r="A1762" s="2899" t="s">
        <v>3254</v>
      </c>
      <c r="B1762" s="2901" t="s">
        <v>4044</v>
      </c>
      <c r="C1762" s="2903" t="s">
        <v>51</v>
      </c>
      <c r="D1762" s="2905">
        <v>31263.600000000002</v>
      </c>
      <c r="E1762" s="1810" t="s">
        <v>2496</v>
      </c>
      <c r="F1762" s="1811"/>
      <c r="G1762" s="1811"/>
      <c r="H1762" s="1811"/>
      <c r="I1762" s="1811"/>
      <c r="J1762" s="1811"/>
      <c r="K1762" s="1811"/>
      <c r="L1762" s="1811"/>
      <c r="M1762" s="1811"/>
      <c r="N1762" s="1811"/>
      <c r="O1762" s="1811"/>
      <c r="P1762" s="1811"/>
      <c r="Q1762" s="1812"/>
      <c r="R1762" s="1811"/>
      <c r="S1762" s="1811"/>
      <c r="T1762" s="1812"/>
      <c r="U1762" s="1812"/>
      <c r="V1762" s="1812"/>
      <c r="W1762" s="1812"/>
      <c r="X1762" s="1812"/>
      <c r="Y1762" s="1812"/>
      <c r="Z1762" s="1812"/>
      <c r="AA1762" s="1812"/>
      <c r="AB1762" s="1585"/>
      <c r="AC1762" s="1812">
        <v>31263.600000000002</v>
      </c>
      <c r="AD1762" s="1601">
        <f t="shared" si="169"/>
        <v>31263.600000000002</v>
      </c>
      <c r="AE1762" s="1790">
        <v>0</v>
      </c>
      <c r="AF1762" s="1792"/>
    </row>
    <row r="1763" spans="1:32" ht="27.75" customHeight="1">
      <c r="A1763" s="2900" t="s">
        <v>3254</v>
      </c>
      <c r="B1763" s="2902" t="s">
        <v>3255</v>
      </c>
      <c r="C1763" s="2904" t="s">
        <v>51</v>
      </c>
      <c r="D1763" s="2906">
        <v>31263.600000000002</v>
      </c>
      <c r="E1763" s="1603" t="s">
        <v>2497</v>
      </c>
      <c r="F1763" s="1583"/>
      <c r="G1763" s="1583"/>
      <c r="H1763" s="1583"/>
      <c r="I1763" s="1583"/>
      <c r="J1763" s="1583"/>
      <c r="K1763" s="1583"/>
      <c r="L1763" s="1583"/>
      <c r="M1763" s="1583"/>
      <c r="N1763" s="1583"/>
      <c r="O1763" s="1583"/>
      <c r="P1763" s="1583"/>
      <c r="Q1763" s="1604"/>
      <c r="R1763" s="1583"/>
      <c r="S1763" s="1583"/>
      <c r="T1763" s="1604"/>
      <c r="U1763" s="1592"/>
      <c r="V1763" s="1585"/>
      <c r="W1763" s="1585"/>
      <c r="X1763" s="1585"/>
      <c r="Y1763" s="1592"/>
      <c r="Z1763" s="1585"/>
      <c r="AA1763" s="1585"/>
      <c r="AB1763" s="1585"/>
      <c r="AC1763" s="1585"/>
      <c r="AD1763" s="1601">
        <f t="shared" si="169"/>
        <v>0</v>
      </c>
      <c r="AE1763" s="1790">
        <v>0</v>
      </c>
      <c r="AF1763" s="1792"/>
    </row>
    <row r="1764" spans="1:32" ht="27.75" customHeight="1">
      <c r="A1764" s="2899" t="s">
        <v>3256</v>
      </c>
      <c r="B1764" s="2901" t="s">
        <v>4045</v>
      </c>
      <c r="C1764" s="2903" t="s">
        <v>51</v>
      </c>
      <c r="D1764" s="2905">
        <v>4883.1000000000004</v>
      </c>
      <c r="E1764" s="1598" t="s">
        <v>2496</v>
      </c>
      <c r="F1764" s="1583"/>
      <c r="G1764" s="1583"/>
      <c r="H1764" s="1583"/>
      <c r="I1764" s="1583"/>
      <c r="J1764" s="1583"/>
      <c r="K1764" s="1583"/>
      <c r="L1764" s="1583"/>
      <c r="M1764" s="1583"/>
      <c r="N1764" s="1583"/>
      <c r="O1764" s="1583"/>
      <c r="P1764" s="1583"/>
      <c r="Q1764" s="1585"/>
      <c r="R1764" s="1583"/>
      <c r="S1764" s="1583"/>
      <c r="T1764" s="1585"/>
      <c r="U1764" s="1585"/>
      <c r="V1764" s="1585"/>
      <c r="W1764" s="1585"/>
      <c r="X1764" s="1585"/>
      <c r="Y1764" s="1585"/>
      <c r="Z1764" s="1585"/>
      <c r="AA1764" s="1585"/>
      <c r="AB1764" s="1585"/>
      <c r="AC1764" s="1585">
        <v>4883.1000000000004</v>
      </c>
      <c r="AD1764" s="1601">
        <f t="shared" si="169"/>
        <v>4883.1000000000004</v>
      </c>
      <c r="AE1764" s="1790">
        <v>0</v>
      </c>
      <c r="AF1764" s="1792"/>
    </row>
    <row r="1765" spans="1:32" ht="27.75" customHeight="1">
      <c r="A1765" s="2900" t="s">
        <v>3256</v>
      </c>
      <c r="B1765" s="2902" t="s">
        <v>3257</v>
      </c>
      <c r="C1765" s="2904" t="s">
        <v>51</v>
      </c>
      <c r="D1765" s="2906">
        <v>4883.1000000000004</v>
      </c>
      <c r="E1765" s="1603" t="s">
        <v>2497</v>
      </c>
      <c r="F1765" s="1583"/>
      <c r="G1765" s="1583"/>
      <c r="H1765" s="1583"/>
      <c r="I1765" s="1583"/>
      <c r="J1765" s="1583"/>
      <c r="K1765" s="1583"/>
      <c r="L1765" s="1583"/>
      <c r="M1765" s="1583"/>
      <c r="N1765" s="1583"/>
      <c r="O1765" s="1583"/>
      <c r="P1765" s="1583"/>
      <c r="Q1765" s="1604"/>
      <c r="R1765" s="1583"/>
      <c r="S1765" s="1583"/>
      <c r="T1765" s="1604"/>
      <c r="U1765" s="1585"/>
      <c r="V1765" s="1585"/>
      <c r="W1765" s="1585"/>
      <c r="X1765" s="1585"/>
      <c r="Y1765" s="1585"/>
      <c r="Z1765" s="1585"/>
      <c r="AA1765" s="1585"/>
      <c r="AB1765" s="1585"/>
      <c r="AC1765" s="1585"/>
      <c r="AD1765" s="1601">
        <f t="shared" si="169"/>
        <v>0</v>
      </c>
      <c r="AE1765" s="1790">
        <v>0</v>
      </c>
      <c r="AF1765" s="1792"/>
    </row>
    <row r="1766" spans="1:32" ht="27.75" customHeight="1">
      <c r="A1766" s="1795" t="s">
        <v>3258</v>
      </c>
      <c r="B1766" s="1795" t="s">
        <v>4002</v>
      </c>
      <c r="C1766" s="1803"/>
      <c r="D1766" s="1804"/>
      <c r="E1766" s="1813"/>
      <c r="F1766" s="1811"/>
      <c r="G1766" s="1811"/>
      <c r="H1766" s="1811"/>
      <c r="I1766" s="1811"/>
      <c r="J1766" s="1811"/>
      <c r="K1766" s="1811"/>
      <c r="L1766" s="1811"/>
      <c r="M1766" s="1811"/>
      <c r="N1766" s="1811"/>
      <c r="O1766" s="1811"/>
      <c r="P1766" s="1811"/>
      <c r="Q1766" s="1814"/>
      <c r="R1766" s="1811"/>
      <c r="S1766" s="1811"/>
      <c r="T1766" s="1814"/>
      <c r="U1766" s="1812"/>
      <c r="V1766" s="1812"/>
      <c r="W1766" s="1812"/>
      <c r="X1766" s="1812"/>
      <c r="Y1766" s="1812"/>
      <c r="Z1766" s="1812"/>
      <c r="AA1766" s="1812"/>
      <c r="AB1766" s="1812"/>
      <c r="AC1766" s="1812"/>
      <c r="AD1766" s="1601">
        <f t="shared" si="169"/>
        <v>0</v>
      </c>
      <c r="AE1766" s="1790">
        <v>0</v>
      </c>
      <c r="AF1766" s="1792"/>
    </row>
    <row r="1767" spans="1:32" ht="27.75" customHeight="1">
      <c r="A1767" s="2899" t="s">
        <v>3259</v>
      </c>
      <c r="B1767" s="2901" t="s">
        <v>4046</v>
      </c>
      <c r="C1767" s="2903" t="s">
        <v>52</v>
      </c>
      <c r="D1767" s="2905">
        <v>1068.3400000000001</v>
      </c>
      <c r="E1767" s="1810" t="s">
        <v>2496</v>
      </c>
      <c r="F1767" s="1811"/>
      <c r="G1767" s="1811"/>
      <c r="H1767" s="1811"/>
      <c r="I1767" s="1811"/>
      <c r="J1767" s="1811"/>
      <c r="K1767" s="1811"/>
      <c r="L1767" s="1811"/>
      <c r="M1767" s="1811"/>
      <c r="N1767" s="1811"/>
      <c r="O1767" s="1811"/>
      <c r="P1767" s="1811"/>
      <c r="Q1767" s="1812"/>
      <c r="R1767" s="1811"/>
      <c r="S1767" s="1811"/>
      <c r="T1767" s="1812"/>
      <c r="U1767" s="1812"/>
      <c r="V1767" s="1812"/>
      <c r="W1767" s="1812"/>
      <c r="X1767" s="1812"/>
      <c r="Y1767" s="1812"/>
      <c r="Z1767" s="1812"/>
      <c r="AA1767" s="1812"/>
      <c r="AB1767" s="1585"/>
      <c r="AC1767" s="1812">
        <v>1068.3400000000001</v>
      </c>
      <c r="AD1767" s="1601">
        <f t="shared" si="169"/>
        <v>1068.3400000000001</v>
      </c>
      <c r="AE1767" s="1790">
        <v>0</v>
      </c>
      <c r="AF1767" s="1792"/>
    </row>
    <row r="1768" spans="1:32" ht="27.75" customHeight="1">
      <c r="A1768" s="2900" t="s">
        <v>3259</v>
      </c>
      <c r="B1768" s="2902" t="s">
        <v>3260</v>
      </c>
      <c r="C1768" s="2904" t="s">
        <v>52</v>
      </c>
      <c r="D1768" s="2906">
        <v>1068.3400000000001</v>
      </c>
      <c r="E1768" s="1603" t="s">
        <v>2497</v>
      </c>
      <c r="F1768" s="1583"/>
      <c r="G1768" s="1583"/>
      <c r="H1768" s="1583"/>
      <c r="I1768" s="1583"/>
      <c r="J1768" s="1583"/>
      <c r="K1768" s="1583"/>
      <c r="L1768" s="1583"/>
      <c r="M1768" s="1583"/>
      <c r="N1768" s="1583"/>
      <c r="O1768" s="1583"/>
      <c r="P1768" s="1583"/>
      <c r="Q1768" s="1604"/>
      <c r="R1768" s="1583"/>
      <c r="S1768" s="1583"/>
      <c r="T1768" s="1604"/>
      <c r="U1768" s="1592"/>
      <c r="V1768" s="1585"/>
      <c r="W1768" s="1585"/>
      <c r="X1768" s="1585"/>
      <c r="Y1768" s="1592"/>
      <c r="Z1768" s="1585"/>
      <c r="AA1768" s="1585"/>
      <c r="AB1768" s="1585"/>
      <c r="AC1768" s="1585"/>
      <c r="AD1768" s="1601">
        <f t="shared" si="169"/>
        <v>0</v>
      </c>
      <c r="AE1768" s="1790">
        <v>0</v>
      </c>
      <c r="AF1768" s="1792"/>
    </row>
    <row r="1769" spans="1:32" ht="27.75" customHeight="1">
      <c r="A1769" s="2899" t="s">
        <v>3261</v>
      </c>
      <c r="B1769" s="2901" t="s">
        <v>4047</v>
      </c>
      <c r="C1769" s="2903" t="s">
        <v>52</v>
      </c>
      <c r="D1769" s="2905">
        <v>1027.98</v>
      </c>
      <c r="E1769" s="1810" t="s">
        <v>2496</v>
      </c>
      <c r="F1769" s="1811"/>
      <c r="G1769" s="1811"/>
      <c r="H1769" s="1811"/>
      <c r="I1769" s="1811"/>
      <c r="J1769" s="1811"/>
      <c r="K1769" s="1811"/>
      <c r="L1769" s="1811"/>
      <c r="M1769" s="1811"/>
      <c r="N1769" s="1811"/>
      <c r="O1769" s="1811"/>
      <c r="P1769" s="1811"/>
      <c r="Q1769" s="1812"/>
      <c r="R1769" s="1811"/>
      <c r="S1769" s="1811"/>
      <c r="T1769" s="1812"/>
      <c r="U1769" s="1812"/>
      <c r="V1769" s="1812"/>
      <c r="W1769" s="1812"/>
      <c r="X1769" s="1812"/>
      <c r="Y1769" s="1812"/>
      <c r="Z1769" s="1812"/>
      <c r="AA1769" s="1812"/>
      <c r="AB1769" s="1585"/>
      <c r="AC1769" s="1812">
        <v>1027.98</v>
      </c>
      <c r="AD1769" s="1601">
        <f t="shared" si="169"/>
        <v>1027.98</v>
      </c>
      <c r="AE1769" s="1790">
        <v>0</v>
      </c>
      <c r="AF1769" s="1792"/>
    </row>
    <row r="1770" spans="1:32" ht="27.75" customHeight="1">
      <c r="A1770" s="2900" t="s">
        <v>3261</v>
      </c>
      <c r="B1770" s="2902" t="s">
        <v>3262</v>
      </c>
      <c r="C1770" s="2904" t="s">
        <v>52</v>
      </c>
      <c r="D1770" s="2906">
        <v>1027.98</v>
      </c>
      <c r="E1770" s="1603" t="s">
        <v>2497</v>
      </c>
      <c r="F1770" s="1583"/>
      <c r="G1770" s="1583"/>
      <c r="H1770" s="1583"/>
      <c r="I1770" s="1583"/>
      <c r="J1770" s="1583"/>
      <c r="K1770" s="1583"/>
      <c r="L1770" s="1583"/>
      <c r="M1770" s="1583"/>
      <c r="N1770" s="1583"/>
      <c r="O1770" s="1583"/>
      <c r="P1770" s="1583"/>
      <c r="Q1770" s="1604"/>
      <c r="R1770" s="1583"/>
      <c r="S1770" s="1583"/>
      <c r="T1770" s="1604"/>
      <c r="U1770" s="1592"/>
      <c r="V1770" s="1585"/>
      <c r="W1770" s="1585"/>
      <c r="X1770" s="1585"/>
      <c r="Y1770" s="1592"/>
      <c r="Z1770" s="1585"/>
      <c r="AA1770" s="1585"/>
      <c r="AB1770" s="1585"/>
      <c r="AC1770" s="1585"/>
      <c r="AD1770" s="1601">
        <f t="shared" si="169"/>
        <v>0</v>
      </c>
      <c r="AE1770" s="1790">
        <v>0</v>
      </c>
      <c r="AF1770" s="1792"/>
    </row>
    <row r="1771" spans="1:32" ht="27.75" customHeight="1">
      <c r="A1771" s="2899" t="s">
        <v>3263</v>
      </c>
      <c r="B1771" s="2901" t="s">
        <v>4048</v>
      </c>
      <c r="C1771" s="2903" t="s">
        <v>52</v>
      </c>
      <c r="D1771" s="2905">
        <v>310.55</v>
      </c>
      <c r="E1771" s="1598" t="s">
        <v>2496</v>
      </c>
      <c r="F1771" s="1583"/>
      <c r="G1771" s="1583"/>
      <c r="H1771" s="1583"/>
      <c r="I1771" s="1583"/>
      <c r="J1771" s="1583"/>
      <c r="K1771" s="1583"/>
      <c r="L1771" s="1583"/>
      <c r="M1771" s="1583"/>
      <c r="N1771" s="1583"/>
      <c r="O1771" s="1583"/>
      <c r="P1771" s="1583"/>
      <c r="Q1771" s="1585"/>
      <c r="R1771" s="1583"/>
      <c r="S1771" s="1583"/>
      <c r="T1771" s="1585"/>
      <c r="U1771" s="1585"/>
      <c r="V1771" s="1585"/>
      <c r="W1771" s="1585"/>
      <c r="X1771" s="1585"/>
      <c r="Y1771" s="1585"/>
      <c r="Z1771" s="1585"/>
      <c r="AA1771" s="1585"/>
      <c r="AB1771" s="1585"/>
      <c r="AC1771" s="1585">
        <v>310.55</v>
      </c>
      <c r="AD1771" s="1601">
        <f t="shared" si="169"/>
        <v>310.55</v>
      </c>
      <c r="AE1771" s="1790">
        <v>0</v>
      </c>
      <c r="AF1771" s="1792"/>
    </row>
    <row r="1772" spans="1:32" ht="27.75" customHeight="1">
      <c r="A1772" s="2900" t="s">
        <v>3263</v>
      </c>
      <c r="B1772" s="2902" t="s">
        <v>3264</v>
      </c>
      <c r="C1772" s="2904" t="s">
        <v>52</v>
      </c>
      <c r="D1772" s="2906">
        <v>310.55</v>
      </c>
      <c r="E1772" s="1603" t="s">
        <v>2497</v>
      </c>
      <c r="F1772" s="1583"/>
      <c r="G1772" s="1583"/>
      <c r="H1772" s="1583"/>
      <c r="I1772" s="1583"/>
      <c r="J1772" s="1583"/>
      <c r="K1772" s="1583"/>
      <c r="L1772" s="1583"/>
      <c r="M1772" s="1583"/>
      <c r="N1772" s="1583"/>
      <c r="O1772" s="1583"/>
      <c r="P1772" s="1583"/>
      <c r="Q1772" s="1604"/>
      <c r="R1772" s="1583"/>
      <c r="S1772" s="1583"/>
      <c r="T1772" s="1604"/>
      <c r="U1772" s="1585"/>
      <c r="V1772" s="1585"/>
      <c r="W1772" s="1585"/>
      <c r="X1772" s="1585"/>
      <c r="Y1772" s="1585"/>
      <c r="Z1772" s="1585"/>
      <c r="AA1772" s="1585"/>
      <c r="AB1772" s="1585"/>
      <c r="AC1772" s="1585"/>
      <c r="AD1772" s="1601">
        <f t="shared" si="169"/>
        <v>0</v>
      </c>
      <c r="AE1772" s="1790">
        <v>0</v>
      </c>
      <c r="AF1772" s="1792"/>
    </row>
    <row r="1773" spans="1:32" ht="27.75" customHeight="1">
      <c r="A1773" s="2899" t="s">
        <v>3265</v>
      </c>
      <c r="B1773" s="2901" t="s">
        <v>4049</v>
      </c>
      <c r="C1773" s="2903" t="s">
        <v>52</v>
      </c>
      <c r="D1773" s="2905">
        <v>300.55</v>
      </c>
      <c r="E1773" s="1810" t="s">
        <v>2496</v>
      </c>
      <c r="F1773" s="1811"/>
      <c r="G1773" s="1811"/>
      <c r="H1773" s="1811"/>
      <c r="I1773" s="1811"/>
      <c r="J1773" s="1811"/>
      <c r="K1773" s="1811"/>
      <c r="L1773" s="1811"/>
      <c r="M1773" s="1811"/>
      <c r="N1773" s="1811"/>
      <c r="O1773" s="1811"/>
      <c r="P1773" s="1811"/>
      <c r="Q1773" s="1812"/>
      <c r="R1773" s="1811"/>
      <c r="S1773" s="1811"/>
      <c r="T1773" s="1812"/>
      <c r="U1773" s="1812"/>
      <c r="V1773" s="1812"/>
      <c r="W1773" s="1812"/>
      <c r="X1773" s="1812"/>
      <c r="Y1773" s="1812"/>
      <c r="Z1773" s="1812"/>
      <c r="AA1773" s="1812"/>
      <c r="AB1773" s="1585"/>
      <c r="AC1773" s="1812">
        <v>300.55</v>
      </c>
      <c r="AD1773" s="1601">
        <f t="shared" si="169"/>
        <v>300.55</v>
      </c>
      <c r="AE1773" s="1790">
        <v>0</v>
      </c>
      <c r="AF1773" s="1792"/>
    </row>
    <row r="1774" spans="1:32" ht="27.75" customHeight="1">
      <c r="A1774" s="2900" t="s">
        <v>3265</v>
      </c>
      <c r="B1774" s="2902" t="s">
        <v>3266</v>
      </c>
      <c r="C1774" s="2904" t="s">
        <v>52</v>
      </c>
      <c r="D1774" s="2906">
        <v>300.55</v>
      </c>
      <c r="E1774" s="1603" t="s">
        <v>2497</v>
      </c>
      <c r="F1774" s="1583"/>
      <c r="G1774" s="1583"/>
      <c r="H1774" s="1583"/>
      <c r="I1774" s="1583"/>
      <c r="J1774" s="1583"/>
      <c r="K1774" s="1583"/>
      <c r="L1774" s="1583"/>
      <c r="M1774" s="1583"/>
      <c r="N1774" s="1583"/>
      <c r="O1774" s="1583"/>
      <c r="P1774" s="1583"/>
      <c r="Q1774" s="1604"/>
      <c r="R1774" s="1583"/>
      <c r="S1774" s="1583"/>
      <c r="T1774" s="1604"/>
      <c r="U1774" s="1592"/>
      <c r="V1774" s="1585"/>
      <c r="W1774" s="1585"/>
      <c r="X1774" s="1585"/>
      <c r="Y1774" s="1592"/>
      <c r="Z1774" s="1585"/>
      <c r="AA1774" s="1585"/>
      <c r="AB1774" s="1585"/>
      <c r="AC1774" s="1585"/>
      <c r="AD1774" s="1601">
        <f t="shared" si="169"/>
        <v>0</v>
      </c>
      <c r="AE1774" s="1790">
        <v>0</v>
      </c>
      <c r="AF1774" s="1792"/>
    </row>
    <row r="1775" spans="1:32" ht="27.75" customHeight="1">
      <c r="A1775" s="2899" t="s">
        <v>3267</v>
      </c>
      <c r="B1775" s="2901" t="s">
        <v>4050</v>
      </c>
      <c r="C1775" s="2903" t="s">
        <v>52</v>
      </c>
      <c r="D1775" s="2905">
        <v>335.55</v>
      </c>
      <c r="E1775" s="1598" t="s">
        <v>2496</v>
      </c>
      <c r="F1775" s="1583"/>
      <c r="G1775" s="1583"/>
      <c r="H1775" s="1583"/>
      <c r="I1775" s="1583"/>
      <c r="J1775" s="1583"/>
      <c r="K1775" s="1583"/>
      <c r="L1775" s="1583"/>
      <c r="M1775" s="1583"/>
      <c r="N1775" s="1583"/>
      <c r="O1775" s="1583"/>
      <c r="P1775" s="1583"/>
      <c r="Q1775" s="1585"/>
      <c r="R1775" s="1583"/>
      <c r="S1775" s="1583"/>
      <c r="T1775" s="1585"/>
      <c r="U1775" s="1585"/>
      <c r="V1775" s="1585"/>
      <c r="W1775" s="1585"/>
      <c r="X1775" s="1585"/>
      <c r="Y1775" s="1585"/>
      <c r="Z1775" s="1585"/>
      <c r="AA1775" s="1585"/>
      <c r="AB1775" s="1585"/>
      <c r="AC1775" s="1585">
        <v>335.55</v>
      </c>
      <c r="AD1775" s="1601">
        <f t="shared" si="169"/>
        <v>335.55</v>
      </c>
      <c r="AE1775" s="1790">
        <v>0</v>
      </c>
      <c r="AF1775" s="1792"/>
    </row>
    <row r="1776" spans="1:32" ht="27.75" customHeight="1">
      <c r="A1776" s="2900" t="s">
        <v>3267</v>
      </c>
      <c r="B1776" s="2902" t="s">
        <v>3268</v>
      </c>
      <c r="C1776" s="2904" t="s">
        <v>52</v>
      </c>
      <c r="D1776" s="2906">
        <v>335.55</v>
      </c>
      <c r="E1776" s="1603" t="s">
        <v>2497</v>
      </c>
      <c r="F1776" s="1583"/>
      <c r="G1776" s="1583"/>
      <c r="H1776" s="1583"/>
      <c r="I1776" s="1583"/>
      <c r="J1776" s="1583"/>
      <c r="K1776" s="1583"/>
      <c r="L1776" s="1583"/>
      <c r="M1776" s="1583"/>
      <c r="N1776" s="1583"/>
      <c r="O1776" s="1583"/>
      <c r="P1776" s="1583"/>
      <c r="Q1776" s="1604"/>
      <c r="R1776" s="1583"/>
      <c r="S1776" s="1583"/>
      <c r="T1776" s="1604"/>
      <c r="U1776" s="1585"/>
      <c r="V1776" s="1585"/>
      <c r="W1776" s="1585"/>
      <c r="X1776" s="1585"/>
      <c r="Y1776" s="1585"/>
      <c r="Z1776" s="1585"/>
      <c r="AA1776" s="1585"/>
      <c r="AB1776" s="1585"/>
      <c r="AC1776" s="1585"/>
      <c r="AD1776" s="1601">
        <f t="shared" si="169"/>
        <v>0</v>
      </c>
      <c r="AE1776" s="1790">
        <v>0</v>
      </c>
      <c r="AF1776" s="1792"/>
    </row>
    <row r="1777" spans="1:32" ht="27.75" customHeight="1">
      <c r="A1777" s="2899" t="s">
        <v>3269</v>
      </c>
      <c r="B1777" s="2901" t="s">
        <v>4051</v>
      </c>
      <c r="C1777" s="2903" t="s">
        <v>52</v>
      </c>
      <c r="D1777" s="2905">
        <v>320.55</v>
      </c>
      <c r="E1777" s="1810" t="s">
        <v>2496</v>
      </c>
      <c r="F1777" s="1811"/>
      <c r="G1777" s="1811"/>
      <c r="H1777" s="1811"/>
      <c r="I1777" s="1811"/>
      <c r="J1777" s="1811"/>
      <c r="K1777" s="1811"/>
      <c r="L1777" s="1811"/>
      <c r="M1777" s="1811"/>
      <c r="N1777" s="1811"/>
      <c r="O1777" s="1811"/>
      <c r="P1777" s="1811"/>
      <c r="Q1777" s="1812"/>
      <c r="R1777" s="1811"/>
      <c r="S1777" s="1811"/>
      <c r="T1777" s="1812"/>
      <c r="U1777" s="1812"/>
      <c r="V1777" s="1812"/>
      <c r="W1777" s="1812"/>
      <c r="X1777" s="1812"/>
      <c r="Y1777" s="1812"/>
      <c r="Z1777" s="1812"/>
      <c r="AA1777" s="1812"/>
      <c r="AB1777" s="1585"/>
      <c r="AC1777" s="1812">
        <v>320.55</v>
      </c>
      <c r="AD1777" s="1601">
        <f t="shared" si="169"/>
        <v>320.55</v>
      </c>
      <c r="AE1777" s="1790">
        <v>0</v>
      </c>
      <c r="AF1777" s="1792"/>
    </row>
    <row r="1778" spans="1:32" ht="27.75" customHeight="1">
      <c r="A1778" s="2900" t="s">
        <v>3269</v>
      </c>
      <c r="B1778" s="2902" t="s">
        <v>3270</v>
      </c>
      <c r="C1778" s="2904" t="s">
        <v>52</v>
      </c>
      <c r="D1778" s="2906">
        <v>320.55</v>
      </c>
      <c r="E1778" s="1603" t="s">
        <v>2497</v>
      </c>
      <c r="F1778" s="1583"/>
      <c r="G1778" s="1583"/>
      <c r="H1778" s="1583"/>
      <c r="I1778" s="1583"/>
      <c r="J1778" s="1583"/>
      <c r="K1778" s="1583"/>
      <c r="L1778" s="1583"/>
      <c r="M1778" s="1583"/>
      <c r="N1778" s="1583"/>
      <c r="O1778" s="1583"/>
      <c r="P1778" s="1583"/>
      <c r="Q1778" s="1604"/>
      <c r="R1778" s="1583"/>
      <c r="S1778" s="1583"/>
      <c r="T1778" s="1604"/>
      <c r="U1778" s="1592"/>
      <c r="V1778" s="1585"/>
      <c r="W1778" s="1585"/>
      <c r="X1778" s="1585"/>
      <c r="Y1778" s="1592"/>
      <c r="Z1778" s="1585"/>
      <c r="AA1778" s="1585"/>
      <c r="AB1778" s="1585"/>
      <c r="AC1778" s="1585"/>
      <c r="AD1778" s="1601">
        <f t="shared" si="169"/>
        <v>0</v>
      </c>
      <c r="AE1778" s="1790">
        <v>0</v>
      </c>
      <c r="AF1778" s="1792"/>
    </row>
    <row r="1779" spans="1:32" ht="27.75" customHeight="1">
      <c r="A1779" s="2899" t="s">
        <v>3271</v>
      </c>
      <c r="B1779" s="2901" t="s">
        <v>4052</v>
      </c>
      <c r="C1779" s="2903" t="s">
        <v>52</v>
      </c>
      <c r="D1779" s="2905">
        <v>1099.98</v>
      </c>
      <c r="E1779" s="1810" t="s">
        <v>2496</v>
      </c>
      <c r="F1779" s="1811"/>
      <c r="G1779" s="1811"/>
      <c r="H1779" s="1811"/>
      <c r="I1779" s="1811"/>
      <c r="J1779" s="1811"/>
      <c r="K1779" s="1811"/>
      <c r="L1779" s="1811"/>
      <c r="M1779" s="1811"/>
      <c r="N1779" s="1811"/>
      <c r="O1779" s="1811"/>
      <c r="P1779" s="1811"/>
      <c r="Q1779" s="1812"/>
      <c r="R1779" s="1811"/>
      <c r="S1779" s="1811"/>
      <c r="T1779" s="1812"/>
      <c r="U1779" s="1812"/>
      <c r="V1779" s="1812"/>
      <c r="W1779" s="1812"/>
      <c r="X1779" s="1812"/>
      <c r="Y1779" s="1812"/>
      <c r="Z1779" s="1812"/>
      <c r="AA1779" s="1812"/>
      <c r="AB1779" s="1585"/>
      <c r="AC1779" s="1812">
        <v>1099.98</v>
      </c>
      <c r="AD1779" s="1601">
        <f t="shared" si="169"/>
        <v>1099.98</v>
      </c>
      <c r="AE1779" s="1790">
        <v>0</v>
      </c>
      <c r="AF1779" s="1792"/>
    </row>
    <row r="1780" spans="1:32" ht="27.75" customHeight="1">
      <c r="A1780" s="2900" t="s">
        <v>3271</v>
      </c>
      <c r="B1780" s="2902" t="s">
        <v>3272</v>
      </c>
      <c r="C1780" s="2904" t="s">
        <v>52</v>
      </c>
      <c r="D1780" s="2906">
        <v>1099.98</v>
      </c>
      <c r="E1780" s="1603" t="s">
        <v>2497</v>
      </c>
      <c r="F1780" s="1583"/>
      <c r="G1780" s="1583"/>
      <c r="H1780" s="1583"/>
      <c r="I1780" s="1583"/>
      <c r="J1780" s="1583"/>
      <c r="K1780" s="1583"/>
      <c r="L1780" s="1583"/>
      <c r="M1780" s="1583"/>
      <c r="N1780" s="1583"/>
      <c r="O1780" s="1583"/>
      <c r="P1780" s="1583"/>
      <c r="Q1780" s="1604"/>
      <c r="R1780" s="1583"/>
      <c r="S1780" s="1583"/>
      <c r="T1780" s="1604"/>
      <c r="U1780" s="1592"/>
      <c r="V1780" s="1585"/>
      <c r="W1780" s="1585"/>
      <c r="X1780" s="1585"/>
      <c r="Y1780" s="1592"/>
      <c r="Z1780" s="1585"/>
      <c r="AA1780" s="1585"/>
      <c r="AB1780" s="1585"/>
      <c r="AC1780" s="1585"/>
      <c r="AD1780" s="1601">
        <f t="shared" si="169"/>
        <v>0</v>
      </c>
      <c r="AE1780" s="1790">
        <v>0</v>
      </c>
      <c r="AF1780" s="1792"/>
    </row>
    <row r="1781" spans="1:32" ht="27.75" customHeight="1">
      <c r="A1781" s="2899" t="s">
        <v>3273</v>
      </c>
      <c r="B1781" s="2901" t="s">
        <v>4053</v>
      </c>
      <c r="C1781" s="2903" t="s">
        <v>52</v>
      </c>
      <c r="D1781" s="2905">
        <v>313.8</v>
      </c>
      <c r="E1781" s="1810" t="s">
        <v>2496</v>
      </c>
      <c r="F1781" s="1811"/>
      <c r="G1781" s="1811"/>
      <c r="H1781" s="1811"/>
      <c r="I1781" s="1811"/>
      <c r="J1781" s="1811"/>
      <c r="K1781" s="1811"/>
      <c r="L1781" s="1811"/>
      <c r="M1781" s="1811"/>
      <c r="N1781" s="1811"/>
      <c r="O1781" s="1811"/>
      <c r="P1781" s="1811"/>
      <c r="Q1781" s="1812"/>
      <c r="R1781" s="1811"/>
      <c r="S1781" s="1811"/>
      <c r="T1781" s="1812"/>
      <c r="U1781" s="1812"/>
      <c r="V1781" s="1812"/>
      <c r="W1781" s="1812"/>
      <c r="X1781" s="1812"/>
      <c r="Y1781" s="1812"/>
      <c r="Z1781" s="1812"/>
      <c r="AA1781" s="1812"/>
      <c r="AB1781" s="1585"/>
      <c r="AC1781" s="1812">
        <v>313.8</v>
      </c>
      <c r="AD1781" s="1601">
        <f t="shared" si="169"/>
        <v>313.8</v>
      </c>
      <c r="AE1781" s="1790">
        <v>0</v>
      </c>
      <c r="AF1781" s="1792"/>
    </row>
    <row r="1782" spans="1:32" ht="27.75" customHeight="1">
      <c r="A1782" s="2900" t="s">
        <v>3273</v>
      </c>
      <c r="B1782" s="2902" t="s">
        <v>3274</v>
      </c>
      <c r="C1782" s="2904" t="s">
        <v>52</v>
      </c>
      <c r="D1782" s="2906">
        <v>313.8</v>
      </c>
      <c r="E1782" s="1603" t="s">
        <v>2497</v>
      </c>
      <c r="F1782" s="1583"/>
      <c r="G1782" s="1583"/>
      <c r="H1782" s="1583"/>
      <c r="I1782" s="1583"/>
      <c r="J1782" s="1583"/>
      <c r="K1782" s="1583"/>
      <c r="L1782" s="1583"/>
      <c r="M1782" s="1583"/>
      <c r="N1782" s="1583"/>
      <c r="O1782" s="1583"/>
      <c r="P1782" s="1583"/>
      <c r="Q1782" s="1604"/>
      <c r="R1782" s="1583"/>
      <c r="S1782" s="1583"/>
      <c r="T1782" s="1604"/>
      <c r="U1782" s="1592"/>
      <c r="V1782" s="1585"/>
      <c r="W1782" s="1585"/>
      <c r="X1782" s="1585"/>
      <c r="Y1782" s="1592"/>
      <c r="Z1782" s="1585"/>
      <c r="AA1782" s="1585"/>
      <c r="AB1782" s="1585"/>
      <c r="AC1782" s="1585"/>
      <c r="AD1782" s="1601">
        <f t="shared" si="169"/>
        <v>0</v>
      </c>
      <c r="AE1782" s="1790">
        <v>0</v>
      </c>
      <c r="AF1782" s="1792"/>
    </row>
    <row r="1783" spans="1:32" ht="27.75" customHeight="1">
      <c r="A1783" s="2899" t="s">
        <v>3275</v>
      </c>
      <c r="B1783" s="2901" t="s">
        <v>4054</v>
      </c>
      <c r="C1783" s="2903" t="s">
        <v>52</v>
      </c>
      <c r="D1783" s="2905">
        <v>293.8</v>
      </c>
      <c r="E1783" s="1598" t="s">
        <v>2496</v>
      </c>
      <c r="F1783" s="1583"/>
      <c r="G1783" s="1583"/>
      <c r="H1783" s="1583"/>
      <c r="I1783" s="1583"/>
      <c r="J1783" s="1583"/>
      <c r="K1783" s="1583"/>
      <c r="L1783" s="1583"/>
      <c r="M1783" s="1583"/>
      <c r="N1783" s="1583"/>
      <c r="O1783" s="1583"/>
      <c r="P1783" s="1583"/>
      <c r="Q1783" s="1585"/>
      <c r="R1783" s="1583"/>
      <c r="S1783" s="1583"/>
      <c r="T1783" s="1585"/>
      <c r="U1783" s="1585"/>
      <c r="V1783" s="1585"/>
      <c r="W1783" s="1585"/>
      <c r="X1783" s="1585"/>
      <c r="Y1783" s="1585"/>
      <c r="Z1783" s="1585"/>
      <c r="AA1783" s="1585"/>
      <c r="AB1783" s="1585"/>
      <c r="AC1783" s="1585">
        <v>293.8</v>
      </c>
      <c r="AD1783" s="1601">
        <f t="shared" si="169"/>
        <v>293.8</v>
      </c>
      <c r="AE1783" s="1790">
        <v>0</v>
      </c>
      <c r="AF1783" s="1792"/>
    </row>
    <row r="1784" spans="1:32" ht="27.75" customHeight="1">
      <c r="A1784" s="2900" t="s">
        <v>3275</v>
      </c>
      <c r="B1784" s="2902" t="s">
        <v>3276</v>
      </c>
      <c r="C1784" s="2904" t="s">
        <v>52</v>
      </c>
      <c r="D1784" s="2906">
        <v>293.8</v>
      </c>
      <c r="E1784" s="1603" t="s">
        <v>2497</v>
      </c>
      <c r="F1784" s="1583"/>
      <c r="G1784" s="1583"/>
      <c r="H1784" s="1583"/>
      <c r="I1784" s="1583"/>
      <c r="J1784" s="1583"/>
      <c r="K1784" s="1583"/>
      <c r="L1784" s="1583"/>
      <c r="M1784" s="1583"/>
      <c r="N1784" s="1583"/>
      <c r="O1784" s="1583"/>
      <c r="P1784" s="1583"/>
      <c r="Q1784" s="1604"/>
      <c r="R1784" s="1583"/>
      <c r="S1784" s="1583"/>
      <c r="T1784" s="1604"/>
      <c r="U1784" s="1585"/>
      <c r="V1784" s="1585"/>
      <c r="W1784" s="1585"/>
      <c r="X1784" s="1585"/>
      <c r="Y1784" s="1585"/>
      <c r="Z1784" s="1585"/>
      <c r="AA1784" s="1585"/>
      <c r="AB1784" s="1585"/>
      <c r="AC1784" s="1585"/>
      <c r="AD1784" s="1601">
        <f t="shared" si="169"/>
        <v>0</v>
      </c>
      <c r="AE1784" s="1790">
        <v>0</v>
      </c>
      <c r="AF1784" s="1792"/>
    </row>
    <row r="1785" spans="1:32" ht="27.75" customHeight="1">
      <c r="A1785" s="2899" t="s">
        <v>3277</v>
      </c>
      <c r="B1785" s="2901" t="s">
        <v>4055</v>
      </c>
      <c r="C1785" s="2903" t="s">
        <v>52</v>
      </c>
      <c r="D1785" s="2905">
        <v>313.8</v>
      </c>
      <c r="E1785" s="1810" t="s">
        <v>2496</v>
      </c>
      <c r="F1785" s="1811"/>
      <c r="G1785" s="1811"/>
      <c r="H1785" s="1811"/>
      <c r="I1785" s="1811"/>
      <c r="J1785" s="1811"/>
      <c r="K1785" s="1811"/>
      <c r="L1785" s="1811"/>
      <c r="M1785" s="1811"/>
      <c r="N1785" s="1811"/>
      <c r="O1785" s="1811"/>
      <c r="P1785" s="1811"/>
      <c r="Q1785" s="1812"/>
      <c r="R1785" s="1811"/>
      <c r="S1785" s="1811"/>
      <c r="T1785" s="1812"/>
      <c r="U1785" s="1812"/>
      <c r="V1785" s="1812"/>
      <c r="W1785" s="1812"/>
      <c r="X1785" s="1812"/>
      <c r="Y1785" s="1812"/>
      <c r="Z1785" s="1812"/>
      <c r="AA1785" s="1812"/>
      <c r="AB1785" s="1585"/>
      <c r="AC1785" s="1812">
        <v>313.8</v>
      </c>
      <c r="AD1785" s="1601">
        <f t="shared" si="169"/>
        <v>313.8</v>
      </c>
      <c r="AE1785" s="1790">
        <v>0</v>
      </c>
      <c r="AF1785" s="1792"/>
    </row>
    <row r="1786" spans="1:32" ht="27.75" customHeight="1">
      <c r="A1786" s="2900" t="s">
        <v>3277</v>
      </c>
      <c r="B1786" s="2902" t="s">
        <v>3278</v>
      </c>
      <c r="C1786" s="2904" t="s">
        <v>52</v>
      </c>
      <c r="D1786" s="2906">
        <v>313.8</v>
      </c>
      <c r="E1786" s="1603" t="s">
        <v>2497</v>
      </c>
      <c r="F1786" s="1583"/>
      <c r="G1786" s="1583"/>
      <c r="H1786" s="1583"/>
      <c r="I1786" s="1583"/>
      <c r="J1786" s="1583"/>
      <c r="K1786" s="1583"/>
      <c r="L1786" s="1583"/>
      <c r="M1786" s="1583"/>
      <c r="N1786" s="1583"/>
      <c r="O1786" s="1583"/>
      <c r="P1786" s="1583"/>
      <c r="Q1786" s="1604"/>
      <c r="R1786" s="1583"/>
      <c r="S1786" s="1583"/>
      <c r="T1786" s="1604"/>
      <c r="U1786" s="1592"/>
      <c r="V1786" s="1585"/>
      <c r="W1786" s="1585"/>
      <c r="X1786" s="1585"/>
      <c r="Y1786" s="1592"/>
      <c r="Z1786" s="1585"/>
      <c r="AA1786" s="1585"/>
      <c r="AB1786" s="1585"/>
      <c r="AC1786" s="1585"/>
      <c r="AD1786" s="1601">
        <f t="shared" si="169"/>
        <v>0</v>
      </c>
      <c r="AE1786" s="1790">
        <v>0</v>
      </c>
      <c r="AF1786" s="1792"/>
    </row>
    <row r="1787" spans="1:32" ht="27.75" customHeight="1">
      <c r="A1787" s="2899" t="s">
        <v>3279</v>
      </c>
      <c r="B1787" s="2901" t="s">
        <v>4056</v>
      </c>
      <c r="C1787" s="2903" t="s">
        <v>52</v>
      </c>
      <c r="D1787" s="2905">
        <v>287.64999999999998</v>
      </c>
      <c r="E1787" s="1810" t="s">
        <v>2496</v>
      </c>
      <c r="F1787" s="1811"/>
      <c r="G1787" s="1811"/>
      <c r="H1787" s="1811"/>
      <c r="I1787" s="1811"/>
      <c r="J1787" s="1811"/>
      <c r="K1787" s="1811"/>
      <c r="L1787" s="1811"/>
      <c r="M1787" s="1811"/>
      <c r="N1787" s="1811"/>
      <c r="O1787" s="1811"/>
      <c r="P1787" s="1811"/>
      <c r="Q1787" s="1812"/>
      <c r="R1787" s="1811"/>
      <c r="S1787" s="1811"/>
      <c r="T1787" s="1812"/>
      <c r="U1787" s="1812"/>
      <c r="V1787" s="1812"/>
      <c r="W1787" s="1812"/>
      <c r="X1787" s="1812"/>
      <c r="Y1787" s="1812"/>
      <c r="Z1787" s="1812"/>
      <c r="AA1787" s="1812"/>
      <c r="AB1787" s="1585"/>
      <c r="AC1787" s="1812">
        <v>287.64999999999998</v>
      </c>
      <c r="AD1787" s="1601">
        <f t="shared" si="169"/>
        <v>287.64999999999998</v>
      </c>
      <c r="AE1787" s="1790">
        <v>0</v>
      </c>
      <c r="AF1787" s="1792"/>
    </row>
    <row r="1788" spans="1:32" ht="27.75" customHeight="1">
      <c r="A1788" s="2900" t="s">
        <v>3279</v>
      </c>
      <c r="B1788" s="2902" t="s">
        <v>3280</v>
      </c>
      <c r="C1788" s="2904" t="s">
        <v>52</v>
      </c>
      <c r="D1788" s="2906">
        <v>287.64999999999998</v>
      </c>
      <c r="E1788" s="1603" t="s">
        <v>2497</v>
      </c>
      <c r="F1788" s="1583"/>
      <c r="G1788" s="1583"/>
      <c r="H1788" s="1583"/>
      <c r="I1788" s="1583"/>
      <c r="J1788" s="1583"/>
      <c r="K1788" s="1583"/>
      <c r="L1788" s="1583"/>
      <c r="M1788" s="1583"/>
      <c r="N1788" s="1583"/>
      <c r="O1788" s="1583"/>
      <c r="P1788" s="1583"/>
      <c r="Q1788" s="1604"/>
      <c r="R1788" s="1583"/>
      <c r="S1788" s="1583"/>
      <c r="T1788" s="1604"/>
      <c r="U1788" s="1592"/>
      <c r="V1788" s="1585"/>
      <c r="W1788" s="1585"/>
      <c r="X1788" s="1585"/>
      <c r="Y1788" s="1592"/>
      <c r="Z1788" s="1585"/>
      <c r="AA1788" s="1585"/>
      <c r="AB1788" s="1585"/>
      <c r="AC1788" s="1585"/>
      <c r="AD1788" s="1601">
        <f t="shared" si="169"/>
        <v>0</v>
      </c>
      <c r="AE1788" s="1790">
        <v>0</v>
      </c>
      <c r="AF1788" s="1792"/>
    </row>
    <row r="1789" spans="1:32" ht="27.75" customHeight="1">
      <c r="A1789" s="2899" t="s">
        <v>4057</v>
      </c>
      <c r="B1789" s="2901" t="s">
        <v>4004</v>
      </c>
      <c r="C1789" s="2903" t="s">
        <v>52</v>
      </c>
      <c r="D1789" s="2905">
        <v>336.62</v>
      </c>
      <c r="E1789" s="1598" t="s">
        <v>2496</v>
      </c>
      <c r="F1789" s="1583"/>
      <c r="G1789" s="1583"/>
      <c r="H1789" s="1583"/>
      <c r="I1789" s="1583"/>
      <c r="J1789" s="1583"/>
      <c r="K1789" s="1583"/>
      <c r="L1789" s="1583"/>
      <c r="M1789" s="1583"/>
      <c r="N1789" s="1583"/>
      <c r="O1789" s="1583"/>
      <c r="P1789" s="1583"/>
      <c r="Q1789" s="1585"/>
      <c r="R1789" s="1583"/>
      <c r="S1789" s="1583"/>
      <c r="T1789" s="1585"/>
      <c r="U1789" s="1585"/>
      <c r="V1789" s="1585"/>
      <c r="W1789" s="1585"/>
      <c r="X1789" s="1585"/>
      <c r="Y1789" s="1585"/>
      <c r="Z1789" s="1585"/>
      <c r="AA1789" s="1585"/>
      <c r="AB1789" s="1585"/>
      <c r="AC1789" s="1585">
        <v>336.62</v>
      </c>
      <c r="AD1789" s="1601">
        <f t="shared" si="169"/>
        <v>336.62</v>
      </c>
      <c r="AE1789" s="1790">
        <v>0</v>
      </c>
      <c r="AF1789" s="1792"/>
    </row>
    <row r="1790" spans="1:32" ht="27.75" customHeight="1">
      <c r="A1790" s="2900" t="s">
        <v>3279</v>
      </c>
      <c r="B1790" s="2902" t="s">
        <v>3281</v>
      </c>
      <c r="C1790" s="2904" t="s">
        <v>52</v>
      </c>
      <c r="D1790" s="2906">
        <v>336.62</v>
      </c>
      <c r="E1790" s="1603" t="s">
        <v>2497</v>
      </c>
      <c r="F1790" s="1583"/>
      <c r="G1790" s="1583"/>
      <c r="H1790" s="1583"/>
      <c r="I1790" s="1583"/>
      <c r="J1790" s="1583"/>
      <c r="K1790" s="1583"/>
      <c r="L1790" s="1583"/>
      <c r="M1790" s="1583"/>
      <c r="N1790" s="1583"/>
      <c r="O1790" s="1583"/>
      <c r="P1790" s="1583"/>
      <c r="Q1790" s="1604"/>
      <c r="R1790" s="1583"/>
      <c r="S1790" s="1583"/>
      <c r="T1790" s="1604"/>
      <c r="U1790" s="1585"/>
      <c r="V1790" s="1585"/>
      <c r="W1790" s="1585"/>
      <c r="X1790" s="1585"/>
      <c r="Y1790" s="1585"/>
      <c r="Z1790" s="1585"/>
      <c r="AA1790" s="1585"/>
      <c r="AB1790" s="1585"/>
      <c r="AC1790" s="1585"/>
      <c r="AD1790" s="1601">
        <f t="shared" si="169"/>
        <v>0</v>
      </c>
      <c r="AE1790" s="1790">
        <v>0</v>
      </c>
      <c r="AF1790" s="1792"/>
    </row>
    <row r="1791" spans="1:32" ht="27.75" customHeight="1">
      <c r="A1791" s="2899" t="s">
        <v>4058</v>
      </c>
      <c r="B1791" s="2901" t="s">
        <v>4059</v>
      </c>
      <c r="C1791" s="2903" t="s">
        <v>52</v>
      </c>
      <c r="D1791" s="2905">
        <v>1759.62</v>
      </c>
      <c r="E1791" s="1810" t="s">
        <v>2496</v>
      </c>
      <c r="F1791" s="1811"/>
      <c r="G1791" s="1811"/>
      <c r="H1791" s="1811"/>
      <c r="I1791" s="1811"/>
      <c r="J1791" s="1811"/>
      <c r="K1791" s="1811"/>
      <c r="L1791" s="1811"/>
      <c r="M1791" s="1811"/>
      <c r="N1791" s="1811"/>
      <c r="O1791" s="1811"/>
      <c r="P1791" s="1811"/>
      <c r="Q1791" s="1812"/>
      <c r="R1791" s="1811"/>
      <c r="S1791" s="1811"/>
      <c r="T1791" s="1812"/>
      <c r="U1791" s="1812"/>
      <c r="V1791" s="1812"/>
      <c r="W1791" s="1812"/>
      <c r="X1791" s="1812"/>
      <c r="Y1791" s="1812"/>
      <c r="Z1791" s="1812"/>
      <c r="AA1791" s="1812"/>
      <c r="AB1791" s="1585"/>
      <c r="AC1791" s="1812">
        <v>1759.62</v>
      </c>
      <c r="AD1791" s="1601">
        <f t="shared" si="169"/>
        <v>1759.62</v>
      </c>
      <c r="AE1791" s="1790">
        <v>0</v>
      </c>
      <c r="AF1791" s="1792"/>
    </row>
    <row r="1792" spans="1:32" ht="27.75" customHeight="1">
      <c r="A1792" s="2900" t="s">
        <v>3279</v>
      </c>
      <c r="B1792" s="2902" t="s">
        <v>3282</v>
      </c>
      <c r="C1792" s="2904" t="s">
        <v>52</v>
      </c>
      <c r="D1792" s="2906">
        <v>1759.62</v>
      </c>
      <c r="E1792" s="1603" t="s">
        <v>2497</v>
      </c>
      <c r="F1792" s="1583"/>
      <c r="G1792" s="1583"/>
      <c r="H1792" s="1583"/>
      <c r="I1792" s="1583"/>
      <c r="J1792" s="1583"/>
      <c r="K1792" s="1583"/>
      <c r="L1792" s="1583"/>
      <c r="M1792" s="1583"/>
      <c r="N1792" s="1583"/>
      <c r="O1792" s="1583"/>
      <c r="P1792" s="1583"/>
      <c r="Q1792" s="1604"/>
      <c r="R1792" s="1583"/>
      <c r="S1792" s="1583"/>
      <c r="T1792" s="1604"/>
      <c r="U1792" s="1592"/>
      <c r="V1792" s="1585"/>
      <c r="W1792" s="1585"/>
      <c r="X1792" s="1585"/>
      <c r="Y1792" s="1592"/>
      <c r="Z1792" s="1585"/>
      <c r="AA1792" s="1585"/>
      <c r="AB1792" s="1585"/>
      <c r="AC1792" s="1585"/>
      <c r="AD1792" s="1601">
        <f t="shared" si="169"/>
        <v>0</v>
      </c>
      <c r="AE1792" s="1790">
        <v>0</v>
      </c>
      <c r="AF1792" s="1792"/>
    </row>
    <row r="1793" spans="1:32" ht="27.75" customHeight="1">
      <c r="A1793" s="2899" t="s">
        <v>4060</v>
      </c>
      <c r="B1793" s="2901" t="s">
        <v>4061</v>
      </c>
      <c r="C1793" s="2903" t="s">
        <v>52</v>
      </c>
      <c r="D1793" s="2905">
        <v>1159.1199999999999</v>
      </c>
      <c r="E1793" s="1598" t="s">
        <v>2496</v>
      </c>
      <c r="F1793" s="1583"/>
      <c r="G1793" s="1583"/>
      <c r="H1793" s="1583"/>
      <c r="I1793" s="1583"/>
      <c r="J1793" s="1583"/>
      <c r="K1793" s="1583"/>
      <c r="L1793" s="1583"/>
      <c r="M1793" s="1583"/>
      <c r="N1793" s="1583"/>
      <c r="O1793" s="1583"/>
      <c r="P1793" s="1583"/>
      <c r="Q1793" s="1585"/>
      <c r="R1793" s="1583"/>
      <c r="S1793" s="1583"/>
      <c r="T1793" s="1585"/>
      <c r="U1793" s="1585"/>
      <c r="V1793" s="1585"/>
      <c r="W1793" s="1585"/>
      <c r="X1793" s="1585"/>
      <c r="Y1793" s="1585"/>
      <c r="Z1793" s="1585"/>
      <c r="AA1793" s="1585"/>
      <c r="AB1793" s="1585"/>
      <c r="AC1793" s="1585">
        <v>1159.1199999999999</v>
      </c>
      <c r="AD1793" s="1601">
        <f t="shared" si="169"/>
        <v>1159.1199999999999</v>
      </c>
      <c r="AE1793" s="1790">
        <v>0</v>
      </c>
      <c r="AF1793" s="1792"/>
    </row>
    <row r="1794" spans="1:32" ht="27.75" customHeight="1">
      <c r="A1794" s="2900" t="s">
        <v>3279</v>
      </c>
      <c r="B1794" s="2902" t="s">
        <v>3283</v>
      </c>
      <c r="C1794" s="2904" t="s">
        <v>52</v>
      </c>
      <c r="D1794" s="2906">
        <v>1159.1199999999999</v>
      </c>
      <c r="E1794" s="1603" t="s">
        <v>2497</v>
      </c>
      <c r="F1794" s="1583"/>
      <c r="G1794" s="1583"/>
      <c r="H1794" s="1583"/>
      <c r="I1794" s="1583"/>
      <c r="J1794" s="1583"/>
      <c r="K1794" s="1583"/>
      <c r="L1794" s="1583"/>
      <c r="M1794" s="1583"/>
      <c r="N1794" s="1583"/>
      <c r="O1794" s="1583"/>
      <c r="P1794" s="1583"/>
      <c r="Q1794" s="1604"/>
      <c r="R1794" s="1583"/>
      <c r="S1794" s="1583"/>
      <c r="T1794" s="1604"/>
      <c r="U1794" s="1585"/>
      <c r="V1794" s="1585"/>
      <c r="W1794" s="1585"/>
      <c r="X1794" s="1585"/>
      <c r="Y1794" s="1585"/>
      <c r="Z1794" s="1585"/>
      <c r="AA1794" s="1585"/>
      <c r="AB1794" s="1585"/>
      <c r="AC1794" s="1585"/>
      <c r="AD1794" s="1601">
        <f t="shared" si="169"/>
        <v>0</v>
      </c>
      <c r="AE1794" s="1790">
        <v>0</v>
      </c>
      <c r="AF1794" s="1792"/>
    </row>
    <row r="1795" spans="1:32" ht="27.75" customHeight="1">
      <c r="A1795" s="2899" t="s">
        <v>4062</v>
      </c>
      <c r="B1795" s="2901" t="s">
        <v>4003</v>
      </c>
      <c r="C1795" s="2903" t="s">
        <v>52</v>
      </c>
      <c r="D1795" s="2905">
        <v>189.12</v>
      </c>
      <c r="E1795" s="1810" t="s">
        <v>2496</v>
      </c>
      <c r="F1795" s="1811"/>
      <c r="G1795" s="1811"/>
      <c r="H1795" s="1811"/>
      <c r="I1795" s="1811"/>
      <c r="J1795" s="1811"/>
      <c r="K1795" s="1811"/>
      <c r="L1795" s="1811"/>
      <c r="M1795" s="1811"/>
      <c r="N1795" s="1811"/>
      <c r="O1795" s="1811"/>
      <c r="P1795" s="1811"/>
      <c r="Q1795" s="1812"/>
      <c r="R1795" s="1811"/>
      <c r="S1795" s="1811"/>
      <c r="T1795" s="1812"/>
      <c r="U1795" s="1812"/>
      <c r="V1795" s="1812"/>
      <c r="W1795" s="1812"/>
      <c r="X1795" s="1812"/>
      <c r="Y1795" s="1812"/>
      <c r="Z1795" s="1812"/>
      <c r="AA1795" s="1812"/>
      <c r="AB1795" s="1585"/>
      <c r="AC1795" s="1812">
        <v>189.12</v>
      </c>
      <c r="AD1795" s="1601">
        <f t="shared" si="169"/>
        <v>189.12</v>
      </c>
      <c r="AE1795" s="1790">
        <v>0</v>
      </c>
      <c r="AF1795" s="1792"/>
    </row>
    <row r="1796" spans="1:32" ht="27.75" customHeight="1">
      <c r="A1796" s="2900" t="s">
        <v>3279</v>
      </c>
      <c r="B1796" s="2902" t="s">
        <v>3284</v>
      </c>
      <c r="C1796" s="2904" t="s">
        <v>52</v>
      </c>
      <c r="D1796" s="2906">
        <v>189.12</v>
      </c>
      <c r="E1796" s="1603" t="s">
        <v>2497</v>
      </c>
      <c r="F1796" s="1583"/>
      <c r="G1796" s="1583"/>
      <c r="H1796" s="1583"/>
      <c r="I1796" s="1583"/>
      <c r="J1796" s="1583"/>
      <c r="K1796" s="1583"/>
      <c r="L1796" s="1583"/>
      <c r="M1796" s="1583"/>
      <c r="N1796" s="1583"/>
      <c r="O1796" s="1583"/>
      <c r="P1796" s="1583"/>
      <c r="Q1796" s="1604"/>
      <c r="R1796" s="1583"/>
      <c r="S1796" s="1583"/>
      <c r="T1796" s="1604"/>
      <c r="U1796" s="1592"/>
      <c r="V1796" s="1585"/>
      <c r="W1796" s="1585"/>
      <c r="X1796" s="1585"/>
      <c r="Y1796" s="1592"/>
      <c r="Z1796" s="1585"/>
      <c r="AA1796" s="1585"/>
      <c r="AB1796" s="1585"/>
      <c r="AC1796" s="1585"/>
      <c r="AD1796" s="1601">
        <f t="shared" si="169"/>
        <v>0</v>
      </c>
      <c r="AE1796" s="1790">
        <v>0</v>
      </c>
      <c r="AF1796" s="1792"/>
    </row>
    <row r="1797" spans="1:32" ht="27.75" customHeight="1">
      <c r="A1797" s="2899" t="s">
        <v>4063</v>
      </c>
      <c r="B1797" s="2901" t="s">
        <v>4033</v>
      </c>
      <c r="C1797" s="2903" t="s">
        <v>52</v>
      </c>
      <c r="D1797" s="2905">
        <v>241.62</v>
      </c>
      <c r="E1797" s="1810" t="s">
        <v>2496</v>
      </c>
      <c r="F1797" s="1811"/>
      <c r="G1797" s="1811"/>
      <c r="H1797" s="1811"/>
      <c r="I1797" s="1811"/>
      <c r="J1797" s="1811"/>
      <c r="K1797" s="1811"/>
      <c r="L1797" s="1811"/>
      <c r="M1797" s="1811"/>
      <c r="N1797" s="1811"/>
      <c r="O1797" s="1811"/>
      <c r="P1797" s="1811"/>
      <c r="Q1797" s="1812"/>
      <c r="R1797" s="1811"/>
      <c r="S1797" s="1811"/>
      <c r="T1797" s="1812"/>
      <c r="U1797" s="1812"/>
      <c r="V1797" s="1812"/>
      <c r="W1797" s="1812"/>
      <c r="X1797" s="1812"/>
      <c r="Y1797" s="1812"/>
      <c r="Z1797" s="1812"/>
      <c r="AA1797" s="1812"/>
      <c r="AB1797" s="1585"/>
      <c r="AC1797" s="1812">
        <v>241.62</v>
      </c>
      <c r="AD1797" s="1601">
        <f t="shared" si="169"/>
        <v>241.62</v>
      </c>
      <c r="AE1797" s="1790">
        <v>0</v>
      </c>
      <c r="AF1797" s="1792"/>
    </row>
    <row r="1798" spans="1:32" ht="27.75" customHeight="1">
      <c r="A1798" s="2900" t="s">
        <v>3279</v>
      </c>
      <c r="B1798" s="2902" t="s">
        <v>3285</v>
      </c>
      <c r="C1798" s="2904" t="s">
        <v>52</v>
      </c>
      <c r="D1798" s="2906">
        <v>241.62</v>
      </c>
      <c r="E1798" s="1603" t="s">
        <v>2497</v>
      </c>
      <c r="F1798" s="1583"/>
      <c r="G1798" s="1583"/>
      <c r="H1798" s="1583"/>
      <c r="I1798" s="1583"/>
      <c r="J1798" s="1583"/>
      <c r="K1798" s="1583"/>
      <c r="L1798" s="1583"/>
      <c r="M1798" s="1583"/>
      <c r="N1798" s="1583"/>
      <c r="O1798" s="1583"/>
      <c r="P1798" s="1583"/>
      <c r="Q1798" s="1604"/>
      <c r="R1798" s="1583"/>
      <c r="S1798" s="1583"/>
      <c r="T1798" s="1604"/>
      <c r="U1798" s="1592"/>
      <c r="V1798" s="1585"/>
      <c r="W1798" s="1585"/>
      <c r="X1798" s="1585"/>
      <c r="Y1798" s="1592"/>
      <c r="Z1798" s="1585"/>
      <c r="AA1798" s="1585"/>
      <c r="AB1798" s="1585"/>
      <c r="AC1798" s="1585"/>
      <c r="AD1798" s="1601">
        <f t="shared" si="169"/>
        <v>0</v>
      </c>
      <c r="AE1798" s="1790">
        <v>0</v>
      </c>
      <c r="AF1798" s="1792"/>
    </row>
    <row r="1799" spans="1:32" ht="27.75" customHeight="1">
      <c r="A1799" s="2899" t="s">
        <v>4064</v>
      </c>
      <c r="B1799" s="2901" t="s">
        <v>4031</v>
      </c>
      <c r="C1799" s="2903" t="s">
        <v>52</v>
      </c>
      <c r="D1799" s="2905">
        <v>719.12</v>
      </c>
      <c r="E1799" s="1810" t="s">
        <v>2496</v>
      </c>
      <c r="F1799" s="1811"/>
      <c r="G1799" s="1811"/>
      <c r="H1799" s="1811"/>
      <c r="I1799" s="1811"/>
      <c r="J1799" s="1811"/>
      <c r="K1799" s="1811"/>
      <c r="L1799" s="1811"/>
      <c r="M1799" s="1811"/>
      <c r="N1799" s="1811"/>
      <c r="O1799" s="1811"/>
      <c r="P1799" s="1811"/>
      <c r="Q1799" s="1812"/>
      <c r="R1799" s="1811"/>
      <c r="S1799" s="1811"/>
      <c r="T1799" s="1812"/>
      <c r="U1799" s="1812"/>
      <c r="V1799" s="1812"/>
      <c r="W1799" s="1812"/>
      <c r="X1799" s="1812"/>
      <c r="Y1799" s="1812"/>
      <c r="Z1799" s="1812"/>
      <c r="AA1799" s="1812"/>
      <c r="AB1799" s="1585"/>
      <c r="AC1799" s="1812">
        <v>719.12</v>
      </c>
      <c r="AD1799" s="1601">
        <f t="shared" si="169"/>
        <v>719.12</v>
      </c>
      <c r="AE1799" s="1790">
        <v>0</v>
      </c>
      <c r="AF1799" s="1792"/>
    </row>
    <row r="1800" spans="1:32" ht="27.75" customHeight="1">
      <c r="A1800" s="2900" t="s">
        <v>3279</v>
      </c>
      <c r="B1800" s="2902" t="s">
        <v>3286</v>
      </c>
      <c r="C1800" s="2904" t="s">
        <v>52</v>
      </c>
      <c r="D1800" s="2906">
        <v>719.12</v>
      </c>
      <c r="E1800" s="1603" t="s">
        <v>2497</v>
      </c>
      <c r="F1800" s="1583"/>
      <c r="G1800" s="1583"/>
      <c r="H1800" s="1583"/>
      <c r="I1800" s="1583"/>
      <c r="J1800" s="1583"/>
      <c r="K1800" s="1583"/>
      <c r="L1800" s="1583"/>
      <c r="M1800" s="1583"/>
      <c r="N1800" s="1583"/>
      <c r="O1800" s="1583"/>
      <c r="P1800" s="1583"/>
      <c r="Q1800" s="1604"/>
      <c r="R1800" s="1583"/>
      <c r="S1800" s="1583"/>
      <c r="T1800" s="1604"/>
      <c r="U1800" s="1592"/>
      <c r="V1800" s="1585"/>
      <c r="W1800" s="1585"/>
      <c r="X1800" s="1585"/>
      <c r="Y1800" s="1592"/>
      <c r="Z1800" s="1585"/>
      <c r="AA1800" s="1585"/>
      <c r="AB1800" s="1585"/>
      <c r="AC1800" s="1585"/>
      <c r="AD1800" s="1601">
        <f t="shared" si="169"/>
        <v>0</v>
      </c>
      <c r="AE1800" s="1790">
        <v>0</v>
      </c>
      <c r="AF1800" s="1792"/>
    </row>
    <row r="1801" spans="1:32" ht="27.75" customHeight="1">
      <c r="A1801" s="1795" t="s">
        <v>3287</v>
      </c>
      <c r="B1801" s="1795" t="s">
        <v>4065</v>
      </c>
      <c r="C1801" s="1803"/>
      <c r="D1801" s="1804"/>
      <c r="E1801" s="1599"/>
      <c r="F1801" s="1583"/>
      <c r="G1801" s="1583"/>
      <c r="H1801" s="1583"/>
      <c r="I1801" s="1583"/>
      <c r="J1801" s="1583"/>
      <c r="K1801" s="1583"/>
      <c r="L1801" s="1583"/>
      <c r="M1801" s="1583"/>
      <c r="N1801" s="1583"/>
      <c r="O1801" s="1583"/>
      <c r="P1801" s="1583"/>
      <c r="Q1801" s="1604"/>
      <c r="R1801" s="1583"/>
      <c r="S1801" s="1583"/>
      <c r="T1801" s="1604"/>
      <c r="U1801" s="1592"/>
      <c r="V1801" s="1585"/>
      <c r="W1801" s="1585"/>
      <c r="X1801" s="1585"/>
      <c r="Y1801" s="1592"/>
      <c r="Z1801" s="1585"/>
      <c r="AA1801" s="1585"/>
      <c r="AB1801" s="1585"/>
      <c r="AC1801" s="1585"/>
      <c r="AD1801" s="1601">
        <f t="shared" si="169"/>
        <v>0</v>
      </c>
      <c r="AE1801" s="1790">
        <v>0</v>
      </c>
      <c r="AF1801" s="1792"/>
    </row>
    <row r="1802" spans="1:32" ht="27.75" customHeight="1">
      <c r="A1802" s="2899" t="s">
        <v>3289</v>
      </c>
      <c r="B1802" s="2901" t="s">
        <v>4066</v>
      </c>
      <c r="C1802" s="2903" t="s">
        <v>52</v>
      </c>
      <c r="D1802" s="2905">
        <v>30489.899999999998</v>
      </c>
      <c r="E1802" s="1598" t="s">
        <v>2496</v>
      </c>
      <c r="F1802" s="1583"/>
      <c r="G1802" s="1583"/>
      <c r="H1802" s="1583"/>
      <c r="I1802" s="1583"/>
      <c r="J1802" s="1583"/>
      <c r="K1802" s="1583"/>
      <c r="L1802" s="1583"/>
      <c r="M1802" s="1583"/>
      <c r="N1802" s="1583"/>
      <c r="O1802" s="1583"/>
      <c r="P1802" s="1583"/>
      <c r="Q1802" s="1585"/>
      <c r="R1802" s="1583"/>
      <c r="S1802" s="1583"/>
      <c r="T1802" s="1585"/>
      <c r="U1802" s="1585"/>
      <c r="V1802" s="1585"/>
      <c r="W1802" s="1585"/>
      <c r="X1802" s="1585"/>
      <c r="Y1802" s="1585"/>
      <c r="Z1802" s="1585"/>
      <c r="AA1802" s="1585"/>
      <c r="AB1802" s="1585"/>
      <c r="AC1802" s="1585">
        <v>30489.899999999998</v>
      </c>
      <c r="AD1802" s="1601">
        <f t="shared" si="169"/>
        <v>30489.899999999998</v>
      </c>
      <c r="AE1802" s="1790">
        <v>0</v>
      </c>
      <c r="AF1802" s="1792"/>
    </row>
    <row r="1803" spans="1:32" ht="27.75" customHeight="1">
      <c r="A1803" s="2900" t="s">
        <v>3289</v>
      </c>
      <c r="B1803" s="2902" t="s">
        <v>3290</v>
      </c>
      <c r="C1803" s="2904" t="s">
        <v>52</v>
      </c>
      <c r="D1803" s="2906">
        <v>30489.899999999998</v>
      </c>
      <c r="E1803" s="1603" t="s">
        <v>2497</v>
      </c>
      <c r="F1803" s="1583"/>
      <c r="G1803" s="1583"/>
      <c r="H1803" s="1583"/>
      <c r="I1803" s="1583"/>
      <c r="J1803" s="1583"/>
      <c r="K1803" s="1583"/>
      <c r="L1803" s="1583"/>
      <c r="M1803" s="1583"/>
      <c r="N1803" s="1583"/>
      <c r="O1803" s="1583"/>
      <c r="P1803" s="1583"/>
      <c r="Q1803" s="1604"/>
      <c r="R1803" s="1583"/>
      <c r="S1803" s="1583"/>
      <c r="T1803" s="1604"/>
      <c r="U1803" s="1585"/>
      <c r="V1803" s="1585"/>
      <c r="W1803" s="1585"/>
      <c r="X1803" s="1585"/>
      <c r="Y1803" s="1585"/>
      <c r="Z1803" s="1585"/>
      <c r="AA1803" s="1585"/>
      <c r="AB1803" s="1585"/>
      <c r="AC1803" s="1585"/>
      <c r="AD1803" s="1601">
        <f t="shared" si="169"/>
        <v>0</v>
      </c>
      <c r="AE1803" s="1790">
        <v>0</v>
      </c>
      <c r="AF1803" s="1792"/>
    </row>
    <row r="1804" spans="1:32" ht="27.75" customHeight="1">
      <c r="A1804" s="1795" t="s">
        <v>3291</v>
      </c>
      <c r="B1804" s="1795" t="s">
        <v>4067</v>
      </c>
      <c r="C1804" s="1803"/>
      <c r="D1804" s="1804"/>
      <c r="E1804" s="1813"/>
      <c r="F1804" s="1811"/>
      <c r="G1804" s="1811"/>
      <c r="H1804" s="1811"/>
      <c r="I1804" s="1811"/>
      <c r="J1804" s="1811"/>
      <c r="K1804" s="1811"/>
      <c r="L1804" s="1811"/>
      <c r="M1804" s="1811"/>
      <c r="N1804" s="1811"/>
      <c r="O1804" s="1811"/>
      <c r="P1804" s="1811"/>
      <c r="Q1804" s="1814"/>
      <c r="R1804" s="1811"/>
      <c r="S1804" s="1811"/>
      <c r="T1804" s="1814"/>
      <c r="U1804" s="1812"/>
      <c r="V1804" s="1812"/>
      <c r="W1804" s="1812"/>
      <c r="X1804" s="1812"/>
      <c r="Y1804" s="1812"/>
      <c r="Z1804" s="1812"/>
      <c r="AA1804" s="1812"/>
      <c r="AB1804" s="1812"/>
      <c r="AC1804" s="1812"/>
      <c r="AD1804" s="1601">
        <f t="shared" si="169"/>
        <v>0</v>
      </c>
      <c r="AE1804" s="1790">
        <v>0</v>
      </c>
      <c r="AF1804" s="1792"/>
    </row>
    <row r="1805" spans="1:32" ht="27.75" customHeight="1">
      <c r="A1805" s="2899" t="s">
        <v>3293</v>
      </c>
      <c r="B1805" s="2901" t="s">
        <v>4068</v>
      </c>
      <c r="C1805" s="2903" t="s">
        <v>52</v>
      </c>
      <c r="D1805" s="2905">
        <v>2928.24</v>
      </c>
      <c r="E1805" s="1810" t="s">
        <v>2496</v>
      </c>
      <c r="F1805" s="1811"/>
      <c r="G1805" s="1811"/>
      <c r="H1805" s="1811"/>
      <c r="I1805" s="1811"/>
      <c r="J1805" s="1811"/>
      <c r="K1805" s="1811"/>
      <c r="L1805" s="1811"/>
      <c r="M1805" s="1811"/>
      <c r="N1805" s="1811"/>
      <c r="O1805" s="1811"/>
      <c r="P1805" s="1811"/>
      <c r="Q1805" s="1812"/>
      <c r="R1805" s="1811"/>
      <c r="S1805" s="1811"/>
      <c r="T1805" s="1812"/>
      <c r="U1805" s="1812"/>
      <c r="V1805" s="1812"/>
      <c r="W1805" s="1812"/>
      <c r="X1805" s="1812"/>
      <c r="Y1805" s="1812"/>
      <c r="Z1805" s="1812"/>
      <c r="AA1805" s="1812"/>
      <c r="AB1805" s="1585"/>
      <c r="AC1805" s="1812">
        <v>2928.24</v>
      </c>
      <c r="AD1805" s="1601">
        <f t="shared" si="169"/>
        <v>2928.24</v>
      </c>
      <c r="AE1805" s="1790">
        <v>0</v>
      </c>
      <c r="AF1805" s="1792"/>
    </row>
    <row r="1806" spans="1:32" ht="27.75" customHeight="1">
      <c r="A1806" s="2900" t="s">
        <v>3293</v>
      </c>
      <c r="B1806" s="2902" t="s">
        <v>3294</v>
      </c>
      <c r="C1806" s="2904" t="s">
        <v>52</v>
      </c>
      <c r="D1806" s="2906">
        <v>2928.24</v>
      </c>
      <c r="E1806" s="1603" t="s">
        <v>2497</v>
      </c>
      <c r="F1806" s="1583"/>
      <c r="G1806" s="1583"/>
      <c r="H1806" s="1583"/>
      <c r="I1806" s="1583"/>
      <c r="J1806" s="1583"/>
      <c r="K1806" s="1583"/>
      <c r="L1806" s="1583"/>
      <c r="M1806" s="1583"/>
      <c r="N1806" s="1583"/>
      <c r="O1806" s="1583"/>
      <c r="P1806" s="1583"/>
      <c r="Q1806" s="1604"/>
      <c r="R1806" s="1583"/>
      <c r="S1806" s="1583"/>
      <c r="T1806" s="1604"/>
      <c r="U1806" s="1592"/>
      <c r="V1806" s="1585"/>
      <c r="W1806" s="1585"/>
      <c r="X1806" s="1585"/>
      <c r="Y1806" s="1592"/>
      <c r="Z1806" s="1585"/>
      <c r="AA1806" s="1585"/>
      <c r="AB1806" s="1585"/>
      <c r="AC1806" s="1585"/>
      <c r="AD1806" s="1601">
        <f t="shared" si="169"/>
        <v>0</v>
      </c>
      <c r="AE1806" s="1790">
        <v>0</v>
      </c>
      <c r="AF1806" s="1792"/>
    </row>
    <row r="1807" spans="1:32" ht="27.75" customHeight="1">
      <c r="A1807" s="2899" t="s">
        <v>3295</v>
      </c>
      <c r="B1807" s="2901" t="s">
        <v>4069</v>
      </c>
      <c r="C1807" s="2903" t="s">
        <v>52</v>
      </c>
      <c r="D1807" s="2905">
        <v>139.16</v>
      </c>
      <c r="E1807" s="1810" t="s">
        <v>2496</v>
      </c>
      <c r="F1807" s="1811"/>
      <c r="G1807" s="1811"/>
      <c r="H1807" s="1811"/>
      <c r="I1807" s="1811"/>
      <c r="J1807" s="1811"/>
      <c r="K1807" s="1811"/>
      <c r="L1807" s="1811"/>
      <c r="M1807" s="1811"/>
      <c r="N1807" s="1811"/>
      <c r="O1807" s="1811"/>
      <c r="P1807" s="1811"/>
      <c r="Q1807" s="1812"/>
      <c r="R1807" s="1811"/>
      <c r="S1807" s="1811"/>
      <c r="T1807" s="1812"/>
      <c r="U1807" s="1812"/>
      <c r="V1807" s="1812"/>
      <c r="W1807" s="1812"/>
      <c r="X1807" s="1812"/>
      <c r="Y1807" s="1812"/>
      <c r="Z1807" s="1812"/>
      <c r="AA1807" s="1812"/>
      <c r="AB1807" s="1585"/>
      <c r="AC1807" s="1812">
        <v>139.16</v>
      </c>
      <c r="AD1807" s="1601">
        <f t="shared" si="169"/>
        <v>139.16</v>
      </c>
      <c r="AE1807" s="1790">
        <v>0</v>
      </c>
      <c r="AF1807" s="1792"/>
    </row>
    <row r="1808" spans="1:32" ht="27.75" customHeight="1">
      <c r="A1808" s="2900" t="s">
        <v>3295</v>
      </c>
      <c r="B1808" s="2902" t="s">
        <v>3296</v>
      </c>
      <c r="C1808" s="2904" t="s">
        <v>52</v>
      </c>
      <c r="D1808" s="2906">
        <v>139.16</v>
      </c>
      <c r="E1808" s="1603" t="s">
        <v>2497</v>
      </c>
      <c r="F1808" s="1583"/>
      <c r="G1808" s="1583"/>
      <c r="H1808" s="1583"/>
      <c r="I1808" s="1583"/>
      <c r="J1808" s="1583"/>
      <c r="K1808" s="1583"/>
      <c r="L1808" s="1583"/>
      <c r="M1808" s="1583"/>
      <c r="N1808" s="1583"/>
      <c r="O1808" s="1583"/>
      <c r="P1808" s="1583"/>
      <c r="Q1808" s="1604"/>
      <c r="R1808" s="1583"/>
      <c r="S1808" s="1583"/>
      <c r="T1808" s="1604"/>
      <c r="U1808" s="1592"/>
      <c r="V1808" s="1585"/>
      <c r="W1808" s="1585"/>
      <c r="X1808" s="1585"/>
      <c r="Y1808" s="1592"/>
      <c r="Z1808" s="1585"/>
      <c r="AA1808" s="1585"/>
      <c r="AB1808" s="1585"/>
      <c r="AC1808" s="1585"/>
      <c r="AD1808" s="1601">
        <f t="shared" si="169"/>
        <v>0</v>
      </c>
      <c r="AE1808" s="1790">
        <v>0</v>
      </c>
      <c r="AF1808" s="1792"/>
    </row>
    <row r="1809" spans="1:32" ht="27.75" customHeight="1">
      <c r="A1809" s="2899" t="s">
        <v>3297</v>
      </c>
      <c r="B1809" s="2901" t="s">
        <v>4070</v>
      </c>
      <c r="C1809" s="2903" t="s">
        <v>52</v>
      </c>
      <c r="D1809" s="2905">
        <v>134.16</v>
      </c>
      <c r="E1809" s="1598" t="s">
        <v>2496</v>
      </c>
      <c r="F1809" s="1583"/>
      <c r="G1809" s="1583"/>
      <c r="H1809" s="1583"/>
      <c r="I1809" s="1583"/>
      <c r="J1809" s="1583"/>
      <c r="K1809" s="1583"/>
      <c r="L1809" s="1583"/>
      <c r="M1809" s="1583"/>
      <c r="N1809" s="1583"/>
      <c r="O1809" s="1583"/>
      <c r="P1809" s="1583"/>
      <c r="Q1809" s="1585"/>
      <c r="R1809" s="1583"/>
      <c r="S1809" s="1583"/>
      <c r="T1809" s="1585"/>
      <c r="U1809" s="1585"/>
      <c r="V1809" s="1585"/>
      <c r="W1809" s="1585"/>
      <c r="X1809" s="1585"/>
      <c r="Y1809" s="1585"/>
      <c r="Z1809" s="1585"/>
      <c r="AA1809" s="1585"/>
      <c r="AB1809" s="1585"/>
      <c r="AC1809" s="1585">
        <v>134.16</v>
      </c>
      <c r="AD1809" s="1601">
        <f t="shared" ref="AD1809:AD1872" si="170">SUM(F1809:AC1809)</f>
        <v>134.16</v>
      </c>
      <c r="AE1809" s="1790">
        <v>0</v>
      </c>
      <c r="AF1809" s="1792"/>
    </row>
    <row r="1810" spans="1:32" ht="27.75" customHeight="1">
      <c r="A1810" s="2900" t="s">
        <v>3297</v>
      </c>
      <c r="B1810" s="2902" t="s">
        <v>3298</v>
      </c>
      <c r="C1810" s="2904" t="s">
        <v>52</v>
      </c>
      <c r="D1810" s="2906">
        <v>134.16</v>
      </c>
      <c r="E1810" s="1603" t="s">
        <v>2497</v>
      </c>
      <c r="F1810" s="1583"/>
      <c r="G1810" s="1583"/>
      <c r="H1810" s="1583"/>
      <c r="I1810" s="1583"/>
      <c r="J1810" s="1583"/>
      <c r="K1810" s="1583"/>
      <c r="L1810" s="1583"/>
      <c r="M1810" s="1583"/>
      <c r="N1810" s="1583"/>
      <c r="O1810" s="1583"/>
      <c r="P1810" s="1583"/>
      <c r="Q1810" s="1604"/>
      <c r="R1810" s="1583"/>
      <c r="S1810" s="1583"/>
      <c r="T1810" s="1604"/>
      <c r="U1810" s="1585"/>
      <c r="V1810" s="1585"/>
      <c r="W1810" s="1585"/>
      <c r="X1810" s="1585"/>
      <c r="Y1810" s="1585"/>
      <c r="Z1810" s="1585"/>
      <c r="AA1810" s="1585"/>
      <c r="AB1810" s="1585"/>
      <c r="AC1810" s="1585"/>
      <c r="AD1810" s="1601">
        <f t="shared" si="170"/>
        <v>0</v>
      </c>
      <c r="AE1810" s="1790">
        <v>0</v>
      </c>
      <c r="AF1810" s="1792"/>
    </row>
    <row r="1811" spans="1:32" ht="27.75" customHeight="1">
      <c r="A1811" s="2899" t="s">
        <v>3299</v>
      </c>
      <c r="B1811" s="2901" t="s">
        <v>4071</v>
      </c>
      <c r="C1811" s="2903" t="s">
        <v>52</v>
      </c>
      <c r="D1811" s="2905">
        <v>179.16</v>
      </c>
      <c r="E1811" s="1810" t="s">
        <v>2496</v>
      </c>
      <c r="F1811" s="1811"/>
      <c r="G1811" s="1811"/>
      <c r="H1811" s="1811"/>
      <c r="I1811" s="1811"/>
      <c r="J1811" s="1811"/>
      <c r="K1811" s="1811"/>
      <c r="L1811" s="1811"/>
      <c r="M1811" s="1811"/>
      <c r="N1811" s="1811"/>
      <c r="O1811" s="1811"/>
      <c r="P1811" s="1811"/>
      <c r="Q1811" s="1812"/>
      <c r="R1811" s="1811"/>
      <c r="S1811" s="1811"/>
      <c r="T1811" s="1812"/>
      <c r="U1811" s="1812"/>
      <c r="V1811" s="1812"/>
      <c r="W1811" s="1812"/>
      <c r="X1811" s="1812"/>
      <c r="Y1811" s="1812"/>
      <c r="Z1811" s="1812"/>
      <c r="AA1811" s="1812"/>
      <c r="AB1811" s="1585"/>
      <c r="AC1811" s="1812">
        <v>179.16</v>
      </c>
      <c r="AD1811" s="1601">
        <f t="shared" si="170"/>
        <v>179.16</v>
      </c>
      <c r="AE1811" s="1790">
        <v>0</v>
      </c>
      <c r="AF1811" s="1792"/>
    </row>
    <row r="1812" spans="1:32" ht="27.75" customHeight="1">
      <c r="A1812" s="2900" t="s">
        <v>3299</v>
      </c>
      <c r="B1812" s="2902" t="s">
        <v>3300</v>
      </c>
      <c r="C1812" s="2904" t="s">
        <v>52</v>
      </c>
      <c r="D1812" s="2906">
        <v>179.16</v>
      </c>
      <c r="E1812" s="1603" t="s">
        <v>2497</v>
      </c>
      <c r="F1812" s="1583"/>
      <c r="G1812" s="1583"/>
      <c r="H1812" s="1583"/>
      <c r="I1812" s="1583"/>
      <c r="J1812" s="1583"/>
      <c r="K1812" s="1583"/>
      <c r="L1812" s="1583"/>
      <c r="M1812" s="1583"/>
      <c r="N1812" s="1583"/>
      <c r="O1812" s="1583"/>
      <c r="P1812" s="1583"/>
      <c r="Q1812" s="1604"/>
      <c r="R1812" s="1583"/>
      <c r="S1812" s="1583"/>
      <c r="T1812" s="1604"/>
      <c r="U1812" s="1592"/>
      <c r="V1812" s="1585"/>
      <c r="W1812" s="1585"/>
      <c r="X1812" s="1585"/>
      <c r="Y1812" s="1592"/>
      <c r="Z1812" s="1585"/>
      <c r="AA1812" s="1585"/>
      <c r="AB1812" s="1585"/>
      <c r="AC1812" s="1585"/>
      <c r="AD1812" s="1601">
        <f t="shared" si="170"/>
        <v>0</v>
      </c>
      <c r="AE1812" s="1790">
        <v>0</v>
      </c>
      <c r="AF1812" s="1792"/>
    </row>
    <row r="1813" spans="1:32" ht="27.75" customHeight="1">
      <c r="A1813" s="2899" t="s">
        <v>3301</v>
      </c>
      <c r="B1813" s="2901" t="s">
        <v>4072</v>
      </c>
      <c r="C1813" s="2903" t="s">
        <v>52</v>
      </c>
      <c r="D1813" s="2905">
        <v>289.16000000000003</v>
      </c>
      <c r="E1813" s="1598" t="s">
        <v>2496</v>
      </c>
      <c r="F1813" s="1583"/>
      <c r="G1813" s="1583"/>
      <c r="H1813" s="1583"/>
      <c r="I1813" s="1583"/>
      <c r="J1813" s="1583"/>
      <c r="K1813" s="1583"/>
      <c r="L1813" s="1583"/>
      <c r="M1813" s="1583"/>
      <c r="N1813" s="1583"/>
      <c r="O1813" s="1583"/>
      <c r="P1813" s="1583"/>
      <c r="Q1813" s="1585"/>
      <c r="R1813" s="1583"/>
      <c r="S1813" s="1583"/>
      <c r="T1813" s="1585"/>
      <c r="U1813" s="1585"/>
      <c r="V1813" s="1585"/>
      <c r="W1813" s="1585"/>
      <c r="X1813" s="1585"/>
      <c r="Y1813" s="1585"/>
      <c r="Z1813" s="1585"/>
      <c r="AA1813" s="1585"/>
      <c r="AB1813" s="1585"/>
      <c r="AC1813" s="1585">
        <v>289.16000000000003</v>
      </c>
      <c r="AD1813" s="1601">
        <f t="shared" si="170"/>
        <v>289.16000000000003</v>
      </c>
      <c r="AE1813" s="1790">
        <v>0</v>
      </c>
      <c r="AF1813" s="1792"/>
    </row>
    <row r="1814" spans="1:32" ht="27.75" customHeight="1">
      <c r="A1814" s="2900" t="s">
        <v>3301</v>
      </c>
      <c r="B1814" s="2902" t="s">
        <v>3302</v>
      </c>
      <c r="C1814" s="2904" t="s">
        <v>52</v>
      </c>
      <c r="D1814" s="2906">
        <v>289.16000000000003</v>
      </c>
      <c r="E1814" s="1603" t="s">
        <v>2497</v>
      </c>
      <c r="F1814" s="1583"/>
      <c r="G1814" s="1583"/>
      <c r="H1814" s="1583"/>
      <c r="I1814" s="1583"/>
      <c r="J1814" s="1583"/>
      <c r="K1814" s="1583"/>
      <c r="L1814" s="1583"/>
      <c r="M1814" s="1583"/>
      <c r="N1814" s="1583"/>
      <c r="O1814" s="1583"/>
      <c r="P1814" s="1583"/>
      <c r="Q1814" s="1604"/>
      <c r="R1814" s="1583"/>
      <c r="S1814" s="1583"/>
      <c r="T1814" s="1604"/>
      <c r="U1814" s="1585"/>
      <c r="V1814" s="1585"/>
      <c r="W1814" s="1585"/>
      <c r="X1814" s="1585"/>
      <c r="Y1814" s="1585"/>
      <c r="Z1814" s="1585"/>
      <c r="AA1814" s="1585"/>
      <c r="AB1814" s="1585"/>
      <c r="AC1814" s="1585"/>
      <c r="AD1814" s="1601">
        <f t="shared" si="170"/>
        <v>0</v>
      </c>
      <c r="AE1814" s="1790">
        <v>0</v>
      </c>
      <c r="AF1814" s="1792"/>
    </row>
    <row r="1815" spans="1:32" ht="27.75" customHeight="1">
      <c r="A1815" s="1795" t="s">
        <v>3303</v>
      </c>
      <c r="B1815" s="1795" t="s">
        <v>4073</v>
      </c>
      <c r="C1815" s="1803"/>
      <c r="D1815" s="1804"/>
      <c r="E1815" s="1813"/>
      <c r="F1815" s="1811"/>
      <c r="G1815" s="1811"/>
      <c r="H1815" s="1811"/>
      <c r="I1815" s="1811"/>
      <c r="J1815" s="1811"/>
      <c r="K1815" s="1811"/>
      <c r="L1815" s="1811"/>
      <c r="M1815" s="1811"/>
      <c r="N1815" s="1811"/>
      <c r="O1815" s="1811"/>
      <c r="P1815" s="1811"/>
      <c r="Q1815" s="1814"/>
      <c r="R1815" s="1811"/>
      <c r="S1815" s="1811"/>
      <c r="T1815" s="1814"/>
      <c r="U1815" s="1812"/>
      <c r="V1815" s="1812"/>
      <c r="W1815" s="1812"/>
      <c r="X1815" s="1812"/>
      <c r="Y1815" s="1812"/>
      <c r="Z1815" s="1812"/>
      <c r="AA1815" s="1812"/>
      <c r="AB1815" s="1812"/>
      <c r="AC1815" s="1812"/>
      <c r="AD1815" s="1601">
        <f t="shared" si="170"/>
        <v>0</v>
      </c>
      <c r="AE1815" s="1790">
        <v>0</v>
      </c>
      <c r="AF1815" s="1792"/>
    </row>
    <row r="1816" spans="1:32" ht="27.75" customHeight="1">
      <c r="A1816" s="2899" t="s">
        <v>3305</v>
      </c>
      <c r="B1816" s="2901" t="s">
        <v>4074</v>
      </c>
      <c r="C1816" s="2903" t="s">
        <v>52</v>
      </c>
      <c r="D1816" s="2905">
        <v>80440.5</v>
      </c>
      <c r="E1816" s="1810" t="s">
        <v>2496</v>
      </c>
      <c r="F1816" s="1811"/>
      <c r="G1816" s="1811"/>
      <c r="H1816" s="1811"/>
      <c r="I1816" s="1811"/>
      <c r="J1816" s="1811"/>
      <c r="K1816" s="1811"/>
      <c r="L1816" s="1811"/>
      <c r="M1816" s="1811"/>
      <c r="N1816" s="1811"/>
      <c r="O1816" s="1811"/>
      <c r="P1816" s="1811"/>
      <c r="Q1816" s="1812"/>
      <c r="R1816" s="1811"/>
      <c r="S1816" s="1811"/>
      <c r="T1816" s="1812"/>
      <c r="U1816" s="1812"/>
      <c r="V1816" s="1812"/>
      <c r="W1816" s="1812"/>
      <c r="X1816" s="1812"/>
      <c r="Y1816" s="1812"/>
      <c r="Z1816" s="1812"/>
      <c r="AA1816" s="1812"/>
      <c r="AB1816" s="1585"/>
      <c r="AC1816" s="1812">
        <v>80440.5</v>
      </c>
      <c r="AD1816" s="1601">
        <f t="shared" si="170"/>
        <v>80440.5</v>
      </c>
      <c r="AE1816" s="1790">
        <v>0</v>
      </c>
      <c r="AF1816" s="1792"/>
    </row>
    <row r="1817" spans="1:32" ht="27.75" customHeight="1">
      <c r="A1817" s="2900" t="s">
        <v>3305</v>
      </c>
      <c r="B1817" s="2902" t="s">
        <v>3306</v>
      </c>
      <c r="C1817" s="2904" t="s">
        <v>52</v>
      </c>
      <c r="D1817" s="2906">
        <v>80440.5</v>
      </c>
      <c r="E1817" s="1603" t="s">
        <v>2497</v>
      </c>
      <c r="F1817" s="1583"/>
      <c r="G1817" s="1583"/>
      <c r="H1817" s="1583"/>
      <c r="I1817" s="1583"/>
      <c r="J1817" s="1583"/>
      <c r="K1817" s="1583"/>
      <c r="L1817" s="1583"/>
      <c r="M1817" s="1583"/>
      <c r="N1817" s="1583"/>
      <c r="O1817" s="1583"/>
      <c r="P1817" s="1583"/>
      <c r="Q1817" s="1604"/>
      <c r="R1817" s="1583"/>
      <c r="S1817" s="1583"/>
      <c r="T1817" s="1604"/>
      <c r="U1817" s="1592"/>
      <c r="V1817" s="1585"/>
      <c r="W1817" s="1585"/>
      <c r="X1817" s="1585"/>
      <c r="Y1817" s="1592"/>
      <c r="Z1817" s="1585"/>
      <c r="AA1817" s="1585"/>
      <c r="AB1817" s="1585"/>
      <c r="AC1817" s="1585"/>
      <c r="AD1817" s="1601">
        <f t="shared" si="170"/>
        <v>0</v>
      </c>
      <c r="AE1817" s="1790">
        <v>0</v>
      </c>
      <c r="AF1817" s="1792"/>
    </row>
    <row r="1818" spans="1:32" ht="27.75" customHeight="1">
      <c r="A1818" s="2899" t="s">
        <v>3307</v>
      </c>
      <c r="B1818" s="2901" t="s">
        <v>4075</v>
      </c>
      <c r="C1818" s="2903" t="s">
        <v>52</v>
      </c>
      <c r="D1818" s="2905">
        <v>56000</v>
      </c>
      <c r="E1818" s="1810" t="s">
        <v>2496</v>
      </c>
      <c r="F1818" s="1811"/>
      <c r="G1818" s="1811"/>
      <c r="H1818" s="1811"/>
      <c r="I1818" s="1811"/>
      <c r="J1818" s="1811"/>
      <c r="K1818" s="1811"/>
      <c r="L1818" s="1811"/>
      <c r="M1818" s="1811"/>
      <c r="N1818" s="1811"/>
      <c r="O1818" s="1811"/>
      <c r="P1818" s="1811"/>
      <c r="Q1818" s="1812"/>
      <c r="R1818" s="1811"/>
      <c r="S1818" s="1811"/>
      <c r="T1818" s="1812"/>
      <c r="U1818" s="1812"/>
      <c r="V1818" s="1812"/>
      <c r="W1818" s="1812"/>
      <c r="X1818" s="1812"/>
      <c r="Y1818" s="1812"/>
      <c r="Z1818" s="1812"/>
      <c r="AA1818" s="1812"/>
      <c r="AB1818" s="1585"/>
      <c r="AC1818" s="1812">
        <v>56000</v>
      </c>
      <c r="AD1818" s="1601">
        <f t="shared" si="170"/>
        <v>56000</v>
      </c>
      <c r="AE1818" s="1790">
        <v>0</v>
      </c>
      <c r="AF1818" s="1792"/>
    </row>
    <row r="1819" spans="1:32" ht="27.75" customHeight="1">
      <c r="A1819" s="2900" t="s">
        <v>3307</v>
      </c>
      <c r="B1819" s="2902" t="s">
        <v>3308</v>
      </c>
      <c r="C1819" s="2904" t="s">
        <v>52</v>
      </c>
      <c r="D1819" s="2906">
        <v>56000</v>
      </c>
      <c r="E1819" s="1603" t="s">
        <v>2497</v>
      </c>
      <c r="F1819" s="1583"/>
      <c r="G1819" s="1583"/>
      <c r="H1819" s="1583"/>
      <c r="I1819" s="1583"/>
      <c r="J1819" s="1583"/>
      <c r="K1819" s="1583"/>
      <c r="L1819" s="1583"/>
      <c r="M1819" s="1583"/>
      <c r="N1819" s="1583"/>
      <c r="O1819" s="1583"/>
      <c r="P1819" s="1583"/>
      <c r="Q1819" s="1604"/>
      <c r="R1819" s="1583"/>
      <c r="S1819" s="1583"/>
      <c r="T1819" s="1604"/>
      <c r="U1819" s="1592"/>
      <c r="V1819" s="1585"/>
      <c r="W1819" s="1585"/>
      <c r="X1819" s="1585"/>
      <c r="Y1819" s="1592"/>
      <c r="Z1819" s="1585"/>
      <c r="AA1819" s="1585"/>
      <c r="AB1819" s="1585"/>
      <c r="AC1819" s="1585"/>
      <c r="AD1819" s="1601">
        <f t="shared" si="170"/>
        <v>0</v>
      </c>
      <c r="AE1819" s="1790">
        <v>0</v>
      </c>
      <c r="AF1819" s="1792"/>
    </row>
    <row r="1820" spans="1:32" ht="27.75" customHeight="1">
      <c r="A1820" s="1795" t="s">
        <v>3309</v>
      </c>
      <c r="B1820" s="1795" t="s">
        <v>4076</v>
      </c>
      <c r="C1820" s="1803"/>
      <c r="D1820" s="1804"/>
      <c r="E1820" s="1813"/>
      <c r="F1820" s="1811"/>
      <c r="G1820" s="1811"/>
      <c r="H1820" s="1811"/>
      <c r="I1820" s="1811"/>
      <c r="J1820" s="1811"/>
      <c r="K1820" s="1811"/>
      <c r="L1820" s="1811"/>
      <c r="M1820" s="1811"/>
      <c r="N1820" s="1811"/>
      <c r="O1820" s="1811"/>
      <c r="P1820" s="1811"/>
      <c r="Q1820" s="1814"/>
      <c r="R1820" s="1811"/>
      <c r="S1820" s="1811"/>
      <c r="T1820" s="1814"/>
      <c r="U1820" s="1816"/>
      <c r="V1820" s="1812"/>
      <c r="W1820" s="1812"/>
      <c r="X1820" s="1812"/>
      <c r="Y1820" s="1816"/>
      <c r="Z1820" s="1812"/>
      <c r="AA1820" s="1812"/>
      <c r="AB1820" s="1812"/>
      <c r="AC1820" s="1812"/>
      <c r="AD1820" s="1601">
        <f t="shared" si="170"/>
        <v>0</v>
      </c>
      <c r="AE1820" s="1790">
        <v>0</v>
      </c>
      <c r="AF1820" s="1792"/>
    </row>
    <row r="1821" spans="1:32" ht="27.75" customHeight="1">
      <c r="A1821" s="2899" t="s">
        <v>3311</v>
      </c>
      <c r="B1821" s="2901" t="s">
        <v>4077</v>
      </c>
      <c r="C1821" s="2903" t="s">
        <v>52</v>
      </c>
      <c r="D1821" s="2905">
        <v>1582.3600000000001</v>
      </c>
      <c r="E1821" s="1810" t="s">
        <v>2496</v>
      </c>
      <c r="F1821" s="1811"/>
      <c r="G1821" s="1811"/>
      <c r="H1821" s="1811"/>
      <c r="I1821" s="1811"/>
      <c r="J1821" s="1811"/>
      <c r="K1821" s="1811"/>
      <c r="L1821" s="1811"/>
      <c r="M1821" s="1811"/>
      <c r="N1821" s="1811"/>
      <c r="O1821" s="1811"/>
      <c r="P1821" s="1811"/>
      <c r="Q1821" s="1812"/>
      <c r="R1821" s="1811"/>
      <c r="S1821" s="1811"/>
      <c r="T1821" s="1812"/>
      <c r="U1821" s="1812"/>
      <c r="V1821" s="1812"/>
      <c r="W1821" s="1812"/>
      <c r="X1821" s="1812"/>
      <c r="Y1821" s="1812"/>
      <c r="Z1821" s="1812"/>
      <c r="AA1821" s="1812"/>
      <c r="AB1821" s="1585"/>
      <c r="AC1821" s="1812">
        <v>1582.3600000000001</v>
      </c>
      <c r="AD1821" s="1601">
        <f t="shared" si="170"/>
        <v>1582.3600000000001</v>
      </c>
      <c r="AE1821" s="1790">
        <v>0</v>
      </c>
      <c r="AF1821" s="1792"/>
    </row>
    <row r="1822" spans="1:32" ht="27.75" customHeight="1">
      <c r="A1822" s="2900" t="s">
        <v>3311</v>
      </c>
      <c r="B1822" s="2902" t="s">
        <v>3312</v>
      </c>
      <c r="C1822" s="2904" t="s">
        <v>52</v>
      </c>
      <c r="D1822" s="2906">
        <v>1582.3600000000001</v>
      </c>
      <c r="E1822" s="1603" t="s">
        <v>2497</v>
      </c>
      <c r="F1822" s="1583"/>
      <c r="G1822" s="1583"/>
      <c r="H1822" s="1583"/>
      <c r="I1822" s="1583"/>
      <c r="J1822" s="1583"/>
      <c r="K1822" s="1583"/>
      <c r="L1822" s="1583"/>
      <c r="M1822" s="1583"/>
      <c r="N1822" s="1583"/>
      <c r="O1822" s="1583"/>
      <c r="P1822" s="1583"/>
      <c r="Q1822" s="1604"/>
      <c r="R1822" s="1583"/>
      <c r="S1822" s="1583"/>
      <c r="T1822" s="1604"/>
      <c r="U1822" s="1592"/>
      <c r="V1822" s="1585"/>
      <c r="W1822" s="1585"/>
      <c r="X1822" s="1585"/>
      <c r="Y1822" s="1592"/>
      <c r="Z1822" s="1585"/>
      <c r="AA1822" s="1585"/>
      <c r="AB1822" s="1585"/>
      <c r="AC1822" s="1585"/>
      <c r="AD1822" s="1601">
        <f t="shared" si="170"/>
        <v>0</v>
      </c>
      <c r="AE1822" s="1790">
        <v>0</v>
      </c>
      <c r="AF1822" s="1792"/>
    </row>
    <row r="1823" spans="1:32" ht="27.75" customHeight="1">
      <c r="A1823" s="1795" t="s">
        <v>3313</v>
      </c>
      <c r="B1823" s="1795" t="s">
        <v>4078</v>
      </c>
      <c r="C1823" s="1803"/>
      <c r="D1823" s="1804"/>
      <c r="E1823" s="1599"/>
      <c r="F1823" s="1583"/>
      <c r="G1823" s="1583"/>
      <c r="H1823" s="1583"/>
      <c r="I1823" s="1583"/>
      <c r="J1823" s="1583"/>
      <c r="K1823" s="1583"/>
      <c r="L1823" s="1583"/>
      <c r="M1823" s="1583"/>
      <c r="N1823" s="1583"/>
      <c r="O1823" s="1583"/>
      <c r="P1823" s="1583"/>
      <c r="Q1823" s="1604"/>
      <c r="R1823" s="1583"/>
      <c r="S1823" s="1583"/>
      <c r="T1823" s="1604"/>
      <c r="U1823" s="1592"/>
      <c r="V1823" s="1585"/>
      <c r="W1823" s="1585"/>
      <c r="X1823" s="1585"/>
      <c r="Y1823" s="1592"/>
      <c r="Z1823" s="1585"/>
      <c r="AA1823" s="1585"/>
      <c r="AB1823" s="1585"/>
      <c r="AC1823" s="1585"/>
      <c r="AD1823" s="1601">
        <f t="shared" si="170"/>
        <v>0</v>
      </c>
      <c r="AE1823" s="1790">
        <v>0</v>
      </c>
      <c r="AF1823" s="1792"/>
    </row>
    <row r="1824" spans="1:32" ht="27.75" customHeight="1">
      <c r="A1824" s="2899" t="s">
        <v>3315</v>
      </c>
      <c r="B1824" s="2901" t="s">
        <v>4079</v>
      </c>
      <c r="C1824" s="2903" t="s">
        <v>52</v>
      </c>
      <c r="D1824" s="2905">
        <v>6811.7</v>
      </c>
      <c r="E1824" s="1598" t="s">
        <v>2496</v>
      </c>
      <c r="F1824" s="1583"/>
      <c r="G1824" s="1583"/>
      <c r="H1824" s="1583"/>
      <c r="I1824" s="1583"/>
      <c r="J1824" s="1583"/>
      <c r="K1824" s="1583"/>
      <c r="L1824" s="1583"/>
      <c r="M1824" s="1583"/>
      <c r="N1824" s="1583"/>
      <c r="O1824" s="1583"/>
      <c r="P1824" s="1583"/>
      <c r="Q1824" s="1585"/>
      <c r="R1824" s="1583"/>
      <c r="S1824" s="1583"/>
      <c r="T1824" s="1585"/>
      <c r="U1824" s="1585"/>
      <c r="V1824" s="1585"/>
      <c r="W1824" s="1585"/>
      <c r="X1824" s="1585"/>
      <c r="Y1824" s="1585"/>
      <c r="Z1824" s="1585"/>
      <c r="AA1824" s="1585"/>
      <c r="AB1824" s="1585"/>
      <c r="AC1824" s="1585">
        <v>6811.7</v>
      </c>
      <c r="AD1824" s="1601">
        <f t="shared" si="170"/>
        <v>6811.7</v>
      </c>
      <c r="AE1824" s="1790">
        <v>0</v>
      </c>
      <c r="AF1824" s="1792"/>
    </row>
    <row r="1825" spans="1:32" ht="27.75" customHeight="1">
      <c r="A1825" s="2900" t="s">
        <v>3315</v>
      </c>
      <c r="B1825" s="2902" t="s">
        <v>3316</v>
      </c>
      <c r="C1825" s="2904" t="s">
        <v>52</v>
      </c>
      <c r="D1825" s="2906">
        <v>6811.7</v>
      </c>
      <c r="E1825" s="1603" t="s">
        <v>2497</v>
      </c>
      <c r="F1825" s="1583"/>
      <c r="G1825" s="1583"/>
      <c r="H1825" s="1583"/>
      <c r="I1825" s="1583"/>
      <c r="J1825" s="1583"/>
      <c r="K1825" s="1583"/>
      <c r="L1825" s="1583"/>
      <c r="M1825" s="1583"/>
      <c r="N1825" s="1583"/>
      <c r="O1825" s="1583"/>
      <c r="P1825" s="1583"/>
      <c r="Q1825" s="1604"/>
      <c r="R1825" s="1583"/>
      <c r="S1825" s="1583"/>
      <c r="T1825" s="1604"/>
      <c r="U1825" s="1585"/>
      <c r="V1825" s="1585"/>
      <c r="W1825" s="1585"/>
      <c r="X1825" s="1585"/>
      <c r="Y1825" s="1585"/>
      <c r="Z1825" s="1585"/>
      <c r="AA1825" s="1585"/>
      <c r="AB1825" s="1585"/>
      <c r="AC1825" s="1585"/>
      <c r="AD1825" s="1601">
        <f t="shared" si="170"/>
        <v>0</v>
      </c>
      <c r="AE1825" s="1790">
        <v>0</v>
      </c>
      <c r="AF1825" s="1792"/>
    </row>
    <row r="1826" spans="1:32" ht="27.75" customHeight="1">
      <c r="A1826" s="1817" t="s">
        <v>36</v>
      </c>
      <c r="B1826" s="1818" t="s">
        <v>1885</v>
      </c>
      <c r="C1826" s="1625"/>
      <c r="D1826" s="1597"/>
      <c r="E1826" s="1599"/>
      <c r="F1826" s="1811"/>
      <c r="G1826" s="1811"/>
      <c r="H1826" s="1811"/>
      <c r="I1826" s="1811"/>
      <c r="J1826" s="1811"/>
      <c r="K1826" s="1811"/>
      <c r="L1826" s="1811"/>
      <c r="M1826" s="1811"/>
      <c r="N1826" s="1811"/>
      <c r="O1826" s="1811"/>
      <c r="P1826" s="1811"/>
      <c r="Q1826" s="1814"/>
      <c r="R1826" s="1811"/>
      <c r="S1826" s="1811"/>
      <c r="T1826" s="1814"/>
      <c r="U1826" s="1812"/>
      <c r="V1826" s="1812"/>
      <c r="W1826" s="1812"/>
      <c r="X1826" s="1812"/>
      <c r="Y1826" s="1812"/>
      <c r="Z1826" s="1812"/>
      <c r="AA1826" s="1812"/>
      <c r="AB1826" s="1812"/>
      <c r="AC1826" s="1812"/>
      <c r="AD1826" s="1601">
        <f t="shared" si="170"/>
        <v>0</v>
      </c>
      <c r="AE1826" s="1790">
        <v>0</v>
      </c>
      <c r="AF1826" s="1792"/>
    </row>
    <row r="1827" spans="1:32" ht="27.75" customHeight="1">
      <c r="A1827" s="1647" t="s">
        <v>3317</v>
      </c>
      <c r="B1827" s="1647" t="s">
        <v>4080</v>
      </c>
      <c r="C1827" s="1625"/>
      <c r="D1827" s="1597"/>
      <c r="E1827" s="1599"/>
      <c r="F1827" s="1811"/>
      <c r="G1827" s="1811"/>
      <c r="H1827" s="1811"/>
      <c r="I1827" s="1811"/>
      <c r="J1827" s="1811"/>
      <c r="K1827" s="1811"/>
      <c r="L1827" s="1811"/>
      <c r="M1827" s="1811"/>
      <c r="N1827" s="1811"/>
      <c r="O1827" s="1811"/>
      <c r="P1827" s="1811"/>
      <c r="Q1827" s="1814"/>
      <c r="R1827" s="1811"/>
      <c r="S1827" s="1811"/>
      <c r="T1827" s="1814"/>
      <c r="U1827" s="1812"/>
      <c r="V1827" s="1812"/>
      <c r="W1827" s="1812"/>
      <c r="X1827" s="1812"/>
      <c r="Y1827" s="1812"/>
      <c r="Z1827" s="1812"/>
      <c r="AA1827" s="1812"/>
      <c r="AB1827" s="1812"/>
      <c r="AC1827" s="1812"/>
      <c r="AD1827" s="1601">
        <f t="shared" si="170"/>
        <v>0</v>
      </c>
      <c r="AE1827" s="1790">
        <v>0</v>
      </c>
      <c r="AF1827" s="1792"/>
    </row>
    <row r="1828" spans="1:32" ht="27.75" customHeight="1">
      <c r="A1828" s="2899" t="s">
        <v>117</v>
      </c>
      <c r="B1828" s="2901" t="s">
        <v>4081</v>
      </c>
      <c r="C1828" s="2903" t="s">
        <v>52</v>
      </c>
      <c r="D1828" s="2905">
        <v>12468.99</v>
      </c>
      <c r="E1828" s="1810" t="s">
        <v>2496</v>
      </c>
      <c r="F1828" s="1811"/>
      <c r="G1828" s="1811"/>
      <c r="H1828" s="1811"/>
      <c r="I1828" s="1811"/>
      <c r="J1828" s="1811"/>
      <c r="K1828" s="1811"/>
      <c r="L1828" s="1811"/>
      <c r="M1828" s="1811"/>
      <c r="N1828" s="1811"/>
      <c r="O1828" s="1811"/>
      <c r="P1828" s="1811"/>
      <c r="Q1828" s="1812"/>
      <c r="R1828" s="1811"/>
      <c r="S1828" s="1811"/>
      <c r="T1828" s="1812"/>
      <c r="U1828" s="1812"/>
      <c r="V1828" s="1812"/>
      <c r="W1828" s="1812"/>
      <c r="X1828" s="1812"/>
      <c r="Y1828" s="1812"/>
      <c r="Z1828" s="1812">
        <f>D1828</f>
        <v>12468.99</v>
      </c>
      <c r="AA1828" s="1812"/>
      <c r="AB1828" s="1812"/>
      <c r="AC1828" s="1812"/>
      <c r="AD1828" s="1601">
        <f t="shared" si="170"/>
        <v>12468.99</v>
      </c>
      <c r="AE1828" s="1790">
        <v>0</v>
      </c>
      <c r="AF1828" s="1792"/>
    </row>
    <row r="1829" spans="1:32" ht="27.75" customHeight="1">
      <c r="A1829" s="2900" t="s">
        <v>117</v>
      </c>
      <c r="B1829" s="2902" t="s">
        <v>3319</v>
      </c>
      <c r="C1829" s="2904" t="s">
        <v>52</v>
      </c>
      <c r="D1829" s="2906">
        <v>12468.99</v>
      </c>
      <c r="E1829" s="1603" t="s">
        <v>2497</v>
      </c>
      <c r="F1829" s="1583"/>
      <c r="G1829" s="1583"/>
      <c r="H1829" s="1583"/>
      <c r="I1829" s="1583"/>
      <c r="J1829" s="1583"/>
      <c r="K1829" s="1583"/>
      <c r="L1829" s="1583"/>
      <c r="M1829" s="1583"/>
      <c r="N1829" s="1583"/>
      <c r="O1829" s="1583"/>
      <c r="P1829" s="1583"/>
      <c r="Q1829" s="1604"/>
      <c r="R1829" s="1583"/>
      <c r="S1829" s="1583"/>
      <c r="T1829" s="1604"/>
      <c r="U1829" s="1592"/>
      <c r="V1829" s="1585"/>
      <c r="W1829" s="1585"/>
      <c r="X1829" s="1585"/>
      <c r="Y1829" s="1592"/>
      <c r="Z1829" s="1585"/>
      <c r="AA1829" s="1585"/>
      <c r="AB1829" s="1585"/>
      <c r="AC1829" s="1585"/>
      <c r="AD1829" s="1601">
        <f t="shared" si="170"/>
        <v>0</v>
      </c>
      <c r="AE1829" s="1790">
        <v>0</v>
      </c>
      <c r="AF1829" s="1792"/>
    </row>
    <row r="1830" spans="1:32" ht="27.75" customHeight="1">
      <c r="A1830" s="1647" t="s">
        <v>3320</v>
      </c>
      <c r="B1830" s="1647" t="s">
        <v>4082</v>
      </c>
      <c r="C1830" s="1803"/>
      <c r="D1830" s="1804"/>
      <c r="E1830" s="1813"/>
      <c r="F1830" s="1811"/>
      <c r="G1830" s="1811"/>
      <c r="H1830" s="1811"/>
      <c r="I1830" s="1811"/>
      <c r="J1830" s="1811"/>
      <c r="K1830" s="1811"/>
      <c r="L1830" s="1811"/>
      <c r="M1830" s="1811"/>
      <c r="N1830" s="1811"/>
      <c r="O1830" s="1811"/>
      <c r="P1830" s="1811"/>
      <c r="Q1830" s="1814"/>
      <c r="R1830" s="1811"/>
      <c r="S1830" s="1811"/>
      <c r="T1830" s="1814"/>
      <c r="U1830" s="1816"/>
      <c r="V1830" s="1812"/>
      <c r="W1830" s="1812"/>
      <c r="X1830" s="1812"/>
      <c r="Y1830" s="1816"/>
      <c r="Z1830" s="1812"/>
      <c r="AA1830" s="1812"/>
      <c r="AB1830" s="1812"/>
      <c r="AC1830" s="1812"/>
      <c r="AD1830" s="1601">
        <f t="shared" si="170"/>
        <v>0</v>
      </c>
      <c r="AE1830" s="1790">
        <v>0</v>
      </c>
      <c r="AF1830" s="1792"/>
    </row>
    <row r="1831" spans="1:32" ht="27.75" customHeight="1">
      <c r="A1831" s="2899" t="s">
        <v>3322</v>
      </c>
      <c r="B1831" s="2901" t="s">
        <v>4083</v>
      </c>
      <c r="C1831" s="2903" t="s">
        <v>50</v>
      </c>
      <c r="D1831" s="2905">
        <v>2052.9</v>
      </c>
      <c r="E1831" s="1810" t="s">
        <v>2496</v>
      </c>
      <c r="F1831" s="1811"/>
      <c r="G1831" s="1811"/>
      <c r="H1831" s="1811"/>
      <c r="I1831" s="1811"/>
      <c r="J1831" s="1811"/>
      <c r="K1831" s="1811"/>
      <c r="L1831" s="1811"/>
      <c r="M1831" s="1811"/>
      <c r="N1831" s="1811"/>
      <c r="O1831" s="1811"/>
      <c r="P1831" s="1811"/>
      <c r="Q1831" s="1812"/>
      <c r="R1831" s="1811"/>
      <c r="S1831" s="1811"/>
      <c r="T1831" s="1812"/>
      <c r="U1831" s="1812"/>
      <c r="V1831" s="1812"/>
      <c r="W1831" s="1812"/>
      <c r="X1831" s="1812"/>
      <c r="Y1831" s="1812"/>
      <c r="Z1831" s="1812">
        <f>D1831</f>
        <v>2052.9</v>
      </c>
      <c r="AA1831" s="1812"/>
      <c r="AB1831" s="1812"/>
      <c r="AC1831" s="1812"/>
      <c r="AD1831" s="1601">
        <f t="shared" si="170"/>
        <v>2052.9</v>
      </c>
      <c r="AE1831" s="1790">
        <v>0</v>
      </c>
      <c r="AF1831" s="1792"/>
    </row>
    <row r="1832" spans="1:32" ht="27.75" customHeight="1">
      <c r="A1832" s="2900" t="s">
        <v>3324</v>
      </c>
      <c r="B1832" s="2902" t="s">
        <v>3325</v>
      </c>
      <c r="C1832" s="2904" t="s">
        <v>52</v>
      </c>
      <c r="D1832" s="2906">
        <v>28891.350000000002</v>
      </c>
      <c r="E1832" s="1603" t="s">
        <v>2497</v>
      </c>
      <c r="F1832" s="1583"/>
      <c r="G1832" s="1583"/>
      <c r="H1832" s="1583"/>
      <c r="I1832" s="1583"/>
      <c r="J1832" s="1583"/>
      <c r="K1832" s="1583"/>
      <c r="L1832" s="1583"/>
      <c r="M1832" s="1583"/>
      <c r="N1832" s="1583"/>
      <c r="O1832" s="1583"/>
      <c r="P1832" s="1583"/>
      <c r="Q1832" s="1604"/>
      <c r="R1832" s="1583"/>
      <c r="S1832" s="1583"/>
      <c r="T1832" s="1604"/>
      <c r="U1832" s="1592"/>
      <c r="V1832" s="1585"/>
      <c r="W1832" s="1585"/>
      <c r="X1832" s="1585"/>
      <c r="Y1832" s="1592"/>
      <c r="Z1832" s="1585"/>
      <c r="AA1832" s="1585"/>
      <c r="AB1832" s="1585"/>
      <c r="AC1832" s="1585"/>
      <c r="AD1832" s="1601">
        <f t="shared" si="170"/>
        <v>0</v>
      </c>
      <c r="AE1832" s="1790">
        <v>0</v>
      </c>
      <c r="AF1832" s="1792"/>
    </row>
    <row r="1833" spans="1:32" ht="27.75" customHeight="1">
      <c r="A1833" s="2899" t="s">
        <v>3324</v>
      </c>
      <c r="B1833" s="2901" t="s">
        <v>1895</v>
      </c>
      <c r="C1833" s="2903" t="s">
        <v>52</v>
      </c>
      <c r="D1833" s="2905">
        <v>28891.350000000002</v>
      </c>
      <c r="E1833" s="1598" t="s">
        <v>2496</v>
      </c>
      <c r="F1833" s="1583"/>
      <c r="G1833" s="1583"/>
      <c r="H1833" s="1583"/>
      <c r="I1833" s="1583"/>
      <c r="J1833" s="1583"/>
      <c r="K1833" s="1583"/>
      <c r="L1833" s="1583"/>
      <c r="M1833" s="1583"/>
      <c r="N1833" s="1583"/>
      <c r="O1833" s="1583"/>
      <c r="P1833" s="1583"/>
      <c r="Q1833" s="1585"/>
      <c r="R1833" s="1583"/>
      <c r="S1833" s="1583"/>
      <c r="T1833" s="1585"/>
      <c r="U1833" s="1585"/>
      <c r="V1833" s="1585"/>
      <c r="W1833" s="1585"/>
      <c r="X1833" s="1585"/>
      <c r="Y1833" s="1585"/>
      <c r="Z1833" s="1812">
        <f>D1833</f>
        <v>28891.350000000002</v>
      </c>
      <c r="AA1833" s="1585"/>
      <c r="AB1833" s="1585"/>
      <c r="AC1833" s="1585"/>
      <c r="AD1833" s="1601">
        <f t="shared" si="170"/>
        <v>28891.350000000002</v>
      </c>
      <c r="AE1833" s="1790">
        <v>0</v>
      </c>
      <c r="AF1833" s="1792"/>
    </row>
    <row r="1834" spans="1:32" ht="27.75" customHeight="1">
      <c r="A1834" s="2900" t="s">
        <v>3324</v>
      </c>
      <c r="B1834" s="2902" t="s">
        <v>3325</v>
      </c>
      <c r="C1834" s="2904" t="s">
        <v>52</v>
      </c>
      <c r="D1834" s="2906">
        <v>28891.350000000002</v>
      </c>
      <c r="E1834" s="1603" t="s">
        <v>2497</v>
      </c>
      <c r="F1834" s="1583"/>
      <c r="G1834" s="1583"/>
      <c r="H1834" s="1583"/>
      <c r="I1834" s="1583"/>
      <c r="J1834" s="1583"/>
      <c r="K1834" s="1583"/>
      <c r="L1834" s="1583"/>
      <c r="M1834" s="1583"/>
      <c r="N1834" s="1583"/>
      <c r="O1834" s="1583"/>
      <c r="P1834" s="1583"/>
      <c r="Q1834" s="1604"/>
      <c r="R1834" s="1583"/>
      <c r="S1834" s="1583"/>
      <c r="T1834" s="1604"/>
      <c r="U1834" s="1585"/>
      <c r="V1834" s="1585"/>
      <c r="W1834" s="1585"/>
      <c r="X1834" s="1585"/>
      <c r="Y1834" s="1585"/>
      <c r="Z1834" s="1585"/>
      <c r="AA1834" s="1585"/>
      <c r="AB1834" s="1585"/>
      <c r="AC1834" s="1585"/>
      <c r="AD1834" s="1601">
        <f t="shared" si="170"/>
        <v>0</v>
      </c>
      <c r="AE1834" s="1790">
        <v>0</v>
      </c>
      <c r="AF1834" s="1792"/>
    </row>
    <row r="1835" spans="1:32" ht="27.75" customHeight="1">
      <c r="A1835" s="1647" t="s">
        <v>3326</v>
      </c>
      <c r="B1835" s="1647" t="s">
        <v>1897</v>
      </c>
      <c r="C1835" s="1625"/>
      <c r="D1835" s="1597"/>
      <c r="E1835" s="1599"/>
      <c r="F1835" s="1811"/>
      <c r="G1835" s="1811"/>
      <c r="H1835" s="1811"/>
      <c r="I1835" s="1811"/>
      <c r="J1835" s="1811"/>
      <c r="K1835" s="1811"/>
      <c r="L1835" s="1811"/>
      <c r="M1835" s="1811"/>
      <c r="N1835" s="1811"/>
      <c r="O1835" s="1811"/>
      <c r="P1835" s="1811"/>
      <c r="Q1835" s="1814"/>
      <c r="R1835" s="1811"/>
      <c r="S1835" s="1811"/>
      <c r="T1835" s="1814"/>
      <c r="U1835" s="1812"/>
      <c r="V1835" s="1812"/>
      <c r="W1835" s="1812"/>
      <c r="X1835" s="1812"/>
      <c r="Y1835" s="1812"/>
      <c r="Z1835" s="1812"/>
      <c r="AA1835" s="1812"/>
      <c r="AB1835" s="1812"/>
      <c r="AC1835" s="1812"/>
      <c r="AD1835" s="1601">
        <f t="shared" si="170"/>
        <v>0</v>
      </c>
      <c r="AE1835" s="1790">
        <v>0</v>
      </c>
      <c r="AF1835" s="1792"/>
    </row>
    <row r="1836" spans="1:32" ht="27.75" customHeight="1">
      <c r="A1836" s="1795" t="s">
        <v>3328</v>
      </c>
      <c r="B1836" s="1795" t="s">
        <v>1898</v>
      </c>
      <c r="C1836" s="1625"/>
      <c r="D1836" s="1597"/>
      <c r="E1836" s="1599"/>
      <c r="F1836" s="1811"/>
      <c r="G1836" s="1811"/>
      <c r="H1836" s="1811"/>
      <c r="I1836" s="1811"/>
      <c r="J1836" s="1811"/>
      <c r="K1836" s="1811"/>
      <c r="L1836" s="1811"/>
      <c r="M1836" s="1811"/>
      <c r="N1836" s="1811"/>
      <c r="O1836" s="1811"/>
      <c r="P1836" s="1811"/>
      <c r="Q1836" s="1814"/>
      <c r="R1836" s="1811"/>
      <c r="S1836" s="1811"/>
      <c r="T1836" s="1814"/>
      <c r="U1836" s="1812"/>
      <c r="V1836" s="1812"/>
      <c r="W1836" s="1812"/>
      <c r="X1836" s="1812"/>
      <c r="Y1836" s="1812"/>
      <c r="Z1836" s="1812"/>
      <c r="AA1836" s="1812"/>
      <c r="AB1836" s="1812"/>
      <c r="AC1836" s="1812"/>
      <c r="AD1836" s="1601">
        <f t="shared" si="170"/>
        <v>0</v>
      </c>
      <c r="AE1836" s="1790">
        <v>0</v>
      </c>
      <c r="AF1836" s="1792"/>
    </row>
    <row r="1837" spans="1:32" ht="27.75" customHeight="1">
      <c r="A1837" s="2899" t="s">
        <v>3330</v>
      </c>
      <c r="B1837" s="2901" t="s">
        <v>1917</v>
      </c>
      <c r="C1837" s="2903" t="s">
        <v>52</v>
      </c>
      <c r="D1837" s="2905">
        <v>1840.88</v>
      </c>
      <c r="E1837" s="1810" t="s">
        <v>2496</v>
      </c>
      <c r="F1837" s="1811"/>
      <c r="G1837" s="1811"/>
      <c r="H1837" s="1811"/>
      <c r="I1837" s="1811"/>
      <c r="J1837" s="1811"/>
      <c r="K1837" s="1811"/>
      <c r="L1837" s="1811"/>
      <c r="M1837" s="1811"/>
      <c r="N1837" s="1811"/>
      <c r="O1837" s="1811"/>
      <c r="P1837" s="1811"/>
      <c r="Q1837" s="1812"/>
      <c r="R1837" s="1811"/>
      <c r="S1837" s="1811"/>
      <c r="T1837" s="1812"/>
      <c r="U1837" s="1812"/>
      <c r="V1837" s="1812"/>
      <c r="W1837" s="1812"/>
      <c r="X1837" s="1812"/>
      <c r="Y1837" s="1812"/>
      <c r="Z1837" s="1812">
        <f>D1837</f>
        <v>1840.88</v>
      </c>
      <c r="AA1837" s="1812"/>
      <c r="AB1837" s="1812"/>
      <c r="AC1837" s="1812"/>
      <c r="AD1837" s="1601">
        <f t="shared" si="170"/>
        <v>1840.88</v>
      </c>
      <c r="AE1837" s="1790">
        <v>0</v>
      </c>
      <c r="AF1837" s="1792"/>
    </row>
    <row r="1838" spans="1:32" ht="27.75" customHeight="1">
      <c r="A1838" s="2900" t="s">
        <v>3330</v>
      </c>
      <c r="B1838" s="2902" t="s">
        <v>3331</v>
      </c>
      <c r="C1838" s="2904" t="s">
        <v>52</v>
      </c>
      <c r="D1838" s="2906">
        <v>1840.88</v>
      </c>
      <c r="E1838" s="1603" t="s">
        <v>2497</v>
      </c>
      <c r="F1838" s="1583"/>
      <c r="G1838" s="1583"/>
      <c r="H1838" s="1583"/>
      <c r="I1838" s="1583"/>
      <c r="J1838" s="1583"/>
      <c r="K1838" s="1583"/>
      <c r="L1838" s="1583"/>
      <c r="M1838" s="1583"/>
      <c r="N1838" s="1583"/>
      <c r="O1838" s="1583"/>
      <c r="P1838" s="1583"/>
      <c r="Q1838" s="1604"/>
      <c r="R1838" s="1583"/>
      <c r="S1838" s="1583"/>
      <c r="T1838" s="1604"/>
      <c r="U1838" s="1592"/>
      <c r="V1838" s="1585"/>
      <c r="W1838" s="1585"/>
      <c r="X1838" s="1585"/>
      <c r="Y1838" s="1592"/>
      <c r="Z1838" s="1585"/>
      <c r="AA1838" s="1585"/>
      <c r="AB1838" s="1585"/>
      <c r="AC1838" s="1585"/>
      <c r="AD1838" s="1601">
        <f t="shared" si="170"/>
        <v>0</v>
      </c>
      <c r="AE1838" s="1790">
        <v>0</v>
      </c>
      <c r="AF1838" s="1792"/>
    </row>
    <row r="1839" spans="1:32" ht="27.75" customHeight="1">
      <c r="A1839" s="2899" t="s">
        <v>3332</v>
      </c>
      <c r="B1839" s="2901" t="s">
        <v>1918</v>
      </c>
      <c r="C1839" s="2903" t="s">
        <v>52</v>
      </c>
      <c r="D1839" s="2905">
        <v>3270.88</v>
      </c>
      <c r="E1839" s="1598" t="s">
        <v>2496</v>
      </c>
      <c r="F1839" s="1583"/>
      <c r="G1839" s="1583"/>
      <c r="H1839" s="1583"/>
      <c r="I1839" s="1583"/>
      <c r="J1839" s="1583"/>
      <c r="K1839" s="1583"/>
      <c r="L1839" s="1583"/>
      <c r="M1839" s="1583"/>
      <c r="N1839" s="1583"/>
      <c r="O1839" s="1583"/>
      <c r="P1839" s="1583"/>
      <c r="Q1839" s="1585"/>
      <c r="R1839" s="1583"/>
      <c r="S1839" s="1583"/>
      <c r="T1839" s="1585"/>
      <c r="U1839" s="1585"/>
      <c r="V1839" s="1585"/>
      <c r="W1839" s="1585"/>
      <c r="X1839" s="1585"/>
      <c r="Y1839" s="1585"/>
      <c r="Z1839" s="1812">
        <f>D1839</f>
        <v>3270.88</v>
      </c>
      <c r="AA1839" s="1585"/>
      <c r="AB1839" s="1585"/>
      <c r="AC1839" s="1585"/>
      <c r="AD1839" s="1601">
        <f t="shared" si="170"/>
        <v>3270.88</v>
      </c>
      <c r="AE1839" s="1790">
        <v>0</v>
      </c>
      <c r="AF1839" s="1792"/>
    </row>
    <row r="1840" spans="1:32" ht="27.75" customHeight="1">
      <c r="A1840" s="2900" t="s">
        <v>3332</v>
      </c>
      <c r="B1840" s="2902" t="s">
        <v>3333</v>
      </c>
      <c r="C1840" s="2904" t="s">
        <v>52</v>
      </c>
      <c r="D1840" s="2906">
        <v>3270.88</v>
      </c>
      <c r="E1840" s="1603" t="s">
        <v>2497</v>
      </c>
      <c r="F1840" s="1583"/>
      <c r="G1840" s="1583"/>
      <c r="H1840" s="1583"/>
      <c r="I1840" s="1583"/>
      <c r="J1840" s="1583"/>
      <c r="K1840" s="1583"/>
      <c r="L1840" s="1583"/>
      <c r="M1840" s="1583"/>
      <c r="N1840" s="1583"/>
      <c r="O1840" s="1583"/>
      <c r="P1840" s="1583"/>
      <c r="Q1840" s="1604"/>
      <c r="R1840" s="1583"/>
      <c r="S1840" s="1583"/>
      <c r="T1840" s="1604"/>
      <c r="U1840" s="1585"/>
      <c r="V1840" s="1585"/>
      <c r="W1840" s="1585"/>
      <c r="X1840" s="1585"/>
      <c r="Y1840" s="1585"/>
      <c r="Z1840" s="1585"/>
      <c r="AA1840" s="1585"/>
      <c r="AB1840" s="1585"/>
      <c r="AC1840" s="1585"/>
      <c r="AD1840" s="1601">
        <f t="shared" si="170"/>
        <v>0</v>
      </c>
      <c r="AE1840" s="1790">
        <v>0</v>
      </c>
      <c r="AF1840" s="1792"/>
    </row>
    <row r="1841" spans="1:32" ht="27.75" customHeight="1">
      <c r="A1841" s="2899" t="s">
        <v>3334</v>
      </c>
      <c r="B1841" s="2901" t="s">
        <v>1919</v>
      </c>
      <c r="C1841" s="2903" t="s">
        <v>52</v>
      </c>
      <c r="D1841" s="2905">
        <v>1840.88</v>
      </c>
      <c r="E1841" s="1810" t="s">
        <v>2496</v>
      </c>
      <c r="F1841" s="1811"/>
      <c r="G1841" s="1811"/>
      <c r="H1841" s="1811"/>
      <c r="I1841" s="1811"/>
      <c r="J1841" s="1811"/>
      <c r="K1841" s="1811"/>
      <c r="L1841" s="1811"/>
      <c r="M1841" s="1811"/>
      <c r="N1841" s="1811"/>
      <c r="O1841" s="1811"/>
      <c r="P1841" s="1811"/>
      <c r="Q1841" s="1812"/>
      <c r="R1841" s="1811"/>
      <c r="S1841" s="1811"/>
      <c r="T1841" s="1812"/>
      <c r="U1841" s="1812"/>
      <c r="V1841" s="1812"/>
      <c r="W1841" s="1812"/>
      <c r="X1841" s="1812"/>
      <c r="Y1841" s="1812"/>
      <c r="Z1841" s="1812">
        <f>D1841</f>
        <v>1840.88</v>
      </c>
      <c r="AA1841" s="1812"/>
      <c r="AB1841" s="1812"/>
      <c r="AC1841" s="1812"/>
      <c r="AD1841" s="1601">
        <f t="shared" si="170"/>
        <v>1840.88</v>
      </c>
      <c r="AE1841" s="1790">
        <v>0</v>
      </c>
      <c r="AF1841" s="1792"/>
    </row>
    <row r="1842" spans="1:32" ht="27.75" customHeight="1">
      <c r="A1842" s="2900" t="s">
        <v>3334</v>
      </c>
      <c r="B1842" s="2902" t="s">
        <v>3335</v>
      </c>
      <c r="C1842" s="2904" t="s">
        <v>52</v>
      </c>
      <c r="D1842" s="2906">
        <v>1840.88</v>
      </c>
      <c r="E1842" s="1603" t="s">
        <v>2497</v>
      </c>
      <c r="F1842" s="1583"/>
      <c r="G1842" s="1583"/>
      <c r="H1842" s="1583"/>
      <c r="I1842" s="1583"/>
      <c r="J1842" s="1583"/>
      <c r="K1842" s="1583"/>
      <c r="L1842" s="1583"/>
      <c r="M1842" s="1583"/>
      <c r="N1842" s="1583"/>
      <c r="O1842" s="1583"/>
      <c r="P1842" s="1583"/>
      <c r="Q1842" s="1604"/>
      <c r="R1842" s="1583"/>
      <c r="S1842" s="1583"/>
      <c r="T1842" s="1604"/>
      <c r="U1842" s="1592"/>
      <c r="V1842" s="1585"/>
      <c r="W1842" s="1585"/>
      <c r="X1842" s="1585"/>
      <c r="Y1842" s="1592"/>
      <c r="Z1842" s="1585"/>
      <c r="AA1842" s="1585"/>
      <c r="AB1842" s="1585"/>
      <c r="AC1842" s="1585"/>
      <c r="AD1842" s="1601">
        <f t="shared" si="170"/>
        <v>0</v>
      </c>
      <c r="AE1842" s="1790">
        <v>0</v>
      </c>
      <c r="AF1842" s="1792"/>
    </row>
    <row r="1843" spans="1:32" ht="27.75" customHeight="1">
      <c r="A1843" s="2899" t="s">
        <v>3336</v>
      </c>
      <c r="B1843" s="2901" t="s">
        <v>4084</v>
      </c>
      <c r="C1843" s="2903" t="s">
        <v>52</v>
      </c>
      <c r="D1843" s="2905">
        <v>1840.88</v>
      </c>
      <c r="E1843" s="1810" t="s">
        <v>2496</v>
      </c>
      <c r="F1843" s="1811"/>
      <c r="G1843" s="1811"/>
      <c r="H1843" s="1811"/>
      <c r="I1843" s="1811"/>
      <c r="J1843" s="1811"/>
      <c r="K1843" s="1811"/>
      <c r="L1843" s="1811"/>
      <c r="M1843" s="1811"/>
      <c r="N1843" s="1811"/>
      <c r="O1843" s="1811"/>
      <c r="P1843" s="1811"/>
      <c r="Q1843" s="1812"/>
      <c r="R1843" s="1811"/>
      <c r="S1843" s="1811"/>
      <c r="T1843" s="1812"/>
      <c r="U1843" s="1812"/>
      <c r="V1843" s="1812"/>
      <c r="W1843" s="1812"/>
      <c r="X1843" s="1812"/>
      <c r="Y1843" s="1812"/>
      <c r="Z1843" s="1812">
        <f>D1843</f>
        <v>1840.88</v>
      </c>
      <c r="AA1843" s="1812"/>
      <c r="AB1843" s="1812"/>
      <c r="AC1843" s="1812"/>
      <c r="AD1843" s="1601">
        <f t="shared" si="170"/>
        <v>1840.88</v>
      </c>
      <c r="AE1843" s="1790">
        <v>0</v>
      </c>
      <c r="AF1843" s="1792"/>
    </row>
    <row r="1844" spans="1:32" ht="27.75" customHeight="1">
      <c r="A1844" s="2900" t="s">
        <v>3336</v>
      </c>
      <c r="B1844" s="2902" t="s">
        <v>3337</v>
      </c>
      <c r="C1844" s="2904" t="s">
        <v>52</v>
      </c>
      <c r="D1844" s="2906">
        <v>1840.88</v>
      </c>
      <c r="E1844" s="1603" t="s">
        <v>2497</v>
      </c>
      <c r="F1844" s="1583"/>
      <c r="G1844" s="1583"/>
      <c r="H1844" s="1583"/>
      <c r="I1844" s="1583"/>
      <c r="J1844" s="1583"/>
      <c r="K1844" s="1583"/>
      <c r="L1844" s="1583"/>
      <c r="M1844" s="1583"/>
      <c r="N1844" s="1583"/>
      <c r="O1844" s="1583"/>
      <c r="P1844" s="1583"/>
      <c r="Q1844" s="1604"/>
      <c r="R1844" s="1583"/>
      <c r="S1844" s="1583"/>
      <c r="T1844" s="1604"/>
      <c r="U1844" s="1592"/>
      <c r="V1844" s="1585"/>
      <c r="W1844" s="1585"/>
      <c r="X1844" s="1585"/>
      <c r="Y1844" s="1592"/>
      <c r="Z1844" s="1585"/>
      <c r="AA1844" s="1585"/>
      <c r="AB1844" s="1585"/>
      <c r="AC1844" s="1585"/>
      <c r="AD1844" s="1601">
        <f t="shared" si="170"/>
        <v>0</v>
      </c>
      <c r="AE1844" s="1790">
        <v>0</v>
      </c>
      <c r="AF1844" s="1792"/>
    </row>
    <row r="1845" spans="1:32" ht="27.75" customHeight="1">
      <c r="A1845" s="2899" t="s">
        <v>3338</v>
      </c>
      <c r="B1845" s="2901" t="s">
        <v>1921</v>
      </c>
      <c r="C1845" s="2903" t="s">
        <v>52</v>
      </c>
      <c r="D1845" s="2905">
        <v>1840.88</v>
      </c>
      <c r="E1845" s="1810" t="s">
        <v>2496</v>
      </c>
      <c r="F1845" s="1811"/>
      <c r="G1845" s="1811"/>
      <c r="H1845" s="1811"/>
      <c r="I1845" s="1811"/>
      <c r="J1845" s="1811"/>
      <c r="K1845" s="1811"/>
      <c r="L1845" s="1811"/>
      <c r="M1845" s="1811"/>
      <c r="N1845" s="1811"/>
      <c r="O1845" s="1811"/>
      <c r="P1845" s="1811"/>
      <c r="Q1845" s="1812"/>
      <c r="R1845" s="1811"/>
      <c r="S1845" s="1811"/>
      <c r="T1845" s="1812"/>
      <c r="U1845" s="1812"/>
      <c r="V1845" s="1812"/>
      <c r="W1845" s="1812"/>
      <c r="X1845" s="1812"/>
      <c r="Y1845" s="1812"/>
      <c r="Z1845" s="1812">
        <f>D1845</f>
        <v>1840.88</v>
      </c>
      <c r="AA1845" s="1812"/>
      <c r="AB1845" s="1812"/>
      <c r="AC1845" s="1812"/>
      <c r="AD1845" s="1601">
        <f t="shared" si="170"/>
        <v>1840.88</v>
      </c>
      <c r="AE1845" s="1790">
        <v>0</v>
      </c>
      <c r="AF1845" s="1792"/>
    </row>
    <row r="1846" spans="1:32" ht="27.75" customHeight="1">
      <c r="A1846" s="2900" t="s">
        <v>3338</v>
      </c>
      <c r="B1846" s="2902" t="s">
        <v>3339</v>
      </c>
      <c r="C1846" s="2904" t="s">
        <v>52</v>
      </c>
      <c r="D1846" s="2906">
        <v>1840.88</v>
      </c>
      <c r="E1846" s="1603" t="s">
        <v>2497</v>
      </c>
      <c r="F1846" s="1583"/>
      <c r="G1846" s="1583"/>
      <c r="H1846" s="1583"/>
      <c r="I1846" s="1583"/>
      <c r="J1846" s="1583"/>
      <c r="K1846" s="1583"/>
      <c r="L1846" s="1583"/>
      <c r="M1846" s="1583"/>
      <c r="N1846" s="1583"/>
      <c r="O1846" s="1583"/>
      <c r="P1846" s="1583"/>
      <c r="Q1846" s="1604"/>
      <c r="R1846" s="1583"/>
      <c r="S1846" s="1583"/>
      <c r="T1846" s="1604"/>
      <c r="U1846" s="1592"/>
      <c r="V1846" s="1585"/>
      <c r="W1846" s="1585"/>
      <c r="X1846" s="1585"/>
      <c r="Y1846" s="1592"/>
      <c r="Z1846" s="1585"/>
      <c r="AA1846" s="1585"/>
      <c r="AB1846" s="1585"/>
      <c r="AC1846" s="1585"/>
      <c r="AD1846" s="1601">
        <f t="shared" si="170"/>
        <v>0</v>
      </c>
      <c r="AE1846" s="1790">
        <v>0</v>
      </c>
      <c r="AF1846" s="1792"/>
    </row>
    <row r="1847" spans="1:32" ht="27.75" customHeight="1">
      <c r="A1847" s="2899" t="s">
        <v>3340</v>
      </c>
      <c r="B1847" s="2901" t="s">
        <v>1922</v>
      </c>
      <c r="C1847" s="2903" t="s">
        <v>52</v>
      </c>
      <c r="D1847" s="2905">
        <v>1840.88</v>
      </c>
      <c r="E1847" s="1598" t="s">
        <v>2496</v>
      </c>
      <c r="F1847" s="1583"/>
      <c r="G1847" s="1583"/>
      <c r="H1847" s="1583"/>
      <c r="I1847" s="1583"/>
      <c r="J1847" s="1583"/>
      <c r="K1847" s="1583"/>
      <c r="L1847" s="1583"/>
      <c r="M1847" s="1583"/>
      <c r="N1847" s="1583"/>
      <c r="O1847" s="1583"/>
      <c r="P1847" s="1583"/>
      <c r="Q1847" s="1585"/>
      <c r="R1847" s="1583"/>
      <c r="S1847" s="1583"/>
      <c r="T1847" s="1585"/>
      <c r="U1847" s="1585"/>
      <c r="V1847" s="1585"/>
      <c r="W1847" s="1585"/>
      <c r="X1847" s="1585"/>
      <c r="Y1847" s="1585"/>
      <c r="Z1847" s="1812">
        <f>D1847</f>
        <v>1840.88</v>
      </c>
      <c r="AA1847" s="1585"/>
      <c r="AB1847" s="1585"/>
      <c r="AC1847" s="1585"/>
      <c r="AD1847" s="1601">
        <f t="shared" si="170"/>
        <v>1840.88</v>
      </c>
      <c r="AE1847" s="1790">
        <v>0</v>
      </c>
      <c r="AF1847" s="1792"/>
    </row>
    <row r="1848" spans="1:32" ht="27.75" customHeight="1">
      <c r="A1848" s="2900" t="s">
        <v>3340</v>
      </c>
      <c r="B1848" s="2902" t="s">
        <v>3341</v>
      </c>
      <c r="C1848" s="2904" t="s">
        <v>52</v>
      </c>
      <c r="D1848" s="2906">
        <v>1840.88</v>
      </c>
      <c r="E1848" s="1603" t="s">
        <v>2497</v>
      </c>
      <c r="F1848" s="1583"/>
      <c r="G1848" s="1583"/>
      <c r="H1848" s="1583"/>
      <c r="I1848" s="1583"/>
      <c r="J1848" s="1583"/>
      <c r="K1848" s="1583"/>
      <c r="L1848" s="1583"/>
      <c r="M1848" s="1583"/>
      <c r="N1848" s="1583"/>
      <c r="O1848" s="1583"/>
      <c r="P1848" s="1583"/>
      <c r="Q1848" s="1604"/>
      <c r="R1848" s="1583"/>
      <c r="S1848" s="1583"/>
      <c r="T1848" s="1604"/>
      <c r="U1848" s="1585"/>
      <c r="V1848" s="1585"/>
      <c r="W1848" s="1585"/>
      <c r="X1848" s="1585"/>
      <c r="Y1848" s="1585"/>
      <c r="Z1848" s="1585"/>
      <c r="AA1848" s="1585"/>
      <c r="AB1848" s="1585"/>
      <c r="AC1848" s="1585"/>
      <c r="AD1848" s="1601">
        <f t="shared" si="170"/>
        <v>0</v>
      </c>
      <c r="AE1848" s="1790">
        <v>0</v>
      </c>
      <c r="AF1848" s="1792"/>
    </row>
    <row r="1849" spans="1:32" ht="27.75" customHeight="1">
      <c r="A1849" s="2899" t="s">
        <v>3342</v>
      </c>
      <c r="B1849" s="2901" t="s">
        <v>1923</v>
      </c>
      <c r="C1849" s="2903" t="s">
        <v>52</v>
      </c>
      <c r="D1849" s="2905">
        <v>1840.88</v>
      </c>
      <c r="E1849" s="1810" t="s">
        <v>2496</v>
      </c>
      <c r="F1849" s="1811"/>
      <c r="G1849" s="1811"/>
      <c r="H1849" s="1811"/>
      <c r="I1849" s="1811"/>
      <c r="J1849" s="1811"/>
      <c r="K1849" s="1811"/>
      <c r="L1849" s="1811"/>
      <c r="M1849" s="1811"/>
      <c r="N1849" s="1811"/>
      <c r="O1849" s="1811"/>
      <c r="P1849" s="1811"/>
      <c r="Q1849" s="1812"/>
      <c r="R1849" s="1811"/>
      <c r="S1849" s="1811"/>
      <c r="T1849" s="1812"/>
      <c r="U1849" s="1812"/>
      <c r="V1849" s="1812"/>
      <c r="W1849" s="1812"/>
      <c r="X1849" s="1812"/>
      <c r="Y1849" s="1812"/>
      <c r="Z1849" s="1812">
        <f>D1849</f>
        <v>1840.88</v>
      </c>
      <c r="AA1849" s="1812"/>
      <c r="AB1849" s="1812"/>
      <c r="AC1849" s="1812"/>
      <c r="AD1849" s="1601">
        <f t="shared" si="170"/>
        <v>1840.88</v>
      </c>
      <c r="AE1849" s="1790">
        <v>0</v>
      </c>
      <c r="AF1849" s="1792"/>
    </row>
    <row r="1850" spans="1:32" ht="27.75" customHeight="1">
      <c r="A1850" s="2900" t="s">
        <v>3342</v>
      </c>
      <c r="B1850" s="2902" t="s">
        <v>3343</v>
      </c>
      <c r="C1850" s="2904" t="s">
        <v>52</v>
      </c>
      <c r="D1850" s="2906">
        <v>1840.88</v>
      </c>
      <c r="E1850" s="1603" t="s">
        <v>2497</v>
      </c>
      <c r="F1850" s="1583"/>
      <c r="G1850" s="1583"/>
      <c r="H1850" s="1583"/>
      <c r="I1850" s="1583"/>
      <c r="J1850" s="1583"/>
      <c r="K1850" s="1583"/>
      <c r="L1850" s="1583"/>
      <c r="M1850" s="1583"/>
      <c r="N1850" s="1583"/>
      <c r="O1850" s="1583"/>
      <c r="P1850" s="1583"/>
      <c r="Q1850" s="1604"/>
      <c r="R1850" s="1583"/>
      <c r="S1850" s="1583"/>
      <c r="T1850" s="1604"/>
      <c r="U1850" s="1592"/>
      <c r="V1850" s="1585"/>
      <c r="W1850" s="1585"/>
      <c r="X1850" s="1585"/>
      <c r="Y1850" s="1592"/>
      <c r="Z1850" s="1585"/>
      <c r="AA1850" s="1585"/>
      <c r="AB1850" s="1585"/>
      <c r="AC1850" s="1585"/>
      <c r="AD1850" s="1601">
        <f t="shared" si="170"/>
        <v>0</v>
      </c>
      <c r="AE1850" s="1790">
        <v>0</v>
      </c>
      <c r="AF1850" s="1792"/>
    </row>
    <row r="1851" spans="1:32" ht="27.75" customHeight="1">
      <c r="A1851" s="2899" t="s">
        <v>3344</v>
      </c>
      <c r="B1851" s="2901" t="s">
        <v>4085</v>
      </c>
      <c r="C1851" s="2903" t="s">
        <v>52</v>
      </c>
      <c r="D1851" s="2905">
        <v>4708.66</v>
      </c>
      <c r="E1851" s="1810" t="s">
        <v>2496</v>
      </c>
      <c r="F1851" s="1811"/>
      <c r="G1851" s="1811"/>
      <c r="H1851" s="1811"/>
      <c r="I1851" s="1811"/>
      <c r="J1851" s="1811"/>
      <c r="K1851" s="1811"/>
      <c r="L1851" s="1811"/>
      <c r="M1851" s="1811"/>
      <c r="N1851" s="1811"/>
      <c r="O1851" s="1811"/>
      <c r="P1851" s="1811"/>
      <c r="Q1851" s="1812"/>
      <c r="R1851" s="1811"/>
      <c r="S1851" s="1811"/>
      <c r="T1851" s="1812"/>
      <c r="U1851" s="1812"/>
      <c r="V1851" s="1812"/>
      <c r="W1851" s="1812"/>
      <c r="X1851" s="1812"/>
      <c r="Y1851" s="1812"/>
      <c r="Z1851" s="1812">
        <f>D1851</f>
        <v>4708.66</v>
      </c>
      <c r="AA1851" s="1812"/>
      <c r="AB1851" s="1812"/>
      <c r="AC1851" s="1812"/>
      <c r="AD1851" s="1601">
        <f t="shared" si="170"/>
        <v>4708.66</v>
      </c>
      <c r="AE1851" s="1790">
        <v>0</v>
      </c>
      <c r="AF1851" s="1792"/>
    </row>
    <row r="1852" spans="1:32" ht="27.75" customHeight="1">
      <c r="A1852" s="2900" t="s">
        <v>3344</v>
      </c>
      <c r="B1852" s="2902" t="s">
        <v>3345</v>
      </c>
      <c r="C1852" s="2904" t="s">
        <v>52</v>
      </c>
      <c r="D1852" s="2906">
        <v>4708.66</v>
      </c>
      <c r="E1852" s="1603" t="s">
        <v>2497</v>
      </c>
      <c r="F1852" s="1583"/>
      <c r="G1852" s="1583"/>
      <c r="H1852" s="1583"/>
      <c r="I1852" s="1583"/>
      <c r="J1852" s="1583"/>
      <c r="K1852" s="1583"/>
      <c r="L1852" s="1583"/>
      <c r="M1852" s="1583"/>
      <c r="N1852" s="1583"/>
      <c r="O1852" s="1583"/>
      <c r="P1852" s="1583"/>
      <c r="Q1852" s="1604"/>
      <c r="R1852" s="1583"/>
      <c r="S1852" s="1583"/>
      <c r="T1852" s="1604"/>
      <c r="U1852" s="1592"/>
      <c r="V1852" s="1585"/>
      <c r="W1852" s="1585"/>
      <c r="X1852" s="1585"/>
      <c r="Y1852" s="1592"/>
      <c r="Z1852" s="1585"/>
      <c r="AA1852" s="1585"/>
      <c r="AB1852" s="1585"/>
      <c r="AC1852" s="1585"/>
      <c r="AD1852" s="1601">
        <f t="shared" si="170"/>
        <v>0</v>
      </c>
      <c r="AE1852" s="1790">
        <v>0</v>
      </c>
      <c r="AF1852" s="1792"/>
    </row>
    <row r="1853" spans="1:32" ht="27.75" customHeight="1">
      <c r="A1853" s="2899" t="s">
        <v>3346</v>
      </c>
      <c r="B1853" s="2901" t="s">
        <v>4086</v>
      </c>
      <c r="C1853" s="2903" t="s">
        <v>52</v>
      </c>
      <c r="D1853" s="2905">
        <v>9189.27</v>
      </c>
      <c r="E1853" s="1598" t="s">
        <v>2496</v>
      </c>
      <c r="F1853" s="1583"/>
      <c r="G1853" s="1583"/>
      <c r="H1853" s="1583"/>
      <c r="I1853" s="1583"/>
      <c r="J1853" s="1583"/>
      <c r="K1853" s="1583"/>
      <c r="L1853" s="1583"/>
      <c r="M1853" s="1583"/>
      <c r="N1853" s="1583"/>
      <c r="O1853" s="1583"/>
      <c r="P1853" s="1583"/>
      <c r="Q1853" s="1585"/>
      <c r="R1853" s="1583"/>
      <c r="S1853" s="1583"/>
      <c r="T1853" s="1585"/>
      <c r="U1853" s="1585"/>
      <c r="V1853" s="1585"/>
      <c r="W1853" s="1585"/>
      <c r="X1853" s="1585"/>
      <c r="Y1853" s="1585"/>
      <c r="Z1853" s="1812">
        <f>D1853</f>
        <v>9189.27</v>
      </c>
      <c r="AA1853" s="1585"/>
      <c r="AB1853" s="1585"/>
      <c r="AC1853" s="1585"/>
      <c r="AD1853" s="1601">
        <f t="shared" si="170"/>
        <v>9189.27</v>
      </c>
      <c r="AE1853" s="1790">
        <v>0</v>
      </c>
      <c r="AF1853" s="1792"/>
    </row>
    <row r="1854" spans="1:32" ht="27.75" customHeight="1">
      <c r="A1854" s="2900" t="s">
        <v>3346</v>
      </c>
      <c r="B1854" s="2902" t="s">
        <v>3347</v>
      </c>
      <c r="C1854" s="2904" t="s">
        <v>52</v>
      </c>
      <c r="D1854" s="2906">
        <v>9189.27</v>
      </c>
      <c r="E1854" s="1603" t="s">
        <v>2497</v>
      </c>
      <c r="F1854" s="1583"/>
      <c r="G1854" s="1583"/>
      <c r="H1854" s="1583"/>
      <c r="I1854" s="1583"/>
      <c r="J1854" s="1583"/>
      <c r="K1854" s="1583"/>
      <c r="L1854" s="1583"/>
      <c r="M1854" s="1583"/>
      <c r="N1854" s="1583"/>
      <c r="O1854" s="1583"/>
      <c r="P1854" s="1583"/>
      <c r="Q1854" s="1604"/>
      <c r="R1854" s="1583"/>
      <c r="S1854" s="1583"/>
      <c r="T1854" s="1604"/>
      <c r="U1854" s="1585"/>
      <c r="V1854" s="1585"/>
      <c r="W1854" s="1585"/>
      <c r="X1854" s="1585"/>
      <c r="Y1854" s="1585"/>
      <c r="Z1854" s="1585"/>
      <c r="AA1854" s="1585"/>
      <c r="AB1854" s="1585"/>
      <c r="AC1854" s="1585"/>
      <c r="AD1854" s="1601">
        <f t="shared" si="170"/>
        <v>0</v>
      </c>
      <c r="AE1854" s="1790">
        <v>0</v>
      </c>
      <c r="AF1854" s="1792"/>
    </row>
    <row r="1855" spans="1:32" ht="27.75" customHeight="1">
      <c r="A1855" s="2899" t="s">
        <v>3348</v>
      </c>
      <c r="B1855" s="2901" t="s">
        <v>3349</v>
      </c>
      <c r="C1855" s="2903" t="s">
        <v>52</v>
      </c>
      <c r="D1855" s="2905">
        <v>2189.27</v>
      </c>
      <c r="E1855" s="1810" t="s">
        <v>2496</v>
      </c>
      <c r="F1855" s="1811"/>
      <c r="G1855" s="1811"/>
      <c r="H1855" s="1811"/>
      <c r="I1855" s="1811"/>
      <c r="J1855" s="1811"/>
      <c r="K1855" s="1811"/>
      <c r="L1855" s="1811"/>
      <c r="M1855" s="1811"/>
      <c r="N1855" s="1811"/>
      <c r="O1855" s="1811"/>
      <c r="P1855" s="1811"/>
      <c r="Q1855" s="1812"/>
      <c r="R1855" s="1811"/>
      <c r="S1855" s="1811"/>
      <c r="T1855" s="1812"/>
      <c r="U1855" s="1812"/>
      <c r="V1855" s="1812"/>
      <c r="W1855" s="1812"/>
      <c r="X1855" s="1812"/>
      <c r="Y1855" s="1812"/>
      <c r="Z1855" s="1812">
        <f>D1855</f>
        <v>2189.27</v>
      </c>
      <c r="AA1855" s="1812"/>
      <c r="AB1855" s="1812"/>
      <c r="AC1855" s="1812"/>
      <c r="AD1855" s="1601">
        <f t="shared" si="170"/>
        <v>2189.27</v>
      </c>
      <c r="AE1855" s="1790">
        <v>0</v>
      </c>
      <c r="AF1855" s="1792"/>
    </row>
    <row r="1856" spans="1:32" ht="27.75" customHeight="1">
      <c r="A1856" s="2900" t="s">
        <v>3348</v>
      </c>
      <c r="B1856" s="2902" t="s">
        <v>3349</v>
      </c>
      <c r="C1856" s="2904" t="s">
        <v>52</v>
      </c>
      <c r="D1856" s="2906">
        <v>2189.27</v>
      </c>
      <c r="E1856" s="1603" t="s">
        <v>2497</v>
      </c>
      <c r="F1856" s="1583"/>
      <c r="G1856" s="1583"/>
      <c r="H1856" s="1583"/>
      <c r="I1856" s="1583"/>
      <c r="J1856" s="1583"/>
      <c r="K1856" s="1583"/>
      <c r="L1856" s="1583"/>
      <c r="M1856" s="1583"/>
      <c r="N1856" s="1583"/>
      <c r="O1856" s="1583"/>
      <c r="P1856" s="1583"/>
      <c r="Q1856" s="1604"/>
      <c r="R1856" s="1583"/>
      <c r="S1856" s="1583"/>
      <c r="T1856" s="1604"/>
      <c r="U1856" s="1592"/>
      <c r="V1856" s="1585"/>
      <c r="W1856" s="1585"/>
      <c r="X1856" s="1585"/>
      <c r="Y1856" s="1592"/>
      <c r="Z1856" s="1585"/>
      <c r="AA1856" s="1585"/>
      <c r="AB1856" s="1585"/>
      <c r="AC1856" s="1585"/>
      <c r="AD1856" s="1601">
        <f t="shared" si="170"/>
        <v>0</v>
      </c>
      <c r="AE1856" s="1790">
        <v>0</v>
      </c>
      <c r="AF1856" s="1792"/>
    </row>
    <row r="1857" spans="1:32" ht="27.75" customHeight="1">
      <c r="A1857" s="2899" t="s">
        <v>3350</v>
      </c>
      <c r="B1857" s="2901" t="s">
        <v>4087</v>
      </c>
      <c r="C1857" s="2903" t="s">
        <v>52</v>
      </c>
      <c r="D1857" s="2905">
        <v>653.79</v>
      </c>
      <c r="E1857" s="1598" t="s">
        <v>2496</v>
      </c>
      <c r="F1857" s="1583"/>
      <c r="G1857" s="1583"/>
      <c r="H1857" s="1583"/>
      <c r="I1857" s="1583"/>
      <c r="J1857" s="1583"/>
      <c r="K1857" s="1583"/>
      <c r="L1857" s="1583"/>
      <c r="M1857" s="1583"/>
      <c r="N1857" s="1583"/>
      <c r="O1857" s="1583"/>
      <c r="P1857" s="1583"/>
      <c r="Q1857" s="1585"/>
      <c r="R1857" s="1583"/>
      <c r="S1857" s="1583"/>
      <c r="T1857" s="1585"/>
      <c r="U1857" s="1585"/>
      <c r="V1857" s="1585"/>
      <c r="W1857" s="1585"/>
      <c r="X1857" s="1585"/>
      <c r="Y1857" s="1585"/>
      <c r="Z1857" s="1812">
        <f>D1857</f>
        <v>653.79</v>
      </c>
      <c r="AA1857" s="1585"/>
      <c r="AB1857" s="1585"/>
      <c r="AC1857" s="1585"/>
      <c r="AD1857" s="1601">
        <f t="shared" si="170"/>
        <v>653.79</v>
      </c>
      <c r="AE1857" s="1790">
        <v>0</v>
      </c>
      <c r="AF1857" s="1792"/>
    </row>
    <row r="1858" spans="1:32" ht="27.75" customHeight="1">
      <c r="A1858" s="2900" t="s">
        <v>3350</v>
      </c>
      <c r="B1858" s="2902" t="s">
        <v>3351</v>
      </c>
      <c r="C1858" s="2904" t="s">
        <v>52</v>
      </c>
      <c r="D1858" s="2906">
        <v>653.79</v>
      </c>
      <c r="E1858" s="1603" t="s">
        <v>2497</v>
      </c>
      <c r="F1858" s="1583"/>
      <c r="G1858" s="1583"/>
      <c r="H1858" s="1583"/>
      <c r="I1858" s="1583"/>
      <c r="J1858" s="1583"/>
      <c r="K1858" s="1583"/>
      <c r="L1858" s="1583"/>
      <c r="M1858" s="1583"/>
      <c r="N1858" s="1583"/>
      <c r="O1858" s="1583"/>
      <c r="P1858" s="1583"/>
      <c r="Q1858" s="1604"/>
      <c r="R1858" s="1583"/>
      <c r="S1858" s="1583"/>
      <c r="T1858" s="1604"/>
      <c r="U1858" s="1585"/>
      <c r="V1858" s="1585"/>
      <c r="W1858" s="1585"/>
      <c r="X1858" s="1585"/>
      <c r="Y1858" s="1585"/>
      <c r="Z1858" s="1585"/>
      <c r="AA1858" s="1585"/>
      <c r="AB1858" s="1585"/>
      <c r="AC1858" s="1585"/>
      <c r="AD1858" s="1601">
        <f t="shared" si="170"/>
        <v>0</v>
      </c>
      <c r="AE1858" s="1790">
        <v>0</v>
      </c>
      <c r="AF1858" s="1792"/>
    </row>
    <row r="1859" spans="1:32" ht="27.75" customHeight="1">
      <c r="A1859" s="1795" t="s">
        <v>3352</v>
      </c>
      <c r="B1859" s="1795" t="s">
        <v>1924</v>
      </c>
      <c r="C1859" s="1803"/>
      <c r="D1859" s="1804"/>
      <c r="E1859" s="1813"/>
      <c r="F1859" s="1811"/>
      <c r="G1859" s="1811"/>
      <c r="H1859" s="1811"/>
      <c r="I1859" s="1811"/>
      <c r="J1859" s="1811"/>
      <c r="K1859" s="1811"/>
      <c r="L1859" s="1811"/>
      <c r="M1859" s="1811"/>
      <c r="N1859" s="1811"/>
      <c r="O1859" s="1811"/>
      <c r="P1859" s="1811"/>
      <c r="Q1859" s="1814"/>
      <c r="R1859" s="1811"/>
      <c r="S1859" s="1811"/>
      <c r="T1859" s="1814"/>
      <c r="U1859" s="1812"/>
      <c r="V1859" s="1812"/>
      <c r="W1859" s="1812"/>
      <c r="X1859" s="1812"/>
      <c r="Y1859" s="1812"/>
      <c r="Z1859" s="1812"/>
      <c r="AA1859" s="1812"/>
      <c r="AB1859" s="1812"/>
      <c r="AC1859" s="1812"/>
      <c r="AD1859" s="1601">
        <f t="shared" si="170"/>
        <v>0</v>
      </c>
      <c r="AE1859" s="1790">
        <v>0</v>
      </c>
      <c r="AF1859" s="1792"/>
    </row>
    <row r="1860" spans="1:32" ht="27.75" customHeight="1">
      <c r="A1860" s="2899" t="s">
        <v>3354</v>
      </c>
      <c r="B1860" s="2901" t="s">
        <v>4088</v>
      </c>
      <c r="C1860" s="2903" t="s">
        <v>52</v>
      </c>
      <c r="D1860" s="2905">
        <v>156.68</v>
      </c>
      <c r="E1860" s="1810" t="s">
        <v>2496</v>
      </c>
      <c r="F1860" s="1811"/>
      <c r="G1860" s="1811"/>
      <c r="H1860" s="1811"/>
      <c r="I1860" s="1811"/>
      <c r="J1860" s="1811"/>
      <c r="K1860" s="1811"/>
      <c r="L1860" s="1811"/>
      <c r="M1860" s="1811"/>
      <c r="N1860" s="1811"/>
      <c r="O1860" s="1811"/>
      <c r="P1860" s="1811"/>
      <c r="Q1860" s="1812"/>
      <c r="R1860" s="1811"/>
      <c r="S1860" s="1811"/>
      <c r="T1860" s="1812"/>
      <c r="U1860" s="1812"/>
      <c r="V1860" s="1812"/>
      <c r="W1860" s="1812"/>
      <c r="X1860" s="1812"/>
      <c r="Y1860" s="1812"/>
      <c r="Z1860" s="1812">
        <f>D1860</f>
        <v>156.68</v>
      </c>
      <c r="AA1860" s="1812"/>
      <c r="AB1860" s="1812"/>
      <c r="AC1860" s="1812"/>
      <c r="AD1860" s="1601">
        <f t="shared" si="170"/>
        <v>156.68</v>
      </c>
      <c r="AE1860" s="1790">
        <v>0</v>
      </c>
      <c r="AF1860" s="1792"/>
    </row>
    <row r="1861" spans="1:32" ht="27.75" customHeight="1">
      <c r="A1861" s="2900" t="s">
        <v>3354</v>
      </c>
      <c r="B1861" s="2902" t="s">
        <v>3355</v>
      </c>
      <c r="C1861" s="2904" t="s">
        <v>52</v>
      </c>
      <c r="D1861" s="2906">
        <v>156.68</v>
      </c>
      <c r="E1861" s="1603" t="s">
        <v>2497</v>
      </c>
      <c r="F1861" s="1583"/>
      <c r="G1861" s="1583"/>
      <c r="H1861" s="1583"/>
      <c r="I1861" s="1583"/>
      <c r="J1861" s="1583"/>
      <c r="K1861" s="1583"/>
      <c r="L1861" s="1583"/>
      <c r="M1861" s="1583"/>
      <c r="N1861" s="1583"/>
      <c r="O1861" s="1583"/>
      <c r="P1861" s="1583"/>
      <c r="Q1861" s="1604"/>
      <c r="R1861" s="1583"/>
      <c r="S1861" s="1583"/>
      <c r="T1861" s="1604"/>
      <c r="U1861" s="1592"/>
      <c r="V1861" s="1585"/>
      <c r="W1861" s="1585"/>
      <c r="X1861" s="1585"/>
      <c r="Y1861" s="1592"/>
      <c r="Z1861" s="1585"/>
      <c r="AA1861" s="1585"/>
      <c r="AB1861" s="1585"/>
      <c r="AC1861" s="1585"/>
      <c r="AD1861" s="1601">
        <f t="shared" si="170"/>
        <v>0</v>
      </c>
      <c r="AE1861" s="1790">
        <v>0</v>
      </c>
      <c r="AF1861" s="1792"/>
    </row>
    <row r="1862" spans="1:32" ht="27.75" customHeight="1">
      <c r="A1862" s="2899" t="s">
        <v>3356</v>
      </c>
      <c r="B1862" s="2901" t="s">
        <v>4089</v>
      </c>
      <c r="C1862" s="2903" t="s">
        <v>52</v>
      </c>
      <c r="D1862" s="2905">
        <v>1670.0400000000002</v>
      </c>
      <c r="E1862" s="1810" t="s">
        <v>2496</v>
      </c>
      <c r="F1862" s="1811"/>
      <c r="G1862" s="1811"/>
      <c r="H1862" s="1811"/>
      <c r="I1862" s="1811"/>
      <c r="J1862" s="1811"/>
      <c r="K1862" s="1811"/>
      <c r="L1862" s="1811"/>
      <c r="M1862" s="1811"/>
      <c r="N1862" s="1811"/>
      <c r="O1862" s="1811"/>
      <c r="P1862" s="1811"/>
      <c r="Q1862" s="1812"/>
      <c r="R1862" s="1811"/>
      <c r="S1862" s="1811"/>
      <c r="T1862" s="1812"/>
      <c r="U1862" s="1812"/>
      <c r="V1862" s="1812"/>
      <c r="W1862" s="1812"/>
      <c r="X1862" s="1812"/>
      <c r="Y1862" s="1812"/>
      <c r="Z1862" s="1812">
        <f>D1862</f>
        <v>1670.0400000000002</v>
      </c>
      <c r="AA1862" s="1812"/>
      <c r="AB1862" s="1812"/>
      <c r="AC1862" s="1812"/>
      <c r="AD1862" s="1601">
        <f t="shared" si="170"/>
        <v>1670.0400000000002</v>
      </c>
      <c r="AE1862" s="1790">
        <v>0</v>
      </c>
      <c r="AF1862" s="1792"/>
    </row>
    <row r="1863" spans="1:32" ht="27.75" customHeight="1">
      <c r="A1863" s="2900" t="s">
        <v>3356</v>
      </c>
      <c r="B1863" s="2902" t="s">
        <v>3357</v>
      </c>
      <c r="C1863" s="2904" t="s">
        <v>52</v>
      </c>
      <c r="D1863" s="2906">
        <v>1670.0400000000002</v>
      </c>
      <c r="E1863" s="1603" t="s">
        <v>2497</v>
      </c>
      <c r="F1863" s="1583"/>
      <c r="G1863" s="1583"/>
      <c r="H1863" s="1583"/>
      <c r="I1863" s="1583"/>
      <c r="J1863" s="1583"/>
      <c r="K1863" s="1583"/>
      <c r="L1863" s="1583"/>
      <c r="M1863" s="1583"/>
      <c r="N1863" s="1583"/>
      <c r="O1863" s="1583"/>
      <c r="P1863" s="1583"/>
      <c r="Q1863" s="1604"/>
      <c r="R1863" s="1583"/>
      <c r="S1863" s="1583"/>
      <c r="T1863" s="1604"/>
      <c r="U1863" s="1592"/>
      <c r="V1863" s="1585"/>
      <c r="W1863" s="1585"/>
      <c r="X1863" s="1585"/>
      <c r="Y1863" s="1592"/>
      <c r="Z1863" s="1585"/>
      <c r="AA1863" s="1585"/>
      <c r="AB1863" s="1585"/>
      <c r="AC1863" s="1585"/>
      <c r="AD1863" s="1601">
        <f t="shared" si="170"/>
        <v>0</v>
      </c>
      <c r="AE1863" s="1790">
        <v>0</v>
      </c>
      <c r="AF1863" s="1792"/>
    </row>
    <row r="1864" spans="1:32" ht="27.75" customHeight="1">
      <c r="A1864" s="2899" t="s">
        <v>3358</v>
      </c>
      <c r="B1864" s="2901" t="s">
        <v>4090</v>
      </c>
      <c r="C1864" s="2903" t="s">
        <v>52</v>
      </c>
      <c r="D1864" s="2905">
        <v>236.68</v>
      </c>
      <c r="E1864" s="1810" t="s">
        <v>2496</v>
      </c>
      <c r="F1864" s="1811"/>
      <c r="G1864" s="1811"/>
      <c r="H1864" s="1811"/>
      <c r="I1864" s="1811"/>
      <c r="J1864" s="1811"/>
      <c r="K1864" s="1811"/>
      <c r="L1864" s="1811"/>
      <c r="M1864" s="1811"/>
      <c r="N1864" s="1811"/>
      <c r="O1864" s="1811"/>
      <c r="P1864" s="1811"/>
      <c r="Q1864" s="1812"/>
      <c r="R1864" s="1811"/>
      <c r="S1864" s="1811"/>
      <c r="T1864" s="1812"/>
      <c r="U1864" s="1812"/>
      <c r="V1864" s="1812"/>
      <c r="W1864" s="1812"/>
      <c r="X1864" s="1812"/>
      <c r="Y1864" s="1812"/>
      <c r="Z1864" s="1812">
        <f>D1864</f>
        <v>236.68</v>
      </c>
      <c r="AA1864" s="1812"/>
      <c r="AB1864" s="1812"/>
      <c r="AC1864" s="1812"/>
      <c r="AD1864" s="1601">
        <f t="shared" si="170"/>
        <v>236.68</v>
      </c>
      <c r="AE1864" s="1790">
        <v>0</v>
      </c>
      <c r="AF1864" s="1792"/>
    </row>
    <row r="1865" spans="1:32" ht="27.75" customHeight="1">
      <c r="A1865" s="2900" t="s">
        <v>3358</v>
      </c>
      <c r="B1865" s="2902" t="s">
        <v>3359</v>
      </c>
      <c r="C1865" s="2904" t="s">
        <v>52</v>
      </c>
      <c r="D1865" s="2906">
        <v>236.68</v>
      </c>
      <c r="E1865" s="1603" t="s">
        <v>2497</v>
      </c>
      <c r="F1865" s="1583"/>
      <c r="G1865" s="1583"/>
      <c r="H1865" s="1583"/>
      <c r="I1865" s="1583"/>
      <c r="J1865" s="1583"/>
      <c r="K1865" s="1583"/>
      <c r="L1865" s="1583"/>
      <c r="M1865" s="1583"/>
      <c r="N1865" s="1583"/>
      <c r="O1865" s="1583"/>
      <c r="P1865" s="1583"/>
      <c r="Q1865" s="1604"/>
      <c r="R1865" s="1583"/>
      <c r="S1865" s="1583"/>
      <c r="T1865" s="1604"/>
      <c r="U1865" s="1592"/>
      <c r="V1865" s="1585"/>
      <c r="W1865" s="1585"/>
      <c r="X1865" s="1585"/>
      <c r="Y1865" s="1592"/>
      <c r="Z1865" s="1585"/>
      <c r="AA1865" s="1585"/>
      <c r="AB1865" s="1585"/>
      <c r="AC1865" s="1585"/>
      <c r="AD1865" s="1601">
        <f t="shared" si="170"/>
        <v>0</v>
      </c>
      <c r="AE1865" s="1790">
        <v>0</v>
      </c>
      <c r="AF1865" s="1792"/>
    </row>
    <row r="1866" spans="1:32" ht="27.75" customHeight="1">
      <c r="A1866" s="2899" t="s">
        <v>3360</v>
      </c>
      <c r="B1866" s="2901" t="s">
        <v>4091</v>
      </c>
      <c r="C1866" s="2903" t="s">
        <v>52</v>
      </c>
      <c r="D1866" s="2905">
        <v>453.36</v>
      </c>
      <c r="E1866" s="1598" t="s">
        <v>2496</v>
      </c>
      <c r="F1866" s="1583"/>
      <c r="G1866" s="1583"/>
      <c r="H1866" s="1583"/>
      <c r="I1866" s="1583"/>
      <c r="J1866" s="1583"/>
      <c r="K1866" s="1583"/>
      <c r="L1866" s="1583"/>
      <c r="M1866" s="1583"/>
      <c r="N1866" s="1583"/>
      <c r="O1866" s="1583"/>
      <c r="P1866" s="1583"/>
      <c r="Q1866" s="1585"/>
      <c r="R1866" s="1583"/>
      <c r="S1866" s="1583"/>
      <c r="T1866" s="1585"/>
      <c r="U1866" s="1585"/>
      <c r="V1866" s="1585"/>
      <c r="W1866" s="1585"/>
      <c r="X1866" s="1585"/>
      <c r="Y1866" s="1585"/>
      <c r="Z1866" s="1812">
        <f>D1866</f>
        <v>453.36</v>
      </c>
      <c r="AA1866" s="1585"/>
      <c r="AB1866" s="1585"/>
      <c r="AC1866" s="1585"/>
      <c r="AD1866" s="1601">
        <f t="shared" si="170"/>
        <v>453.36</v>
      </c>
      <c r="AE1866" s="1790">
        <v>0</v>
      </c>
      <c r="AF1866" s="1792"/>
    </row>
    <row r="1867" spans="1:32" ht="27.75" customHeight="1">
      <c r="A1867" s="2900" t="s">
        <v>3360</v>
      </c>
      <c r="B1867" s="2902" t="s">
        <v>3361</v>
      </c>
      <c r="C1867" s="2904" t="s">
        <v>52</v>
      </c>
      <c r="D1867" s="2906">
        <v>453.36</v>
      </c>
      <c r="E1867" s="1603" t="s">
        <v>2497</v>
      </c>
      <c r="F1867" s="1583"/>
      <c r="G1867" s="1583"/>
      <c r="H1867" s="1583"/>
      <c r="I1867" s="1583"/>
      <c r="J1867" s="1583"/>
      <c r="K1867" s="1583"/>
      <c r="L1867" s="1583"/>
      <c r="M1867" s="1583"/>
      <c r="N1867" s="1583"/>
      <c r="O1867" s="1583"/>
      <c r="P1867" s="1583"/>
      <c r="Q1867" s="1604"/>
      <c r="R1867" s="1583"/>
      <c r="S1867" s="1583"/>
      <c r="T1867" s="1604"/>
      <c r="U1867" s="1585"/>
      <c r="V1867" s="1585"/>
      <c r="W1867" s="1585"/>
      <c r="X1867" s="1585"/>
      <c r="Y1867" s="1585"/>
      <c r="Z1867" s="1585"/>
      <c r="AA1867" s="1585"/>
      <c r="AB1867" s="1585"/>
      <c r="AC1867" s="1585"/>
      <c r="AD1867" s="1601">
        <f t="shared" si="170"/>
        <v>0</v>
      </c>
      <c r="AE1867" s="1790">
        <v>0</v>
      </c>
      <c r="AF1867" s="1792"/>
    </row>
    <row r="1868" spans="1:32" ht="27.75" customHeight="1">
      <c r="A1868" s="2899" t="s">
        <v>3362</v>
      </c>
      <c r="B1868" s="2901" t="s">
        <v>4092</v>
      </c>
      <c r="C1868" s="2903" t="s">
        <v>52</v>
      </c>
      <c r="D1868" s="2905">
        <v>508.40000000000003</v>
      </c>
      <c r="E1868" s="1810" t="s">
        <v>2496</v>
      </c>
      <c r="F1868" s="1811"/>
      <c r="G1868" s="1811"/>
      <c r="H1868" s="1811"/>
      <c r="I1868" s="1811"/>
      <c r="J1868" s="1811"/>
      <c r="K1868" s="1811"/>
      <c r="L1868" s="1811"/>
      <c r="M1868" s="1811"/>
      <c r="N1868" s="1811"/>
      <c r="O1868" s="1811"/>
      <c r="P1868" s="1811"/>
      <c r="Q1868" s="1812"/>
      <c r="R1868" s="1811"/>
      <c r="S1868" s="1811"/>
      <c r="T1868" s="1812"/>
      <c r="U1868" s="1812"/>
      <c r="V1868" s="1812"/>
      <c r="W1868" s="1812"/>
      <c r="X1868" s="1812"/>
      <c r="Y1868" s="1812"/>
      <c r="Z1868" s="1812">
        <f>D1868</f>
        <v>508.40000000000003</v>
      </c>
      <c r="AA1868" s="1812"/>
      <c r="AB1868" s="1812"/>
      <c r="AC1868" s="1812"/>
      <c r="AD1868" s="1601">
        <f t="shared" si="170"/>
        <v>508.40000000000003</v>
      </c>
      <c r="AE1868" s="1790">
        <v>0</v>
      </c>
      <c r="AF1868" s="1792"/>
    </row>
    <row r="1869" spans="1:32" ht="27.75" customHeight="1">
      <c r="A1869" s="2900" t="s">
        <v>3362</v>
      </c>
      <c r="B1869" s="2902" t="s">
        <v>3363</v>
      </c>
      <c r="C1869" s="2904" t="s">
        <v>52</v>
      </c>
      <c r="D1869" s="2906">
        <v>508.40000000000003</v>
      </c>
      <c r="E1869" s="1603" t="s">
        <v>2497</v>
      </c>
      <c r="F1869" s="1583"/>
      <c r="G1869" s="1583"/>
      <c r="H1869" s="1583"/>
      <c r="I1869" s="1583"/>
      <c r="J1869" s="1583"/>
      <c r="K1869" s="1583"/>
      <c r="L1869" s="1583"/>
      <c r="M1869" s="1583"/>
      <c r="N1869" s="1583"/>
      <c r="O1869" s="1583"/>
      <c r="P1869" s="1583"/>
      <c r="Q1869" s="1604"/>
      <c r="R1869" s="1583"/>
      <c r="S1869" s="1583"/>
      <c r="T1869" s="1604"/>
      <c r="U1869" s="1592"/>
      <c r="V1869" s="1585"/>
      <c r="W1869" s="1585"/>
      <c r="X1869" s="1585"/>
      <c r="Y1869" s="1592"/>
      <c r="Z1869" s="1585"/>
      <c r="AA1869" s="1585"/>
      <c r="AB1869" s="1585"/>
      <c r="AC1869" s="1585"/>
      <c r="AD1869" s="1601">
        <f t="shared" si="170"/>
        <v>0</v>
      </c>
      <c r="AE1869" s="1790">
        <v>0</v>
      </c>
      <c r="AF1869" s="1792"/>
    </row>
    <row r="1870" spans="1:32" ht="27.75" customHeight="1">
      <c r="A1870" s="2899" t="s">
        <v>3364</v>
      </c>
      <c r="B1870" s="2901" t="s">
        <v>4093</v>
      </c>
      <c r="C1870" s="2903" t="s">
        <v>52</v>
      </c>
      <c r="D1870" s="2905">
        <v>483.40000000000003</v>
      </c>
      <c r="E1870" s="1810" t="s">
        <v>2496</v>
      </c>
      <c r="F1870" s="1811"/>
      <c r="G1870" s="1811"/>
      <c r="H1870" s="1811"/>
      <c r="I1870" s="1811"/>
      <c r="J1870" s="1811"/>
      <c r="K1870" s="1811"/>
      <c r="L1870" s="1811"/>
      <c r="M1870" s="1811"/>
      <c r="N1870" s="1811"/>
      <c r="O1870" s="1811"/>
      <c r="P1870" s="1811"/>
      <c r="Q1870" s="1812"/>
      <c r="R1870" s="1811"/>
      <c r="S1870" s="1811"/>
      <c r="T1870" s="1812"/>
      <c r="U1870" s="1812"/>
      <c r="V1870" s="1812"/>
      <c r="W1870" s="1812"/>
      <c r="X1870" s="1812"/>
      <c r="Y1870" s="1812"/>
      <c r="Z1870" s="1812">
        <f>D1870</f>
        <v>483.40000000000003</v>
      </c>
      <c r="AA1870" s="1812"/>
      <c r="AB1870" s="1812"/>
      <c r="AC1870" s="1812"/>
      <c r="AD1870" s="1601">
        <f t="shared" si="170"/>
        <v>483.40000000000003</v>
      </c>
      <c r="AE1870" s="1790">
        <v>0</v>
      </c>
      <c r="AF1870" s="1792"/>
    </row>
    <row r="1871" spans="1:32" ht="27.75" customHeight="1">
      <c r="A1871" s="2900" t="s">
        <v>3364</v>
      </c>
      <c r="B1871" s="2902" t="s">
        <v>3365</v>
      </c>
      <c r="C1871" s="2904" t="s">
        <v>52</v>
      </c>
      <c r="D1871" s="2906">
        <v>483.40000000000003</v>
      </c>
      <c r="E1871" s="1603" t="s">
        <v>2497</v>
      </c>
      <c r="F1871" s="1583"/>
      <c r="G1871" s="1583"/>
      <c r="H1871" s="1583"/>
      <c r="I1871" s="1583"/>
      <c r="J1871" s="1583"/>
      <c r="K1871" s="1583"/>
      <c r="L1871" s="1583"/>
      <c r="M1871" s="1583"/>
      <c r="N1871" s="1583"/>
      <c r="O1871" s="1583"/>
      <c r="P1871" s="1583"/>
      <c r="Q1871" s="1604"/>
      <c r="R1871" s="1583"/>
      <c r="S1871" s="1583"/>
      <c r="T1871" s="1604"/>
      <c r="U1871" s="1592"/>
      <c r="V1871" s="1585"/>
      <c r="W1871" s="1585"/>
      <c r="X1871" s="1585"/>
      <c r="Y1871" s="1592"/>
      <c r="Z1871" s="1585"/>
      <c r="AA1871" s="1585"/>
      <c r="AB1871" s="1585"/>
      <c r="AC1871" s="1585"/>
      <c r="AD1871" s="1601">
        <f t="shared" si="170"/>
        <v>0</v>
      </c>
      <c r="AE1871" s="1790">
        <v>0</v>
      </c>
      <c r="AF1871" s="1792"/>
    </row>
    <row r="1872" spans="1:32" ht="27.75" customHeight="1">
      <c r="A1872" s="1795" t="s">
        <v>3366</v>
      </c>
      <c r="B1872" s="1795" t="s">
        <v>4094</v>
      </c>
      <c r="C1872" s="1803"/>
      <c r="D1872" s="1804"/>
      <c r="E1872" s="1599"/>
      <c r="F1872" s="1583"/>
      <c r="G1872" s="1583"/>
      <c r="H1872" s="1583"/>
      <c r="I1872" s="1583"/>
      <c r="J1872" s="1583"/>
      <c r="K1872" s="1583"/>
      <c r="L1872" s="1583"/>
      <c r="M1872" s="1583"/>
      <c r="N1872" s="1583"/>
      <c r="O1872" s="1583"/>
      <c r="P1872" s="1583"/>
      <c r="Q1872" s="1604"/>
      <c r="R1872" s="1583"/>
      <c r="S1872" s="1583"/>
      <c r="T1872" s="1604"/>
      <c r="U1872" s="1592"/>
      <c r="V1872" s="1585"/>
      <c r="W1872" s="1585"/>
      <c r="X1872" s="1585"/>
      <c r="Y1872" s="1592"/>
      <c r="Z1872" s="1585"/>
      <c r="AA1872" s="1585"/>
      <c r="AB1872" s="1585"/>
      <c r="AC1872" s="1585"/>
      <c r="AD1872" s="1601">
        <f t="shared" si="170"/>
        <v>0</v>
      </c>
      <c r="AE1872" s="1790">
        <v>0</v>
      </c>
      <c r="AF1872" s="1792"/>
    </row>
    <row r="1873" spans="1:32" ht="27.75" customHeight="1">
      <c r="A1873" s="2899" t="s">
        <v>3368</v>
      </c>
      <c r="B1873" s="2901" t="s">
        <v>4095</v>
      </c>
      <c r="C1873" s="2903" t="s">
        <v>51</v>
      </c>
      <c r="D1873" s="2905">
        <v>3921</v>
      </c>
      <c r="E1873" s="1598" t="s">
        <v>2496</v>
      </c>
      <c r="F1873" s="1583"/>
      <c r="G1873" s="1583"/>
      <c r="H1873" s="1583"/>
      <c r="I1873" s="1583"/>
      <c r="J1873" s="1583"/>
      <c r="K1873" s="1583"/>
      <c r="L1873" s="1583"/>
      <c r="M1873" s="1583"/>
      <c r="N1873" s="1583"/>
      <c r="O1873" s="1583"/>
      <c r="P1873" s="1583"/>
      <c r="Q1873" s="1585"/>
      <c r="R1873" s="1583"/>
      <c r="S1873" s="1583"/>
      <c r="T1873" s="1585"/>
      <c r="U1873" s="1585"/>
      <c r="V1873" s="1585"/>
      <c r="W1873" s="1585"/>
      <c r="X1873" s="1585"/>
      <c r="Y1873" s="1585"/>
      <c r="Z1873" s="1812">
        <f>D1873</f>
        <v>3921</v>
      </c>
      <c r="AA1873" s="1585"/>
      <c r="AB1873" s="1585"/>
      <c r="AC1873" s="1585"/>
      <c r="AD1873" s="1601">
        <f t="shared" ref="AD1873:AD1936" si="171">SUM(F1873:AC1873)</f>
        <v>3921</v>
      </c>
      <c r="AE1873" s="1790">
        <v>0</v>
      </c>
      <c r="AF1873" s="1792"/>
    </row>
    <row r="1874" spans="1:32" ht="27.75" customHeight="1">
      <c r="A1874" s="2900" t="s">
        <v>3368</v>
      </c>
      <c r="B1874" s="2902" t="s">
        <v>3369</v>
      </c>
      <c r="C1874" s="2904" t="s">
        <v>51</v>
      </c>
      <c r="D1874" s="2906">
        <v>3921</v>
      </c>
      <c r="E1874" s="1603" t="s">
        <v>2497</v>
      </c>
      <c r="F1874" s="1583"/>
      <c r="G1874" s="1583"/>
      <c r="H1874" s="1583"/>
      <c r="I1874" s="1583"/>
      <c r="J1874" s="1583"/>
      <c r="K1874" s="1583"/>
      <c r="L1874" s="1583"/>
      <c r="M1874" s="1583"/>
      <c r="N1874" s="1583"/>
      <c r="O1874" s="1583"/>
      <c r="P1874" s="1583"/>
      <c r="Q1874" s="1604"/>
      <c r="R1874" s="1583"/>
      <c r="S1874" s="1583"/>
      <c r="T1874" s="1604"/>
      <c r="U1874" s="1585"/>
      <c r="V1874" s="1585"/>
      <c r="W1874" s="1585"/>
      <c r="X1874" s="1585"/>
      <c r="Y1874" s="1585"/>
      <c r="Z1874" s="1585"/>
      <c r="AA1874" s="1585"/>
      <c r="AB1874" s="1585"/>
      <c r="AC1874" s="1585"/>
      <c r="AD1874" s="1601">
        <f t="shared" si="171"/>
        <v>0</v>
      </c>
      <c r="AE1874" s="1790">
        <v>0</v>
      </c>
      <c r="AF1874" s="1792"/>
    </row>
    <row r="1875" spans="1:32" ht="27.75" customHeight="1">
      <c r="A1875" s="2899" t="s">
        <v>3370</v>
      </c>
      <c r="B1875" s="2901" t="s">
        <v>4096</v>
      </c>
      <c r="C1875" s="2903" t="s">
        <v>52</v>
      </c>
      <c r="D1875" s="2905">
        <v>2920.5</v>
      </c>
      <c r="E1875" s="1810" t="s">
        <v>2496</v>
      </c>
      <c r="F1875" s="1811"/>
      <c r="G1875" s="1811"/>
      <c r="H1875" s="1811"/>
      <c r="I1875" s="1811"/>
      <c r="J1875" s="1811"/>
      <c r="K1875" s="1811"/>
      <c r="L1875" s="1811"/>
      <c r="M1875" s="1811"/>
      <c r="N1875" s="1811"/>
      <c r="O1875" s="1811"/>
      <c r="P1875" s="1811"/>
      <c r="Q1875" s="1812"/>
      <c r="R1875" s="1811"/>
      <c r="S1875" s="1811"/>
      <c r="T1875" s="1812"/>
      <c r="U1875" s="1812"/>
      <c r="V1875" s="1812"/>
      <c r="W1875" s="1812"/>
      <c r="X1875" s="1812"/>
      <c r="Y1875" s="1812"/>
      <c r="Z1875" s="1812">
        <f>D1875</f>
        <v>2920.5</v>
      </c>
      <c r="AA1875" s="1812"/>
      <c r="AB1875" s="1812"/>
      <c r="AC1875" s="1812"/>
      <c r="AD1875" s="1601">
        <f t="shared" si="171"/>
        <v>2920.5</v>
      </c>
      <c r="AE1875" s="1790">
        <v>0</v>
      </c>
      <c r="AF1875" s="1792"/>
    </row>
    <row r="1876" spans="1:32" ht="27.75" customHeight="1">
      <c r="A1876" s="2900" t="s">
        <v>3370</v>
      </c>
      <c r="B1876" s="2902" t="s">
        <v>3371</v>
      </c>
      <c r="C1876" s="2904" t="s">
        <v>52</v>
      </c>
      <c r="D1876" s="2906">
        <v>2920.5</v>
      </c>
      <c r="E1876" s="1603" t="s">
        <v>2497</v>
      </c>
      <c r="F1876" s="1583"/>
      <c r="G1876" s="1583"/>
      <c r="H1876" s="1583"/>
      <c r="I1876" s="1583"/>
      <c r="J1876" s="1583"/>
      <c r="K1876" s="1583"/>
      <c r="L1876" s="1583"/>
      <c r="M1876" s="1583"/>
      <c r="N1876" s="1583"/>
      <c r="O1876" s="1583"/>
      <c r="P1876" s="1583"/>
      <c r="Q1876" s="1604"/>
      <c r="R1876" s="1583"/>
      <c r="S1876" s="1583"/>
      <c r="T1876" s="1604"/>
      <c r="U1876" s="1592"/>
      <c r="V1876" s="1585"/>
      <c r="W1876" s="1585"/>
      <c r="X1876" s="1585"/>
      <c r="Y1876" s="1592"/>
      <c r="Z1876" s="1585"/>
      <c r="AA1876" s="1585"/>
      <c r="AB1876" s="1585"/>
      <c r="AC1876" s="1585"/>
      <c r="AD1876" s="1601">
        <f t="shared" si="171"/>
        <v>0</v>
      </c>
      <c r="AE1876" s="1790">
        <v>0</v>
      </c>
      <c r="AF1876" s="1792"/>
    </row>
    <row r="1877" spans="1:32" ht="27.75" customHeight="1">
      <c r="A1877" s="2899" t="s">
        <v>3372</v>
      </c>
      <c r="B1877" s="2901" t="s">
        <v>4097</v>
      </c>
      <c r="C1877" s="2903" t="s">
        <v>52</v>
      </c>
      <c r="D1877" s="2905">
        <v>848.5</v>
      </c>
      <c r="E1877" s="1598" t="s">
        <v>2496</v>
      </c>
      <c r="F1877" s="1583"/>
      <c r="G1877" s="1583"/>
      <c r="H1877" s="1583"/>
      <c r="I1877" s="1583"/>
      <c r="J1877" s="1583"/>
      <c r="K1877" s="1583"/>
      <c r="L1877" s="1583"/>
      <c r="M1877" s="1583"/>
      <c r="N1877" s="1583"/>
      <c r="O1877" s="1583"/>
      <c r="P1877" s="1583"/>
      <c r="Q1877" s="1585"/>
      <c r="R1877" s="1583"/>
      <c r="S1877" s="1583"/>
      <c r="T1877" s="1585"/>
      <c r="U1877" s="1585"/>
      <c r="V1877" s="1585"/>
      <c r="W1877" s="1585"/>
      <c r="X1877" s="1585"/>
      <c r="Y1877" s="1585"/>
      <c r="Z1877" s="1812">
        <f>D1877</f>
        <v>848.5</v>
      </c>
      <c r="AA1877" s="1585"/>
      <c r="AB1877" s="1585"/>
      <c r="AC1877" s="1585"/>
      <c r="AD1877" s="1601">
        <f t="shared" si="171"/>
        <v>848.5</v>
      </c>
      <c r="AE1877" s="1790">
        <v>0</v>
      </c>
      <c r="AF1877" s="1792"/>
    </row>
    <row r="1878" spans="1:32" ht="27.75" customHeight="1">
      <c r="A1878" s="2900" t="s">
        <v>3372</v>
      </c>
      <c r="B1878" s="2902" t="s">
        <v>3373</v>
      </c>
      <c r="C1878" s="2904" t="s">
        <v>52</v>
      </c>
      <c r="D1878" s="2906">
        <v>848.5</v>
      </c>
      <c r="E1878" s="1603" t="s">
        <v>2497</v>
      </c>
      <c r="F1878" s="1583"/>
      <c r="G1878" s="1583"/>
      <c r="H1878" s="1583"/>
      <c r="I1878" s="1583"/>
      <c r="J1878" s="1583"/>
      <c r="K1878" s="1583"/>
      <c r="L1878" s="1583"/>
      <c r="M1878" s="1583"/>
      <c r="N1878" s="1583"/>
      <c r="O1878" s="1583"/>
      <c r="P1878" s="1583"/>
      <c r="Q1878" s="1604"/>
      <c r="R1878" s="1583"/>
      <c r="S1878" s="1583"/>
      <c r="T1878" s="1604"/>
      <c r="U1878" s="1585"/>
      <c r="V1878" s="1585"/>
      <c r="W1878" s="1585"/>
      <c r="X1878" s="1585"/>
      <c r="Y1878" s="1585"/>
      <c r="Z1878" s="1585"/>
      <c r="AA1878" s="1585"/>
      <c r="AB1878" s="1585"/>
      <c r="AC1878" s="1585"/>
      <c r="AD1878" s="1601">
        <f t="shared" si="171"/>
        <v>0</v>
      </c>
      <c r="AE1878" s="1790">
        <v>0</v>
      </c>
      <c r="AF1878" s="1792"/>
    </row>
    <row r="1879" spans="1:32" ht="27.75" customHeight="1">
      <c r="A1879" s="2899" t="s">
        <v>3374</v>
      </c>
      <c r="B1879" s="2901" t="s">
        <v>4098</v>
      </c>
      <c r="C1879" s="2903" t="s">
        <v>52</v>
      </c>
      <c r="D1879" s="2905">
        <v>1952.6</v>
      </c>
      <c r="E1879" s="1810" t="s">
        <v>2496</v>
      </c>
      <c r="F1879" s="1811"/>
      <c r="G1879" s="1811"/>
      <c r="H1879" s="1811"/>
      <c r="I1879" s="1811"/>
      <c r="J1879" s="1811"/>
      <c r="K1879" s="1811"/>
      <c r="L1879" s="1811"/>
      <c r="M1879" s="1811"/>
      <c r="N1879" s="1811"/>
      <c r="O1879" s="1811"/>
      <c r="P1879" s="1811"/>
      <c r="Q1879" s="1812"/>
      <c r="R1879" s="1811"/>
      <c r="S1879" s="1811"/>
      <c r="T1879" s="1812"/>
      <c r="U1879" s="1812"/>
      <c r="V1879" s="1812"/>
      <c r="W1879" s="1812"/>
      <c r="X1879" s="1812"/>
      <c r="Y1879" s="1812"/>
      <c r="Z1879" s="1812">
        <f>D1879</f>
        <v>1952.6</v>
      </c>
      <c r="AA1879" s="1812"/>
      <c r="AB1879" s="1812"/>
      <c r="AC1879" s="1812"/>
      <c r="AD1879" s="1601">
        <f t="shared" si="171"/>
        <v>1952.6</v>
      </c>
      <c r="AE1879" s="1790">
        <v>0</v>
      </c>
      <c r="AF1879" s="1792"/>
    </row>
    <row r="1880" spans="1:32" ht="27.75" customHeight="1">
      <c r="A1880" s="2900" t="s">
        <v>3374</v>
      </c>
      <c r="B1880" s="2902" t="s">
        <v>3375</v>
      </c>
      <c r="C1880" s="2904" t="s">
        <v>52</v>
      </c>
      <c r="D1880" s="2906">
        <v>1952.6</v>
      </c>
      <c r="E1880" s="1603" t="s">
        <v>2497</v>
      </c>
      <c r="F1880" s="1583"/>
      <c r="G1880" s="1583"/>
      <c r="H1880" s="1583"/>
      <c r="I1880" s="1583"/>
      <c r="J1880" s="1583"/>
      <c r="K1880" s="1583"/>
      <c r="L1880" s="1583"/>
      <c r="M1880" s="1583"/>
      <c r="N1880" s="1583"/>
      <c r="O1880" s="1583"/>
      <c r="P1880" s="1583"/>
      <c r="Q1880" s="1604"/>
      <c r="R1880" s="1583"/>
      <c r="S1880" s="1583"/>
      <c r="T1880" s="1604"/>
      <c r="U1880" s="1592"/>
      <c r="V1880" s="1585"/>
      <c r="W1880" s="1585"/>
      <c r="X1880" s="1585"/>
      <c r="Y1880" s="1592"/>
      <c r="Z1880" s="1585"/>
      <c r="AA1880" s="1585"/>
      <c r="AB1880" s="1585"/>
      <c r="AC1880" s="1585"/>
      <c r="AD1880" s="1601">
        <f t="shared" si="171"/>
        <v>0</v>
      </c>
      <c r="AE1880" s="1790">
        <v>0</v>
      </c>
      <c r="AF1880" s="1792"/>
    </row>
    <row r="1881" spans="1:32" ht="27.75" customHeight="1">
      <c r="A1881" s="1795" t="s">
        <v>3376</v>
      </c>
      <c r="B1881" s="1795" t="s">
        <v>4099</v>
      </c>
      <c r="C1881" s="1803"/>
      <c r="D1881" s="1804"/>
      <c r="E1881" s="1813"/>
      <c r="F1881" s="1811"/>
      <c r="G1881" s="1811"/>
      <c r="H1881" s="1811"/>
      <c r="I1881" s="1811"/>
      <c r="J1881" s="1811"/>
      <c r="K1881" s="1811"/>
      <c r="L1881" s="1811"/>
      <c r="M1881" s="1811"/>
      <c r="N1881" s="1811"/>
      <c r="O1881" s="1811"/>
      <c r="P1881" s="1811"/>
      <c r="Q1881" s="1814"/>
      <c r="R1881" s="1811"/>
      <c r="S1881" s="1811"/>
      <c r="T1881" s="1814"/>
      <c r="U1881" s="1816"/>
      <c r="V1881" s="1812"/>
      <c r="W1881" s="1812"/>
      <c r="X1881" s="1812"/>
      <c r="Y1881" s="1816"/>
      <c r="Z1881" s="1812"/>
      <c r="AA1881" s="1812"/>
      <c r="AB1881" s="1812"/>
      <c r="AC1881" s="1812"/>
      <c r="AD1881" s="1601">
        <f t="shared" si="171"/>
        <v>0</v>
      </c>
      <c r="AE1881" s="1790">
        <v>0</v>
      </c>
      <c r="AF1881" s="1792"/>
    </row>
    <row r="1882" spans="1:32" ht="27.75" customHeight="1">
      <c r="A1882" s="2899" t="s">
        <v>3378</v>
      </c>
      <c r="B1882" s="2901" t="s">
        <v>2419</v>
      </c>
      <c r="C1882" s="2903" t="s">
        <v>52</v>
      </c>
      <c r="D1882" s="2905">
        <v>263.76</v>
      </c>
      <c r="E1882" s="1810" t="s">
        <v>2496</v>
      </c>
      <c r="F1882" s="1811"/>
      <c r="G1882" s="1811"/>
      <c r="H1882" s="1811"/>
      <c r="I1882" s="1811"/>
      <c r="J1882" s="1811"/>
      <c r="K1882" s="1811"/>
      <c r="L1882" s="1811"/>
      <c r="M1882" s="1811"/>
      <c r="N1882" s="1811"/>
      <c r="O1882" s="1811"/>
      <c r="P1882" s="1811"/>
      <c r="Q1882" s="1812"/>
      <c r="R1882" s="1811"/>
      <c r="S1882" s="1811"/>
      <c r="T1882" s="1812"/>
      <c r="U1882" s="1812"/>
      <c r="V1882" s="1812"/>
      <c r="W1882" s="1812"/>
      <c r="X1882" s="1812"/>
      <c r="Y1882" s="1812"/>
      <c r="Z1882" s="1812"/>
      <c r="AA1882" s="1812">
        <f>D1882</f>
        <v>263.76</v>
      </c>
      <c r="AB1882" s="1812"/>
      <c r="AC1882" s="1812"/>
      <c r="AD1882" s="1601">
        <f t="shared" si="171"/>
        <v>263.76</v>
      </c>
      <c r="AE1882" s="1790">
        <v>0</v>
      </c>
      <c r="AF1882" s="1792"/>
    </row>
    <row r="1883" spans="1:32" ht="27.75" customHeight="1">
      <c r="A1883" s="2900" t="s">
        <v>3378</v>
      </c>
      <c r="B1883" s="2902" t="s">
        <v>3379</v>
      </c>
      <c r="C1883" s="2904" t="s">
        <v>52</v>
      </c>
      <c r="D1883" s="2906">
        <v>263.76</v>
      </c>
      <c r="E1883" s="1603" t="s">
        <v>2497</v>
      </c>
      <c r="F1883" s="1583"/>
      <c r="G1883" s="1583"/>
      <c r="H1883" s="1583"/>
      <c r="I1883" s="1583"/>
      <c r="J1883" s="1583"/>
      <c r="K1883" s="1583"/>
      <c r="L1883" s="1583"/>
      <c r="M1883" s="1583"/>
      <c r="N1883" s="1583"/>
      <c r="O1883" s="1583"/>
      <c r="P1883" s="1583"/>
      <c r="Q1883" s="1604"/>
      <c r="R1883" s="1583"/>
      <c r="S1883" s="1583"/>
      <c r="T1883" s="1604"/>
      <c r="U1883" s="1592"/>
      <c r="V1883" s="1585"/>
      <c r="W1883" s="1585"/>
      <c r="X1883" s="1585"/>
      <c r="Y1883" s="1592"/>
      <c r="Z1883" s="1585"/>
      <c r="AA1883" s="1585"/>
      <c r="AB1883" s="1585"/>
      <c r="AC1883" s="1585"/>
      <c r="AD1883" s="1601">
        <f t="shared" si="171"/>
        <v>0</v>
      </c>
      <c r="AE1883" s="1790">
        <v>0</v>
      </c>
      <c r="AF1883" s="1792"/>
    </row>
    <row r="1884" spans="1:32" ht="27.75" customHeight="1">
      <c r="A1884" s="2899" t="s">
        <v>3380</v>
      </c>
      <c r="B1884" s="2901" t="s">
        <v>4100</v>
      </c>
      <c r="C1884" s="2903" t="s">
        <v>52</v>
      </c>
      <c r="D1884" s="2905">
        <v>2142.7200000000003</v>
      </c>
      <c r="E1884" s="1810" t="s">
        <v>2496</v>
      </c>
      <c r="F1884" s="1811"/>
      <c r="G1884" s="1811"/>
      <c r="H1884" s="1811"/>
      <c r="I1884" s="1811"/>
      <c r="J1884" s="1811"/>
      <c r="K1884" s="1811"/>
      <c r="L1884" s="1811"/>
      <c r="M1884" s="1811"/>
      <c r="N1884" s="1811"/>
      <c r="O1884" s="1811"/>
      <c r="P1884" s="1811"/>
      <c r="Q1884" s="1812"/>
      <c r="R1884" s="1811"/>
      <c r="S1884" s="1811"/>
      <c r="T1884" s="1812"/>
      <c r="U1884" s="1812"/>
      <c r="V1884" s="1812"/>
      <c r="W1884" s="1812"/>
      <c r="X1884" s="1812"/>
      <c r="Y1884" s="1812"/>
      <c r="Z1884" s="1812"/>
      <c r="AA1884" s="1812">
        <f>D1884</f>
        <v>2142.7200000000003</v>
      </c>
      <c r="AB1884" s="1812"/>
      <c r="AC1884" s="1812"/>
      <c r="AD1884" s="1601">
        <f t="shared" si="171"/>
        <v>2142.7200000000003</v>
      </c>
      <c r="AE1884" s="1790">
        <v>0</v>
      </c>
      <c r="AF1884" s="1792"/>
    </row>
    <row r="1885" spans="1:32" ht="27.75" customHeight="1">
      <c r="A1885" s="2900" t="s">
        <v>3380</v>
      </c>
      <c r="B1885" s="2902" t="s">
        <v>3381</v>
      </c>
      <c r="C1885" s="2904" t="s">
        <v>52</v>
      </c>
      <c r="D1885" s="2906">
        <v>2142.7200000000003</v>
      </c>
      <c r="E1885" s="1603" t="s">
        <v>2497</v>
      </c>
      <c r="F1885" s="1583"/>
      <c r="G1885" s="1583"/>
      <c r="H1885" s="1583"/>
      <c r="I1885" s="1583"/>
      <c r="J1885" s="1583"/>
      <c r="K1885" s="1583"/>
      <c r="L1885" s="1583"/>
      <c r="M1885" s="1583"/>
      <c r="N1885" s="1583"/>
      <c r="O1885" s="1583"/>
      <c r="P1885" s="1583"/>
      <c r="Q1885" s="1604"/>
      <c r="R1885" s="1583"/>
      <c r="S1885" s="1583"/>
      <c r="T1885" s="1604"/>
      <c r="U1885" s="1592"/>
      <c r="V1885" s="1585"/>
      <c r="W1885" s="1585"/>
      <c r="X1885" s="1585"/>
      <c r="Y1885" s="1592"/>
      <c r="Z1885" s="1585"/>
      <c r="AA1885" s="1585"/>
      <c r="AB1885" s="1585"/>
      <c r="AC1885" s="1585"/>
      <c r="AD1885" s="1601">
        <f t="shared" si="171"/>
        <v>0</v>
      </c>
      <c r="AE1885" s="1790">
        <v>0</v>
      </c>
      <c r="AF1885" s="1792"/>
    </row>
    <row r="1886" spans="1:32" ht="27.75" customHeight="1">
      <c r="A1886" s="2899" t="s">
        <v>3382</v>
      </c>
      <c r="B1886" s="2901" t="s">
        <v>4101</v>
      </c>
      <c r="C1886" s="2903" t="s">
        <v>52</v>
      </c>
      <c r="D1886" s="2905">
        <v>197.40000000000003</v>
      </c>
      <c r="E1886" s="1598" t="s">
        <v>2496</v>
      </c>
      <c r="F1886" s="1583"/>
      <c r="G1886" s="1583"/>
      <c r="H1886" s="1583"/>
      <c r="I1886" s="1583"/>
      <c r="J1886" s="1583"/>
      <c r="K1886" s="1583"/>
      <c r="L1886" s="1583"/>
      <c r="M1886" s="1583"/>
      <c r="N1886" s="1583"/>
      <c r="O1886" s="1583"/>
      <c r="P1886" s="1583"/>
      <c r="Q1886" s="1585"/>
      <c r="R1886" s="1583"/>
      <c r="S1886" s="1583"/>
      <c r="T1886" s="1585"/>
      <c r="U1886" s="1585"/>
      <c r="V1886" s="1585"/>
      <c r="W1886" s="1585"/>
      <c r="X1886" s="1585"/>
      <c r="Y1886" s="1585"/>
      <c r="Z1886" s="1585"/>
      <c r="AA1886" s="1812">
        <f>D1886</f>
        <v>197.40000000000003</v>
      </c>
      <c r="AB1886" s="1585"/>
      <c r="AC1886" s="1585"/>
      <c r="AD1886" s="1601">
        <f t="shared" si="171"/>
        <v>197.40000000000003</v>
      </c>
      <c r="AE1886" s="1790">
        <v>0</v>
      </c>
      <c r="AF1886" s="1792"/>
    </row>
    <row r="1887" spans="1:32" ht="27.75" customHeight="1">
      <c r="A1887" s="2900" t="s">
        <v>3382</v>
      </c>
      <c r="B1887" s="2902" t="s">
        <v>3383</v>
      </c>
      <c r="C1887" s="2904" t="s">
        <v>52</v>
      </c>
      <c r="D1887" s="2906">
        <v>197.40000000000003</v>
      </c>
      <c r="E1887" s="1603" t="s">
        <v>2497</v>
      </c>
      <c r="F1887" s="1583"/>
      <c r="G1887" s="1583"/>
      <c r="H1887" s="1583"/>
      <c r="I1887" s="1583"/>
      <c r="J1887" s="1583"/>
      <c r="K1887" s="1583"/>
      <c r="L1887" s="1583"/>
      <c r="M1887" s="1583"/>
      <c r="N1887" s="1583"/>
      <c r="O1887" s="1583"/>
      <c r="P1887" s="1583"/>
      <c r="Q1887" s="1604"/>
      <c r="R1887" s="1583"/>
      <c r="S1887" s="1583"/>
      <c r="T1887" s="1604"/>
      <c r="U1887" s="1585"/>
      <c r="V1887" s="1585"/>
      <c r="W1887" s="1585"/>
      <c r="X1887" s="1585"/>
      <c r="Y1887" s="1585"/>
      <c r="Z1887" s="1585"/>
      <c r="AA1887" s="1585"/>
      <c r="AB1887" s="1585"/>
      <c r="AC1887" s="1585"/>
      <c r="AD1887" s="1601">
        <f t="shared" si="171"/>
        <v>0</v>
      </c>
      <c r="AE1887" s="1790">
        <v>0</v>
      </c>
      <c r="AF1887" s="1792"/>
    </row>
    <row r="1888" spans="1:32" ht="27.75" customHeight="1">
      <c r="A1888" s="2899" t="s">
        <v>3384</v>
      </c>
      <c r="B1888" s="2901" t="s">
        <v>4102</v>
      </c>
      <c r="C1888" s="2903" t="s">
        <v>52</v>
      </c>
      <c r="D1888" s="2905">
        <v>397.92</v>
      </c>
      <c r="E1888" s="1810" t="s">
        <v>2496</v>
      </c>
      <c r="F1888" s="1811"/>
      <c r="G1888" s="1811"/>
      <c r="H1888" s="1811"/>
      <c r="I1888" s="1811"/>
      <c r="J1888" s="1811"/>
      <c r="K1888" s="1811"/>
      <c r="L1888" s="1811"/>
      <c r="M1888" s="1811"/>
      <c r="N1888" s="1811"/>
      <c r="O1888" s="1811"/>
      <c r="P1888" s="1811"/>
      <c r="Q1888" s="1812"/>
      <c r="R1888" s="1811"/>
      <c r="S1888" s="1811"/>
      <c r="T1888" s="1812"/>
      <c r="U1888" s="1812"/>
      <c r="V1888" s="1812"/>
      <c r="W1888" s="1812"/>
      <c r="X1888" s="1812"/>
      <c r="Y1888" s="1812"/>
      <c r="Z1888" s="1812"/>
      <c r="AA1888" s="1812">
        <f>D1888</f>
        <v>397.92</v>
      </c>
      <c r="AB1888" s="1812"/>
      <c r="AC1888" s="1812"/>
      <c r="AD1888" s="1601">
        <f t="shared" si="171"/>
        <v>397.92</v>
      </c>
      <c r="AE1888" s="1790">
        <v>0</v>
      </c>
      <c r="AF1888" s="1792"/>
    </row>
    <row r="1889" spans="1:32" ht="27.75" customHeight="1">
      <c r="A1889" s="2900" t="s">
        <v>3384</v>
      </c>
      <c r="B1889" s="2902" t="s">
        <v>3385</v>
      </c>
      <c r="C1889" s="2904" t="s">
        <v>52</v>
      </c>
      <c r="D1889" s="2906">
        <v>397.92</v>
      </c>
      <c r="E1889" s="1603" t="s">
        <v>2497</v>
      </c>
      <c r="F1889" s="1583"/>
      <c r="G1889" s="1583"/>
      <c r="H1889" s="1583"/>
      <c r="I1889" s="1583"/>
      <c r="J1889" s="1583"/>
      <c r="K1889" s="1583"/>
      <c r="L1889" s="1583"/>
      <c r="M1889" s="1583"/>
      <c r="N1889" s="1583"/>
      <c r="O1889" s="1583"/>
      <c r="P1889" s="1583"/>
      <c r="Q1889" s="1604"/>
      <c r="R1889" s="1583"/>
      <c r="S1889" s="1583"/>
      <c r="T1889" s="1604"/>
      <c r="U1889" s="1592"/>
      <c r="V1889" s="1585"/>
      <c r="W1889" s="1585"/>
      <c r="X1889" s="1585"/>
      <c r="Y1889" s="1592"/>
      <c r="Z1889" s="1585"/>
      <c r="AA1889" s="1585"/>
      <c r="AB1889" s="1585"/>
      <c r="AC1889" s="1585"/>
      <c r="AD1889" s="1601">
        <f t="shared" si="171"/>
        <v>0</v>
      </c>
      <c r="AE1889" s="1790">
        <v>0</v>
      </c>
      <c r="AF1889" s="1792"/>
    </row>
    <row r="1890" spans="1:32" ht="27.75" customHeight="1">
      <c r="A1890" s="1795" t="s">
        <v>3386</v>
      </c>
      <c r="B1890" s="1795" t="s">
        <v>1939</v>
      </c>
      <c r="C1890" s="1803"/>
      <c r="D1890" s="1804"/>
      <c r="E1890" s="1813"/>
      <c r="F1890" s="1811"/>
      <c r="G1890" s="1811"/>
      <c r="H1890" s="1811"/>
      <c r="I1890" s="1811"/>
      <c r="J1890" s="1811"/>
      <c r="K1890" s="1811"/>
      <c r="L1890" s="1811"/>
      <c r="M1890" s="1811"/>
      <c r="N1890" s="1811"/>
      <c r="O1890" s="1811"/>
      <c r="P1890" s="1811"/>
      <c r="Q1890" s="1814"/>
      <c r="R1890" s="1811"/>
      <c r="S1890" s="1811"/>
      <c r="T1890" s="1814"/>
      <c r="U1890" s="1816"/>
      <c r="V1890" s="1812"/>
      <c r="W1890" s="1812"/>
      <c r="X1890" s="1812"/>
      <c r="Y1890" s="1816"/>
      <c r="Z1890" s="1812"/>
      <c r="AA1890" s="1812"/>
      <c r="AB1890" s="1812"/>
      <c r="AC1890" s="1812"/>
      <c r="AD1890" s="1601">
        <f t="shared" si="171"/>
        <v>0</v>
      </c>
      <c r="AE1890" s="1790">
        <v>0</v>
      </c>
      <c r="AF1890" s="1792"/>
    </row>
    <row r="1891" spans="1:32" ht="27.75" customHeight="1">
      <c r="A1891" s="2899" t="s">
        <v>3388</v>
      </c>
      <c r="B1891" s="2901" t="s">
        <v>1944</v>
      </c>
      <c r="C1891" s="2903" t="s">
        <v>51</v>
      </c>
      <c r="D1891" s="2905">
        <v>1528</v>
      </c>
      <c r="E1891" s="1810" t="s">
        <v>2496</v>
      </c>
      <c r="F1891" s="1811"/>
      <c r="G1891" s="1811"/>
      <c r="H1891" s="1811"/>
      <c r="I1891" s="1811"/>
      <c r="J1891" s="1811"/>
      <c r="K1891" s="1811"/>
      <c r="L1891" s="1811"/>
      <c r="M1891" s="1811"/>
      <c r="N1891" s="1811"/>
      <c r="O1891" s="1811"/>
      <c r="P1891" s="1811"/>
      <c r="Q1891" s="1812"/>
      <c r="R1891" s="1811"/>
      <c r="S1891" s="1811"/>
      <c r="T1891" s="1812"/>
      <c r="U1891" s="1812"/>
      <c r="V1891" s="1812"/>
      <c r="W1891" s="1812"/>
      <c r="X1891" s="1812"/>
      <c r="Y1891" s="1812"/>
      <c r="Z1891" s="1812"/>
      <c r="AA1891" s="1812">
        <f>D1891</f>
        <v>1528</v>
      </c>
      <c r="AB1891" s="1812"/>
      <c r="AC1891" s="1812"/>
      <c r="AD1891" s="1601">
        <f t="shared" si="171"/>
        <v>1528</v>
      </c>
      <c r="AE1891" s="1790">
        <v>0</v>
      </c>
      <c r="AF1891" s="1792"/>
    </row>
    <row r="1892" spans="1:32" ht="27.75" customHeight="1">
      <c r="A1892" s="2900" t="s">
        <v>3388</v>
      </c>
      <c r="B1892" s="2902" t="s">
        <v>3389</v>
      </c>
      <c r="C1892" s="2904" t="s">
        <v>51</v>
      </c>
      <c r="D1892" s="2906">
        <v>1528</v>
      </c>
      <c r="E1892" s="1603" t="s">
        <v>2497</v>
      </c>
      <c r="F1892" s="1583"/>
      <c r="G1892" s="1583"/>
      <c r="H1892" s="1583"/>
      <c r="I1892" s="1583"/>
      <c r="J1892" s="1583"/>
      <c r="K1892" s="1583"/>
      <c r="L1892" s="1583"/>
      <c r="M1892" s="1583"/>
      <c r="N1892" s="1583"/>
      <c r="O1892" s="1583"/>
      <c r="P1892" s="1583"/>
      <c r="Q1892" s="1604"/>
      <c r="R1892" s="1583"/>
      <c r="S1892" s="1583"/>
      <c r="T1892" s="1604"/>
      <c r="U1892" s="1592"/>
      <c r="V1892" s="1585"/>
      <c r="W1892" s="1585"/>
      <c r="X1892" s="1585"/>
      <c r="Y1892" s="1592"/>
      <c r="Z1892" s="1585"/>
      <c r="AA1892" s="1585"/>
      <c r="AB1892" s="1585"/>
      <c r="AC1892" s="1585"/>
      <c r="AD1892" s="1601">
        <f t="shared" si="171"/>
        <v>0</v>
      </c>
      <c r="AE1892" s="1790">
        <v>0</v>
      </c>
      <c r="AF1892" s="1792"/>
    </row>
    <row r="1893" spans="1:32" ht="27.75" customHeight="1">
      <c r="A1893" s="2899" t="s">
        <v>3390</v>
      </c>
      <c r="B1893" s="2901" t="s">
        <v>2411</v>
      </c>
      <c r="C1893" s="2903" t="s">
        <v>51</v>
      </c>
      <c r="D1893" s="2905">
        <v>16412.400000000001</v>
      </c>
      <c r="E1893" s="1598" t="s">
        <v>2496</v>
      </c>
      <c r="F1893" s="1583"/>
      <c r="G1893" s="1583"/>
      <c r="H1893" s="1583"/>
      <c r="I1893" s="1583"/>
      <c r="J1893" s="1583"/>
      <c r="K1893" s="1583"/>
      <c r="L1893" s="1583"/>
      <c r="M1893" s="1583"/>
      <c r="N1893" s="1583"/>
      <c r="O1893" s="1583"/>
      <c r="P1893" s="1583"/>
      <c r="Q1893" s="1585"/>
      <c r="R1893" s="1583"/>
      <c r="S1893" s="1583"/>
      <c r="T1893" s="1585"/>
      <c r="U1893" s="1585"/>
      <c r="V1893" s="1585"/>
      <c r="W1893" s="1585"/>
      <c r="X1893" s="1585"/>
      <c r="Y1893" s="1585"/>
      <c r="Z1893" s="1585"/>
      <c r="AA1893" s="1812">
        <f>D1893</f>
        <v>16412.400000000001</v>
      </c>
      <c r="AB1893" s="1585"/>
      <c r="AC1893" s="1585"/>
      <c r="AD1893" s="1601">
        <f t="shared" si="171"/>
        <v>16412.400000000001</v>
      </c>
      <c r="AE1893" s="1790">
        <v>0</v>
      </c>
      <c r="AF1893" s="1792"/>
    </row>
    <row r="1894" spans="1:32" ht="27.75" customHeight="1">
      <c r="A1894" s="2900" t="s">
        <v>3390</v>
      </c>
      <c r="B1894" s="2902" t="s">
        <v>3391</v>
      </c>
      <c r="C1894" s="2904" t="s">
        <v>51</v>
      </c>
      <c r="D1894" s="2906">
        <v>16412.400000000001</v>
      </c>
      <c r="E1894" s="1603" t="s">
        <v>2497</v>
      </c>
      <c r="F1894" s="1583"/>
      <c r="G1894" s="1583"/>
      <c r="H1894" s="1583"/>
      <c r="I1894" s="1583"/>
      <c r="J1894" s="1583"/>
      <c r="K1894" s="1583"/>
      <c r="L1894" s="1583"/>
      <c r="M1894" s="1583"/>
      <c r="N1894" s="1583"/>
      <c r="O1894" s="1583"/>
      <c r="P1894" s="1583"/>
      <c r="Q1894" s="1604"/>
      <c r="R1894" s="1583"/>
      <c r="S1894" s="1583"/>
      <c r="T1894" s="1604"/>
      <c r="U1894" s="1585"/>
      <c r="V1894" s="1585"/>
      <c r="W1894" s="1585"/>
      <c r="X1894" s="1585"/>
      <c r="Y1894" s="1585"/>
      <c r="Z1894" s="1585"/>
      <c r="AA1894" s="1585"/>
      <c r="AB1894" s="1585"/>
      <c r="AC1894" s="1585"/>
      <c r="AD1894" s="1601">
        <f t="shared" si="171"/>
        <v>0</v>
      </c>
      <c r="AE1894" s="1790">
        <v>0</v>
      </c>
      <c r="AF1894" s="1792"/>
    </row>
    <row r="1895" spans="1:32" ht="27.75" customHeight="1">
      <c r="A1895" s="2899" t="s">
        <v>3392</v>
      </c>
      <c r="B1895" s="2901" t="s">
        <v>2412</v>
      </c>
      <c r="C1895" s="2903" t="s">
        <v>51</v>
      </c>
      <c r="D1895" s="2905">
        <v>9214.5</v>
      </c>
      <c r="E1895" s="1810" t="s">
        <v>2496</v>
      </c>
      <c r="F1895" s="1811"/>
      <c r="G1895" s="1811"/>
      <c r="H1895" s="1811"/>
      <c r="I1895" s="1811"/>
      <c r="J1895" s="1811"/>
      <c r="K1895" s="1811"/>
      <c r="L1895" s="1811"/>
      <c r="M1895" s="1811"/>
      <c r="N1895" s="1811"/>
      <c r="O1895" s="1811"/>
      <c r="P1895" s="1811"/>
      <c r="Q1895" s="1812"/>
      <c r="R1895" s="1811"/>
      <c r="S1895" s="1811"/>
      <c r="T1895" s="1812"/>
      <c r="U1895" s="1812"/>
      <c r="V1895" s="1812"/>
      <c r="W1895" s="1812"/>
      <c r="X1895" s="1812"/>
      <c r="Y1895" s="1812"/>
      <c r="Z1895" s="1812"/>
      <c r="AA1895" s="1812">
        <f>D1895</f>
        <v>9214.5</v>
      </c>
      <c r="AB1895" s="1812"/>
      <c r="AC1895" s="1812"/>
      <c r="AD1895" s="1601">
        <f t="shared" si="171"/>
        <v>9214.5</v>
      </c>
      <c r="AE1895" s="1790">
        <v>0</v>
      </c>
      <c r="AF1895" s="1792"/>
    </row>
    <row r="1896" spans="1:32" ht="27.75" customHeight="1">
      <c r="A1896" s="2900" t="s">
        <v>3392</v>
      </c>
      <c r="B1896" s="2902" t="s">
        <v>3393</v>
      </c>
      <c r="C1896" s="2904" t="s">
        <v>51</v>
      </c>
      <c r="D1896" s="2906">
        <v>9214.5</v>
      </c>
      <c r="E1896" s="1603" t="s">
        <v>2497</v>
      </c>
      <c r="F1896" s="1583"/>
      <c r="G1896" s="1583"/>
      <c r="H1896" s="1583"/>
      <c r="I1896" s="1583"/>
      <c r="J1896" s="1583"/>
      <c r="K1896" s="1583"/>
      <c r="L1896" s="1583"/>
      <c r="M1896" s="1583"/>
      <c r="N1896" s="1583"/>
      <c r="O1896" s="1583"/>
      <c r="P1896" s="1583"/>
      <c r="Q1896" s="1604"/>
      <c r="R1896" s="1583"/>
      <c r="S1896" s="1583"/>
      <c r="T1896" s="1604"/>
      <c r="U1896" s="1592"/>
      <c r="V1896" s="1585"/>
      <c r="W1896" s="1585"/>
      <c r="X1896" s="1585"/>
      <c r="Y1896" s="1592"/>
      <c r="Z1896" s="1585"/>
      <c r="AA1896" s="1585"/>
      <c r="AB1896" s="1585"/>
      <c r="AC1896" s="1585"/>
      <c r="AD1896" s="1601">
        <f t="shared" si="171"/>
        <v>0</v>
      </c>
      <c r="AE1896" s="1790">
        <v>0</v>
      </c>
      <c r="AF1896" s="1792"/>
    </row>
    <row r="1897" spans="1:32" ht="27.75" customHeight="1">
      <c r="A1897" s="2899" t="s">
        <v>3394</v>
      </c>
      <c r="B1897" s="2901" t="s">
        <v>2413</v>
      </c>
      <c r="C1897" s="2903" t="s">
        <v>51</v>
      </c>
      <c r="D1897" s="2905">
        <v>6879.0000000000009</v>
      </c>
      <c r="E1897" s="1598" t="s">
        <v>2496</v>
      </c>
      <c r="F1897" s="1583"/>
      <c r="G1897" s="1583"/>
      <c r="H1897" s="1583"/>
      <c r="I1897" s="1583"/>
      <c r="J1897" s="1583"/>
      <c r="K1897" s="1583"/>
      <c r="L1897" s="1583"/>
      <c r="M1897" s="1583"/>
      <c r="N1897" s="1583"/>
      <c r="O1897" s="1583"/>
      <c r="P1897" s="1583"/>
      <c r="Q1897" s="1585"/>
      <c r="R1897" s="1583"/>
      <c r="S1897" s="1583"/>
      <c r="T1897" s="1585"/>
      <c r="U1897" s="1585"/>
      <c r="V1897" s="1585"/>
      <c r="W1897" s="1585"/>
      <c r="X1897" s="1585"/>
      <c r="Y1897" s="1585"/>
      <c r="Z1897" s="1585"/>
      <c r="AA1897" s="1812">
        <f>D1897</f>
        <v>6879.0000000000009</v>
      </c>
      <c r="AB1897" s="1585"/>
      <c r="AC1897" s="1585"/>
      <c r="AD1897" s="1601">
        <f t="shared" si="171"/>
        <v>6879.0000000000009</v>
      </c>
      <c r="AE1897" s="1790">
        <v>0</v>
      </c>
      <c r="AF1897" s="1792"/>
    </row>
    <row r="1898" spans="1:32" ht="27.75" customHeight="1">
      <c r="A1898" s="2900" t="s">
        <v>3394</v>
      </c>
      <c r="B1898" s="2902" t="s">
        <v>3395</v>
      </c>
      <c r="C1898" s="2904" t="s">
        <v>51</v>
      </c>
      <c r="D1898" s="2906">
        <v>6879.0000000000009</v>
      </c>
      <c r="E1898" s="1603" t="s">
        <v>2497</v>
      </c>
      <c r="F1898" s="1583"/>
      <c r="G1898" s="1583"/>
      <c r="H1898" s="1583"/>
      <c r="I1898" s="1583"/>
      <c r="J1898" s="1583"/>
      <c r="K1898" s="1583"/>
      <c r="L1898" s="1583"/>
      <c r="M1898" s="1583"/>
      <c r="N1898" s="1583"/>
      <c r="O1898" s="1583"/>
      <c r="P1898" s="1583"/>
      <c r="Q1898" s="1604"/>
      <c r="R1898" s="1583"/>
      <c r="S1898" s="1583"/>
      <c r="T1898" s="1604"/>
      <c r="U1898" s="1585"/>
      <c r="V1898" s="1585"/>
      <c r="W1898" s="1585"/>
      <c r="X1898" s="1585"/>
      <c r="Y1898" s="1585"/>
      <c r="Z1898" s="1585"/>
      <c r="AA1898" s="1585"/>
      <c r="AB1898" s="1585"/>
      <c r="AC1898" s="1585"/>
      <c r="AD1898" s="1601">
        <f t="shared" si="171"/>
        <v>0</v>
      </c>
      <c r="AE1898" s="1790">
        <v>0</v>
      </c>
      <c r="AF1898" s="1792"/>
    </row>
    <row r="1899" spans="1:32" ht="27.75" customHeight="1">
      <c r="A1899" s="2899" t="s">
        <v>3396</v>
      </c>
      <c r="B1899" s="2901" t="s">
        <v>4103</v>
      </c>
      <c r="C1899" s="2903" t="s">
        <v>51</v>
      </c>
      <c r="D1899" s="2905">
        <v>31770</v>
      </c>
      <c r="E1899" s="1810" t="s">
        <v>2496</v>
      </c>
      <c r="F1899" s="1811"/>
      <c r="G1899" s="1811"/>
      <c r="H1899" s="1811"/>
      <c r="I1899" s="1811"/>
      <c r="J1899" s="1811"/>
      <c r="K1899" s="1811"/>
      <c r="L1899" s="1811"/>
      <c r="M1899" s="1811"/>
      <c r="N1899" s="1811"/>
      <c r="O1899" s="1811"/>
      <c r="P1899" s="1811"/>
      <c r="Q1899" s="1812"/>
      <c r="R1899" s="1811"/>
      <c r="S1899" s="1811"/>
      <c r="T1899" s="1812"/>
      <c r="U1899" s="1812"/>
      <c r="V1899" s="1812"/>
      <c r="W1899" s="1812"/>
      <c r="X1899" s="1812"/>
      <c r="Y1899" s="1812"/>
      <c r="Z1899" s="1812"/>
      <c r="AA1899" s="1812">
        <v>10590</v>
      </c>
      <c r="AB1899" s="1812"/>
      <c r="AC1899" s="1812">
        <f>10590+10590</f>
        <v>21180</v>
      </c>
      <c r="AD1899" s="1601">
        <f t="shared" si="171"/>
        <v>31770</v>
      </c>
      <c r="AE1899" s="1790">
        <v>0</v>
      </c>
      <c r="AF1899" s="1792"/>
    </row>
    <row r="1900" spans="1:32" ht="27.75" customHeight="1">
      <c r="A1900" s="2900" t="s">
        <v>3396</v>
      </c>
      <c r="B1900" s="2902" t="s">
        <v>3397</v>
      </c>
      <c r="C1900" s="2904" t="s">
        <v>51</v>
      </c>
      <c r="D1900" s="2906">
        <v>31770</v>
      </c>
      <c r="E1900" s="1603" t="s">
        <v>2497</v>
      </c>
      <c r="F1900" s="1583"/>
      <c r="G1900" s="1583"/>
      <c r="H1900" s="1583"/>
      <c r="I1900" s="1583"/>
      <c r="J1900" s="1583"/>
      <c r="K1900" s="1583"/>
      <c r="L1900" s="1583"/>
      <c r="M1900" s="1583"/>
      <c r="N1900" s="1583"/>
      <c r="O1900" s="1583"/>
      <c r="P1900" s="1583"/>
      <c r="Q1900" s="1604"/>
      <c r="R1900" s="1583"/>
      <c r="S1900" s="1583"/>
      <c r="T1900" s="1604"/>
      <c r="U1900" s="1592"/>
      <c r="V1900" s="1585"/>
      <c r="W1900" s="1585"/>
      <c r="X1900" s="1585"/>
      <c r="Y1900" s="1592"/>
      <c r="Z1900" s="1585"/>
      <c r="AA1900" s="1585"/>
      <c r="AB1900" s="1585"/>
      <c r="AC1900" s="1585"/>
      <c r="AD1900" s="1601">
        <f t="shared" si="171"/>
        <v>0</v>
      </c>
      <c r="AE1900" s="1790">
        <v>0</v>
      </c>
      <c r="AF1900" s="1792"/>
    </row>
    <row r="1901" spans="1:32" ht="27.75" customHeight="1">
      <c r="A1901" s="2899" t="s">
        <v>3398</v>
      </c>
      <c r="B1901" s="2901" t="s">
        <v>4104</v>
      </c>
      <c r="C1901" s="2903" t="s">
        <v>51</v>
      </c>
      <c r="D1901" s="2905">
        <v>3204</v>
      </c>
      <c r="E1901" s="1810" t="s">
        <v>2496</v>
      </c>
      <c r="F1901" s="1811"/>
      <c r="G1901" s="1811"/>
      <c r="H1901" s="1811"/>
      <c r="I1901" s="1811"/>
      <c r="J1901" s="1811"/>
      <c r="K1901" s="1811"/>
      <c r="L1901" s="1811"/>
      <c r="M1901" s="1811"/>
      <c r="N1901" s="1811"/>
      <c r="O1901" s="1811"/>
      <c r="P1901" s="1811"/>
      <c r="Q1901" s="1812"/>
      <c r="R1901" s="1811"/>
      <c r="S1901" s="1811"/>
      <c r="T1901" s="1812"/>
      <c r="U1901" s="1812"/>
      <c r="V1901" s="1812"/>
      <c r="W1901" s="1812"/>
      <c r="X1901" s="1812"/>
      <c r="Y1901" s="1812"/>
      <c r="Z1901" s="1812"/>
      <c r="AA1901" s="1812">
        <f>D1901</f>
        <v>3204</v>
      </c>
      <c r="AB1901" s="1812"/>
      <c r="AC1901" s="1812"/>
      <c r="AD1901" s="1601">
        <f t="shared" si="171"/>
        <v>3204</v>
      </c>
      <c r="AE1901" s="1790">
        <v>0</v>
      </c>
      <c r="AF1901" s="1792"/>
    </row>
    <row r="1902" spans="1:32" ht="27.75" customHeight="1">
      <c r="A1902" s="2900" t="s">
        <v>3398</v>
      </c>
      <c r="B1902" s="2902" t="s">
        <v>3399</v>
      </c>
      <c r="C1902" s="2904" t="s">
        <v>51</v>
      </c>
      <c r="D1902" s="2906">
        <v>3204</v>
      </c>
      <c r="E1902" s="1603" t="s">
        <v>2497</v>
      </c>
      <c r="F1902" s="1583"/>
      <c r="G1902" s="1583"/>
      <c r="H1902" s="1583"/>
      <c r="I1902" s="1583"/>
      <c r="J1902" s="1583"/>
      <c r="K1902" s="1583"/>
      <c r="L1902" s="1583"/>
      <c r="M1902" s="1583"/>
      <c r="N1902" s="1583"/>
      <c r="O1902" s="1583"/>
      <c r="P1902" s="1583"/>
      <c r="Q1902" s="1604"/>
      <c r="R1902" s="1583"/>
      <c r="S1902" s="1583"/>
      <c r="T1902" s="1604"/>
      <c r="U1902" s="1592"/>
      <c r="V1902" s="1585"/>
      <c r="W1902" s="1585"/>
      <c r="X1902" s="1585"/>
      <c r="Y1902" s="1592"/>
      <c r="Z1902" s="1585"/>
      <c r="AA1902" s="1585"/>
      <c r="AB1902" s="1585"/>
      <c r="AC1902" s="1585"/>
      <c r="AD1902" s="1601">
        <f t="shared" si="171"/>
        <v>0</v>
      </c>
      <c r="AE1902" s="1790">
        <v>0</v>
      </c>
      <c r="AF1902" s="1792"/>
    </row>
    <row r="1903" spans="1:32" ht="27.75" customHeight="1">
      <c r="A1903" s="2899" t="s">
        <v>3400</v>
      </c>
      <c r="B1903" s="2901" t="s">
        <v>4105</v>
      </c>
      <c r="C1903" s="2903" t="s">
        <v>51</v>
      </c>
      <c r="D1903" s="2905">
        <v>4266</v>
      </c>
      <c r="E1903" s="1810" t="s">
        <v>2496</v>
      </c>
      <c r="F1903" s="1811"/>
      <c r="G1903" s="1811"/>
      <c r="H1903" s="1811"/>
      <c r="I1903" s="1811"/>
      <c r="J1903" s="1811"/>
      <c r="K1903" s="1811"/>
      <c r="L1903" s="1811"/>
      <c r="M1903" s="1811"/>
      <c r="N1903" s="1811"/>
      <c r="O1903" s="1811"/>
      <c r="P1903" s="1811"/>
      <c r="Q1903" s="1812"/>
      <c r="R1903" s="1811"/>
      <c r="S1903" s="1811"/>
      <c r="T1903" s="1812"/>
      <c r="U1903" s="1812"/>
      <c r="V1903" s="1812"/>
      <c r="W1903" s="1812"/>
      <c r="X1903" s="1812"/>
      <c r="Y1903" s="1812"/>
      <c r="Z1903" s="1812"/>
      <c r="AA1903" s="1812">
        <f>D1903</f>
        <v>4266</v>
      </c>
      <c r="AB1903" s="1812"/>
      <c r="AC1903" s="1812"/>
      <c r="AD1903" s="1601">
        <f t="shared" si="171"/>
        <v>4266</v>
      </c>
      <c r="AE1903" s="1790">
        <v>0</v>
      </c>
      <c r="AF1903" s="1792"/>
    </row>
    <row r="1904" spans="1:32" ht="27.75" customHeight="1">
      <c r="A1904" s="2900" t="s">
        <v>3400</v>
      </c>
      <c r="B1904" s="2902" t="s">
        <v>3401</v>
      </c>
      <c r="C1904" s="2904" t="s">
        <v>51</v>
      </c>
      <c r="D1904" s="2906">
        <v>4266</v>
      </c>
      <c r="E1904" s="1603" t="s">
        <v>2497</v>
      </c>
      <c r="F1904" s="1583"/>
      <c r="G1904" s="1583"/>
      <c r="H1904" s="1583"/>
      <c r="I1904" s="1583"/>
      <c r="J1904" s="1583"/>
      <c r="K1904" s="1583"/>
      <c r="L1904" s="1583"/>
      <c r="M1904" s="1583"/>
      <c r="N1904" s="1583"/>
      <c r="O1904" s="1583"/>
      <c r="P1904" s="1583"/>
      <c r="Q1904" s="1604"/>
      <c r="R1904" s="1583"/>
      <c r="S1904" s="1583"/>
      <c r="T1904" s="1604"/>
      <c r="U1904" s="1592"/>
      <c r="V1904" s="1585"/>
      <c r="W1904" s="1585"/>
      <c r="X1904" s="1585"/>
      <c r="Y1904" s="1592"/>
      <c r="Z1904" s="1585"/>
      <c r="AA1904" s="1585"/>
      <c r="AB1904" s="1585"/>
      <c r="AC1904" s="1585"/>
      <c r="AD1904" s="1601">
        <f t="shared" si="171"/>
        <v>0</v>
      </c>
      <c r="AE1904" s="1790">
        <v>0</v>
      </c>
      <c r="AF1904" s="1792"/>
    </row>
    <row r="1905" spans="1:32" ht="27.75" customHeight="1">
      <c r="A1905" s="2899" t="s">
        <v>3402</v>
      </c>
      <c r="B1905" s="2901" t="s">
        <v>4106</v>
      </c>
      <c r="C1905" s="2903" t="s">
        <v>51</v>
      </c>
      <c r="D1905" s="2905">
        <v>6240</v>
      </c>
      <c r="E1905" s="1598" t="s">
        <v>2496</v>
      </c>
      <c r="F1905" s="1583"/>
      <c r="G1905" s="1583"/>
      <c r="H1905" s="1583"/>
      <c r="I1905" s="1583"/>
      <c r="J1905" s="1583"/>
      <c r="K1905" s="1583"/>
      <c r="L1905" s="1583"/>
      <c r="M1905" s="1583"/>
      <c r="N1905" s="1583"/>
      <c r="O1905" s="1583"/>
      <c r="P1905" s="1583"/>
      <c r="Q1905" s="1585"/>
      <c r="R1905" s="1583"/>
      <c r="S1905" s="1583"/>
      <c r="T1905" s="1585"/>
      <c r="U1905" s="1585"/>
      <c r="V1905" s="1585"/>
      <c r="W1905" s="1585"/>
      <c r="X1905" s="1585"/>
      <c r="Y1905" s="1585"/>
      <c r="Z1905" s="1585"/>
      <c r="AA1905" s="1812">
        <f>D1905</f>
        <v>6240</v>
      </c>
      <c r="AB1905" s="1585"/>
      <c r="AC1905" s="1585"/>
      <c r="AD1905" s="1601">
        <f t="shared" si="171"/>
        <v>6240</v>
      </c>
      <c r="AE1905" s="1790">
        <v>0</v>
      </c>
      <c r="AF1905" s="1792"/>
    </row>
    <row r="1906" spans="1:32" ht="27.75" customHeight="1">
      <c r="A1906" s="2900" t="s">
        <v>3402</v>
      </c>
      <c r="B1906" s="2902" t="s">
        <v>3403</v>
      </c>
      <c r="C1906" s="2904" t="s">
        <v>51</v>
      </c>
      <c r="D1906" s="2906">
        <v>6240</v>
      </c>
      <c r="E1906" s="1603" t="s">
        <v>2497</v>
      </c>
      <c r="F1906" s="1583"/>
      <c r="G1906" s="1583"/>
      <c r="H1906" s="1583"/>
      <c r="I1906" s="1583"/>
      <c r="J1906" s="1583"/>
      <c r="K1906" s="1583"/>
      <c r="L1906" s="1583"/>
      <c r="M1906" s="1583"/>
      <c r="N1906" s="1583"/>
      <c r="O1906" s="1583"/>
      <c r="P1906" s="1583"/>
      <c r="Q1906" s="1604"/>
      <c r="R1906" s="1583"/>
      <c r="S1906" s="1583"/>
      <c r="T1906" s="1604"/>
      <c r="U1906" s="1585"/>
      <c r="V1906" s="1585"/>
      <c r="W1906" s="1585"/>
      <c r="X1906" s="1585"/>
      <c r="Y1906" s="1585"/>
      <c r="Z1906" s="1585"/>
      <c r="AA1906" s="1585"/>
      <c r="AB1906" s="1585"/>
      <c r="AC1906" s="1585"/>
      <c r="AD1906" s="1601">
        <f t="shared" si="171"/>
        <v>0</v>
      </c>
      <c r="AE1906" s="1790">
        <v>0</v>
      </c>
      <c r="AF1906" s="1792"/>
    </row>
    <row r="1907" spans="1:32" ht="27.75" customHeight="1">
      <c r="A1907" s="2899" t="s">
        <v>3404</v>
      </c>
      <c r="B1907" s="2901" t="s">
        <v>4107</v>
      </c>
      <c r="C1907" s="2903" t="s">
        <v>51</v>
      </c>
      <c r="D1907" s="2905">
        <v>3792</v>
      </c>
      <c r="E1907" s="1810" t="s">
        <v>2496</v>
      </c>
      <c r="F1907" s="1811"/>
      <c r="G1907" s="1811"/>
      <c r="H1907" s="1811"/>
      <c r="I1907" s="1811"/>
      <c r="J1907" s="1811"/>
      <c r="K1907" s="1811"/>
      <c r="L1907" s="1811"/>
      <c r="M1907" s="1811"/>
      <c r="N1907" s="1811"/>
      <c r="O1907" s="1811"/>
      <c r="P1907" s="1811"/>
      <c r="Q1907" s="1812"/>
      <c r="R1907" s="1811"/>
      <c r="S1907" s="1811"/>
      <c r="T1907" s="1812"/>
      <c r="U1907" s="1812"/>
      <c r="V1907" s="1812"/>
      <c r="W1907" s="1812"/>
      <c r="X1907" s="1812"/>
      <c r="Y1907" s="1812"/>
      <c r="Z1907" s="1812"/>
      <c r="AA1907" s="1812">
        <f>D1907</f>
        <v>3792</v>
      </c>
      <c r="AB1907" s="1812"/>
      <c r="AC1907" s="1812"/>
      <c r="AD1907" s="1601">
        <f t="shared" si="171"/>
        <v>3792</v>
      </c>
      <c r="AE1907" s="1790">
        <v>0</v>
      </c>
      <c r="AF1907" s="1792"/>
    </row>
    <row r="1908" spans="1:32" ht="27.75" customHeight="1">
      <c r="A1908" s="2900" t="s">
        <v>3404</v>
      </c>
      <c r="B1908" s="2902" t="s">
        <v>3405</v>
      </c>
      <c r="C1908" s="2904" t="s">
        <v>51</v>
      </c>
      <c r="D1908" s="2906">
        <v>3792</v>
      </c>
      <c r="E1908" s="1603" t="s">
        <v>2497</v>
      </c>
      <c r="F1908" s="1583"/>
      <c r="G1908" s="1583"/>
      <c r="H1908" s="1583"/>
      <c r="I1908" s="1583"/>
      <c r="J1908" s="1583"/>
      <c r="K1908" s="1583"/>
      <c r="L1908" s="1583"/>
      <c r="M1908" s="1583"/>
      <c r="N1908" s="1583"/>
      <c r="O1908" s="1583"/>
      <c r="P1908" s="1583"/>
      <c r="Q1908" s="1604"/>
      <c r="R1908" s="1583"/>
      <c r="S1908" s="1583"/>
      <c r="T1908" s="1604"/>
      <c r="U1908" s="1592"/>
      <c r="V1908" s="1585"/>
      <c r="W1908" s="1585"/>
      <c r="X1908" s="1585"/>
      <c r="Y1908" s="1592"/>
      <c r="Z1908" s="1585"/>
      <c r="AA1908" s="1585"/>
      <c r="AB1908" s="1585"/>
      <c r="AC1908" s="1585"/>
      <c r="AD1908" s="1601">
        <f t="shared" si="171"/>
        <v>0</v>
      </c>
      <c r="AE1908" s="1790">
        <v>0</v>
      </c>
      <c r="AF1908" s="1792"/>
    </row>
    <row r="1909" spans="1:32" ht="27.75" customHeight="1">
      <c r="A1909" s="1795" t="s">
        <v>3406</v>
      </c>
      <c r="B1909" s="1795" t="s">
        <v>4108</v>
      </c>
      <c r="C1909" s="1803"/>
      <c r="D1909" s="1804"/>
      <c r="E1909" s="1813"/>
      <c r="F1909" s="1811"/>
      <c r="G1909" s="1811"/>
      <c r="H1909" s="1811"/>
      <c r="I1909" s="1811"/>
      <c r="J1909" s="1811"/>
      <c r="K1909" s="1811"/>
      <c r="L1909" s="1811"/>
      <c r="M1909" s="1811"/>
      <c r="N1909" s="1811"/>
      <c r="O1909" s="1811"/>
      <c r="P1909" s="1811"/>
      <c r="Q1909" s="1814"/>
      <c r="R1909" s="1811"/>
      <c r="S1909" s="1811"/>
      <c r="T1909" s="1814"/>
      <c r="U1909" s="1816"/>
      <c r="V1909" s="1812"/>
      <c r="W1909" s="1812"/>
      <c r="X1909" s="1812"/>
      <c r="Y1909" s="1816"/>
      <c r="Z1909" s="1812"/>
      <c r="AA1909" s="1812"/>
      <c r="AB1909" s="1812"/>
      <c r="AC1909" s="1812"/>
      <c r="AD1909" s="1601">
        <f t="shared" si="171"/>
        <v>0</v>
      </c>
      <c r="AE1909" s="1790">
        <v>0</v>
      </c>
      <c r="AF1909" s="1792"/>
    </row>
    <row r="1910" spans="1:32" ht="27.75" customHeight="1">
      <c r="A1910" s="2899" t="s">
        <v>3408</v>
      </c>
      <c r="B1910" s="2901" t="s">
        <v>2422</v>
      </c>
      <c r="C1910" s="2903" t="s">
        <v>52</v>
      </c>
      <c r="D1910" s="2905">
        <v>10320.86</v>
      </c>
      <c r="E1910" s="1810" t="s">
        <v>2496</v>
      </c>
      <c r="F1910" s="1811"/>
      <c r="G1910" s="1811"/>
      <c r="H1910" s="1811"/>
      <c r="I1910" s="1811"/>
      <c r="J1910" s="1811"/>
      <c r="K1910" s="1811"/>
      <c r="L1910" s="1811"/>
      <c r="M1910" s="1811"/>
      <c r="N1910" s="1811"/>
      <c r="O1910" s="1811"/>
      <c r="P1910" s="1811"/>
      <c r="Q1910" s="1812"/>
      <c r="R1910" s="1811"/>
      <c r="S1910" s="1811"/>
      <c r="T1910" s="1812"/>
      <c r="U1910" s="1812"/>
      <c r="V1910" s="1812"/>
      <c r="W1910" s="1812"/>
      <c r="X1910" s="1812"/>
      <c r="Y1910" s="1812"/>
      <c r="Z1910" s="1812"/>
      <c r="AA1910" s="1812">
        <f>D1910</f>
        <v>10320.86</v>
      </c>
      <c r="AB1910" s="1812"/>
      <c r="AC1910" s="1812"/>
      <c r="AD1910" s="1601">
        <f t="shared" si="171"/>
        <v>10320.86</v>
      </c>
      <c r="AE1910" s="1790">
        <v>0</v>
      </c>
      <c r="AF1910" s="1792"/>
    </row>
    <row r="1911" spans="1:32" ht="27.75" customHeight="1">
      <c r="A1911" s="2900" t="s">
        <v>3408</v>
      </c>
      <c r="B1911" s="2902" t="s">
        <v>3409</v>
      </c>
      <c r="C1911" s="2904" t="s">
        <v>52</v>
      </c>
      <c r="D1911" s="2906">
        <v>10320.86</v>
      </c>
      <c r="E1911" s="1603" t="s">
        <v>2497</v>
      </c>
      <c r="F1911" s="1583"/>
      <c r="G1911" s="1583"/>
      <c r="H1911" s="1583"/>
      <c r="I1911" s="1583"/>
      <c r="J1911" s="1583"/>
      <c r="K1911" s="1583"/>
      <c r="L1911" s="1583"/>
      <c r="M1911" s="1583"/>
      <c r="N1911" s="1583"/>
      <c r="O1911" s="1583"/>
      <c r="P1911" s="1583"/>
      <c r="Q1911" s="1604"/>
      <c r="R1911" s="1583"/>
      <c r="S1911" s="1583"/>
      <c r="T1911" s="1604"/>
      <c r="U1911" s="1592"/>
      <c r="V1911" s="1585"/>
      <c r="W1911" s="1585"/>
      <c r="X1911" s="1585"/>
      <c r="Y1911" s="1592"/>
      <c r="Z1911" s="1585"/>
      <c r="AA1911" s="1585"/>
      <c r="AB1911" s="1585"/>
      <c r="AC1911" s="1585"/>
      <c r="AD1911" s="1601">
        <f t="shared" si="171"/>
        <v>0</v>
      </c>
      <c r="AE1911" s="1790">
        <v>0</v>
      </c>
      <c r="AF1911" s="1792"/>
    </row>
    <row r="1912" spans="1:32" ht="27.75" customHeight="1">
      <c r="A1912" s="2899" t="s">
        <v>3410</v>
      </c>
      <c r="B1912" s="2901" t="s">
        <v>2423</v>
      </c>
      <c r="C1912" s="2903" t="s">
        <v>52</v>
      </c>
      <c r="D1912" s="2905">
        <v>6759</v>
      </c>
      <c r="E1912" s="1598" t="s">
        <v>2496</v>
      </c>
      <c r="F1912" s="1583"/>
      <c r="G1912" s="1583"/>
      <c r="H1912" s="1583"/>
      <c r="I1912" s="1583"/>
      <c r="J1912" s="1583"/>
      <c r="K1912" s="1583"/>
      <c r="L1912" s="1583"/>
      <c r="M1912" s="1583"/>
      <c r="N1912" s="1583"/>
      <c r="O1912" s="1583"/>
      <c r="P1912" s="1583"/>
      <c r="Q1912" s="1585"/>
      <c r="R1912" s="1583"/>
      <c r="S1912" s="1583"/>
      <c r="T1912" s="1585"/>
      <c r="U1912" s="1585"/>
      <c r="V1912" s="1585"/>
      <c r="W1912" s="1585"/>
      <c r="X1912" s="1585"/>
      <c r="Y1912" s="1585"/>
      <c r="Z1912" s="1585"/>
      <c r="AA1912" s="1585">
        <f>D1912</f>
        <v>6759</v>
      </c>
      <c r="AB1912" s="1585"/>
      <c r="AC1912" s="1585"/>
      <c r="AD1912" s="1601">
        <f t="shared" si="171"/>
        <v>6759</v>
      </c>
      <c r="AE1912" s="1790">
        <v>0</v>
      </c>
      <c r="AF1912" s="1792"/>
    </row>
    <row r="1913" spans="1:32" ht="27.75" customHeight="1">
      <c r="A1913" s="2900" t="s">
        <v>3410</v>
      </c>
      <c r="B1913" s="2902" t="s">
        <v>3411</v>
      </c>
      <c r="C1913" s="2904" t="s">
        <v>52</v>
      </c>
      <c r="D1913" s="2906">
        <v>6759</v>
      </c>
      <c r="E1913" s="1603" t="s">
        <v>2497</v>
      </c>
      <c r="F1913" s="1583"/>
      <c r="G1913" s="1583"/>
      <c r="H1913" s="1583"/>
      <c r="I1913" s="1583"/>
      <c r="J1913" s="1583"/>
      <c r="K1913" s="1583"/>
      <c r="L1913" s="1583"/>
      <c r="M1913" s="1583"/>
      <c r="N1913" s="1583"/>
      <c r="O1913" s="1583"/>
      <c r="P1913" s="1583"/>
      <c r="Q1913" s="1604"/>
      <c r="R1913" s="1583"/>
      <c r="S1913" s="1583"/>
      <c r="T1913" s="1604"/>
      <c r="U1913" s="1585"/>
      <c r="V1913" s="1585"/>
      <c r="W1913" s="1585"/>
      <c r="X1913" s="1585"/>
      <c r="Y1913" s="1585"/>
      <c r="Z1913" s="1585"/>
      <c r="AA1913" s="1585"/>
      <c r="AB1913" s="1585"/>
      <c r="AC1913" s="1585"/>
      <c r="AD1913" s="1601">
        <f t="shared" si="171"/>
        <v>0</v>
      </c>
      <c r="AE1913" s="1790">
        <v>0</v>
      </c>
      <c r="AF1913" s="1792"/>
    </row>
    <row r="1914" spans="1:32" ht="27.75" customHeight="1">
      <c r="A1914" s="2899" t="s">
        <v>3412</v>
      </c>
      <c r="B1914" s="2901" t="s">
        <v>2424</v>
      </c>
      <c r="C1914" s="2903" t="s">
        <v>52</v>
      </c>
      <c r="D1914" s="2905">
        <v>14520.880000000001</v>
      </c>
      <c r="E1914" s="1810" t="s">
        <v>2496</v>
      </c>
      <c r="F1914" s="1811"/>
      <c r="G1914" s="1811"/>
      <c r="H1914" s="1811"/>
      <c r="I1914" s="1811"/>
      <c r="J1914" s="1811"/>
      <c r="K1914" s="1811"/>
      <c r="L1914" s="1811"/>
      <c r="M1914" s="1811"/>
      <c r="N1914" s="1811"/>
      <c r="O1914" s="1811"/>
      <c r="P1914" s="1811"/>
      <c r="Q1914" s="1812"/>
      <c r="R1914" s="1811"/>
      <c r="S1914" s="1811"/>
      <c r="T1914" s="1812"/>
      <c r="U1914" s="1812"/>
      <c r="V1914" s="1812"/>
      <c r="W1914" s="1812"/>
      <c r="X1914" s="1812"/>
      <c r="Y1914" s="1812"/>
      <c r="Z1914" s="1812"/>
      <c r="AA1914" s="1585">
        <f>D1914</f>
        <v>14520.880000000001</v>
      </c>
      <c r="AB1914" s="1812"/>
      <c r="AC1914" s="1812"/>
      <c r="AD1914" s="1601">
        <f t="shared" si="171"/>
        <v>14520.880000000001</v>
      </c>
      <c r="AE1914" s="1790">
        <v>0</v>
      </c>
      <c r="AF1914" s="1792"/>
    </row>
    <row r="1915" spans="1:32" ht="27.75" customHeight="1">
      <c r="A1915" s="2900" t="s">
        <v>3412</v>
      </c>
      <c r="B1915" s="2902" t="s">
        <v>3413</v>
      </c>
      <c r="C1915" s="2904" t="s">
        <v>52</v>
      </c>
      <c r="D1915" s="2906">
        <v>14520.880000000001</v>
      </c>
      <c r="E1915" s="1603" t="s">
        <v>2497</v>
      </c>
      <c r="F1915" s="1583"/>
      <c r="G1915" s="1583"/>
      <c r="H1915" s="1583"/>
      <c r="I1915" s="1583"/>
      <c r="J1915" s="1583"/>
      <c r="K1915" s="1583"/>
      <c r="L1915" s="1583"/>
      <c r="M1915" s="1583"/>
      <c r="N1915" s="1583"/>
      <c r="O1915" s="1583"/>
      <c r="P1915" s="1583"/>
      <c r="Q1915" s="1604"/>
      <c r="R1915" s="1583"/>
      <c r="S1915" s="1583"/>
      <c r="T1915" s="1604"/>
      <c r="U1915" s="1592"/>
      <c r="V1915" s="1585"/>
      <c r="W1915" s="1585"/>
      <c r="X1915" s="1585"/>
      <c r="Y1915" s="1592"/>
      <c r="Z1915" s="1585"/>
      <c r="AA1915" s="1585"/>
      <c r="AB1915" s="1585"/>
      <c r="AC1915" s="1585"/>
      <c r="AD1915" s="1601">
        <f t="shared" si="171"/>
        <v>0</v>
      </c>
      <c r="AE1915" s="1790">
        <v>0</v>
      </c>
      <c r="AF1915" s="1792"/>
    </row>
    <row r="1916" spans="1:32" ht="27.75" customHeight="1">
      <c r="A1916" s="2899" t="s">
        <v>3414</v>
      </c>
      <c r="B1916" s="2901" t="s">
        <v>2425</v>
      </c>
      <c r="C1916" s="2903" t="s">
        <v>52</v>
      </c>
      <c r="D1916" s="2905">
        <v>8136.7000000000007</v>
      </c>
      <c r="E1916" s="1598" t="s">
        <v>2496</v>
      </c>
      <c r="F1916" s="1583"/>
      <c r="G1916" s="1583"/>
      <c r="H1916" s="1583"/>
      <c r="I1916" s="1583"/>
      <c r="J1916" s="1583"/>
      <c r="K1916" s="1583"/>
      <c r="L1916" s="1583"/>
      <c r="M1916" s="1583"/>
      <c r="N1916" s="1583"/>
      <c r="O1916" s="1583"/>
      <c r="P1916" s="1583"/>
      <c r="Q1916" s="1585"/>
      <c r="R1916" s="1583"/>
      <c r="S1916" s="1583"/>
      <c r="T1916" s="1585"/>
      <c r="U1916" s="1585"/>
      <c r="V1916" s="1585"/>
      <c r="W1916" s="1585"/>
      <c r="X1916" s="1585"/>
      <c r="Y1916" s="1585"/>
      <c r="Z1916" s="1585"/>
      <c r="AA1916" s="1585">
        <f>D1916</f>
        <v>8136.7000000000007</v>
      </c>
      <c r="AB1916" s="1585"/>
      <c r="AC1916" s="1585"/>
      <c r="AD1916" s="1601">
        <f t="shared" si="171"/>
        <v>8136.7000000000007</v>
      </c>
      <c r="AE1916" s="1790">
        <v>0</v>
      </c>
      <c r="AF1916" s="1792"/>
    </row>
    <row r="1917" spans="1:32" ht="27.75" customHeight="1">
      <c r="A1917" s="2900" t="s">
        <v>3414</v>
      </c>
      <c r="B1917" s="2902" t="s">
        <v>3415</v>
      </c>
      <c r="C1917" s="2904" t="s">
        <v>52</v>
      </c>
      <c r="D1917" s="2906">
        <v>8136.7000000000007</v>
      </c>
      <c r="E1917" s="1603" t="s">
        <v>2497</v>
      </c>
      <c r="F1917" s="1583"/>
      <c r="G1917" s="1583"/>
      <c r="H1917" s="1583"/>
      <c r="I1917" s="1583"/>
      <c r="J1917" s="1583"/>
      <c r="K1917" s="1583"/>
      <c r="L1917" s="1583"/>
      <c r="M1917" s="1583"/>
      <c r="N1917" s="1583"/>
      <c r="O1917" s="1583"/>
      <c r="P1917" s="1583"/>
      <c r="Q1917" s="1604"/>
      <c r="R1917" s="1583"/>
      <c r="S1917" s="1583"/>
      <c r="T1917" s="1604"/>
      <c r="U1917" s="1585"/>
      <c r="V1917" s="1585"/>
      <c r="W1917" s="1585"/>
      <c r="X1917" s="1585"/>
      <c r="Y1917" s="1585"/>
      <c r="Z1917" s="1585"/>
      <c r="AA1917" s="1585"/>
      <c r="AB1917" s="1585"/>
      <c r="AC1917" s="1585"/>
      <c r="AD1917" s="1601">
        <f t="shared" si="171"/>
        <v>0</v>
      </c>
      <c r="AE1917" s="1790">
        <v>0</v>
      </c>
      <c r="AF1917" s="1792"/>
    </row>
    <row r="1918" spans="1:32" ht="27.75" customHeight="1">
      <c r="A1918" s="2899" t="s">
        <v>3416</v>
      </c>
      <c r="B1918" s="2901" t="s">
        <v>2426</v>
      </c>
      <c r="C1918" s="2903" t="s">
        <v>52</v>
      </c>
      <c r="D1918" s="2905">
        <v>4381.3</v>
      </c>
      <c r="E1918" s="1810" t="s">
        <v>2496</v>
      </c>
      <c r="F1918" s="1811"/>
      <c r="G1918" s="1811"/>
      <c r="H1918" s="1811"/>
      <c r="I1918" s="1811"/>
      <c r="J1918" s="1811"/>
      <c r="K1918" s="1811"/>
      <c r="L1918" s="1811"/>
      <c r="M1918" s="1811"/>
      <c r="N1918" s="1811"/>
      <c r="O1918" s="1811"/>
      <c r="P1918" s="1811"/>
      <c r="Q1918" s="1812"/>
      <c r="R1918" s="1811"/>
      <c r="S1918" s="1811"/>
      <c r="T1918" s="1812"/>
      <c r="U1918" s="1812"/>
      <c r="V1918" s="1812"/>
      <c r="W1918" s="1812"/>
      <c r="X1918" s="1812"/>
      <c r="Y1918" s="1812"/>
      <c r="Z1918" s="1812"/>
      <c r="AA1918" s="1585">
        <f>D1918</f>
        <v>4381.3</v>
      </c>
      <c r="AB1918" s="1812"/>
      <c r="AC1918" s="1812"/>
      <c r="AD1918" s="1601">
        <f t="shared" si="171"/>
        <v>4381.3</v>
      </c>
      <c r="AE1918" s="1790">
        <v>0</v>
      </c>
      <c r="AF1918" s="1792"/>
    </row>
    <row r="1919" spans="1:32" ht="27.75" customHeight="1">
      <c r="A1919" s="2900" t="s">
        <v>3416</v>
      </c>
      <c r="B1919" s="2902" t="s">
        <v>3417</v>
      </c>
      <c r="C1919" s="2904" t="s">
        <v>52</v>
      </c>
      <c r="D1919" s="2906">
        <v>4381.3</v>
      </c>
      <c r="E1919" s="1603" t="s">
        <v>2497</v>
      </c>
      <c r="F1919" s="1583"/>
      <c r="G1919" s="1583"/>
      <c r="H1919" s="1583"/>
      <c r="I1919" s="1583"/>
      <c r="J1919" s="1583"/>
      <c r="K1919" s="1583"/>
      <c r="L1919" s="1583"/>
      <c r="M1919" s="1583"/>
      <c r="N1919" s="1583"/>
      <c r="O1919" s="1583"/>
      <c r="P1919" s="1583"/>
      <c r="Q1919" s="1604"/>
      <c r="R1919" s="1583"/>
      <c r="S1919" s="1583"/>
      <c r="T1919" s="1604"/>
      <c r="U1919" s="1592"/>
      <c r="V1919" s="1585"/>
      <c r="W1919" s="1585"/>
      <c r="X1919" s="1585"/>
      <c r="Y1919" s="1592"/>
      <c r="Z1919" s="1585"/>
      <c r="AA1919" s="1585"/>
      <c r="AB1919" s="1585"/>
      <c r="AC1919" s="1585"/>
      <c r="AD1919" s="1601">
        <f t="shared" si="171"/>
        <v>0</v>
      </c>
      <c r="AE1919" s="1790">
        <v>0</v>
      </c>
      <c r="AF1919" s="1792"/>
    </row>
    <row r="1920" spans="1:32" ht="27.75" customHeight="1">
      <c r="A1920" s="2899" t="s">
        <v>3418</v>
      </c>
      <c r="B1920" s="2901" t="s">
        <v>2427</v>
      </c>
      <c r="C1920" s="2903" t="s">
        <v>52</v>
      </c>
      <c r="D1920" s="2905">
        <v>2250.1499999999996</v>
      </c>
      <c r="E1920" s="1810" t="s">
        <v>2496</v>
      </c>
      <c r="F1920" s="1811"/>
      <c r="G1920" s="1811"/>
      <c r="H1920" s="1811"/>
      <c r="I1920" s="1811"/>
      <c r="J1920" s="1811"/>
      <c r="K1920" s="1811"/>
      <c r="L1920" s="1811"/>
      <c r="M1920" s="1811"/>
      <c r="N1920" s="1811"/>
      <c r="O1920" s="1811"/>
      <c r="P1920" s="1811"/>
      <c r="Q1920" s="1812"/>
      <c r="R1920" s="1811"/>
      <c r="S1920" s="1811"/>
      <c r="T1920" s="1812"/>
      <c r="U1920" s="1812"/>
      <c r="V1920" s="1812"/>
      <c r="W1920" s="1812"/>
      <c r="X1920" s="1812"/>
      <c r="Y1920" s="1812"/>
      <c r="Z1920" s="1812"/>
      <c r="AA1920" s="1585">
        <f>D1920</f>
        <v>2250.1499999999996</v>
      </c>
      <c r="AB1920" s="1812"/>
      <c r="AC1920" s="1812"/>
      <c r="AD1920" s="1601">
        <f t="shared" si="171"/>
        <v>2250.1499999999996</v>
      </c>
      <c r="AE1920" s="1790">
        <v>0</v>
      </c>
      <c r="AF1920" s="1792"/>
    </row>
    <row r="1921" spans="1:32" ht="27.75" customHeight="1">
      <c r="A1921" s="2900" t="s">
        <v>3418</v>
      </c>
      <c r="B1921" s="2902" t="s">
        <v>3419</v>
      </c>
      <c r="C1921" s="2904" t="s">
        <v>52</v>
      </c>
      <c r="D1921" s="2906">
        <v>2250.1499999999996</v>
      </c>
      <c r="E1921" s="1603" t="s">
        <v>2497</v>
      </c>
      <c r="F1921" s="1583"/>
      <c r="G1921" s="1583"/>
      <c r="H1921" s="1583"/>
      <c r="I1921" s="1583"/>
      <c r="J1921" s="1583"/>
      <c r="K1921" s="1583"/>
      <c r="L1921" s="1583"/>
      <c r="M1921" s="1583"/>
      <c r="N1921" s="1583"/>
      <c r="O1921" s="1583"/>
      <c r="P1921" s="1583"/>
      <c r="Q1921" s="1604"/>
      <c r="R1921" s="1583"/>
      <c r="S1921" s="1583"/>
      <c r="T1921" s="1604"/>
      <c r="U1921" s="1592"/>
      <c r="V1921" s="1585"/>
      <c r="W1921" s="1585"/>
      <c r="X1921" s="1585"/>
      <c r="Y1921" s="1592"/>
      <c r="Z1921" s="1585"/>
      <c r="AA1921" s="1585"/>
      <c r="AB1921" s="1585"/>
      <c r="AC1921" s="1585"/>
      <c r="AD1921" s="1601">
        <f t="shared" si="171"/>
        <v>0</v>
      </c>
      <c r="AE1921" s="1790">
        <v>0</v>
      </c>
      <c r="AF1921" s="1792"/>
    </row>
    <row r="1922" spans="1:32" ht="27.75" customHeight="1">
      <c r="A1922" s="2899" t="s">
        <v>3420</v>
      </c>
      <c r="B1922" s="2901" t="s">
        <v>2429</v>
      </c>
      <c r="C1922" s="2903" t="s">
        <v>52</v>
      </c>
      <c r="D1922" s="2905">
        <v>23520.32</v>
      </c>
      <c r="E1922" s="1810" t="s">
        <v>2496</v>
      </c>
      <c r="F1922" s="1811"/>
      <c r="G1922" s="1811"/>
      <c r="H1922" s="1811"/>
      <c r="I1922" s="1811"/>
      <c r="J1922" s="1811"/>
      <c r="K1922" s="1811"/>
      <c r="L1922" s="1811"/>
      <c r="M1922" s="1811"/>
      <c r="N1922" s="1811"/>
      <c r="O1922" s="1811"/>
      <c r="P1922" s="1811"/>
      <c r="Q1922" s="1812"/>
      <c r="R1922" s="1811"/>
      <c r="S1922" s="1811"/>
      <c r="T1922" s="1812"/>
      <c r="U1922" s="1812"/>
      <c r="V1922" s="1812"/>
      <c r="W1922" s="1812"/>
      <c r="X1922" s="1812"/>
      <c r="Y1922" s="1812"/>
      <c r="Z1922" s="1812"/>
      <c r="AA1922" s="1585">
        <f>D1922</f>
        <v>23520.32</v>
      </c>
      <c r="AB1922" s="1812"/>
      <c r="AC1922" s="1812"/>
      <c r="AD1922" s="1601">
        <f t="shared" si="171"/>
        <v>23520.32</v>
      </c>
      <c r="AE1922" s="1790">
        <v>0</v>
      </c>
      <c r="AF1922" s="1792"/>
    </row>
    <row r="1923" spans="1:32" ht="27.75" customHeight="1">
      <c r="A1923" s="2900" t="s">
        <v>3420</v>
      </c>
      <c r="B1923" s="2902" t="s">
        <v>3421</v>
      </c>
      <c r="C1923" s="2904" t="s">
        <v>52</v>
      </c>
      <c r="D1923" s="2906">
        <v>23520.32</v>
      </c>
      <c r="E1923" s="1603" t="s">
        <v>2497</v>
      </c>
      <c r="F1923" s="1583"/>
      <c r="G1923" s="1583"/>
      <c r="H1923" s="1583"/>
      <c r="I1923" s="1583"/>
      <c r="J1923" s="1583"/>
      <c r="K1923" s="1583"/>
      <c r="L1923" s="1583"/>
      <c r="M1923" s="1583"/>
      <c r="N1923" s="1583"/>
      <c r="O1923" s="1583"/>
      <c r="P1923" s="1583"/>
      <c r="Q1923" s="1604"/>
      <c r="R1923" s="1583"/>
      <c r="S1923" s="1583"/>
      <c r="T1923" s="1604"/>
      <c r="U1923" s="1592"/>
      <c r="V1923" s="1585"/>
      <c r="W1923" s="1585"/>
      <c r="X1923" s="1585"/>
      <c r="Y1923" s="1592"/>
      <c r="Z1923" s="1585"/>
      <c r="AA1923" s="1585"/>
      <c r="AB1923" s="1585"/>
      <c r="AC1923" s="1585"/>
      <c r="AD1923" s="1601">
        <f t="shared" si="171"/>
        <v>0</v>
      </c>
      <c r="AE1923" s="1790">
        <v>0</v>
      </c>
      <c r="AF1923" s="1792"/>
    </row>
    <row r="1924" spans="1:32" ht="27.75" customHeight="1">
      <c r="A1924" s="2899" t="s">
        <v>3422</v>
      </c>
      <c r="B1924" s="2901" t="s">
        <v>2430</v>
      </c>
      <c r="C1924" s="2903" t="s">
        <v>52</v>
      </c>
      <c r="D1924" s="2905">
        <v>1620.04</v>
      </c>
      <c r="E1924" s="1598" t="s">
        <v>2496</v>
      </c>
      <c r="F1924" s="1583"/>
      <c r="G1924" s="1583"/>
      <c r="H1924" s="1583"/>
      <c r="I1924" s="1583"/>
      <c r="J1924" s="1583"/>
      <c r="K1924" s="1583"/>
      <c r="L1924" s="1583"/>
      <c r="M1924" s="1583"/>
      <c r="N1924" s="1583"/>
      <c r="O1924" s="1583"/>
      <c r="P1924" s="1583"/>
      <c r="Q1924" s="1585"/>
      <c r="R1924" s="1583"/>
      <c r="S1924" s="1583"/>
      <c r="T1924" s="1585"/>
      <c r="U1924" s="1585"/>
      <c r="V1924" s="1585"/>
      <c r="W1924" s="1585"/>
      <c r="X1924" s="1585"/>
      <c r="Y1924" s="1585"/>
      <c r="Z1924" s="1585"/>
      <c r="AA1924" s="1585">
        <f>D1924</f>
        <v>1620.04</v>
      </c>
      <c r="AB1924" s="1585"/>
      <c r="AC1924" s="1585"/>
      <c r="AD1924" s="1601">
        <f t="shared" si="171"/>
        <v>1620.04</v>
      </c>
      <c r="AE1924" s="1790">
        <v>0</v>
      </c>
      <c r="AF1924" s="1792"/>
    </row>
    <row r="1925" spans="1:32" ht="27.75" customHeight="1">
      <c r="A1925" s="2900" t="s">
        <v>3422</v>
      </c>
      <c r="B1925" s="2902" t="s">
        <v>3423</v>
      </c>
      <c r="C1925" s="2904" t="s">
        <v>52</v>
      </c>
      <c r="D1925" s="2906">
        <v>1620.04</v>
      </c>
      <c r="E1925" s="1603" t="s">
        <v>2497</v>
      </c>
      <c r="F1925" s="1583"/>
      <c r="G1925" s="1583"/>
      <c r="H1925" s="1583"/>
      <c r="I1925" s="1583"/>
      <c r="J1925" s="1583"/>
      <c r="K1925" s="1583"/>
      <c r="L1925" s="1583"/>
      <c r="M1925" s="1583"/>
      <c r="N1925" s="1583"/>
      <c r="O1925" s="1583"/>
      <c r="P1925" s="1583"/>
      <c r="Q1925" s="1604"/>
      <c r="R1925" s="1583"/>
      <c r="S1925" s="1583"/>
      <c r="T1925" s="1604"/>
      <c r="U1925" s="1585"/>
      <c r="V1925" s="1585"/>
      <c r="W1925" s="1585"/>
      <c r="X1925" s="1585"/>
      <c r="Y1925" s="1585"/>
      <c r="Z1925" s="1585"/>
      <c r="AA1925" s="1585"/>
      <c r="AB1925" s="1585"/>
      <c r="AC1925" s="1585"/>
      <c r="AD1925" s="1601">
        <f t="shared" si="171"/>
        <v>0</v>
      </c>
      <c r="AE1925" s="1790">
        <v>0</v>
      </c>
      <c r="AF1925" s="1792"/>
    </row>
    <row r="1926" spans="1:32" ht="27.75" customHeight="1">
      <c r="A1926" s="2899" t="s">
        <v>3424</v>
      </c>
      <c r="B1926" s="2901" t="s">
        <v>2431</v>
      </c>
      <c r="C1926" s="2903" t="s">
        <v>52</v>
      </c>
      <c r="D1926" s="2905">
        <v>438.90000000000003</v>
      </c>
      <c r="E1926" s="1810" t="s">
        <v>2496</v>
      </c>
      <c r="F1926" s="1811"/>
      <c r="G1926" s="1811"/>
      <c r="H1926" s="1811"/>
      <c r="I1926" s="1811"/>
      <c r="J1926" s="1811"/>
      <c r="K1926" s="1811"/>
      <c r="L1926" s="1811"/>
      <c r="M1926" s="1811"/>
      <c r="N1926" s="1811"/>
      <c r="O1926" s="1811"/>
      <c r="P1926" s="1811"/>
      <c r="Q1926" s="1812"/>
      <c r="R1926" s="1811"/>
      <c r="S1926" s="1811"/>
      <c r="T1926" s="1812"/>
      <c r="U1926" s="1812"/>
      <c r="V1926" s="1812"/>
      <c r="W1926" s="1812"/>
      <c r="X1926" s="1812"/>
      <c r="Y1926" s="1812"/>
      <c r="Z1926" s="1812"/>
      <c r="AA1926" s="1585">
        <f>D1926</f>
        <v>438.90000000000003</v>
      </c>
      <c r="AB1926" s="1812"/>
      <c r="AC1926" s="1812"/>
      <c r="AD1926" s="1601">
        <f t="shared" si="171"/>
        <v>438.90000000000003</v>
      </c>
      <c r="AE1926" s="1790">
        <v>0</v>
      </c>
      <c r="AF1926" s="1792"/>
    </row>
    <row r="1927" spans="1:32" ht="27.75" customHeight="1">
      <c r="A1927" s="2900" t="s">
        <v>3424</v>
      </c>
      <c r="B1927" s="2902" t="s">
        <v>3425</v>
      </c>
      <c r="C1927" s="2904" t="s">
        <v>52</v>
      </c>
      <c r="D1927" s="2906">
        <v>438.90000000000003</v>
      </c>
      <c r="E1927" s="1603" t="s">
        <v>2497</v>
      </c>
      <c r="F1927" s="1583"/>
      <c r="G1927" s="1583"/>
      <c r="H1927" s="1583"/>
      <c r="I1927" s="1583"/>
      <c r="J1927" s="1583"/>
      <c r="K1927" s="1583"/>
      <c r="L1927" s="1583"/>
      <c r="M1927" s="1583"/>
      <c r="N1927" s="1583"/>
      <c r="O1927" s="1583"/>
      <c r="P1927" s="1583"/>
      <c r="Q1927" s="1604"/>
      <c r="R1927" s="1583"/>
      <c r="S1927" s="1583"/>
      <c r="T1927" s="1604"/>
      <c r="U1927" s="1592"/>
      <c r="V1927" s="1585"/>
      <c r="W1927" s="1585"/>
      <c r="X1927" s="1585"/>
      <c r="Y1927" s="1592"/>
      <c r="Z1927" s="1585"/>
      <c r="AA1927" s="1585"/>
      <c r="AB1927" s="1585"/>
      <c r="AC1927" s="1585"/>
      <c r="AD1927" s="1601">
        <f t="shared" si="171"/>
        <v>0</v>
      </c>
      <c r="AE1927" s="1790">
        <v>0</v>
      </c>
      <c r="AF1927" s="1792"/>
    </row>
    <row r="1928" spans="1:32" ht="27.75" customHeight="1">
      <c r="A1928" s="2899" t="s">
        <v>3426</v>
      </c>
      <c r="B1928" s="2901" t="s">
        <v>2432</v>
      </c>
      <c r="C1928" s="2903" t="s">
        <v>52</v>
      </c>
      <c r="D1928" s="2905">
        <v>585.20000000000005</v>
      </c>
      <c r="E1928" s="1810" t="s">
        <v>2496</v>
      </c>
      <c r="F1928" s="1811"/>
      <c r="G1928" s="1811"/>
      <c r="H1928" s="1811"/>
      <c r="I1928" s="1811"/>
      <c r="J1928" s="1811"/>
      <c r="K1928" s="1811"/>
      <c r="L1928" s="1811"/>
      <c r="M1928" s="1811"/>
      <c r="N1928" s="1811"/>
      <c r="O1928" s="1811"/>
      <c r="P1928" s="1811"/>
      <c r="Q1928" s="1812"/>
      <c r="R1928" s="1811"/>
      <c r="S1928" s="1811"/>
      <c r="T1928" s="1812"/>
      <c r="U1928" s="1812"/>
      <c r="V1928" s="1812"/>
      <c r="W1928" s="1812"/>
      <c r="X1928" s="1812"/>
      <c r="Y1928" s="1812"/>
      <c r="Z1928" s="1812"/>
      <c r="AA1928" s="1585">
        <f>D1928</f>
        <v>585.20000000000005</v>
      </c>
      <c r="AB1928" s="1812"/>
      <c r="AC1928" s="1812"/>
      <c r="AD1928" s="1601">
        <f t="shared" si="171"/>
        <v>585.20000000000005</v>
      </c>
      <c r="AE1928" s="1790">
        <v>0</v>
      </c>
      <c r="AF1928" s="1792"/>
    </row>
    <row r="1929" spans="1:32" ht="27.75" customHeight="1">
      <c r="A1929" s="2900" t="s">
        <v>3426</v>
      </c>
      <c r="B1929" s="2902" t="s">
        <v>3427</v>
      </c>
      <c r="C1929" s="2904" t="s">
        <v>52</v>
      </c>
      <c r="D1929" s="2906">
        <v>585.20000000000005</v>
      </c>
      <c r="E1929" s="1603" t="s">
        <v>2497</v>
      </c>
      <c r="F1929" s="1583"/>
      <c r="G1929" s="1583"/>
      <c r="H1929" s="1583"/>
      <c r="I1929" s="1583"/>
      <c r="J1929" s="1583"/>
      <c r="K1929" s="1583"/>
      <c r="L1929" s="1583"/>
      <c r="M1929" s="1583"/>
      <c r="N1929" s="1583"/>
      <c r="O1929" s="1583"/>
      <c r="P1929" s="1583"/>
      <c r="Q1929" s="1604"/>
      <c r="R1929" s="1583"/>
      <c r="S1929" s="1583"/>
      <c r="T1929" s="1604"/>
      <c r="U1929" s="1592"/>
      <c r="V1929" s="1585"/>
      <c r="W1929" s="1585"/>
      <c r="X1929" s="1585"/>
      <c r="Y1929" s="1592"/>
      <c r="Z1929" s="1585"/>
      <c r="AA1929" s="1585"/>
      <c r="AB1929" s="1585"/>
      <c r="AC1929" s="1585"/>
      <c r="AD1929" s="1601">
        <f t="shared" si="171"/>
        <v>0</v>
      </c>
      <c r="AE1929" s="1790">
        <v>0</v>
      </c>
      <c r="AF1929" s="1792"/>
    </row>
    <row r="1930" spans="1:32" ht="27.75" customHeight="1">
      <c r="A1930" s="2899" t="s">
        <v>3428</v>
      </c>
      <c r="B1930" s="2901" t="s">
        <v>2433</v>
      </c>
      <c r="C1930" s="2903" t="s">
        <v>52</v>
      </c>
      <c r="D1930" s="2905">
        <v>2764.32</v>
      </c>
      <c r="E1930" s="1598" t="s">
        <v>2496</v>
      </c>
      <c r="F1930" s="1583"/>
      <c r="G1930" s="1583"/>
      <c r="H1930" s="1583"/>
      <c r="I1930" s="1583"/>
      <c r="J1930" s="1583"/>
      <c r="K1930" s="1583"/>
      <c r="L1930" s="1583"/>
      <c r="M1930" s="1583"/>
      <c r="N1930" s="1583"/>
      <c r="O1930" s="1583"/>
      <c r="P1930" s="1583"/>
      <c r="Q1930" s="1585"/>
      <c r="R1930" s="1583"/>
      <c r="S1930" s="1583"/>
      <c r="T1930" s="1585"/>
      <c r="U1930" s="1585"/>
      <c r="V1930" s="1585"/>
      <c r="W1930" s="1585"/>
      <c r="X1930" s="1585"/>
      <c r="Y1930" s="1585"/>
      <c r="Z1930" s="1585"/>
      <c r="AA1930" s="1585">
        <f>D1930</f>
        <v>2764.32</v>
      </c>
      <c r="AB1930" s="1585"/>
      <c r="AC1930" s="1585"/>
      <c r="AD1930" s="1601">
        <f t="shared" si="171"/>
        <v>2764.32</v>
      </c>
      <c r="AE1930" s="1790">
        <v>0</v>
      </c>
      <c r="AF1930" s="1792"/>
    </row>
    <row r="1931" spans="1:32" ht="27.75" customHeight="1">
      <c r="A1931" s="2900" t="s">
        <v>3428</v>
      </c>
      <c r="B1931" s="2902" t="s">
        <v>3429</v>
      </c>
      <c r="C1931" s="2904" t="s">
        <v>52</v>
      </c>
      <c r="D1931" s="2906">
        <v>2764.32</v>
      </c>
      <c r="E1931" s="1603" t="s">
        <v>2497</v>
      </c>
      <c r="F1931" s="1583"/>
      <c r="G1931" s="1583"/>
      <c r="H1931" s="1583"/>
      <c r="I1931" s="1583"/>
      <c r="J1931" s="1583"/>
      <c r="K1931" s="1583"/>
      <c r="L1931" s="1583"/>
      <c r="M1931" s="1583"/>
      <c r="N1931" s="1583"/>
      <c r="O1931" s="1583"/>
      <c r="P1931" s="1583"/>
      <c r="Q1931" s="1604"/>
      <c r="R1931" s="1583"/>
      <c r="S1931" s="1583"/>
      <c r="T1931" s="1604"/>
      <c r="U1931" s="1585"/>
      <c r="V1931" s="1585"/>
      <c r="W1931" s="1585"/>
      <c r="X1931" s="1585"/>
      <c r="Y1931" s="1585"/>
      <c r="Z1931" s="1585"/>
      <c r="AA1931" s="1585"/>
      <c r="AB1931" s="1585"/>
      <c r="AC1931" s="1585"/>
      <c r="AD1931" s="1601">
        <f t="shared" si="171"/>
        <v>0</v>
      </c>
      <c r="AE1931" s="1790">
        <v>0</v>
      </c>
      <c r="AF1931" s="1792"/>
    </row>
    <row r="1932" spans="1:32" ht="27.75" customHeight="1">
      <c r="A1932" s="2899" t="s">
        <v>3430</v>
      </c>
      <c r="B1932" s="2901" t="s">
        <v>2434</v>
      </c>
      <c r="C1932" s="2903" t="s">
        <v>52</v>
      </c>
      <c r="D1932" s="2905">
        <v>550.54999999999995</v>
      </c>
      <c r="E1932" s="1810" t="s">
        <v>2496</v>
      </c>
      <c r="F1932" s="1811"/>
      <c r="G1932" s="1811"/>
      <c r="H1932" s="1811"/>
      <c r="I1932" s="1811"/>
      <c r="J1932" s="1811"/>
      <c r="K1932" s="1811"/>
      <c r="L1932" s="1811"/>
      <c r="M1932" s="1811"/>
      <c r="N1932" s="1811"/>
      <c r="O1932" s="1811"/>
      <c r="P1932" s="1811"/>
      <c r="Q1932" s="1812"/>
      <c r="R1932" s="1811"/>
      <c r="S1932" s="1811"/>
      <c r="T1932" s="1812"/>
      <c r="U1932" s="1812"/>
      <c r="V1932" s="1812"/>
      <c r="W1932" s="1812"/>
      <c r="X1932" s="1812"/>
      <c r="Y1932" s="1812"/>
      <c r="Z1932" s="1812"/>
      <c r="AA1932" s="1585">
        <f>D1932</f>
        <v>550.54999999999995</v>
      </c>
      <c r="AB1932" s="1812"/>
      <c r="AC1932" s="1812"/>
      <c r="AD1932" s="1601">
        <f t="shared" si="171"/>
        <v>550.54999999999995</v>
      </c>
      <c r="AE1932" s="1790">
        <v>0</v>
      </c>
      <c r="AF1932" s="1792"/>
    </row>
    <row r="1933" spans="1:32" ht="27.75" customHeight="1">
      <c r="A1933" s="2900" t="s">
        <v>3430</v>
      </c>
      <c r="B1933" s="2902" t="s">
        <v>3431</v>
      </c>
      <c r="C1933" s="2904" t="s">
        <v>52</v>
      </c>
      <c r="D1933" s="2906">
        <v>550.54999999999995</v>
      </c>
      <c r="E1933" s="1603" t="s">
        <v>2497</v>
      </c>
      <c r="F1933" s="1583"/>
      <c r="G1933" s="1583"/>
      <c r="H1933" s="1583"/>
      <c r="I1933" s="1583"/>
      <c r="J1933" s="1583"/>
      <c r="K1933" s="1583"/>
      <c r="L1933" s="1583"/>
      <c r="M1933" s="1583"/>
      <c r="N1933" s="1583"/>
      <c r="O1933" s="1583"/>
      <c r="P1933" s="1583"/>
      <c r="Q1933" s="1604"/>
      <c r="R1933" s="1583"/>
      <c r="S1933" s="1583"/>
      <c r="T1933" s="1604"/>
      <c r="U1933" s="1592"/>
      <c r="V1933" s="1585"/>
      <c r="W1933" s="1585"/>
      <c r="X1933" s="1585"/>
      <c r="Y1933" s="1592"/>
      <c r="Z1933" s="1585"/>
      <c r="AA1933" s="1585"/>
      <c r="AB1933" s="1585"/>
      <c r="AC1933" s="1585"/>
      <c r="AD1933" s="1601">
        <f t="shared" si="171"/>
        <v>0</v>
      </c>
      <c r="AE1933" s="1790">
        <v>0</v>
      </c>
      <c r="AF1933" s="1792"/>
    </row>
    <row r="1934" spans="1:32" ht="27.75" customHeight="1">
      <c r="A1934" s="2899" t="s">
        <v>3432</v>
      </c>
      <c r="B1934" s="2901" t="s">
        <v>2428</v>
      </c>
      <c r="C1934" s="2903" t="s">
        <v>52</v>
      </c>
      <c r="D1934" s="2905">
        <v>4345.04</v>
      </c>
      <c r="E1934" s="1598" t="s">
        <v>2496</v>
      </c>
      <c r="F1934" s="1583"/>
      <c r="G1934" s="1583"/>
      <c r="H1934" s="1583"/>
      <c r="I1934" s="1583"/>
      <c r="J1934" s="1583"/>
      <c r="K1934" s="1583"/>
      <c r="L1934" s="1583"/>
      <c r="M1934" s="1583"/>
      <c r="N1934" s="1583"/>
      <c r="O1934" s="1583"/>
      <c r="P1934" s="1583"/>
      <c r="Q1934" s="1585"/>
      <c r="R1934" s="1583"/>
      <c r="S1934" s="1583"/>
      <c r="T1934" s="1585"/>
      <c r="U1934" s="1585"/>
      <c r="V1934" s="1585"/>
      <c r="W1934" s="1585"/>
      <c r="X1934" s="1585"/>
      <c r="Y1934" s="1585"/>
      <c r="Z1934" s="1585"/>
      <c r="AA1934" s="1585">
        <f>D1934</f>
        <v>4345.04</v>
      </c>
      <c r="AB1934" s="1585"/>
      <c r="AC1934" s="1585"/>
      <c r="AD1934" s="1601">
        <f t="shared" si="171"/>
        <v>4345.04</v>
      </c>
      <c r="AE1934" s="1790">
        <v>0</v>
      </c>
      <c r="AF1934" s="1792"/>
    </row>
    <row r="1935" spans="1:32" ht="27.75" customHeight="1">
      <c r="A1935" s="2900" t="s">
        <v>3432</v>
      </c>
      <c r="B1935" s="2902" t="s">
        <v>3433</v>
      </c>
      <c r="C1935" s="2904" t="s">
        <v>52</v>
      </c>
      <c r="D1935" s="2906">
        <v>4345.04</v>
      </c>
      <c r="E1935" s="1603" t="s">
        <v>2497</v>
      </c>
      <c r="F1935" s="1583"/>
      <c r="G1935" s="1583"/>
      <c r="H1935" s="1583"/>
      <c r="I1935" s="1583"/>
      <c r="J1935" s="1583"/>
      <c r="K1935" s="1583"/>
      <c r="L1935" s="1583"/>
      <c r="M1935" s="1583"/>
      <c r="N1935" s="1583"/>
      <c r="O1935" s="1583"/>
      <c r="P1935" s="1583"/>
      <c r="Q1935" s="1604"/>
      <c r="R1935" s="1583"/>
      <c r="S1935" s="1583"/>
      <c r="T1935" s="1604"/>
      <c r="U1935" s="1585"/>
      <c r="V1935" s="1585"/>
      <c r="W1935" s="1585"/>
      <c r="X1935" s="1585"/>
      <c r="Y1935" s="1585"/>
      <c r="Z1935" s="1585"/>
      <c r="AA1935" s="1585"/>
      <c r="AB1935" s="1585"/>
      <c r="AC1935" s="1585"/>
      <c r="AD1935" s="1601">
        <f t="shared" si="171"/>
        <v>0</v>
      </c>
      <c r="AE1935" s="1790">
        <v>0</v>
      </c>
      <c r="AF1935" s="1792"/>
    </row>
    <row r="1936" spans="1:32" ht="27.75" customHeight="1">
      <c r="A1936" s="2899" t="s">
        <v>3434</v>
      </c>
      <c r="B1936" s="2901" t="s">
        <v>4109</v>
      </c>
      <c r="C1936" s="2903" t="s">
        <v>52</v>
      </c>
      <c r="D1936" s="2905">
        <v>1275.03</v>
      </c>
      <c r="E1936" s="1810" t="s">
        <v>2496</v>
      </c>
      <c r="F1936" s="1811"/>
      <c r="G1936" s="1811"/>
      <c r="H1936" s="1811"/>
      <c r="I1936" s="1811"/>
      <c r="J1936" s="1811"/>
      <c r="K1936" s="1811"/>
      <c r="L1936" s="1811"/>
      <c r="M1936" s="1811"/>
      <c r="N1936" s="1811"/>
      <c r="O1936" s="1811"/>
      <c r="P1936" s="1811"/>
      <c r="Q1936" s="1812"/>
      <c r="R1936" s="1811"/>
      <c r="S1936" s="1811"/>
      <c r="T1936" s="1812"/>
      <c r="U1936" s="1812"/>
      <c r="V1936" s="1812"/>
      <c r="W1936" s="1812"/>
      <c r="X1936" s="1812"/>
      <c r="Y1936" s="1812"/>
      <c r="Z1936" s="1812"/>
      <c r="AA1936" s="1585">
        <f>D1936</f>
        <v>1275.03</v>
      </c>
      <c r="AB1936" s="1812"/>
      <c r="AC1936" s="1812"/>
      <c r="AD1936" s="1601">
        <f t="shared" si="171"/>
        <v>1275.03</v>
      </c>
      <c r="AE1936" s="1790">
        <v>0</v>
      </c>
      <c r="AF1936" s="1792"/>
    </row>
    <row r="1937" spans="1:32" ht="27.75" customHeight="1">
      <c r="A1937" s="2900" t="s">
        <v>3436</v>
      </c>
      <c r="B1937" s="2902" t="s">
        <v>3437</v>
      </c>
      <c r="C1937" s="2904"/>
      <c r="D1937" s="2906">
        <v>0</v>
      </c>
      <c r="E1937" s="1603" t="s">
        <v>2497</v>
      </c>
      <c r="F1937" s="1583"/>
      <c r="G1937" s="1583"/>
      <c r="H1937" s="1583"/>
      <c r="I1937" s="1583"/>
      <c r="J1937" s="1583"/>
      <c r="K1937" s="1583"/>
      <c r="L1937" s="1583"/>
      <c r="M1937" s="1583"/>
      <c r="N1937" s="1583"/>
      <c r="O1937" s="1583"/>
      <c r="P1937" s="1583"/>
      <c r="Q1937" s="1604"/>
      <c r="R1937" s="1583"/>
      <c r="S1937" s="1583"/>
      <c r="T1937" s="1604"/>
      <c r="U1937" s="1592"/>
      <c r="V1937" s="1585"/>
      <c r="W1937" s="1585"/>
      <c r="X1937" s="1585"/>
      <c r="Y1937" s="1592"/>
      <c r="Z1937" s="1585"/>
      <c r="AA1937" s="1585"/>
      <c r="AB1937" s="1585"/>
      <c r="AC1937" s="1585"/>
      <c r="AD1937" s="1601">
        <f t="shared" ref="AD1937:AD2000" si="172">SUM(F1937:AC1937)</f>
        <v>0</v>
      </c>
      <c r="AE1937" s="1790">
        <v>0</v>
      </c>
      <c r="AF1937" s="1792"/>
    </row>
    <row r="1938" spans="1:32" ht="27.75" customHeight="1">
      <c r="A1938" s="1647" t="s">
        <v>3436</v>
      </c>
      <c r="B1938" s="1647" t="s">
        <v>4110</v>
      </c>
      <c r="C1938" s="1803"/>
      <c r="D1938" s="1804"/>
      <c r="E1938" s="1813"/>
      <c r="F1938" s="1811"/>
      <c r="G1938" s="1811"/>
      <c r="H1938" s="1811"/>
      <c r="I1938" s="1811"/>
      <c r="J1938" s="1811"/>
      <c r="K1938" s="1811"/>
      <c r="L1938" s="1811"/>
      <c r="M1938" s="1811"/>
      <c r="N1938" s="1811"/>
      <c r="O1938" s="1811"/>
      <c r="P1938" s="1811"/>
      <c r="Q1938" s="1814"/>
      <c r="R1938" s="1811"/>
      <c r="S1938" s="1811"/>
      <c r="T1938" s="1814"/>
      <c r="U1938" s="1816"/>
      <c r="V1938" s="1812"/>
      <c r="W1938" s="1812"/>
      <c r="X1938" s="1812"/>
      <c r="Y1938" s="1816"/>
      <c r="Z1938" s="1812"/>
      <c r="AA1938" s="1812"/>
      <c r="AB1938" s="1812"/>
      <c r="AC1938" s="1812"/>
      <c r="AD1938" s="1601">
        <f t="shared" si="172"/>
        <v>0</v>
      </c>
      <c r="AE1938" s="1790">
        <v>0</v>
      </c>
      <c r="AF1938" s="1792"/>
    </row>
    <row r="1939" spans="1:32" ht="27.75" customHeight="1">
      <c r="A1939" s="2899" t="s">
        <v>3438</v>
      </c>
      <c r="B1939" s="2901" t="s">
        <v>4111</v>
      </c>
      <c r="C1939" s="2903" t="s">
        <v>52</v>
      </c>
      <c r="D1939" s="2905">
        <v>200213.88</v>
      </c>
      <c r="E1939" s="1810" t="s">
        <v>2496</v>
      </c>
      <c r="F1939" s="1811"/>
      <c r="G1939" s="1811"/>
      <c r="H1939" s="1811"/>
      <c r="I1939" s="1811"/>
      <c r="J1939" s="1811"/>
      <c r="K1939" s="1811"/>
      <c r="L1939" s="1811"/>
      <c r="M1939" s="1811"/>
      <c r="N1939" s="1811"/>
      <c r="O1939" s="1811"/>
      <c r="P1939" s="1811"/>
      <c r="Q1939" s="1812"/>
      <c r="R1939" s="1811"/>
      <c r="S1939" s="1811"/>
      <c r="T1939" s="1812"/>
      <c r="U1939" s="1812"/>
      <c r="V1939" s="1812"/>
      <c r="W1939" s="1812"/>
      <c r="X1939" s="1812"/>
      <c r="Y1939" s="1812"/>
      <c r="Z1939" s="1812"/>
      <c r="AA1939" s="1812"/>
      <c r="AB1939" s="1812"/>
      <c r="AC1939" s="1812">
        <v>200213.88</v>
      </c>
      <c r="AD1939" s="1601">
        <f t="shared" si="172"/>
        <v>200213.88</v>
      </c>
      <c r="AE1939" s="1790">
        <v>0</v>
      </c>
      <c r="AF1939" s="1792"/>
    </row>
    <row r="1940" spans="1:32" ht="27.75" customHeight="1">
      <c r="A1940" s="2900" t="s">
        <v>3438</v>
      </c>
      <c r="B1940" s="2902" t="s">
        <v>3439</v>
      </c>
      <c r="C1940" s="2904" t="s">
        <v>52</v>
      </c>
      <c r="D1940" s="2906">
        <v>200213.88</v>
      </c>
      <c r="E1940" s="1603" t="s">
        <v>2497</v>
      </c>
      <c r="F1940" s="1583"/>
      <c r="G1940" s="1583"/>
      <c r="H1940" s="1583"/>
      <c r="I1940" s="1583"/>
      <c r="J1940" s="1583"/>
      <c r="K1940" s="1583"/>
      <c r="L1940" s="1583"/>
      <c r="M1940" s="1583"/>
      <c r="N1940" s="1583"/>
      <c r="O1940" s="1583"/>
      <c r="P1940" s="1583"/>
      <c r="Q1940" s="1604"/>
      <c r="R1940" s="1583"/>
      <c r="S1940" s="1583"/>
      <c r="T1940" s="1604"/>
      <c r="U1940" s="1592"/>
      <c r="V1940" s="1585"/>
      <c r="W1940" s="1585"/>
      <c r="X1940" s="1585"/>
      <c r="Y1940" s="1592"/>
      <c r="Z1940" s="1585"/>
      <c r="AA1940" s="1585"/>
      <c r="AB1940" s="1585"/>
      <c r="AC1940" s="1585"/>
      <c r="AD1940" s="1601">
        <f t="shared" si="172"/>
        <v>0</v>
      </c>
      <c r="AE1940" s="1790">
        <v>0</v>
      </c>
      <c r="AF1940" s="1792"/>
    </row>
    <row r="1941" spans="1:32" ht="27.75" customHeight="1">
      <c r="A1941" s="2899" t="s">
        <v>3440</v>
      </c>
      <c r="B1941" s="2901" t="s">
        <v>4112</v>
      </c>
      <c r="C1941" s="2903" t="s">
        <v>52</v>
      </c>
      <c r="D1941" s="2905">
        <v>250427.76</v>
      </c>
      <c r="E1941" s="1810" t="s">
        <v>2496</v>
      </c>
      <c r="F1941" s="1811"/>
      <c r="G1941" s="1811"/>
      <c r="H1941" s="1811"/>
      <c r="I1941" s="1811"/>
      <c r="J1941" s="1811"/>
      <c r="K1941" s="1811"/>
      <c r="L1941" s="1811"/>
      <c r="M1941" s="1811"/>
      <c r="N1941" s="1811"/>
      <c r="O1941" s="1811"/>
      <c r="P1941" s="1811"/>
      <c r="Q1941" s="1812"/>
      <c r="R1941" s="1811"/>
      <c r="S1941" s="1811"/>
      <c r="T1941" s="1812"/>
      <c r="U1941" s="1812"/>
      <c r="V1941" s="1812"/>
      <c r="W1941" s="1812"/>
      <c r="X1941" s="1812"/>
      <c r="Y1941" s="1812"/>
      <c r="Z1941" s="1812"/>
      <c r="AA1941" s="1812"/>
      <c r="AB1941" s="1812"/>
      <c r="AC1941" s="1812">
        <v>250427.76</v>
      </c>
      <c r="AD1941" s="1601">
        <f t="shared" si="172"/>
        <v>250427.76</v>
      </c>
      <c r="AE1941" s="1790">
        <v>0</v>
      </c>
      <c r="AF1941" s="1792"/>
    </row>
    <row r="1942" spans="1:32" ht="27.75" customHeight="1">
      <c r="A1942" s="2900" t="s">
        <v>3440</v>
      </c>
      <c r="B1942" s="2902" t="s">
        <v>3441</v>
      </c>
      <c r="C1942" s="2904" t="s">
        <v>52</v>
      </c>
      <c r="D1942" s="2906">
        <v>250427.76</v>
      </c>
      <c r="E1942" s="1603" t="s">
        <v>2497</v>
      </c>
      <c r="F1942" s="1583"/>
      <c r="G1942" s="1583"/>
      <c r="H1942" s="1583"/>
      <c r="I1942" s="1583"/>
      <c r="J1942" s="1583"/>
      <c r="K1942" s="1583"/>
      <c r="L1942" s="1583"/>
      <c r="M1942" s="1583"/>
      <c r="N1942" s="1583"/>
      <c r="O1942" s="1583"/>
      <c r="P1942" s="1583"/>
      <c r="Q1942" s="1604"/>
      <c r="R1942" s="1583"/>
      <c r="S1942" s="1583"/>
      <c r="T1942" s="1604"/>
      <c r="U1942" s="1592"/>
      <c r="V1942" s="1585"/>
      <c r="W1942" s="1585"/>
      <c r="X1942" s="1585"/>
      <c r="Y1942" s="1592"/>
      <c r="Z1942" s="1585"/>
      <c r="AA1942" s="1585"/>
      <c r="AB1942" s="1585"/>
      <c r="AC1942" s="1585"/>
      <c r="AD1942" s="1601">
        <f t="shared" si="172"/>
        <v>0</v>
      </c>
      <c r="AE1942" s="1790">
        <v>0</v>
      </c>
      <c r="AF1942" s="1792"/>
    </row>
    <row r="1943" spans="1:32" ht="27.75" customHeight="1">
      <c r="A1943" s="1647" t="s">
        <v>3442</v>
      </c>
      <c r="B1943" s="1647" t="s">
        <v>4007</v>
      </c>
      <c r="C1943" s="1803"/>
      <c r="D1943" s="1804"/>
      <c r="E1943" s="1599"/>
      <c r="F1943" s="1583"/>
      <c r="G1943" s="1583"/>
      <c r="H1943" s="1583"/>
      <c r="I1943" s="1583"/>
      <c r="J1943" s="1583"/>
      <c r="K1943" s="1583"/>
      <c r="L1943" s="1583"/>
      <c r="M1943" s="1583"/>
      <c r="N1943" s="1583"/>
      <c r="O1943" s="1583"/>
      <c r="P1943" s="1583"/>
      <c r="Q1943" s="1604"/>
      <c r="R1943" s="1583"/>
      <c r="S1943" s="1583"/>
      <c r="T1943" s="1604"/>
      <c r="U1943" s="1592"/>
      <c r="V1943" s="1585"/>
      <c r="W1943" s="1585"/>
      <c r="X1943" s="1585"/>
      <c r="Y1943" s="1592"/>
      <c r="Z1943" s="1585"/>
      <c r="AA1943" s="1585"/>
      <c r="AB1943" s="1585"/>
      <c r="AC1943" s="1585"/>
      <c r="AD1943" s="1601">
        <f t="shared" si="172"/>
        <v>0</v>
      </c>
      <c r="AE1943" s="1790">
        <v>0</v>
      </c>
      <c r="AF1943" s="1792"/>
    </row>
    <row r="1944" spans="1:32" ht="27.75" customHeight="1">
      <c r="A1944" s="2899" t="s">
        <v>3444</v>
      </c>
      <c r="B1944" s="2901" t="s">
        <v>4113</v>
      </c>
      <c r="C1944" s="2903" t="s">
        <v>51</v>
      </c>
      <c r="D1944" s="2905">
        <v>4934.25</v>
      </c>
      <c r="E1944" s="1598" t="s">
        <v>2496</v>
      </c>
      <c r="F1944" s="1583"/>
      <c r="G1944" s="1583"/>
      <c r="H1944" s="1583"/>
      <c r="I1944" s="1583"/>
      <c r="J1944" s="1583"/>
      <c r="K1944" s="1583"/>
      <c r="L1944" s="1583"/>
      <c r="M1944" s="1583"/>
      <c r="N1944" s="1583"/>
      <c r="O1944" s="1583"/>
      <c r="P1944" s="1583"/>
      <c r="Q1944" s="1585"/>
      <c r="R1944" s="1583"/>
      <c r="S1944" s="1583"/>
      <c r="T1944" s="1585"/>
      <c r="U1944" s="1585"/>
      <c r="V1944" s="1585"/>
      <c r="W1944" s="1585"/>
      <c r="X1944" s="1585"/>
      <c r="Y1944" s="1585"/>
      <c r="Z1944" s="1585"/>
      <c r="AA1944" s="1585">
        <f>D1944</f>
        <v>4934.25</v>
      </c>
      <c r="AB1944" s="1585"/>
      <c r="AC1944" s="1585"/>
      <c r="AD1944" s="1601">
        <f t="shared" si="172"/>
        <v>4934.25</v>
      </c>
      <c r="AE1944" s="1790">
        <v>0</v>
      </c>
      <c r="AF1944" s="1792"/>
    </row>
    <row r="1945" spans="1:32" ht="27.75" customHeight="1">
      <c r="A1945" s="2900" t="s">
        <v>3444</v>
      </c>
      <c r="B1945" s="2902" t="s">
        <v>3445</v>
      </c>
      <c r="C1945" s="2904" t="s">
        <v>51</v>
      </c>
      <c r="D1945" s="2906">
        <v>4934.25</v>
      </c>
      <c r="E1945" s="1603" t="s">
        <v>2497</v>
      </c>
      <c r="F1945" s="1583"/>
      <c r="G1945" s="1583"/>
      <c r="H1945" s="1583"/>
      <c r="I1945" s="1583"/>
      <c r="J1945" s="1583"/>
      <c r="K1945" s="1583"/>
      <c r="L1945" s="1583"/>
      <c r="M1945" s="1583"/>
      <c r="N1945" s="1583"/>
      <c r="O1945" s="1583"/>
      <c r="P1945" s="1583"/>
      <c r="Q1945" s="1604"/>
      <c r="R1945" s="1583"/>
      <c r="S1945" s="1583"/>
      <c r="T1945" s="1604"/>
      <c r="U1945" s="1585"/>
      <c r="V1945" s="1585"/>
      <c r="W1945" s="1585"/>
      <c r="X1945" s="1585"/>
      <c r="Y1945" s="1585"/>
      <c r="Z1945" s="1585"/>
      <c r="AA1945" s="1585"/>
      <c r="AB1945" s="1585"/>
      <c r="AC1945" s="1585"/>
      <c r="AD1945" s="1601">
        <f t="shared" si="172"/>
        <v>0</v>
      </c>
      <c r="AE1945" s="1790">
        <v>0</v>
      </c>
      <c r="AF1945" s="1792"/>
    </row>
    <row r="1946" spans="1:32" ht="27.75" customHeight="1">
      <c r="A1946" s="1647" t="s">
        <v>3446</v>
      </c>
      <c r="B1946" s="1647" t="s">
        <v>4114</v>
      </c>
      <c r="C1946" s="1625"/>
      <c r="D1946" s="1597"/>
      <c r="E1946" s="1599"/>
      <c r="F1946" s="1811"/>
      <c r="G1946" s="1811"/>
      <c r="H1946" s="1811"/>
      <c r="I1946" s="1811"/>
      <c r="J1946" s="1811"/>
      <c r="K1946" s="1811"/>
      <c r="L1946" s="1811"/>
      <c r="M1946" s="1811"/>
      <c r="N1946" s="1811"/>
      <c r="O1946" s="1811"/>
      <c r="P1946" s="1811"/>
      <c r="Q1946" s="1814"/>
      <c r="R1946" s="1811"/>
      <c r="S1946" s="1811"/>
      <c r="T1946" s="1814"/>
      <c r="U1946" s="1812"/>
      <c r="V1946" s="1812"/>
      <c r="W1946" s="1812"/>
      <c r="X1946" s="1812"/>
      <c r="Y1946" s="1812"/>
      <c r="Z1946" s="1812"/>
      <c r="AA1946" s="1812"/>
      <c r="AB1946" s="1812"/>
      <c r="AC1946" s="1812"/>
      <c r="AD1946" s="1601">
        <f t="shared" si="172"/>
        <v>0</v>
      </c>
      <c r="AE1946" s="1790">
        <v>0</v>
      </c>
      <c r="AF1946" s="1792"/>
    </row>
    <row r="1947" spans="1:32" ht="27.75" customHeight="1">
      <c r="A1947" s="1795" t="s">
        <v>3448</v>
      </c>
      <c r="B1947" s="1795" t="s">
        <v>4115</v>
      </c>
      <c r="C1947" s="1625"/>
      <c r="D1947" s="1597"/>
      <c r="E1947" s="1599"/>
      <c r="F1947" s="1811"/>
      <c r="G1947" s="1811"/>
      <c r="H1947" s="1811"/>
      <c r="I1947" s="1811"/>
      <c r="J1947" s="1811"/>
      <c r="K1947" s="1811"/>
      <c r="L1947" s="1811"/>
      <c r="M1947" s="1811"/>
      <c r="N1947" s="1811"/>
      <c r="O1947" s="1811"/>
      <c r="P1947" s="1811"/>
      <c r="Q1947" s="1814"/>
      <c r="R1947" s="1811"/>
      <c r="S1947" s="1811"/>
      <c r="T1947" s="1814"/>
      <c r="U1947" s="1812"/>
      <c r="V1947" s="1812"/>
      <c r="W1947" s="1812"/>
      <c r="X1947" s="1812"/>
      <c r="Y1947" s="1812"/>
      <c r="Z1947" s="1812"/>
      <c r="AA1947" s="1812"/>
      <c r="AB1947" s="1812"/>
      <c r="AC1947" s="1812"/>
      <c r="AD1947" s="1601">
        <f t="shared" si="172"/>
        <v>0</v>
      </c>
      <c r="AE1947" s="1790">
        <v>0</v>
      </c>
      <c r="AF1947" s="1792"/>
    </row>
    <row r="1948" spans="1:32" ht="27.75" customHeight="1">
      <c r="A1948" s="2899" t="s">
        <v>3450</v>
      </c>
      <c r="B1948" s="2901" t="s">
        <v>4116</v>
      </c>
      <c r="C1948" s="2903" t="s">
        <v>52</v>
      </c>
      <c r="D1948" s="2905">
        <v>15278.65</v>
      </c>
      <c r="E1948" s="1810" t="s">
        <v>2496</v>
      </c>
      <c r="F1948" s="1811"/>
      <c r="G1948" s="1811"/>
      <c r="H1948" s="1811"/>
      <c r="I1948" s="1811"/>
      <c r="J1948" s="1811"/>
      <c r="K1948" s="1811"/>
      <c r="L1948" s="1811"/>
      <c r="M1948" s="1811"/>
      <c r="N1948" s="1811"/>
      <c r="O1948" s="1811"/>
      <c r="P1948" s="1811"/>
      <c r="Q1948" s="1812"/>
      <c r="R1948" s="1811"/>
      <c r="S1948" s="1811"/>
      <c r="T1948" s="1812"/>
      <c r="U1948" s="1812"/>
      <c r="V1948" s="1812"/>
      <c r="W1948" s="1812"/>
      <c r="X1948" s="1812"/>
      <c r="Y1948" s="1812"/>
      <c r="Z1948" s="1812"/>
      <c r="AA1948" s="1812"/>
      <c r="AB1948" s="1812"/>
      <c r="AC1948" s="1812">
        <v>15278.65</v>
      </c>
      <c r="AD1948" s="1601">
        <f t="shared" si="172"/>
        <v>15278.65</v>
      </c>
      <c r="AE1948" s="1790">
        <v>0</v>
      </c>
      <c r="AF1948" s="1792"/>
    </row>
    <row r="1949" spans="1:32" ht="27.75" customHeight="1">
      <c r="A1949" s="2900" t="s">
        <v>3450</v>
      </c>
      <c r="B1949" s="2902" t="s">
        <v>3451</v>
      </c>
      <c r="C1949" s="2904" t="s">
        <v>52</v>
      </c>
      <c r="D1949" s="2906">
        <v>15278.65</v>
      </c>
      <c r="E1949" s="1603" t="s">
        <v>2497</v>
      </c>
      <c r="F1949" s="1583"/>
      <c r="G1949" s="1583"/>
      <c r="H1949" s="1583"/>
      <c r="I1949" s="1583"/>
      <c r="J1949" s="1583"/>
      <c r="K1949" s="1583"/>
      <c r="L1949" s="1583"/>
      <c r="M1949" s="1583"/>
      <c r="N1949" s="1583"/>
      <c r="O1949" s="1583"/>
      <c r="P1949" s="1583"/>
      <c r="Q1949" s="1604"/>
      <c r="R1949" s="1583"/>
      <c r="S1949" s="1583"/>
      <c r="T1949" s="1604"/>
      <c r="U1949" s="1592"/>
      <c r="V1949" s="1585"/>
      <c r="W1949" s="1585"/>
      <c r="X1949" s="1585"/>
      <c r="Y1949" s="1592"/>
      <c r="Z1949" s="1585"/>
      <c r="AA1949" s="1585"/>
      <c r="AB1949" s="1585"/>
      <c r="AC1949" s="1585"/>
      <c r="AD1949" s="1601">
        <f t="shared" si="172"/>
        <v>0</v>
      </c>
      <c r="AE1949" s="1790">
        <v>0</v>
      </c>
      <c r="AF1949" s="1792"/>
    </row>
    <row r="1950" spans="1:32" ht="27.75" customHeight="1">
      <c r="A1950" s="2899" t="s">
        <v>3452</v>
      </c>
      <c r="B1950" s="2901" t="s">
        <v>4117</v>
      </c>
      <c r="C1950" s="2903" t="s">
        <v>52</v>
      </c>
      <c r="D1950" s="2905">
        <v>365.57</v>
      </c>
      <c r="E1950" s="1810" t="s">
        <v>2496</v>
      </c>
      <c r="F1950" s="1811"/>
      <c r="G1950" s="1811"/>
      <c r="H1950" s="1811"/>
      <c r="I1950" s="1811"/>
      <c r="J1950" s="1811"/>
      <c r="K1950" s="1811"/>
      <c r="L1950" s="1811"/>
      <c r="M1950" s="1811"/>
      <c r="N1950" s="1811"/>
      <c r="O1950" s="1811"/>
      <c r="P1950" s="1811"/>
      <c r="Q1950" s="1812"/>
      <c r="R1950" s="1811"/>
      <c r="S1950" s="1811"/>
      <c r="T1950" s="1812"/>
      <c r="U1950" s="1812"/>
      <c r="V1950" s="1812"/>
      <c r="W1950" s="1812"/>
      <c r="X1950" s="1812"/>
      <c r="Y1950" s="1812"/>
      <c r="Z1950" s="1812"/>
      <c r="AA1950" s="1812"/>
      <c r="AB1950" s="1812"/>
      <c r="AC1950" s="1812">
        <v>365.57</v>
      </c>
      <c r="AD1950" s="1601">
        <f t="shared" si="172"/>
        <v>365.57</v>
      </c>
      <c r="AE1950" s="1790">
        <v>0</v>
      </c>
      <c r="AF1950" s="1792"/>
    </row>
    <row r="1951" spans="1:32" ht="27.75" customHeight="1">
      <c r="A1951" s="2900" t="s">
        <v>3452</v>
      </c>
      <c r="B1951" s="2902" t="s">
        <v>3453</v>
      </c>
      <c r="C1951" s="2904" t="s">
        <v>52</v>
      </c>
      <c r="D1951" s="2906">
        <v>365.57</v>
      </c>
      <c r="E1951" s="1603" t="s">
        <v>2497</v>
      </c>
      <c r="F1951" s="1583"/>
      <c r="G1951" s="1583"/>
      <c r="H1951" s="1583"/>
      <c r="I1951" s="1583"/>
      <c r="J1951" s="1583"/>
      <c r="K1951" s="1583"/>
      <c r="L1951" s="1583"/>
      <c r="M1951" s="1583"/>
      <c r="N1951" s="1583"/>
      <c r="O1951" s="1583"/>
      <c r="P1951" s="1583"/>
      <c r="Q1951" s="1604"/>
      <c r="R1951" s="1583"/>
      <c r="S1951" s="1583"/>
      <c r="T1951" s="1604"/>
      <c r="U1951" s="1592"/>
      <c r="V1951" s="1585"/>
      <c r="W1951" s="1585"/>
      <c r="X1951" s="1585"/>
      <c r="Y1951" s="1592"/>
      <c r="Z1951" s="1585"/>
      <c r="AA1951" s="1585"/>
      <c r="AB1951" s="1585"/>
      <c r="AC1951" s="1585"/>
      <c r="AD1951" s="1601">
        <f t="shared" si="172"/>
        <v>0</v>
      </c>
      <c r="AE1951" s="1790">
        <v>0</v>
      </c>
      <c r="AF1951" s="1792"/>
    </row>
    <row r="1952" spans="1:32" ht="27.75" customHeight="1">
      <c r="A1952" s="2899" t="s">
        <v>3454</v>
      </c>
      <c r="B1952" s="2901" t="s">
        <v>4118</v>
      </c>
      <c r="C1952" s="2903" t="s">
        <v>52</v>
      </c>
      <c r="D1952" s="2905">
        <v>34510.85</v>
      </c>
      <c r="E1952" s="1598" t="s">
        <v>2496</v>
      </c>
      <c r="F1952" s="1583"/>
      <c r="G1952" s="1583"/>
      <c r="H1952" s="1583"/>
      <c r="I1952" s="1583"/>
      <c r="J1952" s="1583"/>
      <c r="K1952" s="1583"/>
      <c r="L1952" s="1583"/>
      <c r="M1952" s="1583"/>
      <c r="N1952" s="1583"/>
      <c r="O1952" s="1583"/>
      <c r="P1952" s="1583"/>
      <c r="Q1952" s="1585"/>
      <c r="R1952" s="1583"/>
      <c r="S1952" s="1583"/>
      <c r="T1952" s="1585"/>
      <c r="U1952" s="1585"/>
      <c r="V1952" s="1585"/>
      <c r="W1952" s="1585"/>
      <c r="X1952" s="1585"/>
      <c r="Y1952" s="1585"/>
      <c r="Z1952" s="1585"/>
      <c r="AA1952" s="1585"/>
      <c r="AB1952" s="1812"/>
      <c r="AC1952" s="1585">
        <v>34510.85</v>
      </c>
      <c r="AD1952" s="1601">
        <f t="shared" si="172"/>
        <v>34510.85</v>
      </c>
      <c r="AE1952" s="1790">
        <v>0</v>
      </c>
      <c r="AF1952" s="1792"/>
    </row>
    <row r="1953" spans="1:32" ht="27.75" customHeight="1">
      <c r="A1953" s="2900" t="s">
        <v>3454</v>
      </c>
      <c r="B1953" s="2902" t="s">
        <v>3455</v>
      </c>
      <c r="C1953" s="2904" t="s">
        <v>52</v>
      </c>
      <c r="D1953" s="2906">
        <v>34510.85</v>
      </c>
      <c r="E1953" s="1603" t="s">
        <v>2497</v>
      </c>
      <c r="F1953" s="1583"/>
      <c r="G1953" s="1583"/>
      <c r="H1953" s="1583"/>
      <c r="I1953" s="1583"/>
      <c r="J1953" s="1583"/>
      <c r="K1953" s="1583"/>
      <c r="L1953" s="1583"/>
      <c r="M1953" s="1583"/>
      <c r="N1953" s="1583"/>
      <c r="O1953" s="1583"/>
      <c r="P1953" s="1583"/>
      <c r="Q1953" s="1604"/>
      <c r="R1953" s="1583"/>
      <c r="S1953" s="1583"/>
      <c r="T1953" s="1604"/>
      <c r="U1953" s="1585"/>
      <c r="V1953" s="1585"/>
      <c r="W1953" s="1585"/>
      <c r="X1953" s="1585"/>
      <c r="Y1953" s="1585"/>
      <c r="Z1953" s="1585"/>
      <c r="AA1953" s="1585"/>
      <c r="AB1953" s="1585"/>
      <c r="AC1953" s="1585"/>
      <c r="AD1953" s="1601">
        <f t="shared" si="172"/>
        <v>0</v>
      </c>
      <c r="AE1953" s="1790">
        <v>0</v>
      </c>
      <c r="AF1953" s="1792"/>
    </row>
    <row r="1954" spans="1:32" ht="27.75" customHeight="1">
      <c r="A1954" s="2899" t="s">
        <v>3456</v>
      </c>
      <c r="B1954" s="2901" t="s">
        <v>4119</v>
      </c>
      <c r="C1954" s="2903" t="s">
        <v>52</v>
      </c>
      <c r="D1954" s="2905">
        <v>33564.730000000003</v>
      </c>
      <c r="E1954" s="1810" t="s">
        <v>2496</v>
      </c>
      <c r="F1954" s="1811"/>
      <c r="G1954" s="1811"/>
      <c r="H1954" s="1811"/>
      <c r="I1954" s="1811"/>
      <c r="J1954" s="1811"/>
      <c r="K1954" s="1811"/>
      <c r="L1954" s="1811"/>
      <c r="M1954" s="1811"/>
      <c r="N1954" s="1811"/>
      <c r="O1954" s="1811"/>
      <c r="P1954" s="1811"/>
      <c r="Q1954" s="1812"/>
      <c r="R1954" s="1811"/>
      <c r="S1954" s="1811"/>
      <c r="T1954" s="1812"/>
      <c r="U1954" s="1812"/>
      <c r="V1954" s="1812"/>
      <c r="W1954" s="1812"/>
      <c r="X1954" s="1812"/>
      <c r="Y1954" s="1812"/>
      <c r="Z1954" s="1812"/>
      <c r="AA1954" s="1812"/>
      <c r="AB1954" s="1812"/>
      <c r="AC1954" s="1812">
        <v>33564.730000000003</v>
      </c>
      <c r="AD1954" s="1601">
        <f t="shared" si="172"/>
        <v>33564.730000000003</v>
      </c>
      <c r="AE1954" s="1790">
        <v>0</v>
      </c>
      <c r="AF1954" s="1792"/>
    </row>
    <row r="1955" spans="1:32" ht="27.75" customHeight="1">
      <c r="A1955" s="2900" t="s">
        <v>3456</v>
      </c>
      <c r="B1955" s="2902" t="s">
        <v>3457</v>
      </c>
      <c r="C1955" s="2904" t="s">
        <v>52</v>
      </c>
      <c r="D1955" s="2906">
        <v>33564.730000000003</v>
      </c>
      <c r="E1955" s="1603" t="s">
        <v>2497</v>
      </c>
      <c r="F1955" s="1583"/>
      <c r="G1955" s="1583"/>
      <c r="H1955" s="1583"/>
      <c r="I1955" s="1583"/>
      <c r="J1955" s="1583"/>
      <c r="K1955" s="1583"/>
      <c r="L1955" s="1583"/>
      <c r="M1955" s="1583"/>
      <c r="N1955" s="1583"/>
      <c r="O1955" s="1583"/>
      <c r="P1955" s="1583"/>
      <c r="Q1955" s="1604"/>
      <c r="R1955" s="1583"/>
      <c r="S1955" s="1583"/>
      <c r="T1955" s="1604"/>
      <c r="U1955" s="1592"/>
      <c r="V1955" s="1585"/>
      <c r="W1955" s="1585"/>
      <c r="X1955" s="1585"/>
      <c r="Y1955" s="1592"/>
      <c r="Z1955" s="1585"/>
      <c r="AA1955" s="1585"/>
      <c r="AB1955" s="1585"/>
      <c r="AC1955" s="1585"/>
      <c r="AD1955" s="1601">
        <f t="shared" si="172"/>
        <v>0</v>
      </c>
      <c r="AE1955" s="1790">
        <v>0</v>
      </c>
      <c r="AF1955" s="1792"/>
    </row>
    <row r="1956" spans="1:32" ht="27.75" customHeight="1">
      <c r="A1956" s="2899" t="s">
        <v>3458</v>
      </c>
      <c r="B1956" s="2901" t="s">
        <v>4120</v>
      </c>
      <c r="C1956" s="2903" t="s">
        <v>52</v>
      </c>
      <c r="D1956" s="2905">
        <v>3942.12</v>
      </c>
      <c r="E1956" s="1598" t="s">
        <v>2496</v>
      </c>
      <c r="F1956" s="1583"/>
      <c r="G1956" s="1583"/>
      <c r="H1956" s="1583"/>
      <c r="I1956" s="1583"/>
      <c r="J1956" s="1583"/>
      <c r="K1956" s="1583"/>
      <c r="L1956" s="1583"/>
      <c r="M1956" s="1583"/>
      <c r="N1956" s="1583"/>
      <c r="O1956" s="1583"/>
      <c r="P1956" s="1583"/>
      <c r="Q1956" s="1585"/>
      <c r="R1956" s="1583"/>
      <c r="S1956" s="1583"/>
      <c r="T1956" s="1585"/>
      <c r="U1956" s="1585"/>
      <c r="V1956" s="1585"/>
      <c r="W1956" s="1585"/>
      <c r="X1956" s="1585"/>
      <c r="Y1956" s="1585"/>
      <c r="Z1956" s="1585"/>
      <c r="AA1956" s="1585"/>
      <c r="AB1956" s="1585"/>
      <c r="AC1956" s="1585">
        <v>3942.12</v>
      </c>
      <c r="AD1956" s="1601">
        <f t="shared" si="172"/>
        <v>3942.12</v>
      </c>
      <c r="AE1956" s="1790">
        <v>0</v>
      </c>
      <c r="AF1956" s="1792"/>
    </row>
    <row r="1957" spans="1:32" ht="27.75" customHeight="1">
      <c r="A1957" s="2900" t="s">
        <v>3458</v>
      </c>
      <c r="B1957" s="2902" t="s">
        <v>3459</v>
      </c>
      <c r="C1957" s="2904" t="s">
        <v>52</v>
      </c>
      <c r="D1957" s="2906">
        <v>3942.12</v>
      </c>
      <c r="E1957" s="1603" t="s">
        <v>2497</v>
      </c>
      <c r="F1957" s="1583"/>
      <c r="G1957" s="1583"/>
      <c r="H1957" s="1583"/>
      <c r="I1957" s="1583"/>
      <c r="J1957" s="1583"/>
      <c r="K1957" s="1583"/>
      <c r="L1957" s="1583"/>
      <c r="M1957" s="1583"/>
      <c r="N1957" s="1583"/>
      <c r="O1957" s="1583"/>
      <c r="P1957" s="1583"/>
      <c r="Q1957" s="1604"/>
      <c r="R1957" s="1583"/>
      <c r="S1957" s="1583"/>
      <c r="T1957" s="1604"/>
      <c r="U1957" s="1585"/>
      <c r="V1957" s="1585"/>
      <c r="W1957" s="1585"/>
      <c r="X1957" s="1585"/>
      <c r="Y1957" s="1585"/>
      <c r="Z1957" s="1585"/>
      <c r="AA1957" s="1585"/>
      <c r="AB1957" s="1585"/>
      <c r="AC1957" s="1585"/>
      <c r="AD1957" s="1601">
        <f t="shared" si="172"/>
        <v>0</v>
      </c>
      <c r="AE1957" s="1790">
        <v>0</v>
      </c>
      <c r="AF1957" s="1792"/>
    </row>
    <row r="1958" spans="1:32" ht="27.75" customHeight="1">
      <c r="A1958" s="2899" t="s">
        <v>3460</v>
      </c>
      <c r="B1958" s="2901" t="s">
        <v>4121</v>
      </c>
      <c r="C1958" s="2903" t="s">
        <v>52</v>
      </c>
      <c r="D1958" s="2905">
        <v>9507</v>
      </c>
      <c r="E1958" s="1810" t="s">
        <v>2496</v>
      </c>
      <c r="F1958" s="1811"/>
      <c r="G1958" s="1811"/>
      <c r="H1958" s="1811"/>
      <c r="I1958" s="1811"/>
      <c r="J1958" s="1811"/>
      <c r="K1958" s="1811"/>
      <c r="L1958" s="1811"/>
      <c r="M1958" s="1811"/>
      <c r="N1958" s="1811"/>
      <c r="O1958" s="1811"/>
      <c r="P1958" s="1811"/>
      <c r="Q1958" s="1812"/>
      <c r="R1958" s="1811"/>
      <c r="S1958" s="1811"/>
      <c r="T1958" s="1812"/>
      <c r="U1958" s="1812"/>
      <c r="V1958" s="1812"/>
      <c r="W1958" s="1812"/>
      <c r="X1958" s="1812"/>
      <c r="Y1958" s="1812"/>
      <c r="Z1958" s="1812"/>
      <c r="AA1958" s="1812"/>
      <c r="AB1958" s="1812"/>
      <c r="AC1958" s="1812">
        <v>9507</v>
      </c>
      <c r="AD1958" s="1601">
        <f t="shared" si="172"/>
        <v>9507</v>
      </c>
      <c r="AE1958" s="1790">
        <v>0</v>
      </c>
      <c r="AF1958" s="1792"/>
    </row>
    <row r="1959" spans="1:32" ht="27.75" customHeight="1">
      <c r="A1959" s="2900" t="s">
        <v>3460</v>
      </c>
      <c r="B1959" s="2902" t="s">
        <v>3461</v>
      </c>
      <c r="C1959" s="2904" t="s">
        <v>52</v>
      </c>
      <c r="D1959" s="2906">
        <v>9507</v>
      </c>
      <c r="E1959" s="1603" t="s">
        <v>2497</v>
      </c>
      <c r="F1959" s="1583"/>
      <c r="G1959" s="1583"/>
      <c r="H1959" s="1583"/>
      <c r="I1959" s="1583"/>
      <c r="J1959" s="1583"/>
      <c r="K1959" s="1583"/>
      <c r="L1959" s="1583"/>
      <c r="M1959" s="1583"/>
      <c r="N1959" s="1583"/>
      <c r="O1959" s="1583"/>
      <c r="P1959" s="1583"/>
      <c r="Q1959" s="1604"/>
      <c r="R1959" s="1583"/>
      <c r="S1959" s="1583"/>
      <c r="T1959" s="1604"/>
      <c r="U1959" s="1592"/>
      <c r="V1959" s="1585"/>
      <c r="W1959" s="1585"/>
      <c r="X1959" s="1585"/>
      <c r="Y1959" s="1592"/>
      <c r="Z1959" s="1585"/>
      <c r="AA1959" s="1585"/>
      <c r="AB1959" s="1585"/>
      <c r="AC1959" s="1585"/>
      <c r="AD1959" s="1601">
        <f t="shared" si="172"/>
        <v>0</v>
      </c>
      <c r="AE1959" s="1790">
        <v>0</v>
      </c>
      <c r="AF1959" s="1792"/>
    </row>
    <row r="1960" spans="1:32" ht="27.75" customHeight="1">
      <c r="A1960" s="2899" t="s">
        <v>3462</v>
      </c>
      <c r="B1960" s="2901" t="s">
        <v>4122</v>
      </c>
      <c r="C1960" s="2903" t="s">
        <v>52</v>
      </c>
      <c r="D1960" s="2905">
        <v>97568.72</v>
      </c>
      <c r="E1960" s="1810" t="s">
        <v>2496</v>
      </c>
      <c r="F1960" s="1811"/>
      <c r="G1960" s="1811"/>
      <c r="H1960" s="1811"/>
      <c r="I1960" s="1811"/>
      <c r="J1960" s="1811"/>
      <c r="K1960" s="1811"/>
      <c r="L1960" s="1811"/>
      <c r="M1960" s="1811"/>
      <c r="N1960" s="1811"/>
      <c r="O1960" s="1811"/>
      <c r="P1960" s="1811"/>
      <c r="Q1960" s="1812"/>
      <c r="R1960" s="1811"/>
      <c r="S1960" s="1811"/>
      <c r="T1960" s="1812"/>
      <c r="U1960" s="1812"/>
      <c r="V1960" s="1812"/>
      <c r="W1960" s="1812"/>
      <c r="X1960" s="1812"/>
      <c r="Y1960" s="1812"/>
      <c r="Z1960" s="1812"/>
      <c r="AA1960" s="1812"/>
      <c r="AB1960" s="1812">
        <f>D1960/2</f>
        <v>48784.36</v>
      </c>
      <c r="AC1960" s="1812">
        <v>48784.36</v>
      </c>
      <c r="AD1960" s="1601">
        <f t="shared" si="172"/>
        <v>97568.72</v>
      </c>
      <c r="AE1960" s="1790">
        <v>0</v>
      </c>
      <c r="AF1960" s="1792"/>
    </row>
    <row r="1961" spans="1:32" ht="27.75" customHeight="1">
      <c r="A1961" s="2900" t="s">
        <v>3462</v>
      </c>
      <c r="B1961" s="2902" t="s">
        <v>3463</v>
      </c>
      <c r="C1961" s="2904" t="s">
        <v>52</v>
      </c>
      <c r="D1961" s="2906">
        <v>97568.72</v>
      </c>
      <c r="E1961" s="1603" t="s">
        <v>2497</v>
      </c>
      <c r="F1961" s="1583"/>
      <c r="G1961" s="1583"/>
      <c r="H1961" s="1583"/>
      <c r="I1961" s="1583"/>
      <c r="J1961" s="1583"/>
      <c r="K1961" s="1583"/>
      <c r="L1961" s="1583"/>
      <c r="M1961" s="1583"/>
      <c r="N1961" s="1583"/>
      <c r="O1961" s="1583"/>
      <c r="P1961" s="1583"/>
      <c r="Q1961" s="1604"/>
      <c r="R1961" s="1583"/>
      <c r="S1961" s="1583"/>
      <c r="T1961" s="1604"/>
      <c r="U1961" s="1592"/>
      <c r="V1961" s="1585"/>
      <c r="W1961" s="1585"/>
      <c r="X1961" s="1585"/>
      <c r="Y1961" s="1592"/>
      <c r="Z1961" s="1585"/>
      <c r="AA1961" s="1585"/>
      <c r="AB1961" s="1585"/>
      <c r="AC1961" s="1585"/>
      <c r="AD1961" s="1601">
        <f t="shared" si="172"/>
        <v>0</v>
      </c>
      <c r="AE1961" s="1790">
        <v>0</v>
      </c>
      <c r="AF1961" s="1792"/>
    </row>
    <row r="1962" spans="1:32" ht="27.75" customHeight="1">
      <c r="A1962" s="2899" t="s">
        <v>3464</v>
      </c>
      <c r="B1962" s="2901" t="s">
        <v>4123</v>
      </c>
      <c r="C1962" s="2903" t="s">
        <v>268</v>
      </c>
      <c r="D1962" s="2905">
        <v>42480</v>
      </c>
      <c r="E1962" s="1810" t="s">
        <v>2496</v>
      </c>
      <c r="F1962" s="1811"/>
      <c r="G1962" s="1811"/>
      <c r="H1962" s="1811"/>
      <c r="I1962" s="1811"/>
      <c r="J1962" s="1811"/>
      <c r="K1962" s="1811"/>
      <c r="L1962" s="1811"/>
      <c r="M1962" s="1811"/>
      <c r="N1962" s="1811"/>
      <c r="O1962" s="1811"/>
      <c r="P1962" s="1811"/>
      <c r="Q1962" s="1812"/>
      <c r="R1962" s="1811"/>
      <c r="S1962" s="1811"/>
      <c r="T1962" s="1812"/>
      <c r="U1962" s="1812"/>
      <c r="V1962" s="1812"/>
      <c r="W1962" s="1812"/>
      <c r="X1962" s="1812"/>
      <c r="Y1962" s="1812"/>
      <c r="Z1962" s="1812"/>
      <c r="AA1962" s="1812"/>
      <c r="AB1962" s="1812"/>
      <c r="AC1962" s="1812">
        <v>42480</v>
      </c>
      <c r="AD1962" s="1601">
        <f t="shared" si="172"/>
        <v>42480</v>
      </c>
      <c r="AE1962" s="1790">
        <v>0</v>
      </c>
      <c r="AF1962" s="1792"/>
    </row>
    <row r="1963" spans="1:32" ht="27.75" customHeight="1">
      <c r="A1963" s="2900" t="s">
        <v>3464</v>
      </c>
      <c r="B1963" s="2902" t="s">
        <v>3465</v>
      </c>
      <c r="C1963" s="2904" t="s">
        <v>268</v>
      </c>
      <c r="D1963" s="2906">
        <v>42480</v>
      </c>
      <c r="E1963" s="1603" t="s">
        <v>2497</v>
      </c>
      <c r="F1963" s="1583"/>
      <c r="G1963" s="1583"/>
      <c r="H1963" s="1583"/>
      <c r="I1963" s="1583"/>
      <c r="J1963" s="1583"/>
      <c r="K1963" s="1583"/>
      <c r="L1963" s="1583"/>
      <c r="M1963" s="1583"/>
      <c r="N1963" s="1583"/>
      <c r="O1963" s="1583"/>
      <c r="P1963" s="1583"/>
      <c r="Q1963" s="1604"/>
      <c r="R1963" s="1583"/>
      <c r="S1963" s="1583"/>
      <c r="T1963" s="1604"/>
      <c r="U1963" s="1592"/>
      <c r="V1963" s="1585"/>
      <c r="W1963" s="1585"/>
      <c r="X1963" s="1585"/>
      <c r="Y1963" s="1592"/>
      <c r="Z1963" s="1585"/>
      <c r="AA1963" s="1585"/>
      <c r="AB1963" s="1585"/>
      <c r="AC1963" s="1585"/>
      <c r="AD1963" s="1601">
        <f t="shared" si="172"/>
        <v>0</v>
      </c>
      <c r="AE1963" s="1790">
        <v>0</v>
      </c>
      <c r="AF1963" s="1792"/>
    </row>
    <row r="1964" spans="1:32" ht="27.75" customHeight="1">
      <c r="A1964" s="2899" t="s">
        <v>3466</v>
      </c>
      <c r="B1964" s="2901" t="s">
        <v>4124</v>
      </c>
      <c r="C1964" s="2903" t="s">
        <v>268</v>
      </c>
      <c r="D1964" s="2905">
        <v>5610.62</v>
      </c>
      <c r="E1964" s="1598" t="s">
        <v>2496</v>
      </c>
      <c r="F1964" s="1583"/>
      <c r="G1964" s="1583"/>
      <c r="H1964" s="1583"/>
      <c r="I1964" s="1583"/>
      <c r="J1964" s="1583"/>
      <c r="K1964" s="1583"/>
      <c r="L1964" s="1583"/>
      <c r="M1964" s="1583"/>
      <c r="N1964" s="1583"/>
      <c r="O1964" s="1583"/>
      <c r="P1964" s="1583"/>
      <c r="Q1964" s="1585"/>
      <c r="R1964" s="1583"/>
      <c r="S1964" s="1583"/>
      <c r="T1964" s="1585"/>
      <c r="U1964" s="1585"/>
      <c r="V1964" s="1585"/>
      <c r="W1964" s="1585"/>
      <c r="X1964" s="1585"/>
      <c r="Y1964" s="1585"/>
      <c r="Z1964" s="1585"/>
      <c r="AA1964" s="1585"/>
      <c r="AB1964" s="1585"/>
      <c r="AC1964" s="1585">
        <v>5610.62</v>
      </c>
      <c r="AD1964" s="1601">
        <f t="shared" si="172"/>
        <v>5610.62</v>
      </c>
      <c r="AE1964" s="1790">
        <v>0</v>
      </c>
      <c r="AF1964" s="1792"/>
    </row>
    <row r="1965" spans="1:32" ht="27.75" customHeight="1">
      <c r="A1965" s="2900" t="s">
        <v>3466</v>
      </c>
      <c r="B1965" s="2902" t="s">
        <v>3467</v>
      </c>
      <c r="C1965" s="2904" t="s">
        <v>268</v>
      </c>
      <c r="D1965" s="2906">
        <v>5610.62</v>
      </c>
      <c r="E1965" s="1603" t="s">
        <v>2497</v>
      </c>
      <c r="F1965" s="1583"/>
      <c r="G1965" s="1583"/>
      <c r="H1965" s="1583"/>
      <c r="I1965" s="1583"/>
      <c r="J1965" s="1583"/>
      <c r="K1965" s="1583"/>
      <c r="L1965" s="1583"/>
      <c r="M1965" s="1583"/>
      <c r="N1965" s="1583"/>
      <c r="O1965" s="1583"/>
      <c r="P1965" s="1583"/>
      <c r="Q1965" s="1604"/>
      <c r="R1965" s="1583"/>
      <c r="S1965" s="1583"/>
      <c r="T1965" s="1604"/>
      <c r="U1965" s="1585"/>
      <c r="V1965" s="1585"/>
      <c r="W1965" s="1585"/>
      <c r="X1965" s="1585"/>
      <c r="Y1965" s="1585"/>
      <c r="Z1965" s="1585"/>
      <c r="AA1965" s="1585"/>
      <c r="AB1965" s="1585"/>
      <c r="AC1965" s="1585"/>
      <c r="AD1965" s="1601">
        <f t="shared" si="172"/>
        <v>0</v>
      </c>
      <c r="AE1965" s="1790">
        <v>0</v>
      </c>
      <c r="AF1965" s="1792"/>
    </row>
    <row r="1966" spans="1:32" ht="27.75" customHeight="1">
      <c r="A1966" s="2899" t="s">
        <v>3468</v>
      </c>
      <c r="B1966" s="2901" t="s">
        <v>4125</v>
      </c>
      <c r="C1966" s="2903" t="s">
        <v>268</v>
      </c>
      <c r="D1966" s="2905">
        <v>5155</v>
      </c>
      <c r="E1966" s="1810" t="s">
        <v>2496</v>
      </c>
      <c r="F1966" s="1811"/>
      <c r="G1966" s="1811"/>
      <c r="H1966" s="1811"/>
      <c r="I1966" s="1811"/>
      <c r="J1966" s="1811"/>
      <c r="K1966" s="1811"/>
      <c r="L1966" s="1811"/>
      <c r="M1966" s="1811"/>
      <c r="N1966" s="1811"/>
      <c r="O1966" s="1811"/>
      <c r="P1966" s="1811"/>
      <c r="Q1966" s="1812"/>
      <c r="R1966" s="1811"/>
      <c r="S1966" s="1811"/>
      <c r="T1966" s="1812"/>
      <c r="U1966" s="1812"/>
      <c r="V1966" s="1812"/>
      <c r="W1966" s="1812"/>
      <c r="X1966" s="1812"/>
      <c r="Y1966" s="1812"/>
      <c r="Z1966" s="1812"/>
      <c r="AA1966" s="1812"/>
      <c r="AB1966" s="1812"/>
      <c r="AC1966" s="1812">
        <v>5155</v>
      </c>
      <c r="AD1966" s="1601">
        <f t="shared" si="172"/>
        <v>5155</v>
      </c>
      <c r="AE1966" s="1790">
        <v>0</v>
      </c>
      <c r="AF1966" s="1792"/>
    </row>
    <row r="1967" spans="1:32" ht="27.75" customHeight="1">
      <c r="A1967" s="2900" t="s">
        <v>3468</v>
      </c>
      <c r="B1967" s="2902" t="s">
        <v>3469</v>
      </c>
      <c r="C1967" s="2904" t="s">
        <v>268</v>
      </c>
      <c r="D1967" s="2906">
        <v>5155</v>
      </c>
      <c r="E1967" s="1603" t="s">
        <v>2497</v>
      </c>
      <c r="F1967" s="1583"/>
      <c r="G1967" s="1583"/>
      <c r="H1967" s="1583"/>
      <c r="I1967" s="1583"/>
      <c r="J1967" s="1583"/>
      <c r="K1967" s="1583"/>
      <c r="L1967" s="1583"/>
      <c r="M1967" s="1583"/>
      <c r="N1967" s="1583"/>
      <c r="O1967" s="1583"/>
      <c r="P1967" s="1583"/>
      <c r="Q1967" s="1604"/>
      <c r="R1967" s="1583"/>
      <c r="S1967" s="1583"/>
      <c r="T1967" s="1604"/>
      <c r="U1967" s="1592"/>
      <c r="V1967" s="1585"/>
      <c r="W1967" s="1585"/>
      <c r="X1967" s="1585"/>
      <c r="Y1967" s="1592"/>
      <c r="Z1967" s="1585"/>
      <c r="AA1967" s="1585"/>
      <c r="AB1967" s="1585"/>
      <c r="AC1967" s="1585"/>
      <c r="AD1967" s="1601">
        <f t="shared" si="172"/>
        <v>0</v>
      </c>
      <c r="AE1967" s="1790">
        <v>0</v>
      </c>
      <c r="AF1967" s="1792"/>
    </row>
    <row r="1968" spans="1:32" ht="27.75" customHeight="1">
      <c r="A1968" s="1795" t="s">
        <v>3470</v>
      </c>
      <c r="B1968" s="1795" t="s">
        <v>4126</v>
      </c>
      <c r="C1968" s="1625"/>
      <c r="D1968" s="1597"/>
      <c r="E1968" s="1599"/>
      <c r="F1968" s="1811"/>
      <c r="G1968" s="1811"/>
      <c r="H1968" s="1811"/>
      <c r="I1968" s="1811"/>
      <c r="J1968" s="1811"/>
      <c r="K1968" s="1811"/>
      <c r="L1968" s="1811"/>
      <c r="M1968" s="1811"/>
      <c r="N1968" s="1811"/>
      <c r="O1968" s="1811"/>
      <c r="P1968" s="1811"/>
      <c r="Q1968" s="1814"/>
      <c r="R1968" s="1811"/>
      <c r="S1968" s="1811"/>
      <c r="T1968" s="1814"/>
      <c r="U1968" s="1816"/>
      <c r="V1968" s="1812"/>
      <c r="W1968" s="1812"/>
      <c r="X1968" s="1812"/>
      <c r="Y1968" s="1816"/>
      <c r="Z1968" s="1812"/>
      <c r="AA1968" s="1812"/>
      <c r="AB1968" s="1812"/>
      <c r="AC1968" s="1812"/>
      <c r="AD1968" s="1601">
        <f t="shared" si="172"/>
        <v>0</v>
      </c>
      <c r="AE1968" s="1790">
        <v>0</v>
      </c>
      <c r="AF1968" s="1792"/>
    </row>
    <row r="1969" spans="1:32" ht="27.75" customHeight="1">
      <c r="A1969" s="1800" t="s">
        <v>3472</v>
      </c>
      <c r="B1969" s="1800" t="s">
        <v>4116</v>
      </c>
      <c r="C1969" s="1625"/>
      <c r="D1969" s="1597"/>
      <c r="E1969" s="1599"/>
      <c r="F1969" s="1811"/>
      <c r="G1969" s="1811"/>
      <c r="H1969" s="1811"/>
      <c r="I1969" s="1811"/>
      <c r="J1969" s="1811"/>
      <c r="K1969" s="1811"/>
      <c r="L1969" s="1811"/>
      <c r="M1969" s="1811"/>
      <c r="N1969" s="1811"/>
      <c r="O1969" s="1811"/>
      <c r="P1969" s="1811"/>
      <c r="Q1969" s="1814"/>
      <c r="R1969" s="1811"/>
      <c r="S1969" s="1811"/>
      <c r="T1969" s="1814"/>
      <c r="U1969" s="1816"/>
      <c r="V1969" s="1812"/>
      <c r="W1969" s="1812"/>
      <c r="X1969" s="1812"/>
      <c r="Y1969" s="1816"/>
      <c r="Z1969" s="1812"/>
      <c r="AA1969" s="1812"/>
      <c r="AB1969" s="1812"/>
      <c r="AC1969" s="1812"/>
      <c r="AD1969" s="1601">
        <f t="shared" si="172"/>
        <v>0</v>
      </c>
      <c r="AE1969" s="1790">
        <v>0</v>
      </c>
      <c r="AF1969" s="1792"/>
    </row>
    <row r="1970" spans="1:32" ht="27.75" customHeight="1">
      <c r="A1970" s="2899" t="s">
        <v>3473</v>
      </c>
      <c r="B1970" s="2901" t="s">
        <v>4127</v>
      </c>
      <c r="C1970" s="2903" t="s">
        <v>2145</v>
      </c>
      <c r="D1970" s="2905">
        <v>4333</v>
      </c>
      <c r="E1970" s="1810" t="s">
        <v>2496</v>
      </c>
      <c r="F1970" s="1811"/>
      <c r="G1970" s="1811"/>
      <c r="H1970" s="1811"/>
      <c r="I1970" s="1811"/>
      <c r="J1970" s="1811"/>
      <c r="K1970" s="1811"/>
      <c r="L1970" s="1811"/>
      <c r="M1970" s="1811"/>
      <c r="N1970" s="1811"/>
      <c r="O1970" s="1811"/>
      <c r="P1970" s="1811"/>
      <c r="Q1970" s="1812"/>
      <c r="R1970" s="1811"/>
      <c r="S1970" s="1811"/>
      <c r="T1970" s="1812"/>
      <c r="U1970" s="1812"/>
      <c r="V1970" s="1812"/>
      <c r="W1970" s="1812"/>
      <c r="X1970" s="1812"/>
      <c r="Y1970" s="1812"/>
      <c r="Z1970" s="1812"/>
      <c r="AA1970" s="1812"/>
      <c r="AB1970" s="1812"/>
      <c r="AC1970" s="1812">
        <v>4333</v>
      </c>
      <c r="AD1970" s="1601">
        <f t="shared" si="172"/>
        <v>4333</v>
      </c>
      <c r="AE1970" s="1790">
        <v>0</v>
      </c>
      <c r="AF1970" s="1792"/>
    </row>
    <row r="1971" spans="1:32" ht="27.75" customHeight="1">
      <c r="A1971" s="2900" t="s">
        <v>3473</v>
      </c>
      <c r="B1971" s="2902" t="s">
        <v>3474</v>
      </c>
      <c r="C1971" s="2904" t="s">
        <v>2145</v>
      </c>
      <c r="D1971" s="2906">
        <v>4333</v>
      </c>
      <c r="E1971" s="1603" t="s">
        <v>2497</v>
      </c>
      <c r="F1971" s="1583"/>
      <c r="G1971" s="1583"/>
      <c r="H1971" s="1583"/>
      <c r="I1971" s="1583"/>
      <c r="J1971" s="1583"/>
      <c r="K1971" s="1583"/>
      <c r="L1971" s="1583"/>
      <c r="M1971" s="1583"/>
      <c r="N1971" s="1583"/>
      <c r="O1971" s="1583"/>
      <c r="P1971" s="1583"/>
      <c r="Q1971" s="1604"/>
      <c r="R1971" s="1583"/>
      <c r="S1971" s="1583"/>
      <c r="T1971" s="1604"/>
      <c r="U1971" s="1592"/>
      <c r="V1971" s="1585"/>
      <c r="W1971" s="1585"/>
      <c r="X1971" s="1585"/>
      <c r="Y1971" s="1592"/>
      <c r="Z1971" s="1585"/>
      <c r="AA1971" s="1585"/>
      <c r="AB1971" s="1585"/>
      <c r="AC1971" s="1585"/>
      <c r="AD1971" s="1601">
        <f t="shared" si="172"/>
        <v>0</v>
      </c>
      <c r="AE1971" s="1790">
        <v>0</v>
      </c>
      <c r="AF1971" s="1792"/>
    </row>
    <row r="1972" spans="1:32" ht="27.75" customHeight="1">
      <c r="A1972" s="1800" t="s">
        <v>3475</v>
      </c>
      <c r="B1972" s="1800" t="s">
        <v>4117</v>
      </c>
      <c r="C1972" s="1803"/>
      <c r="D1972" s="1804"/>
      <c r="E1972" s="1599"/>
      <c r="F1972" s="1583"/>
      <c r="G1972" s="1583"/>
      <c r="H1972" s="1583"/>
      <c r="I1972" s="1583"/>
      <c r="J1972" s="1583"/>
      <c r="K1972" s="1583"/>
      <c r="L1972" s="1583"/>
      <c r="M1972" s="1583"/>
      <c r="N1972" s="1583"/>
      <c r="O1972" s="1583"/>
      <c r="P1972" s="1583"/>
      <c r="Q1972" s="1604"/>
      <c r="R1972" s="1583"/>
      <c r="S1972" s="1583"/>
      <c r="T1972" s="1604"/>
      <c r="U1972" s="1592"/>
      <c r="V1972" s="1585"/>
      <c r="W1972" s="1585"/>
      <c r="X1972" s="1585"/>
      <c r="Y1972" s="1592"/>
      <c r="Z1972" s="1585"/>
      <c r="AA1972" s="1585"/>
      <c r="AB1972" s="1585"/>
      <c r="AC1972" s="1585"/>
      <c r="AD1972" s="1601">
        <f t="shared" si="172"/>
        <v>0</v>
      </c>
      <c r="AE1972" s="1790">
        <v>0</v>
      </c>
      <c r="AF1972" s="1792"/>
    </row>
    <row r="1973" spans="1:32" ht="27.75" customHeight="1">
      <c r="A1973" s="2899" t="s">
        <v>3476</v>
      </c>
      <c r="B1973" s="2901" t="s">
        <v>4128</v>
      </c>
      <c r="C1973" s="2903" t="s">
        <v>52</v>
      </c>
      <c r="D1973" s="2905">
        <v>109.23000000000002</v>
      </c>
      <c r="E1973" s="1598" t="s">
        <v>2496</v>
      </c>
      <c r="F1973" s="1583"/>
      <c r="G1973" s="1583"/>
      <c r="H1973" s="1583"/>
      <c r="I1973" s="1583"/>
      <c r="J1973" s="1583"/>
      <c r="K1973" s="1583"/>
      <c r="L1973" s="1583"/>
      <c r="M1973" s="1583"/>
      <c r="N1973" s="1583"/>
      <c r="O1973" s="1583"/>
      <c r="P1973" s="1583"/>
      <c r="Q1973" s="1585"/>
      <c r="R1973" s="1583"/>
      <c r="S1973" s="1583"/>
      <c r="T1973" s="1585"/>
      <c r="U1973" s="1585"/>
      <c r="V1973" s="1585"/>
      <c r="W1973" s="1585"/>
      <c r="X1973" s="1585"/>
      <c r="Y1973" s="1585"/>
      <c r="Z1973" s="1585"/>
      <c r="AA1973" s="1585"/>
      <c r="AB1973" s="1585"/>
      <c r="AC1973" s="1585">
        <v>109.23000000000002</v>
      </c>
      <c r="AD1973" s="1601">
        <f t="shared" si="172"/>
        <v>109.23000000000002</v>
      </c>
      <c r="AE1973" s="1790">
        <v>0</v>
      </c>
      <c r="AF1973" s="1792"/>
    </row>
    <row r="1974" spans="1:32" ht="27.75" customHeight="1">
      <c r="A1974" s="2900" t="s">
        <v>3476</v>
      </c>
      <c r="B1974" s="2902" t="s">
        <v>3477</v>
      </c>
      <c r="C1974" s="2904" t="s">
        <v>52</v>
      </c>
      <c r="D1974" s="2906">
        <v>109.23000000000002</v>
      </c>
      <c r="E1974" s="1603" t="s">
        <v>2497</v>
      </c>
      <c r="F1974" s="1583"/>
      <c r="G1974" s="1583"/>
      <c r="H1974" s="1583"/>
      <c r="I1974" s="1583"/>
      <c r="J1974" s="1583"/>
      <c r="K1974" s="1583"/>
      <c r="L1974" s="1583"/>
      <c r="M1974" s="1583"/>
      <c r="N1974" s="1583"/>
      <c r="O1974" s="1583"/>
      <c r="P1974" s="1583"/>
      <c r="Q1974" s="1604"/>
      <c r="R1974" s="1583"/>
      <c r="S1974" s="1583"/>
      <c r="T1974" s="1604"/>
      <c r="U1974" s="1585"/>
      <c r="V1974" s="1585"/>
      <c r="W1974" s="1585"/>
      <c r="X1974" s="1585"/>
      <c r="Y1974" s="1585"/>
      <c r="Z1974" s="1585"/>
      <c r="AA1974" s="1585"/>
      <c r="AB1974" s="1585"/>
      <c r="AC1974" s="1585"/>
      <c r="AD1974" s="1601">
        <f t="shared" si="172"/>
        <v>0</v>
      </c>
      <c r="AE1974" s="1790">
        <v>0</v>
      </c>
      <c r="AF1974" s="1792"/>
    </row>
    <row r="1975" spans="1:32" ht="27.75" customHeight="1">
      <c r="A1975" s="2899" t="s">
        <v>3478</v>
      </c>
      <c r="B1975" s="2901" t="s">
        <v>4129</v>
      </c>
      <c r="C1975" s="2903" t="s">
        <v>52</v>
      </c>
      <c r="D1975" s="2905">
        <v>36.410000000000004</v>
      </c>
      <c r="E1975" s="1810" t="s">
        <v>2496</v>
      </c>
      <c r="F1975" s="1811"/>
      <c r="G1975" s="1811"/>
      <c r="H1975" s="1811"/>
      <c r="I1975" s="1811"/>
      <c r="J1975" s="1811"/>
      <c r="K1975" s="1811"/>
      <c r="L1975" s="1811"/>
      <c r="M1975" s="1811"/>
      <c r="N1975" s="1811"/>
      <c r="O1975" s="1811"/>
      <c r="P1975" s="1811"/>
      <c r="Q1975" s="1812"/>
      <c r="R1975" s="1811"/>
      <c r="S1975" s="1811"/>
      <c r="T1975" s="1812"/>
      <c r="U1975" s="1812"/>
      <c r="V1975" s="1812"/>
      <c r="W1975" s="1812"/>
      <c r="X1975" s="1812"/>
      <c r="Y1975" s="1812"/>
      <c r="Z1975" s="1812"/>
      <c r="AA1975" s="1812"/>
      <c r="AB1975" s="1585"/>
      <c r="AC1975" s="1812">
        <v>36.410000000000004</v>
      </c>
      <c r="AD1975" s="1601">
        <f t="shared" si="172"/>
        <v>36.410000000000004</v>
      </c>
      <c r="AE1975" s="1790">
        <v>0</v>
      </c>
      <c r="AF1975" s="1792"/>
    </row>
    <row r="1976" spans="1:32" ht="27.75" customHeight="1">
      <c r="A1976" s="2900" t="s">
        <v>3478</v>
      </c>
      <c r="B1976" s="2902" t="s">
        <v>3479</v>
      </c>
      <c r="C1976" s="2904" t="s">
        <v>52</v>
      </c>
      <c r="D1976" s="2906">
        <v>36.410000000000004</v>
      </c>
      <c r="E1976" s="1603" t="s">
        <v>2497</v>
      </c>
      <c r="F1976" s="1583"/>
      <c r="G1976" s="1583"/>
      <c r="H1976" s="1583"/>
      <c r="I1976" s="1583"/>
      <c r="J1976" s="1583"/>
      <c r="K1976" s="1583"/>
      <c r="L1976" s="1583"/>
      <c r="M1976" s="1583"/>
      <c r="N1976" s="1583"/>
      <c r="O1976" s="1583"/>
      <c r="P1976" s="1583"/>
      <c r="Q1976" s="1604"/>
      <c r="R1976" s="1583"/>
      <c r="S1976" s="1583"/>
      <c r="T1976" s="1604"/>
      <c r="U1976" s="1592"/>
      <c r="V1976" s="1585"/>
      <c r="W1976" s="1585"/>
      <c r="X1976" s="1585"/>
      <c r="Y1976" s="1592"/>
      <c r="Z1976" s="1585"/>
      <c r="AA1976" s="1585"/>
      <c r="AB1976" s="1585"/>
      <c r="AC1976" s="1585"/>
      <c r="AD1976" s="1601">
        <f t="shared" si="172"/>
        <v>0</v>
      </c>
      <c r="AE1976" s="1790">
        <v>0</v>
      </c>
      <c r="AF1976" s="1792"/>
    </row>
    <row r="1977" spans="1:32" ht="27.75" customHeight="1">
      <c r="A1977" s="1800" t="s">
        <v>3480</v>
      </c>
      <c r="B1977" s="1800" t="s">
        <v>4130</v>
      </c>
      <c r="C1977" s="1803"/>
      <c r="D1977" s="1804"/>
      <c r="E1977" s="1599"/>
      <c r="F1977" s="1583"/>
      <c r="G1977" s="1583"/>
      <c r="H1977" s="1583"/>
      <c r="I1977" s="1583"/>
      <c r="J1977" s="1583"/>
      <c r="K1977" s="1583"/>
      <c r="L1977" s="1583"/>
      <c r="M1977" s="1583"/>
      <c r="N1977" s="1583"/>
      <c r="O1977" s="1583"/>
      <c r="P1977" s="1583"/>
      <c r="Q1977" s="1604"/>
      <c r="R1977" s="1583"/>
      <c r="S1977" s="1583"/>
      <c r="T1977" s="1604"/>
      <c r="U1977" s="1592"/>
      <c r="V1977" s="1585"/>
      <c r="W1977" s="1585"/>
      <c r="X1977" s="1585"/>
      <c r="Y1977" s="1592"/>
      <c r="Z1977" s="1585"/>
      <c r="AA1977" s="1585"/>
      <c r="AB1977" s="1585"/>
      <c r="AC1977" s="1585"/>
      <c r="AD1977" s="1601">
        <f t="shared" si="172"/>
        <v>0</v>
      </c>
      <c r="AE1977" s="1790">
        <v>0</v>
      </c>
      <c r="AF1977" s="1792"/>
    </row>
    <row r="1978" spans="1:32" ht="27.75" customHeight="1">
      <c r="A1978" s="2899" t="s">
        <v>3482</v>
      </c>
      <c r="B1978" s="2901" t="s">
        <v>4131</v>
      </c>
      <c r="C1978" s="2903" t="s">
        <v>51</v>
      </c>
      <c r="D1978" s="2905">
        <v>142.52400000000003</v>
      </c>
      <c r="E1978" s="1598" t="s">
        <v>2496</v>
      </c>
      <c r="F1978" s="1583"/>
      <c r="G1978" s="1583"/>
      <c r="H1978" s="1583"/>
      <c r="I1978" s="1583"/>
      <c r="J1978" s="1583"/>
      <c r="K1978" s="1583"/>
      <c r="L1978" s="1583"/>
      <c r="M1978" s="1583"/>
      <c r="N1978" s="1583"/>
      <c r="O1978" s="1583"/>
      <c r="P1978" s="1583"/>
      <c r="Q1978" s="1585"/>
      <c r="R1978" s="1583"/>
      <c r="S1978" s="1583"/>
      <c r="T1978" s="1585"/>
      <c r="U1978" s="1585"/>
      <c r="V1978" s="1585"/>
      <c r="W1978" s="1585"/>
      <c r="X1978" s="1585"/>
      <c r="Y1978" s="1585"/>
      <c r="Z1978" s="1585"/>
      <c r="AA1978" s="1585"/>
      <c r="AB1978" s="1585"/>
      <c r="AC1978" s="1585">
        <v>142.52400000000003</v>
      </c>
      <c r="AD1978" s="1601">
        <f t="shared" si="172"/>
        <v>142.52400000000003</v>
      </c>
      <c r="AE1978" s="1790">
        <v>0</v>
      </c>
      <c r="AF1978" s="1792"/>
    </row>
    <row r="1979" spans="1:32" ht="27.75" customHeight="1">
      <c r="A1979" s="2900" t="s">
        <v>3482</v>
      </c>
      <c r="B1979" s="2902" t="s">
        <v>3483</v>
      </c>
      <c r="C1979" s="2904" t="s">
        <v>51</v>
      </c>
      <c r="D1979" s="2906">
        <v>142.52400000000003</v>
      </c>
      <c r="E1979" s="1603" t="s">
        <v>2497</v>
      </c>
      <c r="F1979" s="1583"/>
      <c r="G1979" s="1583"/>
      <c r="H1979" s="1583"/>
      <c r="I1979" s="1583"/>
      <c r="J1979" s="1583"/>
      <c r="K1979" s="1583"/>
      <c r="L1979" s="1583"/>
      <c r="M1979" s="1583"/>
      <c r="N1979" s="1583"/>
      <c r="O1979" s="1583"/>
      <c r="P1979" s="1583"/>
      <c r="Q1979" s="1604"/>
      <c r="R1979" s="1583"/>
      <c r="S1979" s="1583"/>
      <c r="T1979" s="1604"/>
      <c r="U1979" s="1585"/>
      <c r="V1979" s="1585"/>
      <c r="W1979" s="1585"/>
      <c r="X1979" s="1585"/>
      <c r="Y1979" s="1585"/>
      <c r="Z1979" s="1585"/>
      <c r="AA1979" s="1585"/>
      <c r="AB1979" s="1585"/>
      <c r="AC1979" s="1585"/>
      <c r="AD1979" s="1601">
        <f t="shared" si="172"/>
        <v>0</v>
      </c>
      <c r="AE1979" s="1790">
        <v>0</v>
      </c>
      <c r="AF1979" s="1792"/>
    </row>
    <row r="1980" spans="1:32" ht="27.75" customHeight="1">
      <c r="A1980" s="2899" t="s">
        <v>3484</v>
      </c>
      <c r="B1980" s="2901" t="s">
        <v>4132</v>
      </c>
      <c r="C1980" s="2903" t="s">
        <v>51</v>
      </c>
      <c r="D1980" s="2905">
        <v>1624.4928000000002</v>
      </c>
      <c r="E1980" s="1810" t="s">
        <v>2496</v>
      </c>
      <c r="F1980" s="1811"/>
      <c r="G1980" s="1811"/>
      <c r="H1980" s="1811"/>
      <c r="I1980" s="1811"/>
      <c r="J1980" s="1811"/>
      <c r="K1980" s="1811"/>
      <c r="L1980" s="1811"/>
      <c r="M1980" s="1811"/>
      <c r="N1980" s="1811"/>
      <c r="O1980" s="1811"/>
      <c r="P1980" s="1811"/>
      <c r="Q1980" s="1812"/>
      <c r="R1980" s="1811"/>
      <c r="S1980" s="1811"/>
      <c r="T1980" s="1812"/>
      <c r="U1980" s="1812"/>
      <c r="V1980" s="1812"/>
      <c r="W1980" s="1812"/>
      <c r="X1980" s="1812"/>
      <c r="Y1980" s="1812"/>
      <c r="Z1980" s="1812"/>
      <c r="AA1980" s="1812"/>
      <c r="AB1980" s="1585"/>
      <c r="AC1980" s="1812">
        <v>1624.4928000000002</v>
      </c>
      <c r="AD1980" s="1601">
        <f t="shared" si="172"/>
        <v>1624.4928000000002</v>
      </c>
      <c r="AE1980" s="1790">
        <v>0</v>
      </c>
      <c r="AF1980" s="1792"/>
    </row>
    <row r="1981" spans="1:32" ht="27.75" customHeight="1">
      <c r="A1981" s="2900" t="s">
        <v>3484</v>
      </c>
      <c r="B1981" s="2902" t="s">
        <v>3485</v>
      </c>
      <c r="C1981" s="2904" t="s">
        <v>51</v>
      </c>
      <c r="D1981" s="2906">
        <v>1624.4928000000002</v>
      </c>
      <c r="E1981" s="1603" t="s">
        <v>2497</v>
      </c>
      <c r="F1981" s="1583"/>
      <c r="G1981" s="1583"/>
      <c r="H1981" s="1583"/>
      <c r="I1981" s="1583"/>
      <c r="J1981" s="1583"/>
      <c r="K1981" s="1583"/>
      <c r="L1981" s="1583"/>
      <c r="M1981" s="1583"/>
      <c r="N1981" s="1583"/>
      <c r="O1981" s="1583"/>
      <c r="P1981" s="1583"/>
      <c r="Q1981" s="1604"/>
      <c r="R1981" s="1583"/>
      <c r="S1981" s="1583"/>
      <c r="T1981" s="1604"/>
      <c r="U1981" s="1592"/>
      <c r="V1981" s="1585"/>
      <c r="W1981" s="1585"/>
      <c r="X1981" s="1585"/>
      <c r="Y1981" s="1592"/>
      <c r="Z1981" s="1585"/>
      <c r="AA1981" s="1585"/>
      <c r="AB1981" s="1585"/>
      <c r="AC1981" s="1585"/>
      <c r="AD1981" s="1601">
        <f t="shared" si="172"/>
        <v>0</v>
      </c>
      <c r="AE1981" s="1790">
        <v>0</v>
      </c>
      <c r="AF1981" s="1792"/>
    </row>
    <row r="1982" spans="1:32" ht="27.75" customHeight="1">
      <c r="A1982" s="2899" t="s">
        <v>3486</v>
      </c>
      <c r="B1982" s="2901" t="s">
        <v>4133</v>
      </c>
      <c r="C1982" s="2903" t="s">
        <v>51</v>
      </c>
      <c r="D1982" s="2905">
        <v>1304.1600000000001</v>
      </c>
      <c r="E1982" s="1810" t="s">
        <v>2496</v>
      </c>
      <c r="F1982" s="1811"/>
      <c r="G1982" s="1811"/>
      <c r="H1982" s="1811"/>
      <c r="I1982" s="1811"/>
      <c r="J1982" s="1811"/>
      <c r="K1982" s="1811"/>
      <c r="L1982" s="1811"/>
      <c r="M1982" s="1811"/>
      <c r="N1982" s="1811"/>
      <c r="O1982" s="1811"/>
      <c r="P1982" s="1811"/>
      <c r="Q1982" s="1812"/>
      <c r="R1982" s="1811"/>
      <c r="S1982" s="1811"/>
      <c r="T1982" s="1812"/>
      <c r="U1982" s="1812"/>
      <c r="V1982" s="1812"/>
      <c r="W1982" s="1812"/>
      <c r="X1982" s="1812"/>
      <c r="Y1982" s="1812"/>
      <c r="Z1982" s="1812"/>
      <c r="AA1982" s="1812"/>
      <c r="AB1982" s="1585"/>
      <c r="AC1982" s="1812">
        <v>1304.1600000000001</v>
      </c>
      <c r="AD1982" s="1601">
        <f t="shared" si="172"/>
        <v>1304.1600000000001</v>
      </c>
      <c r="AE1982" s="1790">
        <v>0</v>
      </c>
      <c r="AF1982" s="1792"/>
    </row>
    <row r="1983" spans="1:32" ht="27.75" customHeight="1">
      <c r="A1983" s="2900" t="s">
        <v>3486</v>
      </c>
      <c r="B1983" s="2902" t="s">
        <v>3487</v>
      </c>
      <c r="C1983" s="2904" t="s">
        <v>51</v>
      </c>
      <c r="D1983" s="2906">
        <v>1304.1600000000001</v>
      </c>
      <c r="E1983" s="1603" t="s">
        <v>2497</v>
      </c>
      <c r="F1983" s="1583"/>
      <c r="G1983" s="1583"/>
      <c r="H1983" s="1583"/>
      <c r="I1983" s="1583"/>
      <c r="J1983" s="1583"/>
      <c r="K1983" s="1583"/>
      <c r="L1983" s="1583"/>
      <c r="M1983" s="1583"/>
      <c r="N1983" s="1583"/>
      <c r="O1983" s="1583"/>
      <c r="P1983" s="1583"/>
      <c r="Q1983" s="1604"/>
      <c r="R1983" s="1583"/>
      <c r="S1983" s="1583"/>
      <c r="T1983" s="1604"/>
      <c r="U1983" s="1592"/>
      <c r="V1983" s="1585"/>
      <c r="W1983" s="1585"/>
      <c r="X1983" s="1585"/>
      <c r="Y1983" s="1592"/>
      <c r="Z1983" s="1585"/>
      <c r="AA1983" s="1585"/>
      <c r="AB1983" s="1585"/>
      <c r="AC1983" s="1585"/>
      <c r="AD1983" s="1601">
        <f t="shared" si="172"/>
        <v>0</v>
      </c>
      <c r="AE1983" s="1790">
        <v>0</v>
      </c>
      <c r="AF1983" s="1792"/>
    </row>
    <row r="1984" spans="1:32" ht="27.75" customHeight="1">
      <c r="A1984" s="2899" t="s">
        <v>3488</v>
      </c>
      <c r="B1984" s="2901" t="s">
        <v>4134</v>
      </c>
      <c r="C1984" s="2903" t="s">
        <v>51</v>
      </c>
      <c r="D1984" s="2905">
        <v>129.58500000000001</v>
      </c>
      <c r="E1984" s="1810" t="s">
        <v>2496</v>
      </c>
      <c r="F1984" s="1811"/>
      <c r="G1984" s="1811"/>
      <c r="H1984" s="1811"/>
      <c r="I1984" s="1811"/>
      <c r="J1984" s="1811"/>
      <c r="K1984" s="1811"/>
      <c r="L1984" s="1811"/>
      <c r="M1984" s="1811"/>
      <c r="N1984" s="1811"/>
      <c r="O1984" s="1811"/>
      <c r="P1984" s="1811"/>
      <c r="Q1984" s="1812"/>
      <c r="R1984" s="1811"/>
      <c r="S1984" s="1811"/>
      <c r="T1984" s="1812"/>
      <c r="U1984" s="1812"/>
      <c r="V1984" s="1812"/>
      <c r="W1984" s="1812"/>
      <c r="X1984" s="1812"/>
      <c r="Y1984" s="1812"/>
      <c r="Z1984" s="1812"/>
      <c r="AA1984" s="1812"/>
      <c r="AB1984" s="1585"/>
      <c r="AC1984" s="1812">
        <v>129.58500000000001</v>
      </c>
      <c r="AD1984" s="1601">
        <f t="shared" si="172"/>
        <v>129.58500000000001</v>
      </c>
      <c r="AE1984" s="1790">
        <v>0</v>
      </c>
      <c r="AF1984" s="1792"/>
    </row>
    <row r="1985" spans="1:32" ht="27.75" customHeight="1">
      <c r="A1985" s="2900" t="s">
        <v>3488</v>
      </c>
      <c r="B1985" s="2902" t="s">
        <v>3489</v>
      </c>
      <c r="C1985" s="2904" t="s">
        <v>51</v>
      </c>
      <c r="D1985" s="2906">
        <v>129.58500000000001</v>
      </c>
      <c r="E1985" s="1603" t="s">
        <v>2497</v>
      </c>
      <c r="F1985" s="1583"/>
      <c r="G1985" s="1583"/>
      <c r="H1985" s="1583"/>
      <c r="I1985" s="1583"/>
      <c r="J1985" s="1583"/>
      <c r="K1985" s="1583"/>
      <c r="L1985" s="1583"/>
      <c r="M1985" s="1583"/>
      <c r="N1985" s="1583"/>
      <c r="O1985" s="1583"/>
      <c r="P1985" s="1583"/>
      <c r="Q1985" s="1604"/>
      <c r="R1985" s="1583"/>
      <c r="S1985" s="1583"/>
      <c r="T1985" s="1604"/>
      <c r="U1985" s="1592"/>
      <c r="V1985" s="1585"/>
      <c r="W1985" s="1585"/>
      <c r="X1985" s="1585"/>
      <c r="Y1985" s="1592"/>
      <c r="Z1985" s="1585"/>
      <c r="AA1985" s="1585"/>
      <c r="AB1985" s="1585"/>
      <c r="AC1985" s="1585"/>
      <c r="AD1985" s="1601">
        <f t="shared" si="172"/>
        <v>0</v>
      </c>
      <c r="AE1985" s="1790">
        <v>0</v>
      </c>
      <c r="AF1985" s="1792"/>
    </row>
    <row r="1986" spans="1:32" ht="27.75" customHeight="1">
      <c r="A1986" s="2899" t="s">
        <v>3490</v>
      </c>
      <c r="B1986" s="2901" t="s">
        <v>4135</v>
      </c>
      <c r="C1986" s="2903" t="s">
        <v>3492</v>
      </c>
      <c r="D1986" s="2905">
        <v>3879.2000000000003</v>
      </c>
      <c r="E1986" s="1598" t="s">
        <v>2496</v>
      </c>
      <c r="F1986" s="1583"/>
      <c r="G1986" s="1583"/>
      <c r="H1986" s="1583"/>
      <c r="I1986" s="1583"/>
      <c r="J1986" s="1583"/>
      <c r="K1986" s="1583"/>
      <c r="L1986" s="1583"/>
      <c r="M1986" s="1583"/>
      <c r="N1986" s="1583"/>
      <c r="O1986" s="1583"/>
      <c r="P1986" s="1583"/>
      <c r="Q1986" s="1585"/>
      <c r="R1986" s="1583"/>
      <c r="S1986" s="1583"/>
      <c r="T1986" s="1585"/>
      <c r="U1986" s="1585"/>
      <c r="V1986" s="1585"/>
      <c r="W1986" s="1585"/>
      <c r="X1986" s="1585"/>
      <c r="Y1986" s="1585"/>
      <c r="Z1986" s="1585"/>
      <c r="AA1986" s="1585"/>
      <c r="AB1986" s="1585"/>
      <c r="AC1986" s="1585">
        <v>3879.2000000000003</v>
      </c>
      <c r="AD1986" s="1601">
        <f t="shared" si="172"/>
        <v>3879.2000000000003</v>
      </c>
      <c r="AE1986" s="1790">
        <v>0</v>
      </c>
      <c r="AF1986" s="1792"/>
    </row>
    <row r="1987" spans="1:32" ht="27.75" customHeight="1">
      <c r="A1987" s="2900" t="s">
        <v>3490</v>
      </c>
      <c r="B1987" s="2902" t="s">
        <v>3491</v>
      </c>
      <c r="C1987" s="2904" t="s">
        <v>3492</v>
      </c>
      <c r="D1987" s="2906">
        <v>3879.2000000000003</v>
      </c>
      <c r="E1987" s="1603" t="s">
        <v>2497</v>
      </c>
      <c r="F1987" s="1583"/>
      <c r="G1987" s="1583"/>
      <c r="H1987" s="1583"/>
      <c r="I1987" s="1583"/>
      <c r="J1987" s="1583"/>
      <c r="K1987" s="1583"/>
      <c r="L1987" s="1583"/>
      <c r="M1987" s="1583"/>
      <c r="N1987" s="1583"/>
      <c r="O1987" s="1583"/>
      <c r="P1987" s="1583"/>
      <c r="Q1987" s="1604"/>
      <c r="R1987" s="1583"/>
      <c r="S1987" s="1583"/>
      <c r="T1987" s="1604"/>
      <c r="U1987" s="1585"/>
      <c r="V1987" s="1585"/>
      <c r="W1987" s="1585"/>
      <c r="X1987" s="1585"/>
      <c r="Y1987" s="1585"/>
      <c r="Z1987" s="1585"/>
      <c r="AA1987" s="1585"/>
      <c r="AB1987" s="1585"/>
      <c r="AC1987" s="1585"/>
      <c r="AD1987" s="1601">
        <f t="shared" si="172"/>
        <v>0</v>
      </c>
      <c r="AE1987" s="1790">
        <v>0</v>
      </c>
      <c r="AF1987" s="1792"/>
    </row>
    <row r="1988" spans="1:32" ht="27.75" customHeight="1">
      <c r="A1988" s="2899" t="s">
        <v>3493</v>
      </c>
      <c r="B1988" s="2901" t="s">
        <v>4136</v>
      </c>
      <c r="C1988" s="2903" t="s">
        <v>51</v>
      </c>
      <c r="D1988" s="2905">
        <v>775.71</v>
      </c>
      <c r="E1988" s="1810" t="s">
        <v>2496</v>
      </c>
      <c r="F1988" s="1811"/>
      <c r="G1988" s="1811"/>
      <c r="H1988" s="1811"/>
      <c r="I1988" s="1811"/>
      <c r="J1988" s="1811"/>
      <c r="K1988" s="1811"/>
      <c r="L1988" s="1811"/>
      <c r="M1988" s="1811"/>
      <c r="N1988" s="1811"/>
      <c r="O1988" s="1811"/>
      <c r="P1988" s="1811"/>
      <c r="Q1988" s="1812"/>
      <c r="R1988" s="1811"/>
      <c r="S1988" s="1811"/>
      <c r="T1988" s="1812"/>
      <c r="U1988" s="1812"/>
      <c r="V1988" s="1812"/>
      <c r="W1988" s="1812"/>
      <c r="X1988" s="1812"/>
      <c r="Y1988" s="1812"/>
      <c r="Z1988" s="1812"/>
      <c r="AA1988" s="1812"/>
      <c r="AB1988" s="1585"/>
      <c r="AC1988" s="1812">
        <v>775.71</v>
      </c>
      <c r="AD1988" s="1601">
        <f t="shared" si="172"/>
        <v>775.71</v>
      </c>
      <c r="AE1988" s="1790">
        <v>0</v>
      </c>
      <c r="AF1988" s="1792"/>
    </row>
    <row r="1989" spans="1:32" ht="27.75" customHeight="1">
      <c r="A1989" s="2900" t="s">
        <v>3493</v>
      </c>
      <c r="B1989" s="2902" t="s">
        <v>3494</v>
      </c>
      <c r="C1989" s="2904" t="s">
        <v>51</v>
      </c>
      <c r="D1989" s="2906">
        <v>775.71</v>
      </c>
      <c r="E1989" s="1603" t="s">
        <v>2497</v>
      </c>
      <c r="F1989" s="1583"/>
      <c r="G1989" s="1583"/>
      <c r="H1989" s="1583"/>
      <c r="I1989" s="1583"/>
      <c r="J1989" s="1583"/>
      <c r="K1989" s="1583"/>
      <c r="L1989" s="1583"/>
      <c r="M1989" s="1583"/>
      <c r="N1989" s="1583"/>
      <c r="O1989" s="1583"/>
      <c r="P1989" s="1583"/>
      <c r="Q1989" s="1604"/>
      <c r="R1989" s="1583"/>
      <c r="S1989" s="1583"/>
      <c r="T1989" s="1604"/>
      <c r="U1989" s="1592"/>
      <c r="V1989" s="1585"/>
      <c r="W1989" s="1585"/>
      <c r="X1989" s="1585"/>
      <c r="Y1989" s="1592"/>
      <c r="Z1989" s="1585"/>
      <c r="AA1989" s="1585"/>
      <c r="AB1989" s="1585"/>
      <c r="AC1989" s="1585"/>
      <c r="AD1989" s="1601">
        <f t="shared" si="172"/>
        <v>0</v>
      </c>
      <c r="AE1989" s="1790">
        <v>0</v>
      </c>
      <c r="AF1989" s="1792"/>
    </row>
    <row r="1990" spans="1:32" ht="27.75" customHeight="1">
      <c r="A1990" s="1800" t="s">
        <v>3495</v>
      </c>
      <c r="B1990" s="1800" t="s">
        <v>4137</v>
      </c>
      <c r="C1990" s="1803"/>
      <c r="D1990" s="1804"/>
      <c r="E1990" s="1813"/>
      <c r="F1990" s="1811"/>
      <c r="G1990" s="1811"/>
      <c r="H1990" s="1811"/>
      <c r="I1990" s="1811"/>
      <c r="J1990" s="1811"/>
      <c r="K1990" s="1811"/>
      <c r="L1990" s="1811"/>
      <c r="M1990" s="1811"/>
      <c r="N1990" s="1811"/>
      <c r="O1990" s="1811"/>
      <c r="P1990" s="1811"/>
      <c r="Q1990" s="1814"/>
      <c r="R1990" s="1811"/>
      <c r="S1990" s="1811"/>
      <c r="T1990" s="1814"/>
      <c r="U1990" s="1816"/>
      <c r="V1990" s="1812"/>
      <c r="W1990" s="1812"/>
      <c r="X1990" s="1812"/>
      <c r="Y1990" s="1816"/>
      <c r="Z1990" s="1812"/>
      <c r="AA1990" s="1812"/>
      <c r="AB1990" s="1812"/>
      <c r="AC1990" s="1812"/>
      <c r="AD1990" s="1601">
        <f t="shared" si="172"/>
        <v>0</v>
      </c>
      <c r="AE1990" s="1790">
        <v>0</v>
      </c>
      <c r="AF1990" s="1792"/>
    </row>
    <row r="1991" spans="1:32" ht="27.75" customHeight="1">
      <c r="A1991" s="2899" t="s">
        <v>3497</v>
      </c>
      <c r="B1991" s="2901" t="s">
        <v>4138</v>
      </c>
      <c r="C1991" s="2903" t="s">
        <v>3499</v>
      </c>
      <c r="D1991" s="2905">
        <v>146.01</v>
      </c>
      <c r="E1991" s="1810" t="s">
        <v>2496</v>
      </c>
      <c r="F1991" s="1811"/>
      <c r="G1991" s="1811"/>
      <c r="H1991" s="1811"/>
      <c r="I1991" s="1811"/>
      <c r="J1991" s="1811"/>
      <c r="K1991" s="1811"/>
      <c r="L1991" s="1811"/>
      <c r="M1991" s="1811"/>
      <c r="N1991" s="1811"/>
      <c r="O1991" s="1811"/>
      <c r="P1991" s="1811"/>
      <c r="Q1991" s="1812"/>
      <c r="R1991" s="1811"/>
      <c r="S1991" s="1811"/>
      <c r="T1991" s="1812"/>
      <c r="U1991" s="1812"/>
      <c r="V1991" s="1812"/>
      <c r="W1991" s="1812"/>
      <c r="X1991" s="1812"/>
      <c r="Y1991" s="1812"/>
      <c r="Z1991" s="1812"/>
      <c r="AA1991" s="1812"/>
      <c r="AB1991" s="1585"/>
      <c r="AC1991" s="1812">
        <v>146.01</v>
      </c>
      <c r="AD1991" s="1601">
        <f t="shared" si="172"/>
        <v>146.01</v>
      </c>
      <c r="AE1991" s="1790">
        <v>0</v>
      </c>
      <c r="AF1991" s="1792"/>
    </row>
    <row r="1992" spans="1:32" ht="27.75" customHeight="1">
      <c r="A1992" s="2900" t="s">
        <v>3497</v>
      </c>
      <c r="B1992" s="2902" t="s">
        <v>3498</v>
      </c>
      <c r="C1992" s="2904" t="s">
        <v>3499</v>
      </c>
      <c r="D1992" s="2906">
        <v>146.01</v>
      </c>
      <c r="E1992" s="1603" t="s">
        <v>2497</v>
      </c>
      <c r="F1992" s="1583"/>
      <c r="G1992" s="1583"/>
      <c r="H1992" s="1583"/>
      <c r="I1992" s="1583"/>
      <c r="J1992" s="1583"/>
      <c r="K1992" s="1583"/>
      <c r="L1992" s="1583"/>
      <c r="M1992" s="1583"/>
      <c r="N1992" s="1583"/>
      <c r="O1992" s="1583"/>
      <c r="P1992" s="1583"/>
      <c r="Q1992" s="1604"/>
      <c r="R1992" s="1583"/>
      <c r="S1992" s="1583"/>
      <c r="T1992" s="1604"/>
      <c r="U1992" s="1592"/>
      <c r="V1992" s="1585"/>
      <c r="W1992" s="1585"/>
      <c r="X1992" s="1585"/>
      <c r="Y1992" s="1592"/>
      <c r="Z1992" s="1585"/>
      <c r="AA1992" s="1585"/>
      <c r="AB1992" s="1585"/>
      <c r="AC1992" s="1585"/>
      <c r="AD1992" s="1601">
        <f t="shared" si="172"/>
        <v>0</v>
      </c>
      <c r="AE1992" s="1790">
        <v>0</v>
      </c>
      <c r="AF1992" s="1792"/>
    </row>
    <row r="1993" spans="1:32" ht="27.75" customHeight="1">
      <c r="A1993" s="2899" t="s">
        <v>3500</v>
      </c>
      <c r="B1993" s="2901" t="s">
        <v>4139</v>
      </c>
      <c r="C1993" s="2903" t="s">
        <v>3499</v>
      </c>
      <c r="D1993" s="2905">
        <v>255.97</v>
      </c>
      <c r="E1993" s="1598" t="s">
        <v>2496</v>
      </c>
      <c r="F1993" s="1583"/>
      <c r="G1993" s="1583"/>
      <c r="H1993" s="1583"/>
      <c r="I1993" s="1583"/>
      <c r="J1993" s="1583"/>
      <c r="K1993" s="1583"/>
      <c r="L1993" s="1583"/>
      <c r="M1993" s="1583"/>
      <c r="N1993" s="1583"/>
      <c r="O1993" s="1583"/>
      <c r="P1993" s="1583"/>
      <c r="Q1993" s="1585"/>
      <c r="R1993" s="1583"/>
      <c r="S1993" s="1583"/>
      <c r="T1993" s="1585"/>
      <c r="U1993" s="1585"/>
      <c r="V1993" s="1585"/>
      <c r="W1993" s="1585"/>
      <c r="X1993" s="1585"/>
      <c r="Y1993" s="1585"/>
      <c r="Z1993" s="1585"/>
      <c r="AA1993" s="1585"/>
      <c r="AB1993" s="1585"/>
      <c r="AC1993" s="1585">
        <v>255.97</v>
      </c>
      <c r="AD1993" s="1601">
        <f t="shared" si="172"/>
        <v>255.97</v>
      </c>
      <c r="AE1993" s="1790">
        <v>0</v>
      </c>
      <c r="AF1993" s="1792"/>
    </row>
    <row r="1994" spans="1:32" ht="27.75" customHeight="1">
      <c r="A1994" s="2900" t="s">
        <v>3500</v>
      </c>
      <c r="B1994" s="2902" t="s">
        <v>3501</v>
      </c>
      <c r="C1994" s="2904" t="s">
        <v>3499</v>
      </c>
      <c r="D1994" s="2906">
        <v>255.97</v>
      </c>
      <c r="E1994" s="1603" t="s">
        <v>2497</v>
      </c>
      <c r="F1994" s="1583"/>
      <c r="G1994" s="1583"/>
      <c r="H1994" s="1583"/>
      <c r="I1994" s="1583"/>
      <c r="J1994" s="1583"/>
      <c r="K1994" s="1583"/>
      <c r="L1994" s="1583"/>
      <c r="M1994" s="1583"/>
      <c r="N1994" s="1583"/>
      <c r="O1994" s="1583"/>
      <c r="P1994" s="1583"/>
      <c r="Q1994" s="1604"/>
      <c r="R1994" s="1583"/>
      <c r="S1994" s="1583"/>
      <c r="T1994" s="1604"/>
      <c r="U1994" s="1585"/>
      <c r="V1994" s="1585"/>
      <c r="W1994" s="1585"/>
      <c r="X1994" s="1585"/>
      <c r="Y1994" s="1585"/>
      <c r="Z1994" s="1585"/>
      <c r="AA1994" s="1585"/>
      <c r="AB1994" s="1585"/>
      <c r="AC1994" s="1585"/>
      <c r="AD1994" s="1601">
        <f t="shared" si="172"/>
        <v>0</v>
      </c>
      <c r="AE1994" s="1790">
        <v>0</v>
      </c>
      <c r="AF1994" s="1792"/>
    </row>
    <row r="1995" spans="1:32" ht="27.75" customHeight="1">
      <c r="A1995" s="2899" t="s">
        <v>3502</v>
      </c>
      <c r="B1995" s="2901" t="s">
        <v>4140</v>
      </c>
      <c r="C1995" s="2903" t="s">
        <v>3499</v>
      </c>
      <c r="D1995" s="2905">
        <v>176.46</v>
      </c>
      <c r="E1995" s="1810" t="s">
        <v>2496</v>
      </c>
      <c r="F1995" s="1811"/>
      <c r="G1995" s="1811"/>
      <c r="H1995" s="1811"/>
      <c r="I1995" s="1811"/>
      <c r="J1995" s="1811"/>
      <c r="K1995" s="1811"/>
      <c r="L1995" s="1811"/>
      <c r="M1995" s="1811"/>
      <c r="N1995" s="1811"/>
      <c r="O1995" s="1811"/>
      <c r="P1995" s="1811"/>
      <c r="Q1995" s="1812"/>
      <c r="R1995" s="1811"/>
      <c r="S1995" s="1811"/>
      <c r="T1995" s="1812"/>
      <c r="U1995" s="1812"/>
      <c r="V1995" s="1812"/>
      <c r="W1995" s="1812"/>
      <c r="X1995" s="1812"/>
      <c r="Y1995" s="1812"/>
      <c r="Z1995" s="1812"/>
      <c r="AA1995" s="1812"/>
      <c r="AB1995" s="1585"/>
      <c r="AC1995" s="1812">
        <v>176.46</v>
      </c>
      <c r="AD1995" s="1601">
        <f t="shared" si="172"/>
        <v>176.46</v>
      </c>
      <c r="AE1995" s="1790">
        <v>0</v>
      </c>
      <c r="AF1995" s="1792"/>
    </row>
    <row r="1996" spans="1:32" ht="27.75" customHeight="1">
      <c r="A1996" s="2900" t="s">
        <v>3502</v>
      </c>
      <c r="B1996" s="2902" t="s">
        <v>3503</v>
      </c>
      <c r="C1996" s="2904" t="s">
        <v>3499</v>
      </c>
      <c r="D1996" s="2906">
        <v>176.46</v>
      </c>
      <c r="E1996" s="1603" t="s">
        <v>2497</v>
      </c>
      <c r="F1996" s="1583"/>
      <c r="G1996" s="1583"/>
      <c r="H1996" s="1583"/>
      <c r="I1996" s="1583"/>
      <c r="J1996" s="1583"/>
      <c r="K1996" s="1583"/>
      <c r="L1996" s="1583"/>
      <c r="M1996" s="1583"/>
      <c r="N1996" s="1583"/>
      <c r="O1996" s="1583"/>
      <c r="P1996" s="1583"/>
      <c r="Q1996" s="1604"/>
      <c r="R1996" s="1583"/>
      <c r="S1996" s="1583"/>
      <c r="T1996" s="1604"/>
      <c r="U1996" s="1592"/>
      <c r="V1996" s="1585"/>
      <c r="W1996" s="1585"/>
      <c r="X1996" s="1585"/>
      <c r="Y1996" s="1592"/>
      <c r="Z1996" s="1585"/>
      <c r="AA1996" s="1585"/>
      <c r="AB1996" s="1585"/>
      <c r="AC1996" s="1585"/>
      <c r="AD1996" s="1601">
        <f t="shared" si="172"/>
        <v>0</v>
      </c>
      <c r="AE1996" s="1790">
        <v>0</v>
      </c>
      <c r="AF1996" s="1792"/>
    </row>
    <row r="1997" spans="1:32" ht="27.75" customHeight="1">
      <c r="A1997" s="2899" t="s">
        <v>3504</v>
      </c>
      <c r="B1997" s="2901" t="s">
        <v>4141</v>
      </c>
      <c r="C1997" s="2903" t="s">
        <v>3499</v>
      </c>
      <c r="D1997" s="2905">
        <v>392.16</v>
      </c>
      <c r="E1997" s="1598" t="s">
        <v>2496</v>
      </c>
      <c r="F1997" s="1583"/>
      <c r="G1997" s="1583"/>
      <c r="H1997" s="1583"/>
      <c r="I1997" s="1583"/>
      <c r="J1997" s="1583"/>
      <c r="K1997" s="1583"/>
      <c r="L1997" s="1583"/>
      <c r="M1997" s="1583"/>
      <c r="N1997" s="1583"/>
      <c r="O1997" s="1583"/>
      <c r="P1997" s="1583"/>
      <c r="Q1997" s="1585"/>
      <c r="R1997" s="1583"/>
      <c r="S1997" s="1583"/>
      <c r="T1997" s="1585"/>
      <c r="U1997" s="1585"/>
      <c r="V1997" s="1585"/>
      <c r="W1997" s="1585"/>
      <c r="X1997" s="1585"/>
      <c r="Y1997" s="1585"/>
      <c r="Z1997" s="1585"/>
      <c r="AA1997" s="1585"/>
      <c r="AB1997" s="1585"/>
      <c r="AC1997" s="1585">
        <v>392.16</v>
      </c>
      <c r="AD1997" s="1601">
        <f t="shared" si="172"/>
        <v>392.16</v>
      </c>
      <c r="AE1997" s="1790">
        <v>0</v>
      </c>
      <c r="AF1997" s="1792"/>
    </row>
    <row r="1998" spans="1:32" ht="27.75" customHeight="1">
      <c r="A1998" s="2900" t="s">
        <v>3504</v>
      </c>
      <c r="B1998" s="2902" t="s">
        <v>3505</v>
      </c>
      <c r="C1998" s="2904" t="s">
        <v>3499</v>
      </c>
      <c r="D1998" s="2906">
        <v>392.16</v>
      </c>
      <c r="E1998" s="1603" t="s">
        <v>2497</v>
      </c>
      <c r="F1998" s="1583"/>
      <c r="G1998" s="1583"/>
      <c r="H1998" s="1583"/>
      <c r="I1998" s="1583"/>
      <c r="J1998" s="1583"/>
      <c r="K1998" s="1583"/>
      <c r="L1998" s="1583"/>
      <c r="M1998" s="1583"/>
      <c r="N1998" s="1583"/>
      <c r="O1998" s="1583"/>
      <c r="P1998" s="1583"/>
      <c r="Q1998" s="1604"/>
      <c r="R1998" s="1583"/>
      <c r="S1998" s="1583"/>
      <c r="T1998" s="1604"/>
      <c r="U1998" s="1585"/>
      <c r="V1998" s="1585"/>
      <c r="W1998" s="1585"/>
      <c r="X1998" s="1585"/>
      <c r="Y1998" s="1585"/>
      <c r="Z1998" s="1585"/>
      <c r="AA1998" s="1585"/>
      <c r="AB1998" s="1585"/>
      <c r="AC1998" s="1585"/>
      <c r="AD1998" s="1601">
        <f t="shared" si="172"/>
        <v>0</v>
      </c>
      <c r="AE1998" s="1790">
        <v>0</v>
      </c>
      <c r="AF1998" s="1792"/>
    </row>
    <row r="1999" spans="1:32" ht="27.75" customHeight="1">
      <c r="A1999" s="2899" t="s">
        <v>3506</v>
      </c>
      <c r="B1999" s="2901" t="s">
        <v>4142</v>
      </c>
      <c r="C1999" s="2903" t="s">
        <v>3499</v>
      </c>
      <c r="D1999" s="2905">
        <v>310.12</v>
      </c>
      <c r="E1999" s="1810" t="s">
        <v>2496</v>
      </c>
      <c r="F1999" s="1811"/>
      <c r="G1999" s="1811"/>
      <c r="H1999" s="1811"/>
      <c r="I1999" s="1811"/>
      <c r="J1999" s="1811"/>
      <c r="K1999" s="1811"/>
      <c r="L1999" s="1811"/>
      <c r="M1999" s="1811"/>
      <c r="N1999" s="1811"/>
      <c r="O1999" s="1811"/>
      <c r="P1999" s="1811"/>
      <c r="Q1999" s="1812"/>
      <c r="R1999" s="1811"/>
      <c r="S1999" s="1811"/>
      <c r="T1999" s="1812"/>
      <c r="U1999" s="1812"/>
      <c r="V1999" s="1812"/>
      <c r="W1999" s="1812"/>
      <c r="X1999" s="1812"/>
      <c r="Y1999" s="1812"/>
      <c r="Z1999" s="1812"/>
      <c r="AA1999" s="1812"/>
      <c r="AB1999" s="1585"/>
      <c r="AC1999" s="1812">
        <v>310.12</v>
      </c>
      <c r="AD1999" s="1601">
        <f t="shared" si="172"/>
        <v>310.12</v>
      </c>
      <c r="AE1999" s="1790">
        <v>0</v>
      </c>
      <c r="AF1999" s="1792"/>
    </row>
    <row r="2000" spans="1:32" ht="27.75" customHeight="1">
      <c r="A2000" s="2900" t="s">
        <v>3506</v>
      </c>
      <c r="B2000" s="2902" t="s">
        <v>3507</v>
      </c>
      <c r="C2000" s="2904" t="s">
        <v>3499</v>
      </c>
      <c r="D2000" s="2906">
        <v>310.12</v>
      </c>
      <c r="E2000" s="1603" t="s">
        <v>2497</v>
      </c>
      <c r="F2000" s="1583"/>
      <c r="G2000" s="1583"/>
      <c r="H2000" s="1583"/>
      <c r="I2000" s="1583"/>
      <c r="J2000" s="1583"/>
      <c r="K2000" s="1583"/>
      <c r="L2000" s="1583"/>
      <c r="M2000" s="1583"/>
      <c r="N2000" s="1583"/>
      <c r="O2000" s="1583"/>
      <c r="P2000" s="1583"/>
      <c r="Q2000" s="1604"/>
      <c r="R2000" s="1583"/>
      <c r="S2000" s="1583"/>
      <c r="T2000" s="1604"/>
      <c r="U2000" s="1592"/>
      <c r="V2000" s="1585"/>
      <c r="W2000" s="1585"/>
      <c r="X2000" s="1585"/>
      <c r="Y2000" s="1592"/>
      <c r="Z2000" s="1585"/>
      <c r="AA2000" s="1585"/>
      <c r="AB2000" s="1585"/>
      <c r="AC2000" s="1585"/>
      <c r="AD2000" s="1601">
        <f t="shared" si="172"/>
        <v>0</v>
      </c>
      <c r="AE2000" s="1790">
        <v>0</v>
      </c>
      <c r="AF2000" s="1792"/>
    </row>
    <row r="2001" spans="1:32" ht="27.75" customHeight="1">
      <c r="A2001" s="1800" t="s">
        <v>3508</v>
      </c>
      <c r="B2001" s="1800" t="s">
        <v>4143</v>
      </c>
      <c r="C2001" s="1803"/>
      <c r="D2001" s="1804"/>
      <c r="E2001" s="1813"/>
      <c r="F2001" s="1811"/>
      <c r="G2001" s="1811"/>
      <c r="H2001" s="1811"/>
      <c r="I2001" s="1811"/>
      <c r="J2001" s="1811"/>
      <c r="K2001" s="1811"/>
      <c r="L2001" s="1811"/>
      <c r="M2001" s="1811"/>
      <c r="N2001" s="1811"/>
      <c r="O2001" s="1811"/>
      <c r="P2001" s="1811"/>
      <c r="Q2001" s="1814"/>
      <c r="R2001" s="1811"/>
      <c r="S2001" s="1811"/>
      <c r="T2001" s="1814"/>
      <c r="U2001" s="1816"/>
      <c r="V2001" s="1812"/>
      <c r="W2001" s="1812"/>
      <c r="X2001" s="1812"/>
      <c r="Y2001" s="1816"/>
      <c r="Z2001" s="1812"/>
      <c r="AA2001" s="1812"/>
      <c r="AB2001" s="1812"/>
      <c r="AC2001" s="1812"/>
      <c r="AD2001" s="1601">
        <f t="shared" ref="AD2001:AD2064" si="173">SUM(F2001:AC2001)</f>
        <v>0</v>
      </c>
      <c r="AE2001" s="1790">
        <v>0</v>
      </c>
      <c r="AF2001" s="1792"/>
    </row>
    <row r="2002" spans="1:32" ht="27.75" customHeight="1">
      <c r="A2002" s="2899" t="s">
        <v>3510</v>
      </c>
      <c r="B2002" s="2901" t="s">
        <v>3511</v>
      </c>
      <c r="C2002" s="2903" t="s">
        <v>3499</v>
      </c>
      <c r="D2002" s="2905">
        <v>2890.08</v>
      </c>
      <c r="E2002" s="1810" t="s">
        <v>2496</v>
      </c>
      <c r="F2002" s="1811"/>
      <c r="G2002" s="1811"/>
      <c r="H2002" s="1811"/>
      <c r="I2002" s="1811"/>
      <c r="J2002" s="1811"/>
      <c r="K2002" s="1811"/>
      <c r="L2002" s="1811"/>
      <c r="M2002" s="1811"/>
      <c r="N2002" s="1811"/>
      <c r="O2002" s="1811"/>
      <c r="P2002" s="1811"/>
      <c r="Q2002" s="1812"/>
      <c r="R2002" s="1811"/>
      <c r="S2002" s="1811"/>
      <c r="T2002" s="1812"/>
      <c r="U2002" s="1812"/>
      <c r="V2002" s="1812"/>
      <c r="W2002" s="1812"/>
      <c r="X2002" s="1812"/>
      <c r="Y2002" s="1812"/>
      <c r="Z2002" s="1812"/>
      <c r="AA2002" s="1812"/>
      <c r="AB2002" s="1585"/>
      <c r="AC2002" s="1812">
        <v>2890.08</v>
      </c>
      <c r="AD2002" s="1601">
        <f t="shared" si="173"/>
        <v>2890.08</v>
      </c>
      <c r="AE2002" s="1790">
        <v>0</v>
      </c>
      <c r="AF2002" s="1792"/>
    </row>
    <row r="2003" spans="1:32" ht="27.75" customHeight="1">
      <c r="A2003" s="2900" t="s">
        <v>3510</v>
      </c>
      <c r="B2003" s="2902" t="s">
        <v>3511</v>
      </c>
      <c r="C2003" s="2904" t="s">
        <v>3499</v>
      </c>
      <c r="D2003" s="2906">
        <v>2890.08</v>
      </c>
      <c r="E2003" s="1603" t="s">
        <v>2497</v>
      </c>
      <c r="F2003" s="1583"/>
      <c r="G2003" s="1583"/>
      <c r="H2003" s="1583"/>
      <c r="I2003" s="1583"/>
      <c r="J2003" s="1583"/>
      <c r="K2003" s="1583"/>
      <c r="L2003" s="1583"/>
      <c r="M2003" s="1583"/>
      <c r="N2003" s="1583"/>
      <c r="O2003" s="1583"/>
      <c r="P2003" s="1583"/>
      <c r="Q2003" s="1604"/>
      <c r="R2003" s="1583"/>
      <c r="S2003" s="1583"/>
      <c r="T2003" s="1604"/>
      <c r="U2003" s="1592"/>
      <c r="V2003" s="1585"/>
      <c r="W2003" s="1585"/>
      <c r="X2003" s="1585"/>
      <c r="Y2003" s="1592"/>
      <c r="Z2003" s="1585"/>
      <c r="AA2003" s="1585"/>
      <c r="AB2003" s="1585"/>
      <c r="AC2003" s="1585"/>
      <c r="AD2003" s="1601">
        <f t="shared" si="173"/>
        <v>0</v>
      </c>
      <c r="AE2003" s="1790">
        <v>0</v>
      </c>
      <c r="AF2003" s="1792"/>
    </row>
    <row r="2004" spans="1:32" ht="27.75" customHeight="1">
      <c r="A2004" s="1800" t="s">
        <v>3512</v>
      </c>
      <c r="B2004" s="1800" t="s">
        <v>4144</v>
      </c>
      <c r="C2004" s="1803"/>
      <c r="D2004" s="1804"/>
      <c r="E2004" s="1813"/>
      <c r="F2004" s="1811"/>
      <c r="G2004" s="1811"/>
      <c r="H2004" s="1811"/>
      <c r="I2004" s="1811"/>
      <c r="J2004" s="1811"/>
      <c r="K2004" s="1811"/>
      <c r="L2004" s="1811"/>
      <c r="M2004" s="1811"/>
      <c r="N2004" s="1811"/>
      <c r="O2004" s="1811"/>
      <c r="P2004" s="1811"/>
      <c r="Q2004" s="1814"/>
      <c r="R2004" s="1811"/>
      <c r="S2004" s="1811"/>
      <c r="T2004" s="1814"/>
      <c r="U2004" s="1816"/>
      <c r="V2004" s="1812"/>
      <c r="W2004" s="1812"/>
      <c r="X2004" s="1812"/>
      <c r="Y2004" s="1816"/>
      <c r="Z2004" s="1812"/>
      <c r="AA2004" s="1812"/>
      <c r="AC2004" s="1812"/>
      <c r="AD2004" s="1601">
        <f t="shared" si="173"/>
        <v>0</v>
      </c>
      <c r="AE2004" s="1790">
        <v>0</v>
      </c>
      <c r="AF2004" s="1792"/>
    </row>
    <row r="2005" spans="1:32" ht="27.75" customHeight="1">
      <c r="A2005" s="2899" t="s">
        <v>3514</v>
      </c>
      <c r="B2005" s="2901" t="s">
        <v>4145</v>
      </c>
      <c r="C2005" s="2903" t="s">
        <v>3499</v>
      </c>
      <c r="D2005" s="2905">
        <v>3007.14</v>
      </c>
      <c r="E2005" s="1810" t="s">
        <v>2496</v>
      </c>
      <c r="F2005" s="1811"/>
      <c r="G2005" s="1811"/>
      <c r="H2005" s="1811"/>
      <c r="I2005" s="1811"/>
      <c r="J2005" s="1811"/>
      <c r="K2005" s="1811"/>
      <c r="L2005" s="1811"/>
      <c r="M2005" s="1811"/>
      <c r="N2005" s="1811"/>
      <c r="O2005" s="1811"/>
      <c r="P2005" s="1811"/>
      <c r="Q2005" s="1812"/>
      <c r="R2005" s="1811"/>
      <c r="S2005" s="1811"/>
      <c r="T2005" s="1812"/>
      <c r="U2005" s="1812"/>
      <c r="V2005" s="1812"/>
      <c r="W2005" s="1812"/>
      <c r="X2005" s="1812"/>
      <c r="Y2005" s="1812"/>
      <c r="Z2005" s="1812"/>
      <c r="AA2005" s="1812"/>
      <c r="AB2005" s="1585"/>
      <c r="AC2005" s="1812">
        <v>3007.14</v>
      </c>
      <c r="AD2005" s="1601">
        <f t="shared" si="173"/>
        <v>3007.14</v>
      </c>
      <c r="AE2005" s="1790">
        <v>0</v>
      </c>
      <c r="AF2005" s="1792"/>
    </row>
    <row r="2006" spans="1:32" ht="27.75" customHeight="1">
      <c r="A2006" s="2900" t="s">
        <v>3514</v>
      </c>
      <c r="B2006" s="2902" t="s">
        <v>3515</v>
      </c>
      <c r="C2006" s="2904" t="s">
        <v>3499</v>
      </c>
      <c r="D2006" s="2906">
        <v>3007.14</v>
      </c>
      <c r="E2006" s="1603" t="s">
        <v>2497</v>
      </c>
      <c r="F2006" s="1583"/>
      <c r="G2006" s="1583"/>
      <c r="H2006" s="1583"/>
      <c r="I2006" s="1583"/>
      <c r="J2006" s="1583"/>
      <c r="K2006" s="1583"/>
      <c r="L2006" s="1583"/>
      <c r="M2006" s="1583"/>
      <c r="N2006" s="1583"/>
      <c r="O2006" s="1583"/>
      <c r="P2006" s="1583"/>
      <c r="Q2006" s="1604"/>
      <c r="R2006" s="1583"/>
      <c r="S2006" s="1583"/>
      <c r="T2006" s="1604"/>
      <c r="U2006" s="1592"/>
      <c r="V2006" s="1585"/>
      <c r="W2006" s="1585"/>
      <c r="X2006" s="1585"/>
      <c r="Y2006" s="1592"/>
      <c r="Z2006" s="1585"/>
      <c r="AA2006" s="1585"/>
      <c r="AB2006" s="1585"/>
      <c r="AC2006" s="1585"/>
      <c r="AD2006" s="1601">
        <f t="shared" si="173"/>
        <v>0</v>
      </c>
      <c r="AE2006" s="1790">
        <v>0</v>
      </c>
      <c r="AF2006" s="1792"/>
    </row>
    <row r="2007" spans="1:32" ht="27.75" customHeight="1">
      <c r="A2007" s="1800" t="s">
        <v>3516</v>
      </c>
      <c r="B2007" s="1800" t="s">
        <v>4146</v>
      </c>
      <c r="C2007" s="1803"/>
      <c r="D2007" s="1804"/>
      <c r="E2007" s="1599"/>
      <c r="F2007" s="1583"/>
      <c r="G2007" s="1583"/>
      <c r="H2007" s="1583"/>
      <c r="I2007" s="1583"/>
      <c r="J2007" s="1583"/>
      <c r="K2007" s="1583"/>
      <c r="L2007" s="1583"/>
      <c r="M2007" s="1583"/>
      <c r="N2007" s="1583"/>
      <c r="O2007" s="1583"/>
      <c r="P2007" s="1583"/>
      <c r="Q2007" s="1604"/>
      <c r="R2007" s="1583"/>
      <c r="S2007" s="1583"/>
      <c r="T2007" s="1604"/>
      <c r="U2007" s="1592"/>
      <c r="V2007" s="1585"/>
      <c r="W2007" s="1585"/>
      <c r="X2007" s="1585"/>
      <c r="Y2007" s="1592"/>
      <c r="Z2007" s="1585"/>
      <c r="AA2007" s="1585"/>
      <c r="AB2007" s="1585"/>
      <c r="AC2007" s="1585"/>
      <c r="AD2007" s="1601">
        <f t="shared" si="173"/>
        <v>0</v>
      </c>
      <c r="AE2007" s="1790">
        <v>0</v>
      </c>
      <c r="AF2007" s="1792"/>
    </row>
    <row r="2008" spans="1:32" ht="27.75" customHeight="1">
      <c r="A2008" s="2899" t="s">
        <v>3518</v>
      </c>
      <c r="B2008" s="2901" t="s">
        <v>4147</v>
      </c>
      <c r="C2008" s="2903" t="s">
        <v>3520</v>
      </c>
      <c r="D2008" s="2905">
        <v>2833.4700000000003</v>
      </c>
      <c r="E2008" s="1598" t="s">
        <v>2496</v>
      </c>
      <c r="F2008" s="1583"/>
      <c r="G2008" s="1583"/>
      <c r="H2008" s="1583"/>
      <c r="I2008" s="1583"/>
      <c r="J2008" s="1583"/>
      <c r="K2008" s="1583"/>
      <c r="L2008" s="1583"/>
      <c r="M2008" s="1583"/>
      <c r="N2008" s="1583"/>
      <c r="O2008" s="1583"/>
      <c r="P2008" s="1583"/>
      <c r="Q2008" s="1585"/>
      <c r="R2008" s="1583"/>
      <c r="S2008" s="1583"/>
      <c r="T2008" s="1585"/>
      <c r="U2008" s="1585"/>
      <c r="V2008" s="1585"/>
      <c r="W2008" s="1585"/>
      <c r="X2008" s="1585"/>
      <c r="Y2008" s="1585"/>
      <c r="Z2008" s="1585"/>
      <c r="AA2008" s="1585"/>
      <c r="AB2008" s="1585"/>
      <c r="AC2008" s="1585">
        <v>2833.4700000000003</v>
      </c>
      <c r="AD2008" s="1601">
        <f t="shared" si="173"/>
        <v>2833.4700000000003</v>
      </c>
      <c r="AE2008" s="1790">
        <v>0</v>
      </c>
      <c r="AF2008" s="1792"/>
    </row>
    <row r="2009" spans="1:32" ht="27.75" customHeight="1">
      <c r="A2009" s="2900" t="s">
        <v>3518</v>
      </c>
      <c r="B2009" s="2902" t="s">
        <v>3519</v>
      </c>
      <c r="C2009" s="2904" t="s">
        <v>3520</v>
      </c>
      <c r="D2009" s="2906">
        <v>2833.4700000000003</v>
      </c>
      <c r="E2009" s="1603" t="s">
        <v>2497</v>
      </c>
      <c r="F2009" s="1583"/>
      <c r="G2009" s="1583"/>
      <c r="H2009" s="1583"/>
      <c r="I2009" s="1583"/>
      <c r="J2009" s="1583"/>
      <c r="K2009" s="1583"/>
      <c r="L2009" s="1583"/>
      <c r="M2009" s="1583"/>
      <c r="N2009" s="1583"/>
      <c r="O2009" s="1583"/>
      <c r="P2009" s="1583"/>
      <c r="Q2009" s="1604"/>
      <c r="R2009" s="1583"/>
      <c r="S2009" s="1583"/>
      <c r="T2009" s="1604"/>
      <c r="U2009" s="1585"/>
      <c r="V2009" s="1585"/>
      <c r="W2009" s="1585"/>
      <c r="X2009" s="1585"/>
      <c r="Y2009" s="1585"/>
      <c r="Z2009" s="1585"/>
      <c r="AA2009" s="1585"/>
      <c r="AB2009" s="1585"/>
      <c r="AC2009" s="1585"/>
      <c r="AD2009" s="1601">
        <f t="shared" si="173"/>
        <v>0</v>
      </c>
      <c r="AE2009" s="1790">
        <v>0</v>
      </c>
      <c r="AF2009" s="1792"/>
    </row>
    <row r="2010" spans="1:32" ht="27.75" customHeight="1">
      <c r="A2010" s="2899" t="s">
        <v>3521</v>
      </c>
      <c r="B2010" s="2901" t="s">
        <v>4148</v>
      </c>
      <c r="C2010" s="2903" t="s">
        <v>3520</v>
      </c>
      <c r="D2010" s="2905">
        <v>671.7</v>
      </c>
      <c r="E2010" s="1810" t="s">
        <v>2496</v>
      </c>
      <c r="F2010" s="1811"/>
      <c r="G2010" s="1811"/>
      <c r="H2010" s="1811"/>
      <c r="I2010" s="1811"/>
      <c r="J2010" s="1811"/>
      <c r="K2010" s="1811"/>
      <c r="L2010" s="1811"/>
      <c r="M2010" s="1811"/>
      <c r="N2010" s="1811"/>
      <c r="O2010" s="1811"/>
      <c r="P2010" s="1811"/>
      <c r="Q2010" s="1812"/>
      <c r="R2010" s="1811"/>
      <c r="S2010" s="1811"/>
      <c r="T2010" s="1812"/>
      <c r="U2010" s="1812"/>
      <c r="V2010" s="1812"/>
      <c r="W2010" s="1812"/>
      <c r="X2010" s="1812"/>
      <c r="Y2010" s="1812"/>
      <c r="Z2010" s="1812"/>
      <c r="AA2010" s="1812"/>
      <c r="AB2010" s="1585"/>
      <c r="AC2010" s="1812">
        <v>671.7</v>
      </c>
      <c r="AD2010" s="1601">
        <f t="shared" si="173"/>
        <v>671.7</v>
      </c>
      <c r="AE2010" s="1790">
        <v>0</v>
      </c>
      <c r="AF2010" s="1792"/>
    </row>
    <row r="2011" spans="1:32" ht="27.75" customHeight="1">
      <c r="A2011" s="2900" t="s">
        <v>3521</v>
      </c>
      <c r="B2011" s="2902" t="s">
        <v>3522</v>
      </c>
      <c r="C2011" s="2904" t="s">
        <v>3520</v>
      </c>
      <c r="D2011" s="2906">
        <v>671.7</v>
      </c>
      <c r="E2011" s="1603" t="s">
        <v>2497</v>
      </c>
      <c r="F2011" s="1583"/>
      <c r="G2011" s="1583"/>
      <c r="H2011" s="1583"/>
      <c r="I2011" s="1583"/>
      <c r="J2011" s="1583"/>
      <c r="K2011" s="1583"/>
      <c r="L2011" s="1583"/>
      <c r="M2011" s="1583"/>
      <c r="N2011" s="1583"/>
      <c r="O2011" s="1583"/>
      <c r="P2011" s="1583"/>
      <c r="Q2011" s="1604"/>
      <c r="R2011" s="1583"/>
      <c r="S2011" s="1583"/>
      <c r="T2011" s="1604"/>
      <c r="U2011" s="1592"/>
      <c r="V2011" s="1585"/>
      <c r="W2011" s="1585"/>
      <c r="X2011" s="1585"/>
      <c r="Y2011" s="1592"/>
      <c r="Z2011" s="1585"/>
      <c r="AA2011" s="1585"/>
      <c r="AB2011" s="1585"/>
      <c r="AC2011" s="1585"/>
      <c r="AD2011" s="1601">
        <f t="shared" si="173"/>
        <v>0</v>
      </c>
      <c r="AE2011" s="1790">
        <v>0</v>
      </c>
      <c r="AF2011" s="1792"/>
    </row>
    <row r="2012" spans="1:32" ht="27.75" customHeight="1">
      <c r="A2012" s="1800" t="s">
        <v>3523</v>
      </c>
      <c r="B2012" s="1800" t="s">
        <v>4149</v>
      </c>
      <c r="C2012" s="1803"/>
      <c r="D2012" s="1804"/>
      <c r="E2012" s="1813"/>
      <c r="F2012" s="1811"/>
      <c r="G2012" s="1811"/>
      <c r="H2012" s="1811"/>
      <c r="I2012" s="1811"/>
      <c r="J2012" s="1811"/>
      <c r="K2012" s="1811"/>
      <c r="L2012" s="1811"/>
      <c r="M2012" s="1811"/>
      <c r="N2012" s="1811"/>
      <c r="O2012" s="1811"/>
      <c r="P2012" s="1811"/>
      <c r="Q2012" s="1814"/>
      <c r="R2012" s="1811"/>
      <c r="S2012" s="1811"/>
      <c r="T2012" s="1814"/>
      <c r="U2012" s="1816"/>
      <c r="V2012" s="1812"/>
      <c r="W2012" s="1812"/>
      <c r="X2012" s="1812"/>
      <c r="Y2012" s="1816"/>
      <c r="Z2012" s="1812"/>
      <c r="AA2012" s="1812"/>
      <c r="AB2012" s="1812"/>
      <c r="AC2012" s="1812"/>
      <c r="AD2012" s="1601">
        <f t="shared" si="173"/>
        <v>0</v>
      </c>
      <c r="AE2012" s="1790">
        <v>0</v>
      </c>
      <c r="AF2012" s="1792"/>
    </row>
    <row r="2013" spans="1:32" ht="27.75" customHeight="1">
      <c r="A2013" s="2899" t="s">
        <v>3525</v>
      </c>
      <c r="B2013" s="2901" t="s">
        <v>4150</v>
      </c>
      <c r="C2013" s="2903" t="s">
        <v>3520</v>
      </c>
      <c r="D2013" s="2905">
        <v>2417.4700000000003</v>
      </c>
      <c r="E2013" s="1810" t="s">
        <v>2496</v>
      </c>
      <c r="F2013" s="1811"/>
      <c r="G2013" s="1811"/>
      <c r="H2013" s="1811"/>
      <c r="I2013" s="1811"/>
      <c r="J2013" s="1811"/>
      <c r="K2013" s="1811"/>
      <c r="L2013" s="1811"/>
      <c r="M2013" s="1811"/>
      <c r="N2013" s="1811"/>
      <c r="O2013" s="1811"/>
      <c r="P2013" s="1811"/>
      <c r="Q2013" s="1812"/>
      <c r="R2013" s="1811"/>
      <c r="S2013" s="1811"/>
      <c r="T2013" s="1812"/>
      <c r="U2013" s="1812"/>
      <c r="V2013" s="1812"/>
      <c r="W2013" s="1812"/>
      <c r="X2013" s="1812"/>
      <c r="Y2013" s="1812"/>
      <c r="Z2013" s="1812"/>
      <c r="AA2013" s="1812"/>
      <c r="AB2013" s="1585"/>
      <c r="AC2013" s="1812">
        <v>2417.4700000000003</v>
      </c>
      <c r="AD2013" s="1601">
        <f t="shared" si="173"/>
        <v>2417.4700000000003</v>
      </c>
      <c r="AE2013" s="1790">
        <v>0</v>
      </c>
      <c r="AF2013" s="1792"/>
    </row>
    <row r="2014" spans="1:32" ht="27.75" customHeight="1">
      <c r="A2014" s="2900" t="s">
        <v>3525</v>
      </c>
      <c r="B2014" s="2902" t="s">
        <v>3526</v>
      </c>
      <c r="C2014" s="2904" t="s">
        <v>3520</v>
      </c>
      <c r="D2014" s="2906">
        <v>2417.4700000000003</v>
      </c>
      <c r="E2014" s="1603" t="s">
        <v>2497</v>
      </c>
      <c r="F2014" s="1583"/>
      <c r="G2014" s="1583"/>
      <c r="H2014" s="1583"/>
      <c r="I2014" s="1583"/>
      <c r="J2014" s="1583"/>
      <c r="K2014" s="1583"/>
      <c r="L2014" s="1583"/>
      <c r="M2014" s="1583"/>
      <c r="N2014" s="1583"/>
      <c r="O2014" s="1583"/>
      <c r="P2014" s="1583"/>
      <c r="Q2014" s="1604"/>
      <c r="R2014" s="1583"/>
      <c r="S2014" s="1583"/>
      <c r="T2014" s="1604"/>
      <c r="U2014" s="1592"/>
      <c r="V2014" s="1585"/>
      <c r="W2014" s="1585"/>
      <c r="X2014" s="1585"/>
      <c r="Y2014" s="1592"/>
      <c r="Z2014" s="1585"/>
      <c r="AA2014" s="1585"/>
      <c r="AB2014" s="1585"/>
      <c r="AC2014" s="1585"/>
      <c r="AD2014" s="1601">
        <f t="shared" si="173"/>
        <v>0</v>
      </c>
      <c r="AE2014" s="1790">
        <v>0</v>
      </c>
      <c r="AF2014" s="1792"/>
    </row>
    <row r="2015" spans="1:32" ht="27.75" customHeight="1">
      <c r="A2015" s="1800" t="s">
        <v>3527</v>
      </c>
      <c r="B2015" s="1800" t="s">
        <v>4151</v>
      </c>
      <c r="C2015" s="1803"/>
      <c r="D2015" s="1804"/>
      <c r="E2015" s="1599"/>
      <c r="F2015" s="1583"/>
      <c r="G2015" s="1583"/>
      <c r="H2015" s="1583"/>
      <c r="I2015" s="1583"/>
      <c r="J2015" s="1583"/>
      <c r="K2015" s="1583"/>
      <c r="L2015" s="1583"/>
      <c r="M2015" s="1583"/>
      <c r="N2015" s="1583"/>
      <c r="O2015" s="1583"/>
      <c r="P2015" s="1583"/>
      <c r="Q2015" s="1604"/>
      <c r="R2015" s="1583"/>
      <c r="S2015" s="1583"/>
      <c r="T2015" s="1604"/>
      <c r="U2015" s="1592"/>
      <c r="V2015" s="1585"/>
      <c r="W2015" s="1585"/>
      <c r="X2015" s="1585"/>
      <c r="Y2015" s="1592"/>
      <c r="Z2015" s="1585"/>
      <c r="AA2015" s="1585"/>
      <c r="AB2015" s="1585"/>
      <c r="AC2015" s="1585"/>
      <c r="AD2015" s="1601">
        <f t="shared" si="173"/>
        <v>0</v>
      </c>
      <c r="AE2015" s="1790">
        <v>0</v>
      </c>
      <c r="AF2015" s="1792"/>
    </row>
    <row r="2016" spans="1:32" ht="27.75" customHeight="1">
      <c r="A2016" s="2899" t="s">
        <v>3529</v>
      </c>
      <c r="B2016" s="2901" t="s">
        <v>4152</v>
      </c>
      <c r="C2016" s="2903" t="s">
        <v>51</v>
      </c>
      <c r="D2016" s="2905">
        <v>645.6</v>
      </c>
      <c r="E2016" s="1598" t="s">
        <v>2496</v>
      </c>
      <c r="F2016" s="1583"/>
      <c r="G2016" s="1583"/>
      <c r="H2016" s="1583"/>
      <c r="I2016" s="1583"/>
      <c r="J2016" s="1583"/>
      <c r="K2016" s="1583"/>
      <c r="L2016" s="1583"/>
      <c r="M2016" s="1583"/>
      <c r="N2016" s="1583"/>
      <c r="O2016" s="1583"/>
      <c r="P2016" s="1583"/>
      <c r="Q2016" s="1585"/>
      <c r="R2016" s="1583"/>
      <c r="S2016" s="1583"/>
      <c r="T2016" s="1585"/>
      <c r="U2016" s="1585"/>
      <c r="V2016" s="1585"/>
      <c r="W2016" s="1585"/>
      <c r="X2016" s="1585"/>
      <c r="Y2016" s="1585"/>
      <c r="Z2016" s="1585"/>
      <c r="AA2016" s="1585"/>
      <c r="AB2016" s="1585"/>
      <c r="AC2016" s="1585">
        <v>645.6</v>
      </c>
      <c r="AD2016" s="1601">
        <f t="shared" si="173"/>
        <v>645.6</v>
      </c>
      <c r="AE2016" s="1790">
        <v>0</v>
      </c>
      <c r="AF2016" s="1792"/>
    </row>
    <row r="2017" spans="1:32" ht="27.75" customHeight="1">
      <c r="A2017" s="2900" t="s">
        <v>3529</v>
      </c>
      <c r="B2017" s="2902" t="s">
        <v>3530</v>
      </c>
      <c r="C2017" s="2904" t="s">
        <v>51</v>
      </c>
      <c r="D2017" s="2906">
        <v>645.6</v>
      </c>
      <c r="E2017" s="1603" t="s">
        <v>2497</v>
      </c>
      <c r="F2017" s="1583"/>
      <c r="G2017" s="1583"/>
      <c r="H2017" s="1583"/>
      <c r="I2017" s="1583"/>
      <c r="J2017" s="1583"/>
      <c r="K2017" s="1583"/>
      <c r="L2017" s="1583"/>
      <c r="M2017" s="1583"/>
      <c r="N2017" s="1583"/>
      <c r="O2017" s="1583"/>
      <c r="P2017" s="1583"/>
      <c r="Q2017" s="1604"/>
      <c r="R2017" s="1583"/>
      <c r="S2017" s="1583"/>
      <c r="T2017" s="1604"/>
      <c r="U2017" s="1585"/>
      <c r="V2017" s="1585"/>
      <c r="W2017" s="1585"/>
      <c r="X2017" s="1585"/>
      <c r="Y2017" s="1585"/>
      <c r="Z2017" s="1585"/>
      <c r="AA2017" s="1585"/>
      <c r="AB2017" s="1585"/>
      <c r="AC2017" s="1585"/>
      <c r="AD2017" s="1601">
        <f t="shared" si="173"/>
        <v>0</v>
      </c>
      <c r="AE2017" s="1790">
        <v>0</v>
      </c>
      <c r="AF2017" s="1792"/>
    </row>
    <row r="2018" spans="1:32" ht="27.75" customHeight="1">
      <c r="A2018" s="2899" t="s">
        <v>3531</v>
      </c>
      <c r="B2018" s="2901" t="s">
        <v>4153</v>
      </c>
      <c r="C2018" s="2903" t="s">
        <v>50</v>
      </c>
      <c r="D2018" s="2905">
        <v>5861.25</v>
      </c>
      <c r="E2018" s="1810" t="s">
        <v>2496</v>
      </c>
      <c r="F2018" s="1811"/>
      <c r="G2018" s="1811"/>
      <c r="H2018" s="1811"/>
      <c r="I2018" s="1811"/>
      <c r="J2018" s="1811"/>
      <c r="K2018" s="1811"/>
      <c r="L2018" s="1811"/>
      <c r="M2018" s="1811"/>
      <c r="N2018" s="1811"/>
      <c r="O2018" s="1811"/>
      <c r="P2018" s="1811"/>
      <c r="Q2018" s="1812"/>
      <c r="R2018" s="1811"/>
      <c r="S2018" s="1811"/>
      <c r="T2018" s="1812"/>
      <c r="U2018" s="1812"/>
      <c r="V2018" s="1812"/>
      <c r="W2018" s="1812"/>
      <c r="X2018" s="1812"/>
      <c r="Y2018" s="1812"/>
      <c r="Z2018" s="1812"/>
      <c r="AA2018" s="1812"/>
      <c r="AB2018" s="1585"/>
      <c r="AC2018" s="1812">
        <v>5861.25</v>
      </c>
      <c r="AD2018" s="1601">
        <f t="shared" si="173"/>
        <v>5861.25</v>
      </c>
      <c r="AE2018" s="1790">
        <v>0</v>
      </c>
      <c r="AF2018" s="1792"/>
    </row>
    <row r="2019" spans="1:32" ht="27.75" customHeight="1">
      <c r="A2019" s="2900" t="s">
        <v>3531</v>
      </c>
      <c r="B2019" s="2902" t="s">
        <v>3532</v>
      </c>
      <c r="C2019" s="2904" t="s">
        <v>50</v>
      </c>
      <c r="D2019" s="2906">
        <v>5861.25</v>
      </c>
      <c r="E2019" s="1603" t="s">
        <v>2497</v>
      </c>
      <c r="F2019" s="1583"/>
      <c r="G2019" s="1583"/>
      <c r="H2019" s="1583"/>
      <c r="I2019" s="1583"/>
      <c r="J2019" s="1583"/>
      <c r="K2019" s="1583"/>
      <c r="L2019" s="1583"/>
      <c r="M2019" s="1583"/>
      <c r="N2019" s="1583"/>
      <c r="O2019" s="1583"/>
      <c r="P2019" s="1583"/>
      <c r="Q2019" s="1604"/>
      <c r="R2019" s="1583"/>
      <c r="S2019" s="1583"/>
      <c r="T2019" s="1604"/>
      <c r="U2019" s="1592"/>
      <c r="V2019" s="1585"/>
      <c r="W2019" s="1585"/>
      <c r="X2019" s="1585"/>
      <c r="Y2019" s="1592"/>
      <c r="Z2019" s="1585"/>
      <c r="AA2019" s="1585"/>
      <c r="AB2019" s="1585"/>
      <c r="AC2019" s="1585"/>
      <c r="AD2019" s="1601">
        <f t="shared" si="173"/>
        <v>0</v>
      </c>
      <c r="AE2019" s="1790">
        <v>0</v>
      </c>
      <c r="AF2019" s="1792"/>
    </row>
    <row r="2020" spans="1:32" ht="27.75" customHeight="1">
      <c r="A2020" s="1800" t="s">
        <v>3533</v>
      </c>
      <c r="B2020" s="1800" t="s">
        <v>4154</v>
      </c>
      <c r="C2020" s="1803"/>
      <c r="D2020" s="1804"/>
      <c r="E2020" s="1599"/>
      <c r="F2020" s="1583"/>
      <c r="G2020" s="1583"/>
      <c r="H2020" s="1583"/>
      <c r="I2020" s="1583"/>
      <c r="J2020" s="1583"/>
      <c r="K2020" s="1583"/>
      <c r="L2020" s="1583"/>
      <c r="M2020" s="1583"/>
      <c r="N2020" s="1583"/>
      <c r="O2020" s="1583"/>
      <c r="P2020" s="1583"/>
      <c r="Q2020" s="1604"/>
      <c r="R2020" s="1583"/>
      <c r="S2020" s="1583"/>
      <c r="T2020" s="1604"/>
      <c r="U2020" s="1592"/>
      <c r="V2020" s="1585"/>
      <c r="W2020" s="1585"/>
      <c r="X2020" s="1585"/>
      <c r="Y2020" s="1592"/>
      <c r="Z2020" s="1585"/>
      <c r="AA2020" s="1585"/>
      <c r="AB2020" s="1585"/>
      <c r="AC2020" s="1585"/>
      <c r="AD2020" s="1601">
        <f t="shared" si="173"/>
        <v>0</v>
      </c>
      <c r="AE2020" s="1790">
        <v>0</v>
      </c>
      <c r="AF2020" s="1792"/>
    </row>
    <row r="2021" spans="1:32" ht="27.75" customHeight="1">
      <c r="A2021" s="2899" t="s">
        <v>3535</v>
      </c>
      <c r="B2021" s="2901" t="s">
        <v>4155</v>
      </c>
      <c r="C2021" s="2903" t="s">
        <v>2145</v>
      </c>
      <c r="D2021" s="2905">
        <v>239.21999999999997</v>
      </c>
      <c r="E2021" s="1598" t="s">
        <v>2496</v>
      </c>
      <c r="F2021" s="1583"/>
      <c r="G2021" s="1583"/>
      <c r="H2021" s="1583"/>
      <c r="I2021" s="1583"/>
      <c r="J2021" s="1583"/>
      <c r="K2021" s="1583"/>
      <c r="L2021" s="1583"/>
      <c r="M2021" s="1583"/>
      <c r="N2021" s="1583"/>
      <c r="O2021" s="1583"/>
      <c r="P2021" s="1583"/>
      <c r="Q2021" s="1585"/>
      <c r="R2021" s="1583"/>
      <c r="S2021" s="1583"/>
      <c r="T2021" s="1585"/>
      <c r="U2021" s="1585"/>
      <c r="V2021" s="1585"/>
      <c r="W2021" s="1585"/>
      <c r="X2021" s="1585"/>
      <c r="Y2021" s="1585"/>
      <c r="Z2021" s="1585"/>
      <c r="AA2021" s="1585"/>
      <c r="AB2021" s="1585"/>
      <c r="AC2021" s="1585">
        <v>239.21999999999997</v>
      </c>
      <c r="AD2021" s="1601">
        <f t="shared" si="173"/>
        <v>239.21999999999997</v>
      </c>
      <c r="AE2021" s="1790">
        <v>0</v>
      </c>
      <c r="AF2021" s="1792"/>
    </row>
    <row r="2022" spans="1:32" ht="27.75" customHeight="1">
      <c r="A2022" s="2900" t="s">
        <v>3535</v>
      </c>
      <c r="B2022" s="2902" t="s">
        <v>3536</v>
      </c>
      <c r="C2022" s="2904" t="s">
        <v>2145</v>
      </c>
      <c r="D2022" s="2906">
        <v>239.21999999999997</v>
      </c>
      <c r="E2022" s="1603" t="s">
        <v>2497</v>
      </c>
      <c r="F2022" s="1583"/>
      <c r="G2022" s="1583"/>
      <c r="H2022" s="1583"/>
      <c r="I2022" s="1583"/>
      <c r="J2022" s="1583"/>
      <c r="K2022" s="1583"/>
      <c r="L2022" s="1583"/>
      <c r="M2022" s="1583"/>
      <c r="N2022" s="1583"/>
      <c r="O2022" s="1583"/>
      <c r="P2022" s="1583"/>
      <c r="Q2022" s="1604"/>
      <c r="R2022" s="1583"/>
      <c r="S2022" s="1583"/>
      <c r="T2022" s="1604"/>
      <c r="U2022" s="1585"/>
      <c r="V2022" s="1585"/>
      <c r="W2022" s="1585"/>
      <c r="X2022" s="1585"/>
      <c r="Y2022" s="1585"/>
      <c r="Z2022" s="1585"/>
      <c r="AA2022" s="1585"/>
      <c r="AB2022" s="1585"/>
      <c r="AC2022" s="1585"/>
      <c r="AD2022" s="1601">
        <f t="shared" si="173"/>
        <v>0</v>
      </c>
      <c r="AE2022" s="1790">
        <v>0</v>
      </c>
      <c r="AF2022" s="1792"/>
    </row>
    <row r="2023" spans="1:32" ht="27.75" customHeight="1">
      <c r="A2023" s="2899" t="s">
        <v>3537</v>
      </c>
      <c r="B2023" s="2901" t="s">
        <v>4156</v>
      </c>
      <c r="C2023" s="2903" t="s">
        <v>2145</v>
      </c>
      <c r="D2023" s="2905">
        <v>239.21999999999997</v>
      </c>
      <c r="E2023" s="1810" t="s">
        <v>2496</v>
      </c>
      <c r="F2023" s="1811"/>
      <c r="G2023" s="1811"/>
      <c r="H2023" s="1811"/>
      <c r="I2023" s="1811"/>
      <c r="J2023" s="1811"/>
      <c r="K2023" s="1811"/>
      <c r="L2023" s="1811"/>
      <c r="M2023" s="1811"/>
      <c r="N2023" s="1811"/>
      <c r="O2023" s="1811"/>
      <c r="P2023" s="1811"/>
      <c r="Q2023" s="1812"/>
      <c r="R2023" s="1811"/>
      <c r="S2023" s="1811"/>
      <c r="T2023" s="1812"/>
      <c r="U2023" s="1812"/>
      <c r="V2023" s="1812"/>
      <c r="W2023" s="1812"/>
      <c r="X2023" s="1812"/>
      <c r="Y2023" s="1812"/>
      <c r="Z2023" s="1812"/>
      <c r="AA2023" s="1812"/>
      <c r="AB2023" s="1585"/>
      <c r="AC2023" s="1812">
        <v>239.21999999999997</v>
      </c>
      <c r="AD2023" s="1601">
        <f t="shared" si="173"/>
        <v>239.21999999999997</v>
      </c>
      <c r="AE2023" s="1790">
        <v>0</v>
      </c>
      <c r="AF2023" s="1792"/>
    </row>
    <row r="2024" spans="1:32" ht="27.75" customHeight="1">
      <c r="A2024" s="2900" t="s">
        <v>3537</v>
      </c>
      <c r="B2024" s="2902" t="s">
        <v>3538</v>
      </c>
      <c r="C2024" s="2904" t="s">
        <v>2145</v>
      </c>
      <c r="D2024" s="2906">
        <v>239.21999999999997</v>
      </c>
      <c r="E2024" s="1603" t="s">
        <v>2497</v>
      </c>
      <c r="F2024" s="1583"/>
      <c r="G2024" s="1583"/>
      <c r="H2024" s="1583"/>
      <c r="I2024" s="1583"/>
      <c r="J2024" s="1583"/>
      <c r="K2024" s="1583"/>
      <c r="L2024" s="1583"/>
      <c r="M2024" s="1583"/>
      <c r="N2024" s="1583"/>
      <c r="O2024" s="1583"/>
      <c r="P2024" s="1583"/>
      <c r="Q2024" s="1604"/>
      <c r="R2024" s="1583"/>
      <c r="S2024" s="1583"/>
      <c r="T2024" s="1604"/>
      <c r="U2024" s="1592"/>
      <c r="V2024" s="1585"/>
      <c r="W2024" s="1585"/>
      <c r="X2024" s="1585"/>
      <c r="Y2024" s="1592"/>
      <c r="Z2024" s="1585"/>
      <c r="AA2024" s="1585"/>
      <c r="AB2024" s="1585"/>
      <c r="AC2024" s="1585"/>
      <c r="AD2024" s="1601">
        <f t="shared" si="173"/>
        <v>0</v>
      </c>
      <c r="AE2024" s="1790">
        <v>0</v>
      </c>
      <c r="AF2024" s="1792"/>
    </row>
    <row r="2025" spans="1:32" ht="27.75" customHeight="1">
      <c r="A2025" s="1800" t="s">
        <v>3539</v>
      </c>
      <c r="B2025" s="1800" t="s">
        <v>4157</v>
      </c>
      <c r="C2025" s="1625"/>
      <c r="D2025" s="1597"/>
      <c r="E2025" s="1813"/>
      <c r="F2025" s="1811"/>
      <c r="G2025" s="1811"/>
      <c r="H2025" s="1811"/>
      <c r="I2025" s="1811"/>
      <c r="J2025" s="1811"/>
      <c r="K2025" s="1811"/>
      <c r="L2025" s="1811"/>
      <c r="M2025" s="1811"/>
      <c r="N2025" s="1811"/>
      <c r="O2025" s="1811"/>
      <c r="P2025" s="1811"/>
      <c r="Q2025" s="1814"/>
      <c r="R2025" s="1811"/>
      <c r="S2025" s="1811"/>
      <c r="T2025" s="1814"/>
      <c r="U2025" s="1816"/>
      <c r="V2025" s="1812"/>
      <c r="W2025" s="1812"/>
      <c r="X2025" s="1812"/>
      <c r="Y2025" s="1816"/>
      <c r="Z2025" s="1812"/>
      <c r="AA2025" s="1812"/>
      <c r="AB2025" s="1812"/>
      <c r="AC2025" s="1812"/>
      <c r="AD2025" s="1601">
        <f t="shared" si="173"/>
        <v>0</v>
      </c>
      <c r="AE2025" s="1790">
        <v>0</v>
      </c>
      <c r="AF2025" s="1792"/>
    </row>
    <row r="2026" spans="1:32" ht="27.75" customHeight="1">
      <c r="A2026" s="1819" t="s">
        <v>3541</v>
      </c>
      <c r="B2026" s="1819" t="s">
        <v>4158</v>
      </c>
      <c r="C2026" s="1625"/>
      <c r="D2026" s="1597"/>
      <c r="E2026" s="1813"/>
      <c r="F2026" s="1811"/>
      <c r="G2026" s="1811"/>
      <c r="H2026" s="1811"/>
      <c r="I2026" s="1811"/>
      <c r="J2026" s="1811"/>
      <c r="K2026" s="1811"/>
      <c r="L2026" s="1811"/>
      <c r="M2026" s="1811"/>
      <c r="N2026" s="1811"/>
      <c r="O2026" s="1811"/>
      <c r="P2026" s="1811"/>
      <c r="Q2026" s="1814"/>
      <c r="R2026" s="1811"/>
      <c r="S2026" s="1811"/>
      <c r="T2026" s="1814"/>
      <c r="U2026" s="1816"/>
      <c r="V2026" s="1812"/>
      <c r="W2026" s="1812"/>
      <c r="X2026" s="1812"/>
      <c r="Y2026" s="1816"/>
      <c r="Z2026" s="1812"/>
      <c r="AA2026" s="1812"/>
      <c r="AB2026" s="1812"/>
      <c r="AC2026" s="1812"/>
      <c r="AD2026" s="1601">
        <f t="shared" si="173"/>
        <v>0</v>
      </c>
      <c r="AE2026" s="1790">
        <v>0</v>
      </c>
      <c r="AF2026" s="1792"/>
    </row>
    <row r="2027" spans="1:32" ht="27.75" customHeight="1">
      <c r="A2027" s="2899" t="s">
        <v>3543</v>
      </c>
      <c r="B2027" s="2901" t="s">
        <v>4159</v>
      </c>
      <c r="C2027" s="2903" t="s">
        <v>50</v>
      </c>
      <c r="D2027" s="2905">
        <v>145.80000000000001</v>
      </c>
      <c r="E2027" s="1810" t="s">
        <v>2496</v>
      </c>
      <c r="F2027" s="1811"/>
      <c r="G2027" s="1811"/>
      <c r="H2027" s="1811"/>
      <c r="I2027" s="1811"/>
      <c r="J2027" s="1811"/>
      <c r="K2027" s="1811"/>
      <c r="L2027" s="1811"/>
      <c r="M2027" s="1811"/>
      <c r="N2027" s="1811"/>
      <c r="O2027" s="1811"/>
      <c r="P2027" s="1811"/>
      <c r="Q2027" s="1812"/>
      <c r="R2027" s="1811"/>
      <c r="S2027" s="1811"/>
      <c r="T2027" s="1812"/>
      <c r="U2027" s="1812"/>
      <c r="V2027" s="1812"/>
      <c r="W2027" s="1812"/>
      <c r="X2027" s="1812"/>
      <c r="Y2027" s="1812"/>
      <c r="Z2027" s="1812"/>
      <c r="AA2027" s="1812"/>
      <c r="AB2027" s="1585"/>
      <c r="AC2027" s="1812">
        <v>145.80000000000001</v>
      </c>
      <c r="AD2027" s="1601">
        <f t="shared" si="173"/>
        <v>145.80000000000001</v>
      </c>
      <c r="AE2027" s="1790">
        <v>0</v>
      </c>
      <c r="AF2027" s="1792"/>
    </row>
    <row r="2028" spans="1:32" ht="27.75" customHeight="1">
      <c r="A2028" s="2900" t="s">
        <v>3547</v>
      </c>
      <c r="B2028" s="2902" t="s">
        <v>3548</v>
      </c>
      <c r="C2028" s="2904" t="s">
        <v>50</v>
      </c>
      <c r="D2028" s="2906">
        <v>8.2521000000000004</v>
      </c>
      <c r="E2028" s="1603" t="s">
        <v>2497</v>
      </c>
      <c r="F2028" s="1583"/>
      <c r="G2028" s="1583"/>
      <c r="H2028" s="1583"/>
      <c r="I2028" s="1583"/>
      <c r="J2028" s="1583"/>
      <c r="K2028" s="1583"/>
      <c r="L2028" s="1583"/>
      <c r="M2028" s="1583"/>
      <c r="N2028" s="1583"/>
      <c r="O2028" s="1583"/>
      <c r="P2028" s="1583"/>
      <c r="Q2028" s="1604"/>
      <c r="R2028" s="1583"/>
      <c r="S2028" s="1583"/>
      <c r="T2028" s="1604"/>
      <c r="U2028" s="1592"/>
      <c r="V2028" s="1585"/>
      <c r="W2028" s="1585"/>
      <c r="X2028" s="1585"/>
      <c r="Y2028" s="1592"/>
      <c r="Z2028" s="1585"/>
      <c r="AA2028" s="1585"/>
      <c r="AB2028" s="1585"/>
      <c r="AC2028" s="1585"/>
      <c r="AD2028" s="1601">
        <f t="shared" si="173"/>
        <v>0</v>
      </c>
      <c r="AE2028" s="1790">
        <v>0</v>
      </c>
      <c r="AF2028" s="1792"/>
    </row>
    <row r="2029" spans="1:32" ht="27.75" customHeight="1">
      <c r="A2029" s="2899" t="s">
        <v>3545</v>
      </c>
      <c r="B2029" s="2901" t="s">
        <v>4160</v>
      </c>
      <c r="C2029" s="2903" t="s">
        <v>50</v>
      </c>
      <c r="D2029" s="2905">
        <v>97.09</v>
      </c>
      <c r="E2029" s="1810" t="s">
        <v>2496</v>
      </c>
      <c r="F2029" s="1811"/>
      <c r="G2029" s="1811"/>
      <c r="H2029" s="1811"/>
      <c r="I2029" s="1811"/>
      <c r="J2029" s="1811"/>
      <c r="K2029" s="1811"/>
      <c r="L2029" s="1811"/>
      <c r="M2029" s="1811"/>
      <c r="N2029" s="1811"/>
      <c r="O2029" s="1811"/>
      <c r="P2029" s="1811"/>
      <c r="Q2029" s="1812"/>
      <c r="R2029" s="1811"/>
      <c r="S2029" s="1811"/>
      <c r="T2029" s="1812"/>
      <c r="U2029" s="1812"/>
      <c r="V2029" s="1812"/>
      <c r="W2029" s="1812"/>
      <c r="X2029" s="1812"/>
      <c r="Y2029" s="1812"/>
      <c r="Z2029" s="1812"/>
      <c r="AA2029" s="1812"/>
      <c r="AB2029" s="1585"/>
      <c r="AC2029" s="1812">
        <v>97.09</v>
      </c>
      <c r="AD2029" s="1601">
        <f t="shared" si="173"/>
        <v>97.09</v>
      </c>
      <c r="AE2029" s="1790">
        <v>0</v>
      </c>
      <c r="AF2029" s="1792"/>
    </row>
    <row r="2030" spans="1:32" ht="27.75" customHeight="1">
      <c r="A2030" s="2900" t="s">
        <v>3547</v>
      </c>
      <c r="B2030" s="2902" t="s">
        <v>3548</v>
      </c>
      <c r="C2030" s="2904" t="s">
        <v>50</v>
      </c>
      <c r="D2030" s="2906">
        <v>8.2521000000000004</v>
      </c>
      <c r="E2030" s="1603" t="s">
        <v>2497</v>
      </c>
      <c r="F2030" s="1583"/>
      <c r="G2030" s="1583"/>
      <c r="H2030" s="1583"/>
      <c r="I2030" s="1583"/>
      <c r="J2030" s="1583"/>
      <c r="K2030" s="1583"/>
      <c r="L2030" s="1583"/>
      <c r="M2030" s="1583"/>
      <c r="N2030" s="1583"/>
      <c r="O2030" s="1583"/>
      <c r="P2030" s="1583"/>
      <c r="Q2030" s="1604"/>
      <c r="R2030" s="1583"/>
      <c r="S2030" s="1583"/>
      <c r="T2030" s="1604"/>
      <c r="U2030" s="1592"/>
      <c r="V2030" s="1585"/>
      <c r="W2030" s="1585"/>
      <c r="X2030" s="1585"/>
      <c r="Y2030" s="1592"/>
      <c r="Z2030" s="1585"/>
      <c r="AA2030" s="1585"/>
      <c r="AB2030" s="1585"/>
      <c r="AC2030" s="1585"/>
      <c r="AD2030" s="1601">
        <f t="shared" si="173"/>
        <v>0</v>
      </c>
      <c r="AE2030" s="1790">
        <v>0</v>
      </c>
      <c r="AF2030" s="1792"/>
    </row>
    <row r="2031" spans="1:32" ht="27.75" customHeight="1">
      <c r="A2031" s="2899" t="s">
        <v>3547</v>
      </c>
      <c r="B2031" s="2901" t="s">
        <v>4161</v>
      </c>
      <c r="C2031" s="2903" t="s">
        <v>50</v>
      </c>
      <c r="D2031" s="2905">
        <v>8.2521000000000004</v>
      </c>
      <c r="E2031" s="1810" t="s">
        <v>2496</v>
      </c>
      <c r="F2031" s="1811"/>
      <c r="G2031" s="1811"/>
      <c r="H2031" s="1811"/>
      <c r="I2031" s="1811"/>
      <c r="J2031" s="1811"/>
      <c r="K2031" s="1811"/>
      <c r="L2031" s="1811"/>
      <c r="M2031" s="1811"/>
      <c r="N2031" s="1811"/>
      <c r="O2031" s="1811"/>
      <c r="P2031" s="1811"/>
      <c r="Q2031" s="1812"/>
      <c r="R2031" s="1811"/>
      <c r="S2031" s="1811"/>
      <c r="T2031" s="1812"/>
      <c r="U2031" s="1812"/>
      <c r="V2031" s="1812"/>
      <c r="W2031" s="1812"/>
      <c r="X2031" s="1812"/>
      <c r="Y2031" s="1812"/>
      <c r="Z2031" s="1812"/>
      <c r="AA2031" s="1812"/>
      <c r="AB2031" s="1585"/>
      <c r="AC2031" s="1812">
        <v>8.2521000000000004</v>
      </c>
      <c r="AD2031" s="1601">
        <f t="shared" si="173"/>
        <v>8.2521000000000004</v>
      </c>
      <c r="AE2031" s="1790">
        <v>0</v>
      </c>
      <c r="AF2031" s="1792"/>
    </row>
    <row r="2032" spans="1:32" ht="27.75" customHeight="1">
      <c r="A2032" s="2900" t="s">
        <v>3547</v>
      </c>
      <c r="B2032" s="2902" t="s">
        <v>3548</v>
      </c>
      <c r="C2032" s="2904" t="s">
        <v>50</v>
      </c>
      <c r="D2032" s="2906">
        <v>8.2521000000000004</v>
      </c>
      <c r="E2032" s="1603" t="s">
        <v>2497</v>
      </c>
      <c r="F2032" s="1583"/>
      <c r="G2032" s="1583"/>
      <c r="H2032" s="1583"/>
      <c r="I2032" s="1583"/>
      <c r="J2032" s="1583"/>
      <c r="K2032" s="1583"/>
      <c r="L2032" s="1583"/>
      <c r="M2032" s="1583"/>
      <c r="N2032" s="1583"/>
      <c r="O2032" s="1583"/>
      <c r="P2032" s="1583"/>
      <c r="Q2032" s="1604"/>
      <c r="R2032" s="1583"/>
      <c r="S2032" s="1583"/>
      <c r="T2032" s="1604"/>
      <c r="U2032" s="1592"/>
      <c r="V2032" s="1585"/>
      <c r="W2032" s="1585"/>
      <c r="X2032" s="1585"/>
      <c r="Y2032" s="1592"/>
      <c r="Z2032" s="1585"/>
      <c r="AA2032" s="1585"/>
      <c r="AB2032" s="1585"/>
      <c r="AC2032" s="1585"/>
      <c r="AD2032" s="1601">
        <f t="shared" si="173"/>
        <v>0</v>
      </c>
      <c r="AE2032" s="1790">
        <v>0</v>
      </c>
      <c r="AF2032" s="1792"/>
    </row>
    <row r="2033" spans="1:32" ht="27.75" customHeight="1">
      <c r="A2033" s="2899" t="s">
        <v>3549</v>
      </c>
      <c r="B2033" s="2901" t="s">
        <v>305</v>
      </c>
      <c r="C2033" s="2903" t="s">
        <v>50</v>
      </c>
      <c r="D2033" s="2905">
        <v>304.88400000000001</v>
      </c>
      <c r="E2033" s="1598" t="s">
        <v>2496</v>
      </c>
      <c r="F2033" s="1583"/>
      <c r="G2033" s="1583"/>
      <c r="H2033" s="1583"/>
      <c r="I2033" s="1583"/>
      <c r="J2033" s="1583"/>
      <c r="K2033" s="1583"/>
      <c r="L2033" s="1583"/>
      <c r="M2033" s="1583"/>
      <c r="N2033" s="1583"/>
      <c r="O2033" s="1583"/>
      <c r="P2033" s="1583"/>
      <c r="Q2033" s="1585"/>
      <c r="R2033" s="1583"/>
      <c r="S2033" s="1583"/>
      <c r="T2033" s="1585"/>
      <c r="U2033" s="1585"/>
      <c r="V2033" s="1585"/>
      <c r="W2033" s="1585"/>
      <c r="X2033" s="1585"/>
      <c r="Y2033" s="1585"/>
      <c r="Z2033" s="1585"/>
      <c r="AA2033" s="1585"/>
      <c r="AB2033" s="1585"/>
      <c r="AC2033" s="1585">
        <v>304.88400000000001</v>
      </c>
      <c r="AD2033" s="1601">
        <f t="shared" si="173"/>
        <v>304.88400000000001</v>
      </c>
      <c r="AE2033" s="1790">
        <v>0</v>
      </c>
      <c r="AF2033" s="1792"/>
    </row>
    <row r="2034" spans="1:32" ht="27.75" customHeight="1">
      <c r="A2034" s="2900" t="s">
        <v>3549</v>
      </c>
      <c r="B2034" s="2902" t="s">
        <v>3550</v>
      </c>
      <c r="C2034" s="2904" t="s">
        <v>50</v>
      </c>
      <c r="D2034" s="2906">
        <v>304.88400000000001</v>
      </c>
      <c r="E2034" s="1603" t="s">
        <v>2497</v>
      </c>
      <c r="F2034" s="1583"/>
      <c r="G2034" s="1583"/>
      <c r="H2034" s="1583"/>
      <c r="I2034" s="1583"/>
      <c r="J2034" s="1583"/>
      <c r="K2034" s="1583"/>
      <c r="L2034" s="1583"/>
      <c r="M2034" s="1583"/>
      <c r="N2034" s="1583"/>
      <c r="O2034" s="1583"/>
      <c r="P2034" s="1583"/>
      <c r="Q2034" s="1604"/>
      <c r="R2034" s="1583"/>
      <c r="S2034" s="1583"/>
      <c r="T2034" s="1604"/>
      <c r="U2034" s="1585"/>
      <c r="V2034" s="1585"/>
      <c r="W2034" s="1585"/>
      <c r="X2034" s="1585"/>
      <c r="Y2034" s="1585"/>
      <c r="Z2034" s="1585"/>
      <c r="AA2034" s="1585"/>
      <c r="AB2034" s="1585"/>
      <c r="AC2034" s="1585"/>
      <c r="AD2034" s="1601">
        <f t="shared" si="173"/>
        <v>0</v>
      </c>
      <c r="AE2034" s="1790">
        <v>0</v>
      </c>
      <c r="AF2034" s="1792"/>
    </row>
    <row r="2035" spans="1:32" ht="27.75" customHeight="1">
      <c r="A2035" s="2899" t="s">
        <v>3551</v>
      </c>
      <c r="B2035" s="2901" t="s">
        <v>4162</v>
      </c>
      <c r="C2035" s="2903" t="s">
        <v>49</v>
      </c>
      <c r="D2035" s="2905">
        <v>185.04</v>
      </c>
      <c r="E2035" s="1810" t="s">
        <v>2496</v>
      </c>
      <c r="F2035" s="1811"/>
      <c r="G2035" s="1811"/>
      <c r="H2035" s="1811"/>
      <c r="I2035" s="1811"/>
      <c r="J2035" s="1811"/>
      <c r="K2035" s="1811"/>
      <c r="L2035" s="1811"/>
      <c r="M2035" s="1811"/>
      <c r="N2035" s="1811"/>
      <c r="O2035" s="1811"/>
      <c r="P2035" s="1811"/>
      <c r="Q2035" s="1812"/>
      <c r="R2035" s="1811"/>
      <c r="S2035" s="1811"/>
      <c r="T2035" s="1812"/>
      <c r="U2035" s="1812"/>
      <c r="V2035" s="1812"/>
      <c r="W2035" s="1812"/>
      <c r="X2035" s="1812"/>
      <c r="Y2035" s="1812"/>
      <c r="Z2035" s="1812"/>
      <c r="AA2035" s="1812"/>
      <c r="AB2035" s="1585"/>
      <c r="AC2035" s="1812">
        <v>185.04</v>
      </c>
      <c r="AD2035" s="1601">
        <f t="shared" si="173"/>
        <v>185.04</v>
      </c>
      <c r="AE2035" s="1790">
        <v>0</v>
      </c>
      <c r="AF2035" s="1792"/>
    </row>
    <row r="2036" spans="1:32" ht="27.75" customHeight="1">
      <c r="A2036" s="2900" t="s">
        <v>3551</v>
      </c>
      <c r="B2036" s="2902" t="s">
        <v>3552</v>
      </c>
      <c r="C2036" s="2904" t="s">
        <v>49</v>
      </c>
      <c r="D2036" s="2906">
        <v>185.04</v>
      </c>
      <c r="E2036" s="1603" t="s">
        <v>2497</v>
      </c>
      <c r="F2036" s="1583"/>
      <c r="G2036" s="1583"/>
      <c r="H2036" s="1583"/>
      <c r="I2036" s="1583"/>
      <c r="J2036" s="1583"/>
      <c r="K2036" s="1583"/>
      <c r="L2036" s="1583"/>
      <c r="M2036" s="1583"/>
      <c r="N2036" s="1583"/>
      <c r="O2036" s="1583"/>
      <c r="P2036" s="1583"/>
      <c r="Q2036" s="1604"/>
      <c r="R2036" s="1583"/>
      <c r="S2036" s="1583"/>
      <c r="T2036" s="1604"/>
      <c r="U2036" s="1592"/>
      <c r="V2036" s="1585"/>
      <c r="W2036" s="1585"/>
      <c r="X2036" s="1585"/>
      <c r="Y2036" s="1592"/>
      <c r="Z2036" s="1585"/>
      <c r="AA2036" s="1585"/>
      <c r="AB2036" s="1585"/>
      <c r="AC2036" s="1585"/>
      <c r="AD2036" s="1601">
        <f t="shared" si="173"/>
        <v>0</v>
      </c>
      <c r="AE2036" s="1790">
        <v>0</v>
      </c>
      <c r="AF2036" s="1792"/>
    </row>
    <row r="2037" spans="1:32" ht="27.75" customHeight="1">
      <c r="A2037" s="2899" t="s">
        <v>3553</v>
      </c>
      <c r="B2037" s="2901" t="s">
        <v>4163</v>
      </c>
      <c r="C2037" s="2903" t="s">
        <v>49</v>
      </c>
      <c r="D2037" s="2905">
        <v>2582.4960000000001</v>
      </c>
      <c r="E2037" s="1810" t="s">
        <v>2496</v>
      </c>
      <c r="F2037" s="1811"/>
      <c r="G2037" s="1811"/>
      <c r="H2037" s="1811"/>
      <c r="I2037" s="1811"/>
      <c r="J2037" s="1811"/>
      <c r="K2037" s="1811"/>
      <c r="L2037" s="1811"/>
      <c r="M2037" s="1811"/>
      <c r="N2037" s="1811"/>
      <c r="O2037" s="1811"/>
      <c r="P2037" s="1811"/>
      <c r="Q2037" s="1812"/>
      <c r="R2037" s="1811"/>
      <c r="S2037" s="1811"/>
      <c r="T2037" s="1812"/>
      <c r="U2037" s="1812"/>
      <c r="V2037" s="1812"/>
      <c r="W2037" s="1812"/>
      <c r="X2037" s="1812"/>
      <c r="Y2037" s="1812"/>
      <c r="Z2037" s="1812"/>
      <c r="AA2037" s="1812"/>
      <c r="AB2037" s="1585"/>
      <c r="AC2037" s="1812">
        <v>2582.4960000000001</v>
      </c>
      <c r="AD2037" s="1601">
        <f t="shared" si="173"/>
        <v>2582.4960000000001</v>
      </c>
      <c r="AE2037" s="1790">
        <v>0</v>
      </c>
      <c r="AF2037" s="1792"/>
    </row>
    <row r="2038" spans="1:32" ht="27.75" customHeight="1">
      <c r="A2038" s="2900" t="s">
        <v>3553</v>
      </c>
      <c r="B2038" s="2902" t="s">
        <v>3554</v>
      </c>
      <c r="C2038" s="2904" t="s">
        <v>49</v>
      </c>
      <c r="D2038" s="2906">
        <v>2582.4960000000001</v>
      </c>
      <c r="E2038" s="1603" t="s">
        <v>2497</v>
      </c>
      <c r="F2038" s="1583"/>
      <c r="G2038" s="1583"/>
      <c r="H2038" s="1583"/>
      <c r="I2038" s="1583"/>
      <c r="J2038" s="1583"/>
      <c r="K2038" s="1583"/>
      <c r="L2038" s="1583"/>
      <c r="M2038" s="1583"/>
      <c r="N2038" s="1583"/>
      <c r="O2038" s="1583"/>
      <c r="P2038" s="1583"/>
      <c r="Q2038" s="1604"/>
      <c r="R2038" s="1583"/>
      <c r="S2038" s="1583"/>
      <c r="T2038" s="1604"/>
      <c r="U2038" s="1592"/>
      <c r="V2038" s="1585"/>
      <c r="W2038" s="1585"/>
      <c r="X2038" s="1585"/>
      <c r="Y2038" s="1592"/>
      <c r="Z2038" s="1585"/>
      <c r="AA2038" s="1585"/>
      <c r="AB2038" s="1585"/>
      <c r="AC2038" s="1585"/>
      <c r="AD2038" s="1601">
        <f t="shared" si="173"/>
        <v>0</v>
      </c>
      <c r="AE2038" s="1790">
        <v>0</v>
      </c>
      <c r="AF2038" s="1792"/>
    </row>
    <row r="2039" spans="1:32" ht="27.75" customHeight="1">
      <c r="A2039" s="2899" t="s">
        <v>3555</v>
      </c>
      <c r="B2039" s="2901" t="s">
        <v>4164</v>
      </c>
      <c r="C2039" s="2903" t="s">
        <v>420</v>
      </c>
      <c r="D2039" s="2905">
        <v>13051.35</v>
      </c>
      <c r="E2039" s="1598" t="s">
        <v>2496</v>
      </c>
      <c r="F2039" s="1583"/>
      <c r="G2039" s="1583"/>
      <c r="H2039" s="1583"/>
      <c r="I2039" s="1583"/>
      <c r="J2039" s="1583"/>
      <c r="K2039" s="1583"/>
      <c r="L2039" s="1583"/>
      <c r="M2039" s="1583"/>
      <c r="N2039" s="1583"/>
      <c r="O2039" s="1583"/>
      <c r="P2039" s="1583"/>
      <c r="Q2039" s="1585"/>
      <c r="R2039" s="1583"/>
      <c r="S2039" s="1583"/>
      <c r="T2039" s="1585"/>
      <c r="U2039" s="1585"/>
      <c r="V2039" s="1585"/>
      <c r="W2039" s="1585"/>
      <c r="X2039" s="1585"/>
      <c r="Y2039" s="1585"/>
      <c r="Z2039" s="1585"/>
      <c r="AA2039" s="1585"/>
      <c r="AB2039" s="1585"/>
      <c r="AC2039" s="1585">
        <v>13051.35</v>
      </c>
      <c r="AD2039" s="1601">
        <f t="shared" si="173"/>
        <v>13051.35</v>
      </c>
      <c r="AE2039" s="1790">
        <v>0</v>
      </c>
      <c r="AF2039" s="1792"/>
    </row>
    <row r="2040" spans="1:32" ht="27.75" customHeight="1">
      <c r="A2040" s="2900" t="s">
        <v>3555</v>
      </c>
      <c r="B2040" s="2902" t="s">
        <v>3556</v>
      </c>
      <c r="C2040" s="2904" t="s">
        <v>420</v>
      </c>
      <c r="D2040" s="2906">
        <v>13051.35</v>
      </c>
      <c r="E2040" s="1603" t="s">
        <v>2497</v>
      </c>
      <c r="F2040" s="1583"/>
      <c r="G2040" s="1583"/>
      <c r="H2040" s="1583"/>
      <c r="I2040" s="1583"/>
      <c r="J2040" s="1583"/>
      <c r="K2040" s="1583"/>
      <c r="L2040" s="1583"/>
      <c r="M2040" s="1583"/>
      <c r="N2040" s="1583"/>
      <c r="O2040" s="1583"/>
      <c r="P2040" s="1583"/>
      <c r="Q2040" s="1604"/>
      <c r="R2040" s="1583"/>
      <c r="S2040" s="1583"/>
      <c r="T2040" s="1604"/>
      <c r="U2040" s="1585"/>
      <c r="V2040" s="1585"/>
      <c r="W2040" s="1585"/>
      <c r="X2040" s="1585"/>
      <c r="Y2040" s="1585"/>
      <c r="Z2040" s="1585"/>
      <c r="AA2040" s="1585"/>
      <c r="AB2040" s="1585"/>
      <c r="AC2040" s="1585"/>
      <c r="AD2040" s="1601">
        <f t="shared" si="173"/>
        <v>0</v>
      </c>
      <c r="AE2040" s="1790">
        <v>0</v>
      </c>
      <c r="AF2040" s="1792"/>
    </row>
    <row r="2041" spans="1:32" ht="27.75" customHeight="1">
      <c r="A2041" s="2899" t="s">
        <v>3557</v>
      </c>
      <c r="B2041" s="2901" t="s">
        <v>4165</v>
      </c>
      <c r="C2041" s="2903" t="s">
        <v>50</v>
      </c>
      <c r="D2041" s="2905">
        <v>2955.5280000000002</v>
      </c>
      <c r="E2041" s="1810" t="s">
        <v>2496</v>
      </c>
      <c r="F2041" s="1811"/>
      <c r="G2041" s="1811"/>
      <c r="H2041" s="1811"/>
      <c r="I2041" s="1811"/>
      <c r="J2041" s="1811"/>
      <c r="K2041" s="1811"/>
      <c r="L2041" s="1811"/>
      <c r="M2041" s="1811"/>
      <c r="N2041" s="1811"/>
      <c r="O2041" s="1811"/>
      <c r="P2041" s="1811"/>
      <c r="Q2041" s="1812"/>
      <c r="R2041" s="1811"/>
      <c r="S2041" s="1811"/>
      <c r="T2041" s="1812"/>
      <c r="U2041" s="1812"/>
      <c r="V2041" s="1812"/>
      <c r="W2041" s="1812"/>
      <c r="X2041" s="1812"/>
      <c r="Y2041" s="1812"/>
      <c r="Z2041" s="1812"/>
      <c r="AA2041" s="1812"/>
      <c r="AB2041" s="1585"/>
      <c r="AC2041" s="1812">
        <v>2955.5280000000002</v>
      </c>
      <c r="AD2041" s="1601">
        <f t="shared" si="173"/>
        <v>2955.5280000000002</v>
      </c>
      <c r="AE2041" s="1790">
        <v>0</v>
      </c>
      <c r="AF2041" s="1792"/>
    </row>
    <row r="2042" spans="1:32" ht="27.75" customHeight="1">
      <c r="A2042" s="2900" t="s">
        <v>3557</v>
      </c>
      <c r="B2042" s="2902" t="s">
        <v>3558</v>
      </c>
      <c r="C2042" s="2904" t="s">
        <v>50</v>
      </c>
      <c r="D2042" s="2906">
        <v>2955.5280000000002</v>
      </c>
      <c r="E2042" s="1603" t="s">
        <v>2497</v>
      </c>
      <c r="F2042" s="1583"/>
      <c r="G2042" s="1583"/>
      <c r="H2042" s="1583"/>
      <c r="I2042" s="1583"/>
      <c r="J2042" s="1583"/>
      <c r="K2042" s="1583"/>
      <c r="L2042" s="1583"/>
      <c r="M2042" s="1583"/>
      <c r="N2042" s="1583"/>
      <c r="O2042" s="1583"/>
      <c r="P2042" s="1583"/>
      <c r="Q2042" s="1604"/>
      <c r="R2042" s="1583"/>
      <c r="S2042" s="1583"/>
      <c r="T2042" s="1604"/>
      <c r="U2042" s="1592"/>
      <c r="V2042" s="1585"/>
      <c r="W2042" s="1585"/>
      <c r="X2042" s="1585"/>
      <c r="Y2042" s="1592"/>
      <c r="Z2042" s="1585"/>
      <c r="AA2042" s="1585"/>
      <c r="AB2042" s="1585"/>
      <c r="AC2042" s="1585"/>
      <c r="AD2042" s="1601">
        <f t="shared" si="173"/>
        <v>0</v>
      </c>
      <c r="AE2042" s="1790">
        <v>0</v>
      </c>
      <c r="AF2042" s="1792"/>
    </row>
    <row r="2043" spans="1:32" ht="27.75" customHeight="1">
      <c r="A2043" s="2899" t="s">
        <v>3559</v>
      </c>
      <c r="B2043" s="2901" t="s">
        <v>4166</v>
      </c>
      <c r="C2043" s="2903" t="s">
        <v>49</v>
      </c>
      <c r="D2043" s="2905">
        <v>1942.2720000000002</v>
      </c>
      <c r="E2043" s="1598" t="s">
        <v>2496</v>
      </c>
      <c r="F2043" s="1583"/>
      <c r="G2043" s="1583"/>
      <c r="H2043" s="1583"/>
      <c r="I2043" s="1583"/>
      <c r="J2043" s="1583"/>
      <c r="K2043" s="1583"/>
      <c r="L2043" s="1583"/>
      <c r="M2043" s="1583"/>
      <c r="N2043" s="1583"/>
      <c r="O2043" s="1583"/>
      <c r="P2043" s="1583"/>
      <c r="Q2043" s="1585"/>
      <c r="R2043" s="1583"/>
      <c r="S2043" s="1583"/>
      <c r="T2043" s="1585"/>
      <c r="U2043" s="1585"/>
      <c r="V2043" s="1585"/>
      <c r="W2043" s="1585"/>
      <c r="X2043" s="1585"/>
      <c r="Y2043" s="1585"/>
      <c r="Z2043" s="1585"/>
      <c r="AA2043" s="1585"/>
      <c r="AB2043" s="1585"/>
      <c r="AC2043" s="1585">
        <v>1942.2720000000002</v>
      </c>
      <c r="AD2043" s="1601">
        <f t="shared" si="173"/>
        <v>1942.2720000000002</v>
      </c>
      <c r="AE2043" s="1790">
        <v>0</v>
      </c>
      <c r="AF2043" s="1792"/>
    </row>
    <row r="2044" spans="1:32" ht="27.75" customHeight="1">
      <c r="A2044" s="2900" t="s">
        <v>3559</v>
      </c>
      <c r="B2044" s="2902" t="s">
        <v>3560</v>
      </c>
      <c r="C2044" s="2904" t="s">
        <v>49</v>
      </c>
      <c r="D2044" s="2906">
        <v>1942.2720000000002</v>
      </c>
      <c r="E2044" s="1603" t="s">
        <v>2497</v>
      </c>
      <c r="F2044" s="1583"/>
      <c r="G2044" s="1583"/>
      <c r="H2044" s="1583"/>
      <c r="I2044" s="1583"/>
      <c r="J2044" s="1583"/>
      <c r="K2044" s="1583"/>
      <c r="L2044" s="1583"/>
      <c r="M2044" s="1583"/>
      <c r="N2044" s="1583"/>
      <c r="O2044" s="1583"/>
      <c r="P2044" s="1583"/>
      <c r="Q2044" s="1604"/>
      <c r="R2044" s="1583"/>
      <c r="S2044" s="1583"/>
      <c r="T2044" s="1604"/>
      <c r="U2044" s="1585"/>
      <c r="V2044" s="1585"/>
      <c r="W2044" s="1585"/>
      <c r="X2044" s="1585"/>
      <c r="Y2044" s="1585"/>
      <c r="Z2044" s="1585"/>
      <c r="AA2044" s="1585"/>
      <c r="AB2044" s="1585"/>
      <c r="AC2044" s="1585"/>
      <c r="AD2044" s="1601">
        <f t="shared" si="173"/>
        <v>0</v>
      </c>
      <c r="AE2044" s="1790">
        <v>0</v>
      </c>
      <c r="AF2044" s="1792"/>
    </row>
    <row r="2045" spans="1:32" ht="27.75" customHeight="1">
      <c r="A2045" s="2899" t="s">
        <v>3561</v>
      </c>
      <c r="B2045" s="2901" t="s">
        <v>4167</v>
      </c>
      <c r="C2045" s="2903" t="s">
        <v>49</v>
      </c>
      <c r="D2045" s="2905">
        <v>109.89000000000001</v>
      </c>
      <c r="E2045" s="1810" t="s">
        <v>2496</v>
      </c>
      <c r="F2045" s="1811"/>
      <c r="G2045" s="1811"/>
      <c r="H2045" s="1811"/>
      <c r="I2045" s="1811"/>
      <c r="J2045" s="1811"/>
      <c r="K2045" s="1811"/>
      <c r="L2045" s="1811"/>
      <c r="M2045" s="1811"/>
      <c r="N2045" s="1811"/>
      <c r="O2045" s="1811"/>
      <c r="P2045" s="1811"/>
      <c r="Q2045" s="1812"/>
      <c r="R2045" s="1811"/>
      <c r="S2045" s="1811"/>
      <c r="T2045" s="1812"/>
      <c r="U2045" s="1812"/>
      <c r="V2045" s="1812"/>
      <c r="W2045" s="1812"/>
      <c r="X2045" s="1812"/>
      <c r="Y2045" s="1812"/>
      <c r="Z2045" s="1812"/>
      <c r="AA2045" s="1812"/>
      <c r="AB2045" s="1585"/>
      <c r="AC2045" s="1812">
        <v>109.89000000000001</v>
      </c>
      <c r="AD2045" s="1601">
        <f t="shared" si="173"/>
        <v>109.89000000000001</v>
      </c>
      <c r="AE2045" s="1790">
        <v>0</v>
      </c>
      <c r="AF2045" s="1792"/>
    </row>
    <row r="2046" spans="1:32" ht="27.75" customHeight="1">
      <c r="A2046" s="2900" t="s">
        <v>3561</v>
      </c>
      <c r="B2046" s="2902" t="s">
        <v>3562</v>
      </c>
      <c r="C2046" s="2904" t="s">
        <v>49</v>
      </c>
      <c r="D2046" s="2906">
        <v>109.89000000000001</v>
      </c>
      <c r="E2046" s="1603" t="s">
        <v>2497</v>
      </c>
      <c r="F2046" s="1583"/>
      <c r="G2046" s="1583"/>
      <c r="H2046" s="1583"/>
      <c r="I2046" s="1583"/>
      <c r="J2046" s="1583"/>
      <c r="K2046" s="1583"/>
      <c r="L2046" s="1583"/>
      <c r="M2046" s="1583"/>
      <c r="N2046" s="1583"/>
      <c r="O2046" s="1583"/>
      <c r="P2046" s="1583"/>
      <c r="Q2046" s="1604"/>
      <c r="R2046" s="1583"/>
      <c r="S2046" s="1583"/>
      <c r="T2046" s="1604"/>
      <c r="U2046" s="1592"/>
      <c r="V2046" s="1585"/>
      <c r="W2046" s="1585"/>
      <c r="X2046" s="1585"/>
      <c r="Y2046" s="1592"/>
      <c r="Z2046" s="1585"/>
      <c r="AA2046" s="1585"/>
      <c r="AB2046" s="1585"/>
      <c r="AC2046" s="1585"/>
      <c r="AD2046" s="1601">
        <f t="shared" si="173"/>
        <v>0</v>
      </c>
      <c r="AE2046" s="1790">
        <v>0</v>
      </c>
      <c r="AF2046" s="1792"/>
    </row>
    <row r="2047" spans="1:32" ht="27.75" customHeight="1">
      <c r="A2047" s="2899" t="s">
        <v>3563</v>
      </c>
      <c r="B2047" s="2901" t="s">
        <v>4168</v>
      </c>
      <c r="C2047" s="2903" t="s">
        <v>52</v>
      </c>
      <c r="D2047" s="2905">
        <v>2624.67</v>
      </c>
      <c r="E2047" s="1810" t="s">
        <v>2496</v>
      </c>
      <c r="F2047" s="1811"/>
      <c r="G2047" s="1811"/>
      <c r="H2047" s="1811"/>
      <c r="I2047" s="1811"/>
      <c r="J2047" s="1811"/>
      <c r="K2047" s="1811"/>
      <c r="L2047" s="1811"/>
      <c r="M2047" s="1811"/>
      <c r="N2047" s="1811"/>
      <c r="O2047" s="1811"/>
      <c r="P2047" s="1811"/>
      <c r="Q2047" s="1812"/>
      <c r="R2047" s="1811"/>
      <c r="S2047" s="1811"/>
      <c r="T2047" s="1812"/>
      <c r="U2047" s="1812"/>
      <c r="V2047" s="1812"/>
      <c r="W2047" s="1812"/>
      <c r="X2047" s="1812"/>
      <c r="Y2047" s="1812"/>
      <c r="Z2047" s="1812"/>
      <c r="AA2047" s="1812"/>
      <c r="AB2047" s="1585"/>
      <c r="AC2047" s="1812">
        <v>2624.67</v>
      </c>
      <c r="AD2047" s="1601">
        <f t="shared" si="173"/>
        <v>2624.67</v>
      </c>
      <c r="AE2047" s="1790">
        <v>0</v>
      </c>
      <c r="AF2047" s="1792"/>
    </row>
    <row r="2048" spans="1:32" ht="27.75" customHeight="1">
      <c r="A2048" s="2900" t="s">
        <v>3563</v>
      </c>
      <c r="B2048" s="2902" t="s">
        <v>3564</v>
      </c>
      <c r="C2048" s="2904" t="s">
        <v>52</v>
      </c>
      <c r="D2048" s="2906">
        <v>2624.67</v>
      </c>
      <c r="E2048" s="1603" t="s">
        <v>2497</v>
      </c>
      <c r="F2048" s="1583"/>
      <c r="G2048" s="1583"/>
      <c r="H2048" s="1583"/>
      <c r="I2048" s="1583"/>
      <c r="J2048" s="1583"/>
      <c r="K2048" s="1583"/>
      <c r="L2048" s="1583"/>
      <c r="M2048" s="1583"/>
      <c r="N2048" s="1583"/>
      <c r="O2048" s="1583"/>
      <c r="P2048" s="1583"/>
      <c r="Q2048" s="1604"/>
      <c r="R2048" s="1583"/>
      <c r="S2048" s="1583"/>
      <c r="T2048" s="1604"/>
      <c r="U2048" s="1592"/>
      <c r="V2048" s="1585"/>
      <c r="W2048" s="1585"/>
      <c r="X2048" s="1585"/>
      <c r="Y2048" s="1592"/>
      <c r="Z2048" s="1585"/>
      <c r="AA2048" s="1585"/>
      <c r="AB2048" s="1585"/>
      <c r="AC2048" s="1585"/>
      <c r="AD2048" s="1601">
        <f t="shared" si="173"/>
        <v>0</v>
      </c>
      <c r="AE2048" s="1790">
        <v>0</v>
      </c>
      <c r="AF2048" s="1792"/>
    </row>
    <row r="2049" spans="1:32" ht="27.75" customHeight="1">
      <c r="A2049" s="2899" t="s">
        <v>3565</v>
      </c>
      <c r="B2049" s="2901" t="s">
        <v>4169</v>
      </c>
      <c r="C2049" s="2903" t="s">
        <v>52</v>
      </c>
      <c r="D2049" s="2905">
        <v>544.68000000000006</v>
      </c>
      <c r="E2049" s="1810" t="s">
        <v>2496</v>
      </c>
      <c r="F2049" s="1811"/>
      <c r="G2049" s="1811"/>
      <c r="H2049" s="1811"/>
      <c r="I2049" s="1811"/>
      <c r="J2049" s="1811"/>
      <c r="K2049" s="1811"/>
      <c r="L2049" s="1811"/>
      <c r="M2049" s="1811"/>
      <c r="N2049" s="1811"/>
      <c r="O2049" s="1811"/>
      <c r="P2049" s="1811"/>
      <c r="Q2049" s="1812"/>
      <c r="R2049" s="1811"/>
      <c r="S2049" s="1811"/>
      <c r="T2049" s="1812"/>
      <c r="U2049" s="1812"/>
      <c r="V2049" s="1812"/>
      <c r="W2049" s="1812"/>
      <c r="X2049" s="1812"/>
      <c r="Y2049" s="1812"/>
      <c r="Z2049" s="1812"/>
      <c r="AA2049" s="1812"/>
      <c r="AB2049" s="1585"/>
      <c r="AC2049" s="1812">
        <v>544.68000000000006</v>
      </c>
      <c r="AD2049" s="1601">
        <f t="shared" si="173"/>
        <v>544.68000000000006</v>
      </c>
      <c r="AE2049" s="1790">
        <v>0</v>
      </c>
      <c r="AF2049" s="1792"/>
    </row>
    <row r="2050" spans="1:32" ht="27.75" customHeight="1">
      <c r="A2050" s="2900" t="s">
        <v>3565</v>
      </c>
      <c r="B2050" s="2902" t="s">
        <v>3566</v>
      </c>
      <c r="C2050" s="2904" t="s">
        <v>52</v>
      </c>
      <c r="D2050" s="2906">
        <v>544.68000000000006</v>
      </c>
      <c r="E2050" s="1603" t="s">
        <v>2497</v>
      </c>
      <c r="F2050" s="1583"/>
      <c r="G2050" s="1583"/>
      <c r="H2050" s="1583"/>
      <c r="I2050" s="1583"/>
      <c r="J2050" s="1583"/>
      <c r="K2050" s="1583"/>
      <c r="L2050" s="1583"/>
      <c r="M2050" s="1583"/>
      <c r="N2050" s="1583"/>
      <c r="O2050" s="1583"/>
      <c r="P2050" s="1583"/>
      <c r="Q2050" s="1604"/>
      <c r="R2050" s="1583"/>
      <c r="S2050" s="1583"/>
      <c r="T2050" s="1604"/>
      <c r="U2050" s="1592"/>
      <c r="V2050" s="1585"/>
      <c r="W2050" s="1585"/>
      <c r="X2050" s="1585"/>
      <c r="Y2050" s="1592"/>
      <c r="Z2050" s="1585"/>
      <c r="AA2050" s="1585"/>
      <c r="AB2050" s="1585"/>
      <c r="AC2050" s="1585"/>
      <c r="AD2050" s="1601">
        <f t="shared" si="173"/>
        <v>0</v>
      </c>
      <c r="AE2050" s="1790">
        <v>0</v>
      </c>
      <c r="AF2050" s="1792"/>
    </row>
    <row r="2051" spans="1:32" ht="27.75" customHeight="1">
      <c r="A2051" s="2899" t="s">
        <v>3567</v>
      </c>
      <c r="B2051" s="2901" t="s">
        <v>4170</v>
      </c>
      <c r="C2051" s="2903" t="s">
        <v>52</v>
      </c>
      <c r="D2051" s="2905">
        <v>369</v>
      </c>
      <c r="E2051" s="1598" t="s">
        <v>2496</v>
      </c>
      <c r="F2051" s="1583"/>
      <c r="G2051" s="1583"/>
      <c r="H2051" s="1583"/>
      <c r="I2051" s="1583"/>
      <c r="J2051" s="1583"/>
      <c r="K2051" s="1583"/>
      <c r="L2051" s="1583"/>
      <c r="M2051" s="1583"/>
      <c r="N2051" s="1583"/>
      <c r="O2051" s="1583"/>
      <c r="P2051" s="1583"/>
      <c r="Q2051" s="1585"/>
      <c r="R2051" s="1583"/>
      <c r="S2051" s="1583"/>
      <c r="T2051" s="1585"/>
      <c r="U2051" s="1585"/>
      <c r="V2051" s="1585"/>
      <c r="W2051" s="1585"/>
      <c r="X2051" s="1585"/>
      <c r="Y2051" s="1585"/>
      <c r="Z2051" s="1585"/>
      <c r="AA2051" s="1585"/>
      <c r="AB2051" s="1585"/>
      <c r="AC2051" s="1585">
        <v>369</v>
      </c>
      <c r="AD2051" s="1601">
        <f t="shared" si="173"/>
        <v>369</v>
      </c>
      <c r="AE2051" s="1790">
        <v>0</v>
      </c>
      <c r="AF2051" s="1792"/>
    </row>
    <row r="2052" spans="1:32" ht="27.75" customHeight="1">
      <c r="A2052" s="2900" t="s">
        <v>3567</v>
      </c>
      <c r="B2052" s="2902" t="s">
        <v>3568</v>
      </c>
      <c r="C2052" s="2904" t="s">
        <v>52</v>
      </c>
      <c r="D2052" s="2906">
        <v>369</v>
      </c>
      <c r="E2052" s="1603" t="s">
        <v>2497</v>
      </c>
      <c r="F2052" s="1583"/>
      <c r="G2052" s="1583"/>
      <c r="H2052" s="1583"/>
      <c r="I2052" s="1583"/>
      <c r="J2052" s="1583"/>
      <c r="K2052" s="1583"/>
      <c r="L2052" s="1583"/>
      <c r="M2052" s="1583"/>
      <c r="N2052" s="1583"/>
      <c r="O2052" s="1583"/>
      <c r="P2052" s="1583"/>
      <c r="Q2052" s="1604"/>
      <c r="R2052" s="1583"/>
      <c r="S2052" s="1583"/>
      <c r="T2052" s="1604"/>
      <c r="U2052" s="1585"/>
      <c r="V2052" s="1585"/>
      <c r="W2052" s="1585"/>
      <c r="X2052" s="1585"/>
      <c r="Y2052" s="1585"/>
      <c r="Z2052" s="1585"/>
      <c r="AA2052" s="1585"/>
      <c r="AB2052" s="1585"/>
      <c r="AC2052" s="1585"/>
      <c r="AD2052" s="1601">
        <f t="shared" si="173"/>
        <v>0</v>
      </c>
      <c r="AE2052" s="1790">
        <v>0</v>
      </c>
      <c r="AF2052" s="1792"/>
    </row>
    <row r="2053" spans="1:32" ht="27.75" customHeight="1">
      <c r="A2053" s="2899" t="s">
        <v>3569</v>
      </c>
      <c r="B2053" s="2901" t="s">
        <v>4171</v>
      </c>
      <c r="C2053" s="2903" t="s">
        <v>52</v>
      </c>
      <c r="D2053" s="2905">
        <v>1875.4200000000003</v>
      </c>
      <c r="E2053" s="1810" t="s">
        <v>2496</v>
      </c>
      <c r="F2053" s="1811"/>
      <c r="G2053" s="1811"/>
      <c r="H2053" s="1811"/>
      <c r="I2053" s="1811"/>
      <c r="J2053" s="1811"/>
      <c r="K2053" s="1811"/>
      <c r="L2053" s="1811"/>
      <c r="M2053" s="1811"/>
      <c r="N2053" s="1811"/>
      <c r="O2053" s="1811"/>
      <c r="P2053" s="1811"/>
      <c r="Q2053" s="1812"/>
      <c r="R2053" s="1811"/>
      <c r="S2053" s="1811"/>
      <c r="T2053" s="1812"/>
      <c r="U2053" s="1812"/>
      <c r="V2053" s="1812"/>
      <c r="W2053" s="1812"/>
      <c r="X2053" s="1812"/>
      <c r="Y2053" s="1812"/>
      <c r="Z2053" s="1812"/>
      <c r="AA2053" s="1812"/>
      <c r="AB2053" s="1585"/>
      <c r="AC2053" s="1812">
        <v>1875.4200000000003</v>
      </c>
      <c r="AD2053" s="1601">
        <f t="shared" si="173"/>
        <v>1875.4200000000003</v>
      </c>
      <c r="AE2053" s="1790">
        <v>0</v>
      </c>
      <c r="AF2053" s="1792"/>
    </row>
    <row r="2054" spans="1:32" ht="27.75" customHeight="1">
      <c r="A2054" s="2900" t="s">
        <v>3569</v>
      </c>
      <c r="B2054" s="2902" t="s">
        <v>3570</v>
      </c>
      <c r="C2054" s="2904" t="s">
        <v>52</v>
      </c>
      <c r="D2054" s="2906">
        <v>1875.4200000000003</v>
      </c>
      <c r="E2054" s="1603" t="s">
        <v>2497</v>
      </c>
      <c r="F2054" s="1583"/>
      <c r="G2054" s="1583"/>
      <c r="H2054" s="1583"/>
      <c r="I2054" s="1583"/>
      <c r="J2054" s="1583"/>
      <c r="K2054" s="1583"/>
      <c r="L2054" s="1583"/>
      <c r="M2054" s="1583"/>
      <c r="N2054" s="1583"/>
      <c r="O2054" s="1583"/>
      <c r="P2054" s="1583"/>
      <c r="Q2054" s="1604"/>
      <c r="R2054" s="1583"/>
      <c r="S2054" s="1583"/>
      <c r="T2054" s="1604"/>
      <c r="U2054" s="1592"/>
      <c r="V2054" s="1585"/>
      <c r="W2054" s="1585"/>
      <c r="X2054" s="1585"/>
      <c r="Y2054" s="1592"/>
      <c r="Z2054" s="1585"/>
      <c r="AA2054" s="1585"/>
      <c r="AB2054" s="1585"/>
      <c r="AC2054" s="1585"/>
      <c r="AD2054" s="1601">
        <f t="shared" si="173"/>
        <v>0</v>
      </c>
      <c r="AE2054" s="1790">
        <v>0</v>
      </c>
      <c r="AF2054" s="1792"/>
    </row>
    <row r="2055" spans="1:32" ht="27.75" customHeight="1">
      <c r="A2055" s="1819" t="s">
        <v>3571</v>
      </c>
      <c r="B2055" s="1819" t="s">
        <v>4172</v>
      </c>
      <c r="C2055" s="1803"/>
      <c r="D2055" s="1804"/>
      <c r="E2055" s="1813"/>
      <c r="F2055" s="1811"/>
      <c r="G2055" s="1811"/>
      <c r="H2055" s="1811"/>
      <c r="I2055" s="1811"/>
      <c r="J2055" s="1811"/>
      <c r="K2055" s="1811"/>
      <c r="L2055" s="1811"/>
      <c r="M2055" s="1811"/>
      <c r="N2055" s="1811"/>
      <c r="O2055" s="1811"/>
      <c r="P2055" s="1811"/>
      <c r="Q2055" s="1814"/>
      <c r="R2055" s="1811"/>
      <c r="S2055" s="1811"/>
      <c r="T2055" s="1814"/>
      <c r="U2055" s="1816"/>
      <c r="V2055" s="1812"/>
      <c r="W2055" s="1812"/>
      <c r="X2055" s="1812"/>
      <c r="Y2055" s="1816"/>
      <c r="Z2055" s="1812"/>
      <c r="AA2055" s="1812"/>
      <c r="AB2055" s="1812"/>
      <c r="AC2055" s="1812"/>
      <c r="AD2055" s="1601">
        <f t="shared" si="173"/>
        <v>0</v>
      </c>
      <c r="AE2055" s="1790">
        <v>0</v>
      </c>
      <c r="AF2055" s="1792"/>
    </row>
    <row r="2056" spans="1:32" ht="27.75" customHeight="1">
      <c r="A2056" s="2899" t="s">
        <v>3573</v>
      </c>
      <c r="B2056" s="2901" t="s">
        <v>4159</v>
      </c>
      <c r="C2056" s="2903" t="s">
        <v>50</v>
      </c>
      <c r="D2056" s="2905">
        <v>29.700000000000003</v>
      </c>
      <c r="E2056" s="1810" t="s">
        <v>2496</v>
      </c>
      <c r="F2056" s="1811"/>
      <c r="G2056" s="1811"/>
      <c r="H2056" s="1811"/>
      <c r="I2056" s="1811"/>
      <c r="J2056" s="1811"/>
      <c r="K2056" s="1811"/>
      <c r="L2056" s="1811"/>
      <c r="M2056" s="1811"/>
      <c r="N2056" s="1811"/>
      <c r="O2056" s="1811"/>
      <c r="P2056" s="1811"/>
      <c r="Q2056" s="1812"/>
      <c r="R2056" s="1811"/>
      <c r="S2056" s="1811"/>
      <c r="T2056" s="1812"/>
      <c r="U2056" s="1812"/>
      <c r="V2056" s="1812"/>
      <c r="W2056" s="1812"/>
      <c r="X2056" s="1812"/>
      <c r="Y2056" s="1812"/>
      <c r="Z2056" s="1812"/>
      <c r="AA2056" s="1812"/>
      <c r="AB2056" s="1585"/>
      <c r="AC2056" s="1812">
        <v>29.700000000000003</v>
      </c>
      <c r="AD2056" s="1601">
        <f t="shared" si="173"/>
        <v>29.700000000000003</v>
      </c>
      <c r="AE2056" s="1790">
        <v>0</v>
      </c>
      <c r="AF2056" s="1792"/>
    </row>
    <row r="2057" spans="1:32" ht="27.75" customHeight="1">
      <c r="A2057" s="2900" t="s">
        <v>3573</v>
      </c>
      <c r="B2057" s="2902" t="s">
        <v>3544</v>
      </c>
      <c r="C2057" s="2904" t="s">
        <v>50</v>
      </c>
      <c r="D2057" s="2906">
        <v>29.700000000000003</v>
      </c>
      <c r="E2057" s="1603" t="s">
        <v>2497</v>
      </c>
      <c r="F2057" s="1583"/>
      <c r="G2057" s="1583"/>
      <c r="H2057" s="1583"/>
      <c r="I2057" s="1583"/>
      <c r="J2057" s="1583"/>
      <c r="K2057" s="1583"/>
      <c r="L2057" s="1583"/>
      <c r="M2057" s="1583"/>
      <c r="N2057" s="1583"/>
      <c r="O2057" s="1583"/>
      <c r="P2057" s="1583"/>
      <c r="Q2057" s="1604"/>
      <c r="R2057" s="1583"/>
      <c r="S2057" s="1583"/>
      <c r="T2057" s="1604"/>
      <c r="U2057" s="1592"/>
      <c r="V2057" s="1585"/>
      <c r="W2057" s="1585"/>
      <c r="X2057" s="1585"/>
      <c r="Y2057" s="1592"/>
      <c r="Z2057" s="1585"/>
      <c r="AA2057" s="1585"/>
      <c r="AB2057" s="1585"/>
      <c r="AC2057" s="1585"/>
      <c r="AD2057" s="1601">
        <f t="shared" si="173"/>
        <v>0</v>
      </c>
      <c r="AE2057" s="1790">
        <v>0</v>
      </c>
      <c r="AF2057" s="1792"/>
    </row>
    <row r="2058" spans="1:32" ht="27.75" customHeight="1">
      <c r="A2058" s="2899" t="s">
        <v>3574</v>
      </c>
      <c r="B2058" s="2901" t="s">
        <v>4160</v>
      </c>
      <c r="C2058" s="2903" t="s">
        <v>49</v>
      </c>
      <c r="D2058" s="2905">
        <v>18.228000000000002</v>
      </c>
      <c r="E2058" s="1598" t="s">
        <v>2496</v>
      </c>
      <c r="F2058" s="1583"/>
      <c r="G2058" s="1583"/>
      <c r="H2058" s="1583"/>
      <c r="I2058" s="1583"/>
      <c r="J2058" s="1583"/>
      <c r="K2058" s="1583"/>
      <c r="L2058" s="1583"/>
      <c r="M2058" s="1583"/>
      <c r="N2058" s="1583"/>
      <c r="O2058" s="1583"/>
      <c r="P2058" s="1583"/>
      <c r="Q2058" s="1585"/>
      <c r="R2058" s="1583"/>
      <c r="S2058" s="1583"/>
      <c r="T2058" s="1585"/>
      <c r="U2058" s="1585"/>
      <c r="V2058" s="1585"/>
      <c r="W2058" s="1585"/>
      <c r="X2058" s="1585"/>
      <c r="Y2058" s="1585"/>
      <c r="Z2058" s="1585"/>
      <c r="AA2058" s="1585"/>
      <c r="AB2058" s="1585"/>
      <c r="AC2058" s="1585">
        <v>18.228000000000002</v>
      </c>
      <c r="AD2058" s="1601">
        <f t="shared" si="173"/>
        <v>18.228000000000002</v>
      </c>
      <c r="AE2058" s="1790">
        <v>0</v>
      </c>
      <c r="AF2058" s="1792"/>
    </row>
    <row r="2059" spans="1:32" ht="27.75" customHeight="1">
      <c r="A2059" s="2900" t="s">
        <v>3574</v>
      </c>
      <c r="B2059" s="2902" t="s">
        <v>3546</v>
      </c>
      <c r="C2059" s="2904" t="s">
        <v>49</v>
      </c>
      <c r="D2059" s="2906">
        <v>18.228000000000002</v>
      </c>
      <c r="E2059" s="1603" t="s">
        <v>2497</v>
      </c>
      <c r="F2059" s="1583"/>
      <c r="G2059" s="1583"/>
      <c r="H2059" s="1583"/>
      <c r="I2059" s="1583"/>
      <c r="J2059" s="1583"/>
      <c r="K2059" s="1583"/>
      <c r="L2059" s="1583"/>
      <c r="M2059" s="1583"/>
      <c r="N2059" s="1583"/>
      <c r="O2059" s="1583"/>
      <c r="P2059" s="1583"/>
      <c r="Q2059" s="1604"/>
      <c r="R2059" s="1583"/>
      <c r="S2059" s="1583"/>
      <c r="T2059" s="1604"/>
      <c r="U2059" s="1585"/>
      <c r="V2059" s="1585"/>
      <c r="W2059" s="1585"/>
      <c r="X2059" s="1585"/>
      <c r="Y2059" s="1585"/>
      <c r="Z2059" s="1585"/>
      <c r="AA2059" s="1585"/>
      <c r="AB2059" s="1585"/>
      <c r="AC2059" s="1585"/>
      <c r="AD2059" s="1601">
        <f t="shared" si="173"/>
        <v>0</v>
      </c>
      <c r="AE2059" s="1790">
        <v>0</v>
      </c>
      <c r="AF2059" s="1792"/>
    </row>
    <row r="2060" spans="1:32" ht="27.75" customHeight="1">
      <c r="A2060" s="2899" t="s">
        <v>3575</v>
      </c>
      <c r="B2060" s="2901" t="s">
        <v>4161</v>
      </c>
      <c r="C2060" s="2903" t="s">
        <v>50</v>
      </c>
      <c r="D2060" s="2905">
        <v>1.038</v>
      </c>
      <c r="E2060" s="1810" t="s">
        <v>2496</v>
      </c>
      <c r="F2060" s="1811"/>
      <c r="G2060" s="1811"/>
      <c r="H2060" s="1811"/>
      <c r="I2060" s="1811"/>
      <c r="J2060" s="1811"/>
      <c r="K2060" s="1811"/>
      <c r="L2060" s="1811"/>
      <c r="M2060" s="1811"/>
      <c r="N2060" s="1811"/>
      <c r="O2060" s="1811"/>
      <c r="P2060" s="1811"/>
      <c r="Q2060" s="1812"/>
      <c r="R2060" s="1811"/>
      <c r="S2060" s="1811"/>
      <c r="T2060" s="1812"/>
      <c r="U2060" s="1812"/>
      <c r="V2060" s="1812"/>
      <c r="W2060" s="1812"/>
      <c r="X2060" s="1812"/>
      <c r="Y2060" s="1812"/>
      <c r="Z2060" s="1812"/>
      <c r="AA2060" s="1812"/>
      <c r="AB2060" s="1585"/>
      <c r="AC2060" s="1812">
        <v>1.038</v>
      </c>
      <c r="AD2060" s="1601">
        <f t="shared" si="173"/>
        <v>1.038</v>
      </c>
      <c r="AE2060" s="1790">
        <v>0</v>
      </c>
      <c r="AF2060" s="1792"/>
    </row>
    <row r="2061" spans="1:32" ht="27.75" customHeight="1">
      <c r="A2061" s="2900" t="s">
        <v>3575</v>
      </c>
      <c r="B2061" s="2902" t="s">
        <v>3548</v>
      </c>
      <c r="C2061" s="2904" t="s">
        <v>50</v>
      </c>
      <c r="D2061" s="2906">
        <v>1.038</v>
      </c>
      <c r="E2061" s="1603" t="s">
        <v>2497</v>
      </c>
      <c r="F2061" s="1583"/>
      <c r="G2061" s="1583"/>
      <c r="H2061" s="1583"/>
      <c r="I2061" s="1583"/>
      <c r="J2061" s="1583"/>
      <c r="K2061" s="1583"/>
      <c r="L2061" s="1583"/>
      <c r="M2061" s="1583"/>
      <c r="N2061" s="1583"/>
      <c r="O2061" s="1583"/>
      <c r="P2061" s="1583"/>
      <c r="Q2061" s="1604"/>
      <c r="R2061" s="1583"/>
      <c r="S2061" s="1583"/>
      <c r="T2061" s="1604"/>
      <c r="U2061" s="1592"/>
      <c r="V2061" s="1585"/>
      <c r="W2061" s="1585"/>
      <c r="X2061" s="1585"/>
      <c r="Y2061" s="1592"/>
      <c r="Z2061" s="1585"/>
      <c r="AA2061" s="1585"/>
      <c r="AB2061" s="1585"/>
      <c r="AC2061" s="1585"/>
      <c r="AD2061" s="1601">
        <f t="shared" si="173"/>
        <v>0</v>
      </c>
      <c r="AE2061" s="1790">
        <v>0</v>
      </c>
      <c r="AF2061" s="1792"/>
    </row>
    <row r="2062" spans="1:32" ht="27.75" customHeight="1">
      <c r="A2062" s="2899" t="s">
        <v>3576</v>
      </c>
      <c r="B2062" s="2901" t="s">
        <v>305</v>
      </c>
      <c r="C2062" s="2903" t="s">
        <v>50</v>
      </c>
      <c r="D2062" s="2905">
        <v>74.527200000000008</v>
      </c>
      <c r="E2062" s="1598" t="s">
        <v>2496</v>
      </c>
      <c r="F2062" s="1583"/>
      <c r="G2062" s="1583"/>
      <c r="H2062" s="1583"/>
      <c r="I2062" s="1583"/>
      <c r="J2062" s="1583"/>
      <c r="K2062" s="1583"/>
      <c r="L2062" s="1583"/>
      <c r="M2062" s="1583"/>
      <c r="N2062" s="1583"/>
      <c r="O2062" s="1583"/>
      <c r="P2062" s="1583"/>
      <c r="Q2062" s="1585"/>
      <c r="R2062" s="1583"/>
      <c r="S2062" s="1583"/>
      <c r="T2062" s="1585"/>
      <c r="U2062" s="1585"/>
      <c r="V2062" s="1585"/>
      <c r="W2062" s="1585"/>
      <c r="X2062" s="1585"/>
      <c r="Y2062" s="1585"/>
      <c r="Z2062" s="1585"/>
      <c r="AA2062" s="1585"/>
      <c r="AB2062" s="1585"/>
      <c r="AC2062" s="1585">
        <v>74.527200000000008</v>
      </c>
      <c r="AD2062" s="1601">
        <f t="shared" si="173"/>
        <v>74.527200000000008</v>
      </c>
      <c r="AE2062" s="1790">
        <v>0</v>
      </c>
      <c r="AF2062" s="1792"/>
    </row>
    <row r="2063" spans="1:32" ht="27.75" customHeight="1">
      <c r="A2063" s="2900" t="s">
        <v>3576</v>
      </c>
      <c r="B2063" s="2902" t="s">
        <v>3550</v>
      </c>
      <c r="C2063" s="2904" t="s">
        <v>50</v>
      </c>
      <c r="D2063" s="2906">
        <v>74.527200000000008</v>
      </c>
      <c r="E2063" s="1603" t="s">
        <v>2497</v>
      </c>
      <c r="F2063" s="1583"/>
      <c r="G2063" s="1583"/>
      <c r="H2063" s="1583"/>
      <c r="I2063" s="1583"/>
      <c r="J2063" s="1583"/>
      <c r="K2063" s="1583"/>
      <c r="L2063" s="1583"/>
      <c r="M2063" s="1583"/>
      <c r="N2063" s="1583"/>
      <c r="O2063" s="1583"/>
      <c r="P2063" s="1583"/>
      <c r="Q2063" s="1604"/>
      <c r="R2063" s="1583"/>
      <c r="S2063" s="1583"/>
      <c r="T2063" s="1604"/>
      <c r="U2063" s="1585"/>
      <c r="V2063" s="1585"/>
      <c r="W2063" s="1585"/>
      <c r="X2063" s="1585"/>
      <c r="Y2063" s="1585"/>
      <c r="Z2063" s="1585"/>
      <c r="AA2063" s="1585"/>
      <c r="AB2063" s="1585"/>
      <c r="AC2063" s="1585"/>
      <c r="AD2063" s="1601">
        <f t="shared" si="173"/>
        <v>0</v>
      </c>
      <c r="AE2063" s="1790">
        <v>0</v>
      </c>
      <c r="AF2063" s="1792"/>
    </row>
    <row r="2064" spans="1:32" ht="27.75" customHeight="1">
      <c r="A2064" s="2899" t="s">
        <v>3577</v>
      </c>
      <c r="B2064" s="2901" t="s">
        <v>4162</v>
      </c>
      <c r="C2064" s="2903" t="s">
        <v>49</v>
      </c>
      <c r="D2064" s="2905">
        <v>20.56</v>
      </c>
      <c r="E2064" s="1810" t="s">
        <v>2496</v>
      </c>
      <c r="F2064" s="1811"/>
      <c r="G2064" s="1811"/>
      <c r="H2064" s="1811"/>
      <c r="I2064" s="1811"/>
      <c r="J2064" s="1811"/>
      <c r="K2064" s="1811"/>
      <c r="L2064" s="1811"/>
      <c r="M2064" s="1811"/>
      <c r="N2064" s="1811"/>
      <c r="O2064" s="1811"/>
      <c r="P2064" s="1811"/>
      <c r="Q2064" s="1812"/>
      <c r="R2064" s="1811"/>
      <c r="S2064" s="1811"/>
      <c r="T2064" s="1812"/>
      <c r="U2064" s="1812"/>
      <c r="V2064" s="1812"/>
      <c r="W2064" s="1812"/>
      <c r="X2064" s="1812"/>
      <c r="Y2064" s="1812"/>
      <c r="Z2064" s="1812"/>
      <c r="AA2064" s="1812"/>
      <c r="AB2064" s="1585"/>
      <c r="AC2064" s="1812">
        <v>20.56</v>
      </c>
      <c r="AD2064" s="1601">
        <f t="shared" si="173"/>
        <v>20.56</v>
      </c>
      <c r="AE2064" s="1790">
        <v>0</v>
      </c>
      <c r="AF2064" s="1792"/>
    </row>
    <row r="2065" spans="1:32" ht="27.75" customHeight="1">
      <c r="A2065" s="2900" t="s">
        <v>3577</v>
      </c>
      <c r="B2065" s="2902" t="s">
        <v>3552</v>
      </c>
      <c r="C2065" s="2904" t="s">
        <v>49</v>
      </c>
      <c r="D2065" s="2906">
        <v>20.56</v>
      </c>
      <c r="E2065" s="1603" t="s">
        <v>2497</v>
      </c>
      <c r="F2065" s="1583"/>
      <c r="G2065" s="1583"/>
      <c r="H2065" s="1583"/>
      <c r="I2065" s="1583"/>
      <c r="J2065" s="1583"/>
      <c r="K2065" s="1583"/>
      <c r="L2065" s="1583"/>
      <c r="M2065" s="1583"/>
      <c r="N2065" s="1583"/>
      <c r="O2065" s="1583"/>
      <c r="P2065" s="1583"/>
      <c r="Q2065" s="1604"/>
      <c r="R2065" s="1583"/>
      <c r="S2065" s="1583"/>
      <c r="T2065" s="1604"/>
      <c r="U2065" s="1592"/>
      <c r="V2065" s="1585"/>
      <c r="W2065" s="1585"/>
      <c r="X2065" s="1585"/>
      <c r="Y2065" s="1592"/>
      <c r="Z2065" s="1585"/>
      <c r="AA2065" s="1585"/>
      <c r="AB2065" s="1585"/>
      <c r="AC2065" s="1585"/>
      <c r="AD2065" s="1601">
        <f t="shared" ref="AD2065:AD2128" si="174">SUM(F2065:AC2065)</f>
        <v>0</v>
      </c>
      <c r="AE2065" s="1790">
        <v>0</v>
      </c>
      <c r="AF2065" s="1792"/>
    </row>
    <row r="2066" spans="1:32" ht="27.75" customHeight="1">
      <c r="A2066" s="2899" t="s">
        <v>3578</v>
      </c>
      <c r="B2066" s="2901" t="s">
        <v>4163</v>
      </c>
      <c r="C2066" s="2903" t="s">
        <v>49</v>
      </c>
      <c r="D2066" s="2905">
        <v>526.06400000000008</v>
      </c>
      <c r="E2066" s="1810" t="s">
        <v>2496</v>
      </c>
      <c r="F2066" s="1811"/>
      <c r="G2066" s="1811"/>
      <c r="H2066" s="1811"/>
      <c r="I2066" s="1811"/>
      <c r="J2066" s="1811"/>
      <c r="K2066" s="1811"/>
      <c r="L2066" s="1811"/>
      <c r="M2066" s="1811"/>
      <c r="N2066" s="1811"/>
      <c r="O2066" s="1811"/>
      <c r="P2066" s="1811"/>
      <c r="Q2066" s="1812"/>
      <c r="R2066" s="1811"/>
      <c r="S2066" s="1811"/>
      <c r="T2066" s="1812"/>
      <c r="U2066" s="1812"/>
      <c r="V2066" s="1812"/>
      <c r="W2066" s="1812"/>
      <c r="X2066" s="1812"/>
      <c r="Y2066" s="1812"/>
      <c r="Z2066" s="1812"/>
      <c r="AA2066" s="1812"/>
      <c r="AB2066" s="1585"/>
      <c r="AC2066" s="1812">
        <v>526.06400000000008</v>
      </c>
      <c r="AD2066" s="1601">
        <f t="shared" si="174"/>
        <v>526.06400000000008</v>
      </c>
      <c r="AE2066" s="1790">
        <v>0</v>
      </c>
      <c r="AF2066" s="1792"/>
    </row>
    <row r="2067" spans="1:32" ht="27.75" customHeight="1">
      <c r="A2067" s="2900" t="s">
        <v>3578</v>
      </c>
      <c r="B2067" s="2902" t="s">
        <v>3554</v>
      </c>
      <c r="C2067" s="2904" t="s">
        <v>49</v>
      </c>
      <c r="D2067" s="2906">
        <v>526.06400000000008</v>
      </c>
      <c r="E2067" s="1603" t="s">
        <v>2497</v>
      </c>
      <c r="F2067" s="1583"/>
      <c r="G2067" s="1583"/>
      <c r="H2067" s="1583"/>
      <c r="I2067" s="1583"/>
      <c r="J2067" s="1583"/>
      <c r="K2067" s="1583"/>
      <c r="L2067" s="1583"/>
      <c r="M2067" s="1583"/>
      <c r="N2067" s="1583"/>
      <c r="O2067" s="1583"/>
      <c r="P2067" s="1583"/>
      <c r="Q2067" s="1604"/>
      <c r="R2067" s="1583"/>
      <c r="S2067" s="1583"/>
      <c r="T2067" s="1604"/>
      <c r="U2067" s="1592"/>
      <c r="V2067" s="1585"/>
      <c r="W2067" s="1585"/>
      <c r="X2067" s="1585"/>
      <c r="Y2067" s="1592"/>
      <c r="Z2067" s="1585"/>
      <c r="AA2067" s="1585"/>
      <c r="AB2067" s="1585"/>
      <c r="AC2067" s="1585"/>
      <c r="AD2067" s="1601">
        <f t="shared" si="174"/>
        <v>0</v>
      </c>
      <c r="AE2067" s="1790">
        <v>0</v>
      </c>
      <c r="AF2067" s="1792"/>
    </row>
    <row r="2068" spans="1:32" ht="27.75" customHeight="1">
      <c r="A2068" s="2899" t="s">
        <v>3579</v>
      </c>
      <c r="B2068" s="2901" t="s">
        <v>4164</v>
      </c>
      <c r="C2068" s="2903" t="s">
        <v>420</v>
      </c>
      <c r="D2068" s="2905">
        <v>2481.7000000000003</v>
      </c>
      <c r="E2068" s="1810" t="s">
        <v>2496</v>
      </c>
      <c r="F2068" s="1811"/>
      <c r="G2068" s="1811"/>
      <c r="H2068" s="1811"/>
      <c r="I2068" s="1811"/>
      <c r="J2068" s="1811"/>
      <c r="K2068" s="1811"/>
      <c r="L2068" s="1811"/>
      <c r="M2068" s="1811"/>
      <c r="N2068" s="1811"/>
      <c r="O2068" s="1811"/>
      <c r="P2068" s="1811"/>
      <c r="Q2068" s="1812"/>
      <c r="R2068" s="1811"/>
      <c r="S2068" s="1811"/>
      <c r="T2068" s="1812"/>
      <c r="U2068" s="1812"/>
      <c r="V2068" s="1812"/>
      <c r="W2068" s="1812"/>
      <c r="X2068" s="1812"/>
      <c r="Y2068" s="1812"/>
      <c r="Z2068" s="1812"/>
      <c r="AA2068" s="1812"/>
      <c r="AB2068" s="1585"/>
      <c r="AC2068" s="1812">
        <v>2481.7000000000003</v>
      </c>
      <c r="AD2068" s="1601">
        <f t="shared" si="174"/>
        <v>2481.7000000000003</v>
      </c>
      <c r="AE2068" s="1790">
        <v>0</v>
      </c>
      <c r="AF2068" s="1792"/>
    </row>
    <row r="2069" spans="1:32" ht="27.75" customHeight="1">
      <c r="A2069" s="2900" t="s">
        <v>3579</v>
      </c>
      <c r="B2069" s="2902" t="s">
        <v>3556</v>
      </c>
      <c r="C2069" s="2904" t="s">
        <v>420</v>
      </c>
      <c r="D2069" s="2906">
        <v>2481.7000000000003</v>
      </c>
      <c r="E2069" s="1603" t="s">
        <v>2497</v>
      </c>
      <c r="F2069" s="1583"/>
      <c r="G2069" s="1583"/>
      <c r="H2069" s="1583"/>
      <c r="I2069" s="1583"/>
      <c r="J2069" s="1583"/>
      <c r="K2069" s="1583"/>
      <c r="L2069" s="1583"/>
      <c r="M2069" s="1583"/>
      <c r="N2069" s="1583"/>
      <c r="O2069" s="1583"/>
      <c r="P2069" s="1583"/>
      <c r="Q2069" s="1604"/>
      <c r="R2069" s="1583"/>
      <c r="S2069" s="1583"/>
      <c r="T2069" s="1604"/>
      <c r="U2069" s="1592"/>
      <c r="V2069" s="1585"/>
      <c r="W2069" s="1585"/>
      <c r="X2069" s="1585"/>
      <c r="Y2069" s="1592"/>
      <c r="Z2069" s="1585"/>
      <c r="AA2069" s="1585"/>
      <c r="AB2069" s="1585"/>
      <c r="AC2069" s="1585"/>
      <c r="AD2069" s="1601">
        <f t="shared" si="174"/>
        <v>0</v>
      </c>
      <c r="AE2069" s="1790">
        <v>0</v>
      </c>
      <c r="AF2069" s="1792"/>
    </row>
    <row r="2070" spans="1:32" ht="27.75" customHeight="1">
      <c r="A2070" s="2899" t="s">
        <v>3580</v>
      </c>
      <c r="B2070" s="2901" t="s">
        <v>4165</v>
      </c>
      <c r="C2070" s="2903" t="s">
        <v>50</v>
      </c>
      <c r="D2070" s="2905">
        <v>342.07499999999999</v>
      </c>
      <c r="E2070" s="1598" t="s">
        <v>2496</v>
      </c>
      <c r="F2070" s="1583"/>
      <c r="G2070" s="1583"/>
      <c r="H2070" s="1583"/>
      <c r="I2070" s="1583"/>
      <c r="J2070" s="1583"/>
      <c r="K2070" s="1583"/>
      <c r="L2070" s="1583"/>
      <c r="M2070" s="1583"/>
      <c r="N2070" s="1583"/>
      <c r="O2070" s="1583"/>
      <c r="P2070" s="1583"/>
      <c r="Q2070" s="1585"/>
      <c r="R2070" s="1583"/>
      <c r="S2070" s="1583"/>
      <c r="T2070" s="1585"/>
      <c r="U2070" s="1585"/>
      <c r="V2070" s="1585"/>
      <c r="W2070" s="1585"/>
      <c r="X2070" s="1585"/>
      <c r="Y2070" s="1585"/>
      <c r="Z2070" s="1585"/>
      <c r="AA2070" s="1585"/>
      <c r="AB2070" s="1585"/>
      <c r="AC2070" s="1585">
        <v>342.07499999999999</v>
      </c>
      <c r="AD2070" s="1601">
        <f t="shared" si="174"/>
        <v>342.07499999999999</v>
      </c>
      <c r="AE2070" s="1790">
        <v>0</v>
      </c>
      <c r="AF2070" s="1792"/>
    </row>
    <row r="2071" spans="1:32" ht="27.75" customHeight="1">
      <c r="A2071" s="2900" t="s">
        <v>3580</v>
      </c>
      <c r="B2071" s="2902" t="s">
        <v>3558</v>
      </c>
      <c r="C2071" s="2904" t="s">
        <v>50</v>
      </c>
      <c r="D2071" s="2906">
        <v>342.07499999999999</v>
      </c>
      <c r="E2071" s="1603" t="s">
        <v>2497</v>
      </c>
      <c r="F2071" s="1583"/>
      <c r="G2071" s="1583"/>
      <c r="H2071" s="1583"/>
      <c r="I2071" s="1583"/>
      <c r="J2071" s="1583"/>
      <c r="K2071" s="1583"/>
      <c r="L2071" s="1583"/>
      <c r="M2071" s="1583"/>
      <c r="N2071" s="1583"/>
      <c r="O2071" s="1583"/>
      <c r="P2071" s="1583"/>
      <c r="Q2071" s="1604"/>
      <c r="R2071" s="1583"/>
      <c r="S2071" s="1583"/>
      <c r="T2071" s="1604"/>
      <c r="U2071" s="1585"/>
      <c r="V2071" s="1585"/>
      <c r="W2071" s="1585"/>
      <c r="X2071" s="1585"/>
      <c r="Y2071" s="1585"/>
      <c r="Z2071" s="1585"/>
      <c r="AA2071" s="1585"/>
      <c r="AB2071" s="1585"/>
      <c r="AC2071" s="1585"/>
      <c r="AD2071" s="1601">
        <f t="shared" si="174"/>
        <v>0</v>
      </c>
      <c r="AE2071" s="1790">
        <v>0</v>
      </c>
      <c r="AF2071" s="1792"/>
    </row>
    <row r="2072" spans="1:32" ht="27.75" customHeight="1">
      <c r="A2072" s="2899" t="s">
        <v>3581</v>
      </c>
      <c r="B2072" s="2901" t="s">
        <v>4166</v>
      </c>
      <c r="C2072" s="2903" t="s">
        <v>49</v>
      </c>
      <c r="D2072" s="2905">
        <v>224.8</v>
      </c>
      <c r="E2072" s="1810" t="s">
        <v>2496</v>
      </c>
      <c r="F2072" s="1811"/>
      <c r="G2072" s="1811"/>
      <c r="H2072" s="1811"/>
      <c r="I2072" s="1811"/>
      <c r="J2072" s="1811"/>
      <c r="K2072" s="1811"/>
      <c r="L2072" s="1811"/>
      <c r="M2072" s="1811"/>
      <c r="N2072" s="1811"/>
      <c r="O2072" s="1811"/>
      <c r="P2072" s="1811"/>
      <c r="Q2072" s="1812"/>
      <c r="R2072" s="1811"/>
      <c r="S2072" s="1811"/>
      <c r="T2072" s="1812"/>
      <c r="U2072" s="1812"/>
      <c r="V2072" s="1812"/>
      <c r="W2072" s="1812"/>
      <c r="X2072" s="1812"/>
      <c r="Y2072" s="1812"/>
      <c r="Z2072" s="1812"/>
      <c r="AA2072" s="1812"/>
      <c r="AB2072" s="1585"/>
      <c r="AC2072" s="1812">
        <v>224.8</v>
      </c>
      <c r="AD2072" s="1601">
        <f t="shared" si="174"/>
        <v>224.8</v>
      </c>
      <c r="AE2072" s="1790">
        <v>0</v>
      </c>
      <c r="AF2072" s="1792"/>
    </row>
    <row r="2073" spans="1:32" ht="27.75" customHeight="1">
      <c r="A2073" s="2900" t="s">
        <v>3581</v>
      </c>
      <c r="B2073" s="2902" t="s">
        <v>3560</v>
      </c>
      <c r="C2073" s="2904" t="s">
        <v>49</v>
      </c>
      <c r="D2073" s="2906">
        <v>224.8</v>
      </c>
      <c r="E2073" s="1603" t="s">
        <v>2497</v>
      </c>
      <c r="F2073" s="1583"/>
      <c r="G2073" s="1583"/>
      <c r="H2073" s="1583"/>
      <c r="I2073" s="1583"/>
      <c r="J2073" s="1583"/>
      <c r="K2073" s="1583"/>
      <c r="L2073" s="1583"/>
      <c r="M2073" s="1583"/>
      <c r="N2073" s="1583"/>
      <c r="O2073" s="1583"/>
      <c r="P2073" s="1583"/>
      <c r="Q2073" s="1604"/>
      <c r="R2073" s="1583"/>
      <c r="S2073" s="1583"/>
      <c r="T2073" s="1604"/>
      <c r="U2073" s="1592"/>
      <c r="V2073" s="1585"/>
      <c r="W2073" s="1585"/>
      <c r="X2073" s="1585"/>
      <c r="Y2073" s="1592"/>
      <c r="Z2073" s="1585"/>
      <c r="AA2073" s="1585"/>
      <c r="AB2073" s="1585"/>
      <c r="AC2073" s="1585"/>
      <c r="AD2073" s="1601">
        <f t="shared" si="174"/>
        <v>0</v>
      </c>
      <c r="AE2073" s="1790">
        <v>0</v>
      </c>
      <c r="AF2073" s="1792"/>
    </row>
    <row r="2074" spans="1:32" ht="27.75" customHeight="1">
      <c r="A2074" s="2899" t="s">
        <v>3582</v>
      </c>
      <c r="B2074" s="2901" t="s">
        <v>4167</v>
      </c>
      <c r="C2074" s="2903" t="s">
        <v>49</v>
      </c>
      <c r="D2074" s="2905">
        <v>12.21</v>
      </c>
      <c r="E2074" s="1810" t="s">
        <v>2496</v>
      </c>
      <c r="F2074" s="1811"/>
      <c r="G2074" s="1811"/>
      <c r="H2074" s="1811"/>
      <c r="I2074" s="1811"/>
      <c r="J2074" s="1811"/>
      <c r="K2074" s="1811"/>
      <c r="L2074" s="1811"/>
      <c r="M2074" s="1811"/>
      <c r="N2074" s="1811"/>
      <c r="O2074" s="1811"/>
      <c r="P2074" s="1811"/>
      <c r="Q2074" s="1812"/>
      <c r="R2074" s="1811"/>
      <c r="S2074" s="1811"/>
      <c r="T2074" s="1812"/>
      <c r="U2074" s="1812"/>
      <c r="V2074" s="1812"/>
      <c r="W2074" s="1812"/>
      <c r="X2074" s="1812"/>
      <c r="Y2074" s="1812"/>
      <c r="Z2074" s="1812"/>
      <c r="AA2074" s="1812"/>
      <c r="AB2074" s="1585"/>
      <c r="AC2074" s="1812">
        <v>12.21</v>
      </c>
      <c r="AD2074" s="1601">
        <f t="shared" si="174"/>
        <v>12.21</v>
      </c>
      <c r="AE2074" s="1790">
        <v>0</v>
      </c>
      <c r="AF2074" s="1792"/>
    </row>
    <row r="2075" spans="1:32" ht="27.75" customHeight="1">
      <c r="A2075" s="2900" t="s">
        <v>3582</v>
      </c>
      <c r="B2075" s="2902" t="s">
        <v>3562</v>
      </c>
      <c r="C2075" s="2904" t="s">
        <v>49</v>
      </c>
      <c r="D2075" s="2906">
        <v>12.21</v>
      </c>
      <c r="E2075" s="1603" t="s">
        <v>2497</v>
      </c>
      <c r="F2075" s="1583"/>
      <c r="G2075" s="1583"/>
      <c r="H2075" s="1583"/>
      <c r="I2075" s="1583"/>
      <c r="J2075" s="1583"/>
      <c r="K2075" s="1583"/>
      <c r="L2075" s="1583"/>
      <c r="M2075" s="1583"/>
      <c r="N2075" s="1583"/>
      <c r="O2075" s="1583"/>
      <c r="P2075" s="1583"/>
      <c r="Q2075" s="1604"/>
      <c r="R2075" s="1583"/>
      <c r="S2075" s="1583"/>
      <c r="T2075" s="1604"/>
      <c r="U2075" s="1592"/>
      <c r="V2075" s="1585"/>
      <c r="W2075" s="1585"/>
      <c r="X2075" s="1585"/>
      <c r="Y2075" s="1592"/>
      <c r="Z2075" s="1585"/>
      <c r="AA2075" s="1585"/>
      <c r="AB2075" s="1585"/>
      <c r="AC2075" s="1585"/>
      <c r="AD2075" s="1601">
        <f t="shared" si="174"/>
        <v>0</v>
      </c>
      <c r="AE2075" s="1790">
        <v>0</v>
      </c>
      <c r="AF2075" s="1792"/>
    </row>
    <row r="2076" spans="1:32" ht="27.75" customHeight="1">
      <c r="A2076" s="2899" t="s">
        <v>3583</v>
      </c>
      <c r="B2076" s="2901" t="s">
        <v>4168</v>
      </c>
      <c r="C2076" s="2903" t="s">
        <v>52</v>
      </c>
      <c r="D2076" s="2905">
        <v>291.63</v>
      </c>
      <c r="E2076" s="1598" t="s">
        <v>2496</v>
      </c>
      <c r="F2076" s="1583"/>
      <c r="G2076" s="1583"/>
      <c r="H2076" s="1583"/>
      <c r="I2076" s="1583"/>
      <c r="J2076" s="1583"/>
      <c r="K2076" s="1583"/>
      <c r="L2076" s="1583"/>
      <c r="M2076" s="1583"/>
      <c r="N2076" s="1583"/>
      <c r="O2076" s="1583"/>
      <c r="P2076" s="1583"/>
      <c r="Q2076" s="1585"/>
      <c r="R2076" s="1583"/>
      <c r="S2076" s="1583"/>
      <c r="T2076" s="1585"/>
      <c r="U2076" s="1585"/>
      <c r="V2076" s="1585"/>
      <c r="W2076" s="1585"/>
      <c r="X2076" s="1585"/>
      <c r="Y2076" s="1585"/>
      <c r="Z2076" s="1585"/>
      <c r="AA2076" s="1585"/>
      <c r="AB2076" s="1585"/>
      <c r="AC2076" s="1585">
        <v>291.63</v>
      </c>
      <c r="AD2076" s="1601">
        <f t="shared" si="174"/>
        <v>291.63</v>
      </c>
      <c r="AE2076" s="1790">
        <v>0</v>
      </c>
      <c r="AF2076" s="1792"/>
    </row>
    <row r="2077" spans="1:32" ht="27.75" customHeight="1">
      <c r="A2077" s="2900" t="s">
        <v>3583</v>
      </c>
      <c r="B2077" s="2902" t="s">
        <v>4168</v>
      </c>
      <c r="C2077" s="2904" t="s">
        <v>52</v>
      </c>
      <c r="D2077" s="2906">
        <v>291.63</v>
      </c>
      <c r="E2077" s="1603" t="s">
        <v>2497</v>
      </c>
      <c r="F2077" s="1583"/>
      <c r="G2077" s="1583"/>
      <c r="H2077" s="1583"/>
      <c r="I2077" s="1583"/>
      <c r="J2077" s="1583"/>
      <c r="K2077" s="1583"/>
      <c r="L2077" s="1583"/>
      <c r="M2077" s="1583"/>
      <c r="N2077" s="1583"/>
      <c r="O2077" s="1583"/>
      <c r="P2077" s="1583"/>
      <c r="Q2077" s="1604"/>
      <c r="R2077" s="1583"/>
      <c r="S2077" s="1583"/>
      <c r="T2077" s="1604"/>
      <c r="U2077" s="1585"/>
      <c r="V2077" s="1585"/>
      <c r="W2077" s="1585"/>
      <c r="X2077" s="1585"/>
      <c r="Y2077" s="1585"/>
      <c r="Z2077" s="1585"/>
      <c r="AA2077" s="1585"/>
      <c r="AB2077" s="1585"/>
      <c r="AC2077" s="1585"/>
      <c r="AD2077" s="1601">
        <f t="shared" si="174"/>
        <v>0</v>
      </c>
      <c r="AE2077" s="1790">
        <v>0</v>
      </c>
      <c r="AF2077" s="1792"/>
    </row>
    <row r="2078" spans="1:32" ht="27.75" customHeight="1">
      <c r="A2078" s="2899" t="s">
        <v>3584</v>
      </c>
      <c r="B2078" s="2901" t="s">
        <v>4169</v>
      </c>
      <c r="C2078" s="2903" t="s">
        <v>52</v>
      </c>
      <c r="D2078" s="2905">
        <v>60.52</v>
      </c>
      <c r="E2078" s="1810" t="s">
        <v>2496</v>
      </c>
      <c r="F2078" s="1811"/>
      <c r="G2078" s="1811"/>
      <c r="H2078" s="1811"/>
      <c r="I2078" s="1811"/>
      <c r="J2078" s="1811"/>
      <c r="K2078" s="1811"/>
      <c r="L2078" s="1811"/>
      <c r="M2078" s="1811"/>
      <c r="N2078" s="1811"/>
      <c r="O2078" s="1811"/>
      <c r="P2078" s="1811"/>
      <c r="Q2078" s="1812"/>
      <c r="R2078" s="1811"/>
      <c r="S2078" s="1811"/>
      <c r="T2078" s="1812"/>
      <c r="U2078" s="1812"/>
      <c r="V2078" s="1812"/>
      <c r="W2078" s="1812"/>
      <c r="X2078" s="1812"/>
      <c r="Y2078" s="1812"/>
      <c r="Z2078" s="1812"/>
      <c r="AA2078" s="1812"/>
      <c r="AB2078" s="1585"/>
      <c r="AC2078" s="1812">
        <v>60.52</v>
      </c>
      <c r="AD2078" s="1601">
        <f t="shared" si="174"/>
        <v>60.52</v>
      </c>
      <c r="AE2078" s="1790">
        <v>0</v>
      </c>
      <c r="AF2078" s="1792"/>
    </row>
    <row r="2079" spans="1:32" ht="27.75" customHeight="1">
      <c r="A2079" s="2900" t="s">
        <v>3584</v>
      </c>
      <c r="B2079" s="2902" t="s">
        <v>3566</v>
      </c>
      <c r="C2079" s="2904" t="s">
        <v>52</v>
      </c>
      <c r="D2079" s="2906">
        <v>60.52</v>
      </c>
      <c r="E2079" s="1603" t="s">
        <v>2497</v>
      </c>
      <c r="F2079" s="1583"/>
      <c r="G2079" s="1583"/>
      <c r="H2079" s="1583"/>
      <c r="I2079" s="1583"/>
      <c r="J2079" s="1583"/>
      <c r="K2079" s="1583"/>
      <c r="L2079" s="1583"/>
      <c r="M2079" s="1583"/>
      <c r="N2079" s="1583"/>
      <c r="O2079" s="1583"/>
      <c r="P2079" s="1583"/>
      <c r="Q2079" s="1604"/>
      <c r="R2079" s="1583"/>
      <c r="S2079" s="1583"/>
      <c r="T2079" s="1604"/>
      <c r="U2079" s="1592"/>
      <c r="V2079" s="1585"/>
      <c r="W2079" s="1585"/>
      <c r="X2079" s="1585"/>
      <c r="Y2079" s="1592"/>
      <c r="Z2079" s="1585"/>
      <c r="AA2079" s="1585"/>
      <c r="AB2079" s="1585"/>
      <c r="AC2079" s="1585"/>
      <c r="AD2079" s="1601">
        <f t="shared" si="174"/>
        <v>0</v>
      </c>
      <c r="AE2079" s="1790">
        <v>0</v>
      </c>
      <c r="AF2079" s="1792"/>
    </row>
    <row r="2080" spans="1:32" ht="27.75" customHeight="1">
      <c r="A2080" s="2899" t="s">
        <v>3585</v>
      </c>
      <c r="B2080" s="2901" t="s">
        <v>4170</v>
      </c>
      <c r="C2080" s="2903" t="s">
        <v>52</v>
      </c>
      <c r="D2080" s="2905">
        <v>41</v>
      </c>
      <c r="E2080" s="1598" t="s">
        <v>2496</v>
      </c>
      <c r="F2080" s="1583"/>
      <c r="G2080" s="1583"/>
      <c r="H2080" s="1583"/>
      <c r="I2080" s="1583"/>
      <c r="J2080" s="1583"/>
      <c r="K2080" s="1583"/>
      <c r="L2080" s="1583"/>
      <c r="M2080" s="1583"/>
      <c r="N2080" s="1583"/>
      <c r="O2080" s="1583"/>
      <c r="P2080" s="1583"/>
      <c r="Q2080" s="1585"/>
      <c r="R2080" s="1583"/>
      <c r="S2080" s="1583"/>
      <c r="T2080" s="1585"/>
      <c r="U2080" s="1585"/>
      <c r="V2080" s="1585"/>
      <c r="W2080" s="1585"/>
      <c r="X2080" s="1585"/>
      <c r="Y2080" s="1585"/>
      <c r="Z2080" s="1585"/>
      <c r="AA2080" s="1585"/>
      <c r="AB2080" s="1585"/>
      <c r="AC2080" s="1585">
        <v>41</v>
      </c>
      <c r="AD2080" s="1601">
        <f t="shared" si="174"/>
        <v>41</v>
      </c>
      <c r="AE2080" s="1790">
        <v>0</v>
      </c>
      <c r="AF2080" s="1792"/>
    </row>
    <row r="2081" spans="1:32" ht="27.75" customHeight="1">
      <c r="A2081" s="2900" t="s">
        <v>3585</v>
      </c>
      <c r="B2081" s="2902" t="s">
        <v>3568</v>
      </c>
      <c r="C2081" s="2904" t="s">
        <v>52</v>
      </c>
      <c r="D2081" s="2906">
        <v>41</v>
      </c>
      <c r="E2081" s="1603" t="s">
        <v>2497</v>
      </c>
      <c r="F2081" s="1583"/>
      <c r="G2081" s="1583"/>
      <c r="H2081" s="1583"/>
      <c r="I2081" s="1583"/>
      <c r="J2081" s="1583"/>
      <c r="K2081" s="1583"/>
      <c r="L2081" s="1583"/>
      <c r="M2081" s="1583"/>
      <c r="N2081" s="1583"/>
      <c r="O2081" s="1583"/>
      <c r="P2081" s="1583"/>
      <c r="Q2081" s="1604"/>
      <c r="R2081" s="1583"/>
      <c r="S2081" s="1583"/>
      <c r="T2081" s="1604"/>
      <c r="U2081" s="1585"/>
      <c r="V2081" s="1585"/>
      <c r="W2081" s="1585"/>
      <c r="X2081" s="1585"/>
      <c r="Y2081" s="1585"/>
      <c r="Z2081" s="1585"/>
      <c r="AA2081" s="1585"/>
      <c r="AB2081" s="1585"/>
      <c r="AC2081" s="1585"/>
      <c r="AD2081" s="1601">
        <f t="shared" si="174"/>
        <v>0</v>
      </c>
      <c r="AE2081" s="1790">
        <v>0</v>
      </c>
      <c r="AF2081" s="1792"/>
    </row>
    <row r="2082" spans="1:32" ht="27.75" customHeight="1">
      <c r="A2082" s="2899" t="s">
        <v>3586</v>
      </c>
      <c r="B2082" s="2901" t="s">
        <v>4173</v>
      </c>
      <c r="C2082" s="2903" t="s">
        <v>52</v>
      </c>
      <c r="D2082" s="2905">
        <v>69.460000000000008</v>
      </c>
      <c r="E2082" s="1810" t="s">
        <v>2496</v>
      </c>
      <c r="F2082" s="1811"/>
      <c r="G2082" s="1811"/>
      <c r="H2082" s="1811"/>
      <c r="I2082" s="1811"/>
      <c r="J2082" s="1811"/>
      <c r="K2082" s="1811"/>
      <c r="L2082" s="1811"/>
      <c r="M2082" s="1811"/>
      <c r="N2082" s="1811"/>
      <c r="O2082" s="1811"/>
      <c r="P2082" s="1811"/>
      <c r="Q2082" s="1812"/>
      <c r="R2082" s="1811"/>
      <c r="S2082" s="1811"/>
      <c r="T2082" s="1812"/>
      <c r="U2082" s="1812"/>
      <c r="V2082" s="1812"/>
      <c r="W2082" s="1812"/>
      <c r="X2082" s="1812"/>
      <c r="Y2082" s="1812"/>
      <c r="Z2082" s="1812"/>
      <c r="AA2082" s="1812"/>
      <c r="AB2082" s="1585"/>
      <c r="AC2082" s="1812">
        <v>69.460000000000008</v>
      </c>
      <c r="AD2082" s="1601">
        <f t="shared" si="174"/>
        <v>69.460000000000008</v>
      </c>
      <c r="AE2082" s="1790">
        <v>0</v>
      </c>
      <c r="AF2082" s="1792"/>
    </row>
    <row r="2083" spans="1:32" ht="27.75" customHeight="1">
      <c r="A2083" s="2900" t="s">
        <v>3586</v>
      </c>
      <c r="B2083" s="2902" t="s">
        <v>3570</v>
      </c>
      <c r="C2083" s="2904" t="s">
        <v>52</v>
      </c>
      <c r="D2083" s="2906">
        <v>69.460000000000008</v>
      </c>
      <c r="E2083" s="1603" t="s">
        <v>2497</v>
      </c>
      <c r="F2083" s="1583"/>
      <c r="G2083" s="1583"/>
      <c r="H2083" s="1583"/>
      <c r="I2083" s="1583"/>
      <c r="J2083" s="1583"/>
      <c r="K2083" s="1583"/>
      <c r="L2083" s="1583"/>
      <c r="M2083" s="1583"/>
      <c r="N2083" s="1583"/>
      <c r="O2083" s="1583"/>
      <c r="P2083" s="1583"/>
      <c r="Q2083" s="1604"/>
      <c r="R2083" s="1583"/>
      <c r="S2083" s="1583"/>
      <c r="T2083" s="1604"/>
      <c r="U2083" s="1592"/>
      <c r="V2083" s="1585"/>
      <c r="W2083" s="1585"/>
      <c r="X2083" s="1585"/>
      <c r="Y2083" s="1592"/>
      <c r="Z2083" s="1585"/>
      <c r="AA2083" s="1585"/>
      <c r="AB2083" s="1585"/>
      <c r="AC2083" s="1585"/>
      <c r="AD2083" s="1601">
        <f t="shared" si="174"/>
        <v>0</v>
      </c>
      <c r="AE2083" s="1790">
        <v>0</v>
      </c>
      <c r="AF2083" s="1792"/>
    </row>
    <row r="2084" spans="1:32" ht="27.75" customHeight="1">
      <c r="A2084" s="2899" t="s">
        <v>3587</v>
      </c>
      <c r="B2084" s="2901" t="s">
        <v>4174</v>
      </c>
      <c r="C2084" s="2903" t="s">
        <v>52</v>
      </c>
      <c r="D2084" s="2905">
        <v>581.08000000000004</v>
      </c>
      <c r="E2084" s="1810" t="s">
        <v>2496</v>
      </c>
      <c r="F2084" s="1811"/>
      <c r="G2084" s="1811"/>
      <c r="H2084" s="1811"/>
      <c r="I2084" s="1811"/>
      <c r="J2084" s="1811"/>
      <c r="K2084" s="1811"/>
      <c r="L2084" s="1811"/>
      <c r="M2084" s="1811"/>
      <c r="N2084" s="1811"/>
      <c r="O2084" s="1811"/>
      <c r="P2084" s="1811"/>
      <c r="Q2084" s="1812"/>
      <c r="R2084" s="1811"/>
      <c r="S2084" s="1811"/>
      <c r="T2084" s="1812"/>
      <c r="U2084" s="1812"/>
      <c r="V2084" s="1812"/>
      <c r="W2084" s="1812"/>
      <c r="X2084" s="1812"/>
      <c r="Y2084" s="1812"/>
      <c r="Z2084" s="1812"/>
      <c r="AA2084" s="1812"/>
      <c r="AB2084" s="1585"/>
      <c r="AC2084" s="1812">
        <v>581.08000000000004</v>
      </c>
      <c r="AD2084" s="1601">
        <f t="shared" si="174"/>
        <v>581.08000000000004</v>
      </c>
      <c r="AE2084" s="1790">
        <v>0</v>
      </c>
      <c r="AF2084" s="1792"/>
    </row>
    <row r="2085" spans="1:32" ht="27.75" customHeight="1">
      <c r="A2085" s="2900" t="s">
        <v>3587</v>
      </c>
      <c r="B2085" s="2902" t="s">
        <v>3588</v>
      </c>
      <c r="C2085" s="2904" t="s">
        <v>52</v>
      </c>
      <c r="D2085" s="2906">
        <v>581.08000000000004</v>
      </c>
      <c r="E2085" s="1603" t="s">
        <v>2497</v>
      </c>
      <c r="F2085" s="1583"/>
      <c r="G2085" s="1583"/>
      <c r="H2085" s="1583"/>
      <c r="I2085" s="1583"/>
      <c r="J2085" s="1583"/>
      <c r="K2085" s="1583"/>
      <c r="L2085" s="1583"/>
      <c r="M2085" s="1583"/>
      <c r="N2085" s="1583"/>
      <c r="O2085" s="1583"/>
      <c r="P2085" s="1583"/>
      <c r="Q2085" s="1604"/>
      <c r="R2085" s="1583"/>
      <c r="S2085" s="1583"/>
      <c r="T2085" s="1604"/>
      <c r="U2085" s="1592"/>
      <c r="V2085" s="1585"/>
      <c r="W2085" s="1585"/>
      <c r="X2085" s="1585"/>
      <c r="Y2085" s="1592"/>
      <c r="Z2085" s="1585"/>
      <c r="AA2085" s="1585"/>
      <c r="AB2085" s="1585"/>
      <c r="AC2085" s="1585"/>
      <c r="AD2085" s="1601">
        <f t="shared" si="174"/>
        <v>0</v>
      </c>
      <c r="AE2085" s="1790">
        <v>0</v>
      </c>
      <c r="AF2085" s="1792"/>
    </row>
    <row r="2086" spans="1:32" ht="27.75" customHeight="1">
      <c r="A2086" s="1819" t="s">
        <v>3589</v>
      </c>
      <c r="B2086" s="1819" t="s">
        <v>243</v>
      </c>
      <c r="C2086" s="1803"/>
      <c r="D2086" s="1804"/>
      <c r="E2086" s="1813"/>
      <c r="F2086" s="1811"/>
      <c r="G2086" s="1811"/>
      <c r="H2086" s="1811"/>
      <c r="I2086" s="1811"/>
      <c r="J2086" s="1811"/>
      <c r="K2086" s="1811"/>
      <c r="L2086" s="1811"/>
      <c r="M2086" s="1811"/>
      <c r="N2086" s="1811"/>
      <c r="O2086" s="1811"/>
      <c r="P2086" s="1811"/>
      <c r="Q2086" s="1814"/>
      <c r="R2086" s="1811"/>
      <c r="S2086" s="1811"/>
      <c r="T2086" s="1814"/>
      <c r="U2086" s="1816"/>
      <c r="V2086" s="1812"/>
      <c r="W2086" s="1812"/>
      <c r="X2086" s="1812"/>
      <c r="Y2086" s="1816"/>
      <c r="Z2086" s="1812"/>
      <c r="AA2086" s="1812"/>
      <c r="AB2086" s="1812"/>
      <c r="AC2086" s="1812"/>
      <c r="AD2086" s="1601">
        <f t="shared" si="174"/>
        <v>0</v>
      </c>
      <c r="AE2086" s="1790">
        <v>0</v>
      </c>
      <c r="AF2086" s="1792"/>
    </row>
    <row r="2087" spans="1:32" ht="27.75" customHeight="1">
      <c r="A2087" s="2899" t="s">
        <v>3591</v>
      </c>
      <c r="B2087" s="2901" t="s">
        <v>4175</v>
      </c>
      <c r="C2087" s="2903" t="s">
        <v>3593</v>
      </c>
      <c r="D2087" s="2905">
        <v>362.12399999999997</v>
      </c>
      <c r="E2087" s="1810" t="s">
        <v>2496</v>
      </c>
      <c r="F2087" s="1811"/>
      <c r="G2087" s="1811"/>
      <c r="H2087" s="1811"/>
      <c r="I2087" s="1811"/>
      <c r="J2087" s="1811"/>
      <c r="K2087" s="1811"/>
      <c r="L2087" s="1811"/>
      <c r="M2087" s="1811"/>
      <c r="N2087" s="1811"/>
      <c r="O2087" s="1811"/>
      <c r="P2087" s="1811"/>
      <c r="Q2087" s="1812"/>
      <c r="R2087" s="1811"/>
      <c r="S2087" s="1811"/>
      <c r="T2087" s="1812"/>
      <c r="U2087" s="1812"/>
      <c r="V2087" s="1812"/>
      <c r="W2087" s="1812"/>
      <c r="X2087" s="1812"/>
      <c r="Y2087" s="1812"/>
      <c r="Z2087" s="1812"/>
      <c r="AA2087" s="1812"/>
      <c r="AB2087" s="1585"/>
      <c r="AC2087" s="1812">
        <v>362.12399999999997</v>
      </c>
      <c r="AD2087" s="1601">
        <f t="shared" si="174"/>
        <v>362.12399999999997</v>
      </c>
      <c r="AE2087" s="1790">
        <v>0</v>
      </c>
      <c r="AF2087" s="1792"/>
    </row>
    <row r="2088" spans="1:32" ht="27.75" customHeight="1">
      <c r="A2088" s="2900" t="s">
        <v>3591</v>
      </c>
      <c r="B2088" s="2902" t="s">
        <v>3592</v>
      </c>
      <c r="C2088" s="2904" t="s">
        <v>3593</v>
      </c>
      <c r="D2088" s="2906">
        <v>362.12399999999997</v>
      </c>
      <c r="E2088" s="1603" t="s">
        <v>2497</v>
      </c>
      <c r="F2088" s="1583"/>
      <c r="G2088" s="1583"/>
      <c r="H2088" s="1583"/>
      <c r="I2088" s="1583"/>
      <c r="J2088" s="1583"/>
      <c r="K2088" s="1583"/>
      <c r="L2088" s="1583"/>
      <c r="M2088" s="1583"/>
      <c r="N2088" s="1583"/>
      <c r="O2088" s="1583"/>
      <c r="P2088" s="1583"/>
      <c r="Q2088" s="1604"/>
      <c r="R2088" s="1583"/>
      <c r="S2088" s="1583"/>
      <c r="T2088" s="1604"/>
      <c r="U2088" s="1592"/>
      <c r="V2088" s="1585"/>
      <c r="W2088" s="1585"/>
      <c r="X2088" s="1585"/>
      <c r="Y2088" s="1592"/>
      <c r="Z2088" s="1585"/>
      <c r="AA2088" s="1585"/>
      <c r="AB2088" s="1585"/>
      <c r="AC2088" s="1585"/>
      <c r="AD2088" s="1601">
        <f t="shared" si="174"/>
        <v>0</v>
      </c>
      <c r="AE2088" s="1790">
        <v>0</v>
      </c>
      <c r="AF2088" s="1792"/>
    </row>
    <row r="2089" spans="1:32" ht="27.75" customHeight="1">
      <c r="A2089" s="2899" t="s">
        <v>3594</v>
      </c>
      <c r="B2089" s="2901" t="s">
        <v>4176</v>
      </c>
      <c r="C2089" s="2903" t="s">
        <v>52</v>
      </c>
      <c r="D2089" s="2905">
        <v>1157.56</v>
      </c>
      <c r="E2089" s="1598" t="s">
        <v>2496</v>
      </c>
      <c r="F2089" s="1583"/>
      <c r="G2089" s="1583"/>
      <c r="H2089" s="1583"/>
      <c r="I2089" s="1583"/>
      <c r="J2089" s="1583"/>
      <c r="K2089" s="1583"/>
      <c r="L2089" s="1583"/>
      <c r="M2089" s="1583"/>
      <c r="N2089" s="1583"/>
      <c r="O2089" s="1583"/>
      <c r="P2089" s="1583"/>
      <c r="Q2089" s="1585"/>
      <c r="R2089" s="1583"/>
      <c r="S2089" s="1583"/>
      <c r="T2089" s="1585"/>
      <c r="U2089" s="1585"/>
      <c r="V2089" s="1585"/>
      <c r="W2089" s="1585"/>
      <c r="X2089" s="1585"/>
      <c r="Y2089" s="1585"/>
      <c r="Z2089" s="1585"/>
      <c r="AA2089" s="1585"/>
      <c r="AB2089" s="1585"/>
      <c r="AC2089" s="1585">
        <v>1157.56</v>
      </c>
      <c r="AD2089" s="1601">
        <f t="shared" si="174"/>
        <v>1157.56</v>
      </c>
      <c r="AE2089" s="1790">
        <v>0</v>
      </c>
      <c r="AF2089" s="1792"/>
    </row>
    <row r="2090" spans="1:32" ht="27.75" customHeight="1">
      <c r="A2090" s="2900" t="s">
        <v>3594</v>
      </c>
      <c r="B2090" s="2902" t="s">
        <v>3595</v>
      </c>
      <c r="C2090" s="2904" t="s">
        <v>52</v>
      </c>
      <c r="D2090" s="2906">
        <v>1157.56</v>
      </c>
      <c r="E2090" s="1603" t="s">
        <v>2497</v>
      </c>
      <c r="F2090" s="1583"/>
      <c r="G2090" s="1583"/>
      <c r="H2090" s="1583"/>
      <c r="I2090" s="1583"/>
      <c r="J2090" s="1583"/>
      <c r="K2090" s="1583"/>
      <c r="L2090" s="1583"/>
      <c r="M2090" s="1583"/>
      <c r="N2090" s="1583"/>
      <c r="O2090" s="1583"/>
      <c r="P2090" s="1583"/>
      <c r="Q2090" s="1604"/>
      <c r="R2090" s="1583"/>
      <c r="S2090" s="1583"/>
      <c r="T2090" s="1604"/>
      <c r="U2090" s="1585"/>
      <c r="V2090" s="1585"/>
      <c r="W2090" s="1585"/>
      <c r="X2090" s="1585"/>
      <c r="Y2090" s="1585"/>
      <c r="Z2090" s="1585"/>
      <c r="AA2090" s="1585"/>
      <c r="AB2090" s="1585"/>
      <c r="AC2090" s="1585"/>
      <c r="AD2090" s="1601">
        <f t="shared" si="174"/>
        <v>0</v>
      </c>
      <c r="AE2090" s="1790">
        <v>0</v>
      </c>
      <c r="AF2090" s="1792"/>
    </row>
    <row r="2091" spans="1:32" ht="27.75" customHeight="1">
      <c r="A2091" s="2899" t="s">
        <v>3596</v>
      </c>
      <c r="B2091" s="2901" t="s">
        <v>4177</v>
      </c>
      <c r="C2091" s="2903" t="s">
        <v>268</v>
      </c>
      <c r="D2091" s="2905">
        <v>7320.1500000000005</v>
      </c>
      <c r="E2091" s="1810" t="s">
        <v>2496</v>
      </c>
      <c r="F2091" s="1811"/>
      <c r="G2091" s="1811"/>
      <c r="H2091" s="1811"/>
      <c r="I2091" s="1811"/>
      <c r="J2091" s="1811"/>
      <c r="K2091" s="1811"/>
      <c r="L2091" s="1811"/>
      <c r="M2091" s="1811"/>
      <c r="N2091" s="1811"/>
      <c r="O2091" s="1811"/>
      <c r="P2091" s="1811"/>
      <c r="Q2091" s="1812"/>
      <c r="R2091" s="1811"/>
      <c r="S2091" s="1811"/>
      <c r="T2091" s="1812"/>
      <c r="U2091" s="1812"/>
      <c r="V2091" s="1812"/>
      <c r="W2091" s="1812"/>
      <c r="X2091" s="1812"/>
      <c r="Y2091" s="1812"/>
      <c r="Z2091" s="1812"/>
      <c r="AA2091" s="1812"/>
      <c r="AB2091" s="1585"/>
      <c r="AC2091" s="1812">
        <v>7320.1500000000005</v>
      </c>
      <c r="AD2091" s="1601">
        <f t="shared" si="174"/>
        <v>7320.1500000000005</v>
      </c>
      <c r="AE2091" s="1790">
        <v>0</v>
      </c>
      <c r="AF2091" s="1792"/>
    </row>
    <row r="2092" spans="1:32" ht="27.75" customHeight="1">
      <c r="A2092" s="2900" t="s">
        <v>3596</v>
      </c>
      <c r="B2092" s="2902" t="s">
        <v>3597</v>
      </c>
      <c r="C2092" s="2904" t="s">
        <v>268</v>
      </c>
      <c r="D2092" s="2906">
        <v>7320.1500000000005</v>
      </c>
      <c r="E2092" s="1603" t="s">
        <v>2497</v>
      </c>
      <c r="F2092" s="1583"/>
      <c r="G2092" s="1583"/>
      <c r="H2092" s="1583"/>
      <c r="I2092" s="1583"/>
      <c r="J2092" s="1583"/>
      <c r="K2092" s="1583"/>
      <c r="L2092" s="1583"/>
      <c r="M2092" s="1583"/>
      <c r="N2092" s="1583"/>
      <c r="O2092" s="1583"/>
      <c r="P2092" s="1583"/>
      <c r="Q2092" s="1604"/>
      <c r="R2092" s="1583"/>
      <c r="S2092" s="1583"/>
      <c r="T2092" s="1604"/>
      <c r="U2092" s="1592"/>
      <c r="V2092" s="1585"/>
      <c r="W2092" s="1585"/>
      <c r="X2092" s="1585"/>
      <c r="Y2092" s="1592"/>
      <c r="Z2092" s="1585"/>
      <c r="AA2092" s="1585"/>
      <c r="AB2092" s="1585"/>
      <c r="AC2092" s="1585"/>
      <c r="AD2092" s="1601">
        <f t="shared" si="174"/>
        <v>0</v>
      </c>
      <c r="AE2092" s="1790">
        <v>0</v>
      </c>
      <c r="AF2092" s="1792"/>
    </row>
    <row r="2093" spans="1:32" ht="27.75" customHeight="1">
      <c r="A2093" s="2899" t="s">
        <v>3598</v>
      </c>
      <c r="B2093" s="2901" t="s">
        <v>4178</v>
      </c>
      <c r="C2093" s="2903" t="s">
        <v>268</v>
      </c>
      <c r="D2093" s="2905">
        <v>10626.53</v>
      </c>
      <c r="E2093" s="1810" t="s">
        <v>2496</v>
      </c>
      <c r="F2093" s="1811"/>
      <c r="G2093" s="1811"/>
      <c r="H2093" s="1811"/>
      <c r="I2093" s="1811"/>
      <c r="J2093" s="1811"/>
      <c r="K2093" s="1811"/>
      <c r="L2093" s="1811"/>
      <c r="M2093" s="1811"/>
      <c r="N2093" s="1811"/>
      <c r="O2093" s="1811"/>
      <c r="P2093" s="1811"/>
      <c r="Q2093" s="1812"/>
      <c r="R2093" s="1811"/>
      <c r="S2093" s="1811"/>
      <c r="T2093" s="1812"/>
      <c r="U2093" s="1812"/>
      <c r="V2093" s="1812"/>
      <c r="W2093" s="1812"/>
      <c r="X2093" s="1812"/>
      <c r="Y2093" s="1812"/>
      <c r="Z2093" s="1812"/>
      <c r="AA2093" s="1812"/>
      <c r="AB2093" s="1585"/>
      <c r="AC2093" s="1812">
        <v>10626.53</v>
      </c>
      <c r="AD2093" s="1601">
        <f t="shared" si="174"/>
        <v>10626.53</v>
      </c>
      <c r="AE2093" s="1790">
        <v>0</v>
      </c>
      <c r="AF2093" s="1792"/>
    </row>
    <row r="2094" spans="1:32" ht="27.75" customHeight="1">
      <c r="A2094" s="2900" t="s">
        <v>3598</v>
      </c>
      <c r="B2094" s="2902" t="s">
        <v>3599</v>
      </c>
      <c r="C2094" s="2904" t="s">
        <v>268</v>
      </c>
      <c r="D2094" s="2906">
        <v>10626.53</v>
      </c>
      <c r="E2094" s="1603" t="s">
        <v>2497</v>
      </c>
      <c r="F2094" s="1583"/>
      <c r="G2094" s="1583"/>
      <c r="H2094" s="1583"/>
      <c r="I2094" s="1583"/>
      <c r="J2094" s="1583"/>
      <c r="K2094" s="1583"/>
      <c r="L2094" s="1583"/>
      <c r="M2094" s="1583"/>
      <c r="N2094" s="1583"/>
      <c r="O2094" s="1583"/>
      <c r="P2094" s="1583"/>
      <c r="Q2094" s="1604"/>
      <c r="R2094" s="1583"/>
      <c r="S2094" s="1583"/>
      <c r="T2094" s="1604"/>
      <c r="U2094" s="1592"/>
      <c r="V2094" s="1585"/>
      <c r="W2094" s="1585"/>
      <c r="X2094" s="1585"/>
      <c r="Y2094" s="1592"/>
      <c r="Z2094" s="1585"/>
      <c r="AA2094" s="1585"/>
      <c r="AB2094" s="1585"/>
      <c r="AC2094" s="1585"/>
      <c r="AD2094" s="1601">
        <f t="shared" si="174"/>
        <v>0</v>
      </c>
      <c r="AE2094" s="1790">
        <v>0</v>
      </c>
      <c r="AF2094" s="1792"/>
    </row>
    <row r="2095" spans="1:32" ht="27.75" customHeight="1">
      <c r="A2095" s="2899" t="s">
        <v>3600</v>
      </c>
      <c r="B2095" s="2901" t="s">
        <v>4179</v>
      </c>
      <c r="C2095" s="2903" t="s">
        <v>268</v>
      </c>
      <c r="D2095" s="2905">
        <v>3223.31</v>
      </c>
      <c r="E2095" s="1598" t="s">
        <v>2496</v>
      </c>
      <c r="F2095" s="1583"/>
      <c r="G2095" s="1583"/>
      <c r="H2095" s="1583"/>
      <c r="I2095" s="1583"/>
      <c r="J2095" s="1583"/>
      <c r="K2095" s="1583"/>
      <c r="L2095" s="1583"/>
      <c r="M2095" s="1583"/>
      <c r="N2095" s="1583"/>
      <c r="O2095" s="1583"/>
      <c r="P2095" s="1583"/>
      <c r="Q2095" s="1585"/>
      <c r="R2095" s="1583"/>
      <c r="S2095" s="1583"/>
      <c r="T2095" s="1585"/>
      <c r="U2095" s="1585"/>
      <c r="V2095" s="1585"/>
      <c r="W2095" s="1585"/>
      <c r="X2095" s="1585"/>
      <c r="Y2095" s="1585"/>
      <c r="Z2095" s="1585"/>
      <c r="AA2095" s="1585"/>
      <c r="AB2095" s="1585"/>
      <c r="AC2095" s="1585">
        <v>3223.31</v>
      </c>
      <c r="AD2095" s="1601">
        <f t="shared" si="174"/>
        <v>3223.31</v>
      </c>
      <c r="AE2095" s="1790">
        <v>0</v>
      </c>
      <c r="AF2095" s="1792"/>
    </row>
    <row r="2096" spans="1:32" ht="27.75" customHeight="1">
      <c r="A2096" s="2900" t="s">
        <v>3600</v>
      </c>
      <c r="B2096" s="2902" t="s">
        <v>3601</v>
      </c>
      <c r="C2096" s="2904" t="s">
        <v>268</v>
      </c>
      <c r="D2096" s="2906">
        <v>3223.31</v>
      </c>
      <c r="E2096" s="1603" t="s">
        <v>2497</v>
      </c>
      <c r="F2096" s="1583"/>
      <c r="G2096" s="1583"/>
      <c r="H2096" s="1583"/>
      <c r="I2096" s="1583"/>
      <c r="J2096" s="1583"/>
      <c r="K2096" s="1583"/>
      <c r="L2096" s="1583"/>
      <c r="M2096" s="1583"/>
      <c r="N2096" s="1583"/>
      <c r="O2096" s="1583"/>
      <c r="P2096" s="1583"/>
      <c r="Q2096" s="1604"/>
      <c r="R2096" s="1583"/>
      <c r="S2096" s="1583"/>
      <c r="T2096" s="1604"/>
      <c r="U2096" s="1585"/>
      <c r="V2096" s="1585"/>
      <c r="W2096" s="1585"/>
      <c r="X2096" s="1585"/>
      <c r="Y2096" s="1585"/>
      <c r="Z2096" s="1585"/>
      <c r="AA2096" s="1585"/>
      <c r="AB2096" s="1585"/>
      <c r="AC2096" s="1585"/>
      <c r="AD2096" s="1601">
        <f t="shared" si="174"/>
        <v>0</v>
      </c>
      <c r="AE2096" s="1790">
        <v>0</v>
      </c>
      <c r="AF2096" s="1792"/>
    </row>
    <row r="2097" spans="1:32" ht="27.75" customHeight="1">
      <c r="A2097" s="2899" t="s">
        <v>3602</v>
      </c>
      <c r="B2097" s="2901" t="s">
        <v>4180</v>
      </c>
      <c r="C2097" s="2903" t="s">
        <v>268</v>
      </c>
      <c r="D2097" s="2905">
        <v>3523.31</v>
      </c>
      <c r="E2097" s="1810" t="s">
        <v>2496</v>
      </c>
      <c r="F2097" s="1811"/>
      <c r="G2097" s="1811"/>
      <c r="H2097" s="1811"/>
      <c r="I2097" s="1811"/>
      <c r="J2097" s="1811"/>
      <c r="K2097" s="1811"/>
      <c r="L2097" s="1811"/>
      <c r="M2097" s="1811"/>
      <c r="N2097" s="1811"/>
      <c r="O2097" s="1811"/>
      <c r="P2097" s="1811"/>
      <c r="Q2097" s="1812"/>
      <c r="R2097" s="1811"/>
      <c r="S2097" s="1811"/>
      <c r="T2097" s="1812"/>
      <c r="U2097" s="1812"/>
      <c r="V2097" s="1812"/>
      <c r="W2097" s="1812"/>
      <c r="X2097" s="1812"/>
      <c r="Y2097" s="1812"/>
      <c r="Z2097" s="1812"/>
      <c r="AA2097" s="1812"/>
      <c r="AB2097" s="1585"/>
      <c r="AC2097" s="1812">
        <v>3523.31</v>
      </c>
      <c r="AD2097" s="1601">
        <f t="shared" si="174"/>
        <v>3523.31</v>
      </c>
      <c r="AE2097" s="1790">
        <v>0</v>
      </c>
      <c r="AF2097" s="1792"/>
    </row>
    <row r="2098" spans="1:32" ht="27.75" customHeight="1">
      <c r="A2098" s="2900" t="s">
        <v>3602</v>
      </c>
      <c r="B2098" s="2902" t="s">
        <v>3603</v>
      </c>
      <c r="C2098" s="2904" t="s">
        <v>268</v>
      </c>
      <c r="D2098" s="2906">
        <v>3523.31</v>
      </c>
      <c r="E2098" s="1603" t="s">
        <v>2497</v>
      </c>
      <c r="F2098" s="1583"/>
      <c r="G2098" s="1583"/>
      <c r="H2098" s="1583"/>
      <c r="I2098" s="1583"/>
      <c r="J2098" s="1583"/>
      <c r="K2098" s="1583"/>
      <c r="L2098" s="1583"/>
      <c r="M2098" s="1583"/>
      <c r="N2098" s="1583"/>
      <c r="O2098" s="1583"/>
      <c r="P2098" s="1583"/>
      <c r="Q2098" s="1604"/>
      <c r="R2098" s="1583"/>
      <c r="S2098" s="1583"/>
      <c r="T2098" s="1604"/>
      <c r="U2098" s="1592"/>
      <c r="V2098" s="1585"/>
      <c r="W2098" s="1585"/>
      <c r="X2098" s="1585"/>
      <c r="Y2098" s="1592"/>
      <c r="Z2098" s="1585"/>
      <c r="AA2098" s="1585"/>
      <c r="AB2098" s="1585"/>
      <c r="AC2098" s="1585"/>
      <c r="AD2098" s="1601">
        <f t="shared" si="174"/>
        <v>0</v>
      </c>
      <c r="AE2098" s="1790">
        <v>0</v>
      </c>
      <c r="AF2098" s="1792"/>
    </row>
    <row r="2099" spans="1:32" ht="27.75" customHeight="1">
      <c r="A2099" s="1819" t="s">
        <v>3604</v>
      </c>
      <c r="B2099" s="1819" t="s">
        <v>4181</v>
      </c>
      <c r="C2099" s="1803"/>
      <c r="D2099" s="1804"/>
      <c r="E2099" s="1599"/>
      <c r="F2099" s="1583"/>
      <c r="G2099" s="1583"/>
      <c r="H2099" s="1583"/>
      <c r="I2099" s="1583"/>
      <c r="J2099" s="1583"/>
      <c r="K2099" s="1583"/>
      <c r="L2099" s="1583"/>
      <c r="M2099" s="1583"/>
      <c r="N2099" s="1583"/>
      <c r="O2099" s="1583"/>
      <c r="P2099" s="1583"/>
      <c r="Q2099" s="1604"/>
      <c r="R2099" s="1583"/>
      <c r="S2099" s="1583"/>
      <c r="T2099" s="1604"/>
      <c r="U2099" s="1592"/>
      <c r="V2099" s="1585"/>
      <c r="W2099" s="1585"/>
      <c r="X2099" s="1585"/>
      <c r="Y2099" s="1592"/>
      <c r="Z2099" s="1585"/>
      <c r="AA2099" s="1585"/>
      <c r="AB2099" s="1585"/>
      <c r="AC2099" s="1585"/>
      <c r="AD2099" s="1601">
        <f t="shared" si="174"/>
        <v>0</v>
      </c>
      <c r="AE2099" s="1790">
        <v>0</v>
      </c>
      <c r="AF2099" s="1792"/>
    </row>
    <row r="2100" spans="1:32" ht="27.75" customHeight="1">
      <c r="A2100" s="2899" t="s">
        <v>3606</v>
      </c>
      <c r="B2100" s="2901" t="s">
        <v>4182</v>
      </c>
      <c r="C2100" s="2903" t="s">
        <v>268</v>
      </c>
      <c r="D2100" s="2905">
        <v>242.28299999999999</v>
      </c>
      <c r="E2100" s="1598" t="s">
        <v>2496</v>
      </c>
      <c r="F2100" s="1583"/>
      <c r="G2100" s="1583"/>
      <c r="H2100" s="1583"/>
      <c r="I2100" s="1583"/>
      <c r="J2100" s="1583"/>
      <c r="K2100" s="1583"/>
      <c r="L2100" s="1583"/>
      <c r="M2100" s="1583"/>
      <c r="N2100" s="1583"/>
      <c r="O2100" s="1583"/>
      <c r="P2100" s="1583"/>
      <c r="Q2100" s="1585"/>
      <c r="R2100" s="1583"/>
      <c r="S2100" s="1583"/>
      <c r="T2100" s="1585"/>
      <c r="U2100" s="1585"/>
      <c r="V2100" s="1585"/>
      <c r="W2100" s="1585"/>
      <c r="X2100" s="1585"/>
      <c r="Y2100" s="1585"/>
      <c r="Z2100" s="1585"/>
      <c r="AA2100" s="1585"/>
      <c r="AB2100" s="1585"/>
      <c r="AC2100" s="1585">
        <v>242.28299999999999</v>
      </c>
      <c r="AD2100" s="1601">
        <f t="shared" si="174"/>
        <v>242.28299999999999</v>
      </c>
      <c r="AE2100" s="1790">
        <v>0</v>
      </c>
      <c r="AF2100" s="1792"/>
    </row>
    <row r="2101" spans="1:32" ht="27.75" customHeight="1">
      <c r="A2101" s="2900" t="s">
        <v>3606</v>
      </c>
      <c r="B2101" s="2902" t="s">
        <v>3607</v>
      </c>
      <c r="C2101" s="2904" t="s">
        <v>268</v>
      </c>
      <c r="D2101" s="2906">
        <v>242.28299999999999</v>
      </c>
      <c r="E2101" s="1603" t="s">
        <v>2497</v>
      </c>
      <c r="F2101" s="1583"/>
      <c r="G2101" s="1583"/>
      <c r="H2101" s="1583"/>
      <c r="I2101" s="1583"/>
      <c r="J2101" s="1583"/>
      <c r="K2101" s="1583"/>
      <c r="L2101" s="1583"/>
      <c r="M2101" s="1583"/>
      <c r="N2101" s="1583"/>
      <c r="O2101" s="1583"/>
      <c r="P2101" s="1583"/>
      <c r="Q2101" s="1604"/>
      <c r="R2101" s="1583"/>
      <c r="S2101" s="1583"/>
      <c r="T2101" s="1604"/>
      <c r="U2101" s="1585"/>
      <c r="V2101" s="1585"/>
      <c r="W2101" s="1585"/>
      <c r="X2101" s="1585"/>
      <c r="Y2101" s="1585"/>
      <c r="Z2101" s="1585"/>
      <c r="AA2101" s="1585"/>
      <c r="AB2101" s="1585"/>
      <c r="AC2101" s="1585"/>
      <c r="AD2101" s="1601">
        <f t="shared" si="174"/>
        <v>0</v>
      </c>
      <c r="AE2101" s="1790">
        <v>0</v>
      </c>
      <c r="AF2101" s="1792"/>
    </row>
    <row r="2102" spans="1:32" ht="27.75" customHeight="1">
      <c r="A2102" s="2899" t="s">
        <v>3608</v>
      </c>
      <c r="B2102" s="2901" t="s">
        <v>4183</v>
      </c>
      <c r="C2102" s="2903" t="s">
        <v>268</v>
      </c>
      <c r="D2102" s="2905">
        <v>813.45</v>
      </c>
      <c r="E2102" s="1810" t="s">
        <v>2496</v>
      </c>
      <c r="F2102" s="1811"/>
      <c r="G2102" s="1811"/>
      <c r="H2102" s="1811"/>
      <c r="I2102" s="1811"/>
      <c r="J2102" s="1811"/>
      <c r="K2102" s="1811"/>
      <c r="L2102" s="1811"/>
      <c r="M2102" s="1811"/>
      <c r="N2102" s="1811"/>
      <c r="O2102" s="1811"/>
      <c r="P2102" s="1811"/>
      <c r="Q2102" s="1812"/>
      <c r="R2102" s="1811"/>
      <c r="S2102" s="1811"/>
      <c r="T2102" s="1812"/>
      <c r="U2102" s="1812"/>
      <c r="V2102" s="1812"/>
      <c r="W2102" s="1812"/>
      <c r="X2102" s="1812"/>
      <c r="Y2102" s="1812"/>
      <c r="Z2102" s="1812"/>
      <c r="AA2102" s="1812"/>
      <c r="AB2102" s="1585"/>
      <c r="AC2102" s="1812">
        <v>813.45</v>
      </c>
      <c r="AD2102" s="1601">
        <f t="shared" si="174"/>
        <v>813.45</v>
      </c>
      <c r="AE2102" s="1790">
        <v>0</v>
      </c>
      <c r="AF2102" s="1792"/>
    </row>
    <row r="2103" spans="1:32" ht="27.75" customHeight="1">
      <c r="A2103" s="2900" t="s">
        <v>3608</v>
      </c>
      <c r="B2103" s="2902" t="s">
        <v>3609</v>
      </c>
      <c r="C2103" s="2904" t="s">
        <v>268</v>
      </c>
      <c r="D2103" s="2906">
        <v>813.45</v>
      </c>
      <c r="E2103" s="1603" t="s">
        <v>2497</v>
      </c>
      <c r="F2103" s="1583"/>
      <c r="G2103" s="1583"/>
      <c r="H2103" s="1583"/>
      <c r="I2103" s="1583"/>
      <c r="J2103" s="1583"/>
      <c r="K2103" s="1583"/>
      <c r="L2103" s="1583"/>
      <c r="M2103" s="1583"/>
      <c r="N2103" s="1583"/>
      <c r="O2103" s="1583"/>
      <c r="P2103" s="1583"/>
      <c r="Q2103" s="1604"/>
      <c r="R2103" s="1583"/>
      <c r="S2103" s="1583"/>
      <c r="T2103" s="1604"/>
      <c r="U2103" s="1592"/>
      <c r="V2103" s="1585"/>
      <c r="W2103" s="1585"/>
      <c r="X2103" s="1585"/>
      <c r="Y2103" s="1592"/>
      <c r="Z2103" s="1585"/>
      <c r="AA2103" s="1585"/>
      <c r="AB2103" s="1585"/>
      <c r="AC2103" s="1585"/>
      <c r="AD2103" s="1601">
        <f t="shared" si="174"/>
        <v>0</v>
      </c>
      <c r="AE2103" s="1790">
        <v>0</v>
      </c>
      <c r="AF2103" s="1792"/>
    </row>
    <row r="2104" spans="1:32" ht="27.75" customHeight="1">
      <c r="A2104" s="2899" t="s">
        <v>3610</v>
      </c>
      <c r="B2104" s="2901" t="s">
        <v>4184</v>
      </c>
      <c r="C2104" s="2903" t="s">
        <v>52</v>
      </c>
      <c r="D2104" s="2905">
        <v>185.29</v>
      </c>
      <c r="E2104" s="1810" t="s">
        <v>2496</v>
      </c>
      <c r="F2104" s="1811"/>
      <c r="G2104" s="1811"/>
      <c r="H2104" s="1811"/>
      <c r="I2104" s="1811"/>
      <c r="J2104" s="1811"/>
      <c r="K2104" s="1811"/>
      <c r="L2104" s="1811"/>
      <c r="M2104" s="1811"/>
      <c r="N2104" s="1811"/>
      <c r="O2104" s="1811"/>
      <c r="P2104" s="1811"/>
      <c r="Q2104" s="1812"/>
      <c r="R2104" s="1811"/>
      <c r="S2104" s="1811"/>
      <c r="T2104" s="1812"/>
      <c r="U2104" s="1812"/>
      <c r="V2104" s="1812"/>
      <c r="W2104" s="1812"/>
      <c r="X2104" s="1812"/>
      <c r="Y2104" s="1812"/>
      <c r="Z2104" s="1812"/>
      <c r="AA2104" s="1812"/>
      <c r="AB2104" s="1585"/>
      <c r="AC2104" s="1812">
        <v>185.29</v>
      </c>
      <c r="AD2104" s="1601">
        <f t="shared" si="174"/>
        <v>185.29</v>
      </c>
      <c r="AE2104" s="1790">
        <v>0</v>
      </c>
      <c r="AF2104" s="1792"/>
    </row>
    <row r="2105" spans="1:32" ht="27.75" customHeight="1">
      <c r="A2105" s="2900" t="s">
        <v>3610</v>
      </c>
      <c r="B2105" s="2902" t="s">
        <v>3611</v>
      </c>
      <c r="C2105" s="2904" t="s">
        <v>52</v>
      </c>
      <c r="D2105" s="2906">
        <v>185.29</v>
      </c>
      <c r="E2105" s="1603" t="s">
        <v>2497</v>
      </c>
      <c r="F2105" s="1583"/>
      <c r="G2105" s="1583"/>
      <c r="H2105" s="1583"/>
      <c r="I2105" s="1583"/>
      <c r="J2105" s="1583"/>
      <c r="K2105" s="1583"/>
      <c r="L2105" s="1583"/>
      <c r="M2105" s="1583"/>
      <c r="N2105" s="1583"/>
      <c r="O2105" s="1583"/>
      <c r="P2105" s="1583"/>
      <c r="Q2105" s="1604"/>
      <c r="R2105" s="1583"/>
      <c r="S2105" s="1583"/>
      <c r="T2105" s="1604"/>
      <c r="U2105" s="1592"/>
      <c r="V2105" s="1585"/>
      <c r="W2105" s="1585"/>
      <c r="X2105" s="1585"/>
      <c r="Y2105" s="1592"/>
      <c r="Z2105" s="1585"/>
      <c r="AA2105" s="1585"/>
      <c r="AB2105" s="1585"/>
      <c r="AC2105" s="1585"/>
      <c r="AD2105" s="1601">
        <f t="shared" si="174"/>
        <v>0</v>
      </c>
      <c r="AE2105" s="1790">
        <v>0</v>
      </c>
      <c r="AF2105" s="1792"/>
    </row>
    <row r="2106" spans="1:32" ht="27.75" customHeight="1">
      <c r="A2106" s="2899" t="s">
        <v>3612</v>
      </c>
      <c r="B2106" s="2901" t="s">
        <v>4185</v>
      </c>
      <c r="C2106" s="2903" t="s">
        <v>3593</v>
      </c>
      <c r="D2106" s="2905">
        <v>3510.65</v>
      </c>
      <c r="E2106" s="1810" t="s">
        <v>2496</v>
      </c>
      <c r="F2106" s="1811"/>
      <c r="G2106" s="1811"/>
      <c r="H2106" s="1811"/>
      <c r="I2106" s="1811"/>
      <c r="J2106" s="1811"/>
      <c r="K2106" s="1811"/>
      <c r="L2106" s="1811"/>
      <c r="M2106" s="1811"/>
      <c r="N2106" s="1811"/>
      <c r="O2106" s="1811"/>
      <c r="P2106" s="1811"/>
      <c r="Q2106" s="1812"/>
      <c r="R2106" s="1811"/>
      <c r="S2106" s="1811"/>
      <c r="T2106" s="1812"/>
      <c r="U2106" s="1812"/>
      <c r="V2106" s="1812"/>
      <c r="W2106" s="1812"/>
      <c r="X2106" s="1812"/>
      <c r="Y2106" s="1812"/>
      <c r="Z2106" s="1812"/>
      <c r="AA2106" s="1812"/>
      <c r="AB2106" s="1585"/>
      <c r="AC2106" s="1812">
        <v>3510.65</v>
      </c>
      <c r="AD2106" s="1601">
        <f t="shared" si="174"/>
        <v>3510.65</v>
      </c>
      <c r="AE2106" s="1790">
        <v>0</v>
      </c>
      <c r="AF2106" s="1792"/>
    </row>
    <row r="2107" spans="1:32" ht="27.75" customHeight="1">
      <c r="A2107" s="2900" t="s">
        <v>3612</v>
      </c>
      <c r="B2107" s="2902" t="s">
        <v>3613</v>
      </c>
      <c r="C2107" s="2904" t="s">
        <v>3593</v>
      </c>
      <c r="D2107" s="2906">
        <v>3510.65</v>
      </c>
      <c r="E2107" s="1603" t="s">
        <v>2497</v>
      </c>
      <c r="F2107" s="1583"/>
      <c r="G2107" s="1583"/>
      <c r="H2107" s="1583"/>
      <c r="I2107" s="1583"/>
      <c r="J2107" s="1583"/>
      <c r="K2107" s="1583"/>
      <c r="L2107" s="1583"/>
      <c r="M2107" s="1583"/>
      <c r="N2107" s="1583"/>
      <c r="O2107" s="1583"/>
      <c r="P2107" s="1583"/>
      <c r="Q2107" s="1604"/>
      <c r="R2107" s="1583"/>
      <c r="S2107" s="1583"/>
      <c r="T2107" s="1604"/>
      <c r="U2107" s="1592"/>
      <c r="V2107" s="1585"/>
      <c r="W2107" s="1585"/>
      <c r="X2107" s="1585"/>
      <c r="Y2107" s="1592"/>
      <c r="Z2107" s="1585"/>
      <c r="AA2107" s="1585"/>
      <c r="AB2107" s="1585"/>
      <c r="AC2107" s="1585"/>
      <c r="AD2107" s="1601">
        <f t="shared" si="174"/>
        <v>0</v>
      </c>
      <c r="AE2107" s="1790">
        <v>0</v>
      </c>
      <c r="AF2107" s="1792"/>
    </row>
    <row r="2108" spans="1:32" ht="27.75" customHeight="1">
      <c r="A2108" s="2899" t="s">
        <v>3614</v>
      </c>
      <c r="B2108" s="2901" t="s">
        <v>4186</v>
      </c>
      <c r="C2108" s="2903" t="s">
        <v>268</v>
      </c>
      <c r="D2108" s="2905">
        <v>4320.67</v>
      </c>
      <c r="E2108" s="1598" t="s">
        <v>2496</v>
      </c>
      <c r="F2108" s="1583"/>
      <c r="G2108" s="1583"/>
      <c r="H2108" s="1583"/>
      <c r="I2108" s="1583"/>
      <c r="J2108" s="1583"/>
      <c r="K2108" s="1583"/>
      <c r="L2108" s="1583"/>
      <c r="M2108" s="1583"/>
      <c r="N2108" s="1583"/>
      <c r="O2108" s="1583"/>
      <c r="P2108" s="1583"/>
      <c r="Q2108" s="1585"/>
      <c r="R2108" s="1583"/>
      <c r="S2108" s="1583"/>
      <c r="T2108" s="1585"/>
      <c r="U2108" s="1585"/>
      <c r="V2108" s="1585"/>
      <c r="W2108" s="1585"/>
      <c r="X2108" s="1585"/>
      <c r="Y2108" s="1585"/>
      <c r="Z2108" s="1585"/>
      <c r="AA2108" s="1585"/>
      <c r="AB2108" s="1585"/>
      <c r="AC2108" s="1585">
        <v>4320.67</v>
      </c>
      <c r="AD2108" s="1601">
        <f t="shared" si="174"/>
        <v>4320.67</v>
      </c>
      <c r="AE2108" s="1790">
        <v>0</v>
      </c>
      <c r="AF2108" s="1792"/>
    </row>
    <row r="2109" spans="1:32" ht="27.75" customHeight="1">
      <c r="A2109" s="2900" t="s">
        <v>3614</v>
      </c>
      <c r="B2109" s="2902" t="s">
        <v>3615</v>
      </c>
      <c r="C2109" s="2904" t="s">
        <v>268</v>
      </c>
      <c r="D2109" s="2906">
        <v>4320.67</v>
      </c>
      <c r="E2109" s="1603" t="s">
        <v>2497</v>
      </c>
      <c r="F2109" s="1583"/>
      <c r="G2109" s="1583"/>
      <c r="H2109" s="1583"/>
      <c r="I2109" s="1583"/>
      <c r="J2109" s="1583"/>
      <c r="K2109" s="1583"/>
      <c r="L2109" s="1583"/>
      <c r="M2109" s="1583"/>
      <c r="N2109" s="1583"/>
      <c r="O2109" s="1583"/>
      <c r="P2109" s="1583"/>
      <c r="Q2109" s="1604"/>
      <c r="R2109" s="1583"/>
      <c r="S2109" s="1583"/>
      <c r="T2109" s="1604"/>
      <c r="U2109" s="1585"/>
      <c r="V2109" s="1585"/>
      <c r="W2109" s="1585"/>
      <c r="X2109" s="1585"/>
      <c r="Y2109" s="1585"/>
      <c r="Z2109" s="1585"/>
      <c r="AA2109" s="1585"/>
      <c r="AB2109" s="1585"/>
      <c r="AC2109" s="1585"/>
      <c r="AD2109" s="1601">
        <f t="shared" si="174"/>
        <v>0</v>
      </c>
      <c r="AE2109" s="1790">
        <v>0</v>
      </c>
      <c r="AF2109" s="1792"/>
    </row>
    <row r="2110" spans="1:32" ht="27.75" customHeight="1">
      <c r="A2110" s="1819" t="s">
        <v>3616</v>
      </c>
      <c r="B2110" s="1819" t="s">
        <v>4187</v>
      </c>
      <c r="C2110" s="1803"/>
      <c r="D2110" s="1804"/>
      <c r="E2110" s="1813"/>
      <c r="F2110" s="1811"/>
      <c r="G2110" s="1811"/>
      <c r="H2110" s="1811"/>
      <c r="I2110" s="1811"/>
      <c r="J2110" s="1811"/>
      <c r="K2110" s="1811"/>
      <c r="L2110" s="1811"/>
      <c r="M2110" s="1811"/>
      <c r="N2110" s="1811"/>
      <c r="O2110" s="1811"/>
      <c r="P2110" s="1811"/>
      <c r="Q2110" s="1814"/>
      <c r="R2110" s="1811"/>
      <c r="S2110" s="1811"/>
      <c r="T2110" s="1814"/>
      <c r="U2110" s="1812"/>
      <c r="V2110" s="1812"/>
      <c r="W2110" s="1812"/>
      <c r="X2110" s="1812"/>
      <c r="Y2110" s="1812"/>
      <c r="Z2110" s="1812"/>
      <c r="AA2110" s="1812"/>
      <c r="AB2110" s="1812"/>
      <c r="AC2110" s="1812"/>
      <c r="AD2110" s="1601">
        <f t="shared" si="174"/>
        <v>0</v>
      </c>
      <c r="AE2110" s="1790">
        <v>0</v>
      </c>
      <c r="AF2110" s="1792"/>
    </row>
    <row r="2111" spans="1:32" ht="27.75" customHeight="1">
      <c r="A2111" s="2899" t="s">
        <v>3618</v>
      </c>
      <c r="B2111" s="2901" t="s">
        <v>4188</v>
      </c>
      <c r="C2111" s="2903" t="s">
        <v>2145</v>
      </c>
      <c r="D2111" s="2905">
        <v>344.8</v>
      </c>
      <c r="E2111" s="1810" t="s">
        <v>2496</v>
      </c>
      <c r="F2111" s="1811"/>
      <c r="G2111" s="1811"/>
      <c r="H2111" s="1811"/>
      <c r="I2111" s="1811"/>
      <c r="J2111" s="1811"/>
      <c r="K2111" s="1811"/>
      <c r="L2111" s="1811"/>
      <c r="M2111" s="1811"/>
      <c r="N2111" s="1811"/>
      <c r="O2111" s="1811"/>
      <c r="P2111" s="1811"/>
      <c r="Q2111" s="1812"/>
      <c r="R2111" s="1811"/>
      <c r="S2111" s="1811"/>
      <c r="T2111" s="1812"/>
      <c r="U2111" s="1812"/>
      <c r="V2111" s="1812"/>
      <c r="W2111" s="1812"/>
      <c r="X2111" s="1812"/>
      <c r="Y2111" s="1812"/>
      <c r="Z2111" s="1812"/>
      <c r="AA2111" s="1812"/>
      <c r="AB2111" s="1585"/>
      <c r="AC2111" s="1812">
        <v>344.8</v>
      </c>
      <c r="AD2111" s="1601">
        <f t="shared" si="174"/>
        <v>344.8</v>
      </c>
      <c r="AE2111" s="1790">
        <v>0</v>
      </c>
      <c r="AF2111" s="1792"/>
    </row>
    <row r="2112" spans="1:32" ht="27.75" customHeight="1">
      <c r="A2112" s="2900" t="s">
        <v>3618</v>
      </c>
      <c r="B2112" s="2902" t="s">
        <v>3619</v>
      </c>
      <c r="C2112" s="2904" t="s">
        <v>2145</v>
      </c>
      <c r="D2112" s="2906">
        <v>344.8</v>
      </c>
      <c r="E2112" s="1603" t="s">
        <v>2497</v>
      </c>
      <c r="F2112" s="1583"/>
      <c r="G2112" s="1583"/>
      <c r="H2112" s="1583"/>
      <c r="I2112" s="1583"/>
      <c r="J2112" s="1583"/>
      <c r="K2112" s="1583"/>
      <c r="L2112" s="1583"/>
      <c r="M2112" s="1583"/>
      <c r="N2112" s="1583"/>
      <c r="O2112" s="1583"/>
      <c r="P2112" s="1583"/>
      <c r="Q2112" s="1604"/>
      <c r="R2112" s="1583"/>
      <c r="S2112" s="1583"/>
      <c r="T2112" s="1604"/>
      <c r="U2112" s="1592"/>
      <c r="V2112" s="1585"/>
      <c r="W2112" s="1585"/>
      <c r="X2112" s="1585"/>
      <c r="Y2112" s="1592"/>
      <c r="Z2112" s="1585"/>
      <c r="AA2112" s="1585"/>
      <c r="AB2112" s="1585"/>
      <c r="AC2112" s="1585"/>
      <c r="AD2112" s="1601">
        <f t="shared" si="174"/>
        <v>0</v>
      </c>
      <c r="AE2112" s="1790">
        <v>0</v>
      </c>
      <c r="AF2112" s="1792"/>
    </row>
    <row r="2113" spans="1:32" ht="27.75" customHeight="1">
      <c r="A2113" s="2899" t="s">
        <v>3620</v>
      </c>
      <c r="B2113" s="2901" t="s">
        <v>4189</v>
      </c>
      <c r="C2113" s="2903" t="s">
        <v>2145</v>
      </c>
      <c r="D2113" s="2905">
        <v>170.16</v>
      </c>
      <c r="E2113" s="1810" t="s">
        <v>2496</v>
      </c>
      <c r="F2113" s="1811"/>
      <c r="G2113" s="1811"/>
      <c r="H2113" s="1811"/>
      <c r="I2113" s="1811"/>
      <c r="J2113" s="1811"/>
      <c r="K2113" s="1811"/>
      <c r="L2113" s="1811"/>
      <c r="M2113" s="1811"/>
      <c r="N2113" s="1811"/>
      <c r="O2113" s="1811"/>
      <c r="P2113" s="1811"/>
      <c r="Q2113" s="1812"/>
      <c r="R2113" s="1811"/>
      <c r="S2113" s="1811"/>
      <c r="T2113" s="1812"/>
      <c r="U2113" s="1812"/>
      <c r="V2113" s="1812"/>
      <c r="W2113" s="1812"/>
      <c r="X2113" s="1812"/>
      <c r="Y2113" s="1812"/>
      <c r="Z2113" s="1812"/>
      <c r="AA2113" s="1812"/>
      <c r="AB2113" s="1585"/>
      <c r="AC2113" s="1812">
        <v>170.16</v>
      </c>
      <c r="AD2113" s="1601">
        <f t="shared" si="174"/>
        <v>170.16</v>
      </c>
      <c r="AE2113" s="1790">
        <v>0</v>
      </c>
      <c r="AF2113" s="1792"/>
    </row>
    <row r="2114" spans="1:32" ht="27.75" customHeight="1">
      <c r="A2114" s="2900" t="s">
        <v>3620</v>
      </c>
      <c r="B2114" s="2902" t="s">
        <v>3621</v>
      </c>
      <c r="C2114" s="2904" t="s">
        <v>2145</v>
      </c>
      <c r="D2114" s="2906">
        <v>170.16</v>
      </c>
      <c r="E2114" s="1603" t="s">
        <v>2497</v>
      </c>
      <c r="F2114" s="1583"/>
      <c r="G2114" s="1583"/>
      <c r="H2114" s="1583"/>
      <c r="I2114" s="1583"/>
      <c r="J2114" s="1583"/>
      <c r="K2114" s="1583"/>
      <c r="L2114" s="1583"/>
      <c r="M2114" s="1583"/>
      <c r="N2114" s="1583"/>
      <c r="O2114" s="1583"/>
      <c r="P2114" s="1583"/>
      <c r="Q2114" s="1604"/>
      <c r="R2114" s="1583"/>
      <c r="S2114" s="1583"/>
      <c r="T2114" s="1604"/>
      <c r="U2114" s="1592"/>
      <c r="V2114" s="1585"/>
      <c r="W2114" s="1585"/>
      <c r="X2114" s="1585"/>
      <c r="Y2114" s="1592"/>
      <c r="Z2114" s="1585"/>
      <c r="AA2114" s="1585"/>
      <c r="AB2114" s="1585"/>
      <c r="AC2114" s="1585"/>
      <c r="AD2114" s="1601">
        <f t="shared" si="174"/>
        <v>0</v>
      </c>
      <c r="AE2114" s="1790">
        <v>0</v>
      </c>
      <c r="AF2114" s="1792"/>
    </row>
    <row r="2115" spans="1:32" ht="27.75" customHeight="1">
      <c r="A2115" s="2899" t="s">
        <v>3622</v>
      </c>
      <c r="B2115" s="2901" t="s">
        <v>4190</v>
      </c>
      <c r="C2115" s="2903" t="s">
        <v>51</v>
      </c>
      <c r="D2115" s="2905">
        <v>686.06999999999994</v>
      </c>
      <c r="E2115" s="1598" t="s">
        <v>2496</v>
      </c>
      <c r="F2115" s="1583"/>
      <c r="G2115" s="1583"/>
      <c r="H2115" s="1583"/>
      <c r="I2115" s="1583"/>
      <c r="J2115" s="1583"/>
      <c r="K2115" s="1583"/>
      <c r="L2115" s="1583"/>
      <c r="M2115" s="1583"/>
      <c r="N2115" s="1583"/>
      <c r="O2115" s="1583"/>
      <c r="P2115" s="1583"/>
      <c r="Q2115" s="1585"/>
      <c r="R2115" s="1583"/>
      <c r="S2115" s="1583"/>
      <c r="T2115" s="1585"/>
      <c r="U2115" s="1585"/>
      <c r="V2115" s="1585"/>
      <c r="W2115" s="1585"/>
      <c r="X2115" s="1585"/>
      <c r="Y2115" s="1585"/>
      <c r="Z2115" s="1585"/>
      <c r="AA2115" s="1585"/>
      <c r="AB2115" s="1585"/>
      <c r="AC2115" s="1585">
        <v>686.06999999999994</v>
      </c>
      <c r="AD2115" s="1601">
        <f t="shared" si="174"/>
        <v>686.06999999999994</v>
      </c>
      <c r="AE2115" s="1790">
        <v>0</v>
      </c>
      <c r="AF2115" s="1792"/>
    </row>
    <row r="2116" spans="1:32" ht="27.75" customHeight="1">
      <c r="A2116" s="2900" t="s">
        <v>3622</v>
      </c>
      <c r="B2116" s="2902" t="s">
        <v>3623</v>
      </c>
      <c r="C2116" s="2904" t="s">
        <v>51</v>
      </c>
      <c r="D2116" s="2906">
        <v>686.06999999999994</v>
      </c>
      <c r="E2116" s="1603" t="s">
        <v>2497</v>
      </c>
      <c r="F2116" s="1583"/>
      <c r="G2116" s="1583"/>
      <c r="H2116" s="1583"/>
      <c r="I2116" s="1583"/>
      <c r="J2116" s="1583"/>
      <c r="K2116" s="1583"/>
      <c r="L2116" s="1583"/>
      <c r="M2116" s="1583"/>
      <c r="N2116" s="1583"/>
      <c r="O2116" s="1583"/>
      <c r="P2116" s="1583"/>
      <c r="Q2116" s="1604"/>
      <c r="R2116" s="1583"/>
      <c r="S2116" s="1583"/>
      <c r="T2116" s="1604"/>
      <c r="U2116" s="1585"/>
      <c r="V2116" s="1585"/>
      <c r="W2116" s="1585"/>
      <c r="X2116" s="1585"/>
      <c r="Y2116" s="1585"/>
      <c r="Z2116" s="1585"/>
      <c r="AA2116" s="1585"/>
      <c r="AB2116" s="1585"/>
      <c r="AC2116" s="1585"/>
      <c r="AD2116" s="1601">
        <f t="shared" si="174"/>
        <v>0</v>
      </c>
      <c r="AE2116" s="1790">
        <v>0</v>
      </c>
      <c r="AF2116" s="1792"/>
    </row>
    <row r="2117" spans="1:32" ht="27.75" customHeight="1">
      <c r="A2117" s="2899" t="s">
        <v>3624</v>
      </c>
      <c r="B2117" s="2901" t="s">
        <v>4191</v>
      </c>
      <c r="C2117" s="2903" t="s">
        <v>52</v>
      </c>
      <c r="D2117" s="2905">
        <v>165.06</v>
      </c>
      <c r="E2117" s="1810" t="s">
        <v>2496</v>
      </c>
      <c r="F2117" s="1811"/>
      <c r="G2117" s="1811"/>
      <c r="H2117" s="1811"/>
      <c r="I2117" s="1811"/>
      <c r="J2117" s="1811"/>
      <c r="K2117" s="1811"/>
      <c r="L2117" s="1811"/>
      <c r="M2117" s="1811"/>
      <c r="N2117" s="1811"/>
      <c r="O2117" s="1811"/>
      <c r="P2117" s="1811"/>
      <c r="Q2117" s="1812"/>
      <c r="R2117" s="1811"/>
      <c r="S2117" s="1811"/>
      <c r="T2117" s="1812"/>
      <c r="U2117" s="1812"/>
      <c r="V2117" s="1812"/>
      <c r="W2117" s="1812"/>
      <c r="X2117" s="1812"/>
      <c r="Y2117" s="1812"/>
      <c r="Z2117" s="1812"/>
      <c r="AA2117" s="1812"/>
      <c r="AB2117" s="1585"/>
      <c r="AC2117" s="1812">
        <v>165.06</v>
      </c>
      <c r="AD2117" s="1601">
        <f t="shared" si="174"/>
        <v>165.06</v>
      </c>
      <c r="AE2117" s="1790">
        <v>0</v>
      </c>
      <c r="AF2117" s="1792"/>
    </row>
    <row r="2118" spans="1:32" ht="27.75" customHeight="1">
      <c r="A2118" s="2900" t="s">
        <v>3624</v>
      </c>
      <c r="B2118" s="2902" t="s">
        <v>3625</v>
      </c>
      <c r="C2118" s="2904" t="s">
        <v>52</v>
      </c>
      <c r="D2118" s="2906">
        <v>165.06</v>
      </c>
      <c r="E2118" s="1603" t="s">
        <v>2497</v>
      </c>
      <c r="F2118" s="1583"/>
      <c r="G2118" s="1583"/>
      <c r="H2118" s="1583"/>
      <c r="I2118" s="1583"/>
      <c r="J2118" s="1583"/>
      <c r="K2118" s="1583"/>
      <c r="L2118" s="1583"/>
      <c r="M2118" s="1583"/>
      <c r="N2118" s="1583"/>
      <c r="O2118" s="1583"/>
      <c r="P2118" s="1583"/>
      <c r="Q2118" s="1604"/>
      <c r="R2118" s="1583"/>
      <c r="S2118" s="1583"/>
      <c r="T2118" s="1604"/>
      <c r="U2118" s="1592"/>
      <c r="V2118" s="1585"/>
      <c r="W2118" s="1585"/>
      <c r="X2118" s="1585"/>
      <c r="Y2118" s="1592"/>
      <c r="Z2118" s="1585"/>
      <c r="AA2118" s="1585"/>
      <c r="AB2118" s="1585"/>
      <c r="AC2118" s="1585"/>
      <c r="AD2118" s="1601">
        <f t="shared" si="174"/>
        <v>0</v>
      </c>
      <c r="AE2118" s="1790">
        <v>0</v>
      </c>
      <c r="AF2118" s="1792"/>
    </row>
    <row r="2119" spans="1:32" ht="27.75" customHeight="1">
      <c r="A2119" s="2899" t="s">
        <v>3626</v>
      </c>
      <c r="B2119" s="2901" t="s">
        <v>4192</v>
      </c>
      <c r="C2119" s="2903" t="s">
        <v>3499</v>
      </c>
      <c r="D2119" s="2905">
        <v>231.92000000000002</v>
      </c>
      <c r="E2119" s="1598" t="s">
        <v>2496</v>
      </c>
      <c r="F2119" s="1583"/>
      <c r="G2119" s="1583"/>
      <c r="H2119" s="1583"/>
      <c r="I2119" s="1583"/>
      <c r="J2119" s="1583"/>
      <c r="K2119" s="1583"/>
      <c r="L2119" s="1583"/>
      <c r="M2119" s="1583"/>
      <c r="N2119" s="1583"/>
      <c r="O2119" s="1583"/>
      <c r="P2119" s="1583"/>
      <c r="Q2119" s="1585"/>
      <c r="R2119" s="1583"/>
      <c r="S2119" s="1583"/>
      <c r="T2119" s="1585"/>
      <c r="U2119" s="1585"/>
      <c r="V2119" s="1585"/>
      <c r="W2119" s="1585"/>
      <c r="X2119" s="1585"/>
      <c r="Y2119" s="1585"/>
      <c r="Z2119" s="1585"/>
      <c r="AA2119" s="1585"/>
      <c r="AB2119" s="1585"/>
      <c r="AC2119" s="1585">
        <v>231.92000000000002</v>
      </c>
      <c r="AD2119" s="1601">
        <f t="shared" si="174"/>
        <v>231.92000000000002</v>
      </c>
      <c r="AE2119" s="1790">
        <v>0</v>
      </c>
      <c r="AF2119" s="1792"/>
    </row>
    <row r="2120" spans="1:32" ht="27.75" customHeight="1">
      <c r="A2120" s="2900" t="s">
        <v>3626</v>
      </c>
      <c r="B2120" s="2902" t="s">
        <v>3627</v>
      </c>
      <c r="C2120" s="2904" t="s">
        <v>3499</v>
      </c>
      <c r="D2120" s="2906">
        <v>231.92000000000002</v>
      </c>
      <c r="E2120" s="1603" t="s">
        <v>2497</v>
      </c>
      <c r="F2120" s="1583"/>
      <c r="G2120" s="1583"/>
      <c r="H2120" s="1583"/>
      <c r="I2120" s="1583"/>
      <c r="J2120" s="1583"/>
      <c r="K2120" s="1583"/>
      <c r="L2120" s="1583"/>
      <c r="M2120" s="1583"/>
      <c r="N2120" s="1583"/>
      <c r="O2120" s="1583"/>
      <c r="P2120" s="1583"/>
      <c r="Q2120" s="1604"/>
      <c r="R2120" s="1583"/>
      <c r="S2120" s="1583"/>
      <c r="T2120" s="1604"/>
      <c r="U2120" s="1585"/>
      <c r="V2120" s="1585"/>
      <c r="W2120" s="1585"/>
      <c r="X2120" s="1585"/>
      <c r="Y2120" s="1585"/>
      <c r="Z2120" s="1585"/>
      <c r="AA2120" s="1585"/>
      <c r="AB2120" s="1585"/>
      <c r="AC2120" s="1585"/>
      <c r="AD2120" s="1601">
        <f t="shared" si="174"/>
        <v>0</v>
      </c>
      <c r="AE2120" s="1790">
        <v>0</v>
      </c>
      <c r="AF2120" s="1792"/>
    </row>
    <row r="2121" spans="1:32" ht="27.75" customHeight="1">
      <c r="A2121" s="2899" t="s">
        <v>3628</v>
      </c>
      <c r="B2121" s="2901" t="s">
        <v>4193</v>
      </c>
      <c r="C2121" s="2903" t="s">
        <v>3499</v>
      </c>
      <c r="D2121" s="2905">
        <v>116.48</v>
      </c>
      <c r="E2121" s="1810" t="s">
        <v>2496</v>
      </c>
      <c r="F2121" s="1811"/>
      <c r="G2121" s="1811"/>
      <c r="H2121" s="1811"/>
      <c r="I2121" s="1811"/>
      <c r="J2121" s="1811"/>
      <c r="K2121" s="1811"/>
      <c r="L2121" s="1811"/>
      <c r="M2121" s="1811"/>
      <c r="N2121" s="1811"/>
      <c r="O2121" s="1811"/>
      <c r="P2121" s="1811"/>
      <c r="Q2121" s="1812"/>
      <c r="R2121" s="1811"/>
      <c r="S2121" s="1811"/>
      <c r="T2121" s="1812"/>
      <c r="U2121" s="1812"/>
      <c r="V2121" s="1812"/>
      <c r="W2121" s="1812"/>
      <c r="X2121" s="1812"/>
      <c r="Y2121" s="1812"/>
      <c r="Z2121" s="1812"/>
      <c r="AA2121" s="1812"/>
      <c r="AB2121" s="1585"/>
      <c r="AC2121" s="1812">
        <v>116.48</v>
      </c>
      <c r="AD2121" s="1601">
        <f t="shared" si="174"/>
        <v>116.48</v>
      </c>
      <c r="AE2121" s="1790">
        <v>0</v>
      </c>
      <c r="AF2121" s="1792"/>
    </row>
    <row r="2122" spans="1:32" ht="27.75" customHeight="1">
      <c r="A2122" s="2900" t="s">
        <v>3628</v>
      </c>
      <c r="B2122" s="2902" t="s">
        <v>3629</v>
      </c>
      <c r="C2122" s="2904" t="s">
        <v>3499</v>
      </c>
      <c r="D2122" s="2906">
        <v>116.48</v>
      </c>
      <c r="E2122" s="1603" t="s">
        <v>2497</v>
      </c>
      <c r="F2122" s="1583"/>
      <c r="G2122" s="1583"/>
      <c r="H2122" s="1583"/>
      <c r="I2122" s="1583"/>
      <c r="J2122" s="1583"/>
      <c r="K2122" s="1583"/>
      <c r="L2122" s="1583"/>
      <c r="M2122" s="1583"/>
      <c r="N2122" s="1583"/>
      <c r="O2122" s="1583"/>
      <c r="P2122" s="1583"/>
      <c r="Q2122" s="1604"/>
      <c r="R2122" s="1583"/>
      <c r="S2122" s="1583"/>
      <c r="T2122" s="1604"/>
      <c r="U2122" s="1592"/>
      <c r="V2122" s="1585"/>
      <c r="W2122" s="1585"/>
      <c r="X2122" s="1585"/>
      <c r="Y2122" s="1592"/>
      <c r="Z2122" s="1585"/>
      <c r="AA2122" s="1585"/>
      <c r="AB2122" s="1585"/>
      <c r="AC2122" s="1585"/>
      <c r="AD2122" s="1601">
        <f t="shared" si="174"/>
        <v>0</v>
      </c>
      <c r="AE2122" s="1790">
        <v>0</v>
      </c>
      <c r="AF2122" s="1792"/>
    </row>
    <row r="2123" spans="1:32" ht="27.75" customHeight="1">
      <c r="A2123" s="2899" t="s">
        <v>3630</v>
      </c>
      <c r="B2123" s="2901" t="s">
        <v>4194</v>
      </c>
      <c r="C2123" s="2903" t="s">
        <v>3499</v>
      </c>
      <c r="D2123" s="2905">
        <v>353.77</v>
      </c>
      <c r="E2123" s="1810" t="s">
        <v>2496</v>
      </c>
      <c r="F2123" s="1811"/>
      <c r="G2123" s="1811"/>
      <c r="H2123" s="1811"/>
      <c r="I2123" s="1811"/>
      <c r="J2123" s="1811"/>
      <c r="K2123" s="1811"/>
      <c r="L2123" s="1811"/>
      <c r="M2123" s="1811"/>
      <c r="N2123" s="1811"/>
      <c r="O2123" s="1811"/>
      <c r="P2123" s="1811"/>
      <c r="Q2123" s="1812"/>
      <c r="R2123" s="1811"/>
      <c r="S2123" s="1811"/>
      <c r="T2123" s="1812"/>
      <c r="U2123" s="1812"/>
      <c r="V2123" s="1812"/>
      <c r="W2123" s="1812"/>
      <c r="X2123" s="1812"/>
      <c r="Y2123" s="1812"/>
      <c r="Z2123" s="1812"/>
      <c r="AA2123" s="1812"/>
      <c r="AB2123" s="1585"/>
      <c r="AC2123" s="1812">
        <v>353.77</v>
      </c>
      <c r="AD2123" s="1601">
        <f t="shared" si="174"/>
        <v>353.77</v>
      </c>
      <c r="AE2123" s="1790">
        <v>0</v>
      </c>
      <c r="AF2123" s="1792"/>
    </row>
    <row r="2124" spans="1:32" ht="27.75" customHeight="1">
      <c r="A2124" s="2900" t="s">
        <v>3630</v>
      </c>
      <c r="B2124" s="2902" t="s">
        <v>3631</v>
      </c>
      <c r="C2124" s="2904" t="s">
        <v>3499</v>
      </c>
      <c r="D2124" s="2906">
        <v>353.77</v>
      </c>
      <c r="E2124" s="1603" t="s">
        <v>2497</v>
      </c>
      <c r="F2124" s="1583"/>
      <c r="G2124" s="1583"/>
      <c r="H2124" s="1583"/>
      <c r="I2124" s="1583"/>
      <c r="J2124" s="1583"/>
      <c r="K2124" s="1583"/>
      <c r="L2124" s="1583"/>
      <c r="M2124" s="1583"/>
      <c r="N2124" s="1583"/>
      <c r="O2124" s="1583"/>
      <c r="P2124" s="1583"/>
      <c r="Q2124" s="1604"/>
      <c r="R2124" s="1583"/>
      <c r="S2124" s="1583"/>
      <c r="T2124" s="1604"/>
      <c r="U2124" s="1592"/>
      <c r="V2124" s="1585"/>
      <c r="W2124" s="1585"/>
      <c r="X2124" s="1585"/>
      <c r="Y2124" s="1592"/>
      <c r="Z2124" s="1585"/>
      <c r="AA2124" s="1585"/>
      <c r="AB2124" s="1585"/>
      <c r="AC2124" s="1585"/>
      <c r="AD2124" s="1601">
        <f t="shared" si="174"/>
        <v>0</v>
      </c>
      <c r="AE2124" s="1790">
        <v>0</v>
      </c>
      <c r="AF2124" s="1792"/>
    </row>
    <row r="2125" spans="1:32" ht="27.75" customHeight="1">
      <c r="A2125" s="2899" t="s">
        <v>3632</v>
      </c>
      <c r="B2125" s="2901" t="s">
        <v>4195</v>
      </c>
      <c r="C2125" s="2903" t="s">
        <v>3499</v>
      </c>
      <c r="D2125" s="2905">
        <v>109.23000000000002</v>
      </c>
      <c r="E2125" s="1810" t="s">
        <v>2496</v>
      </c>
      <c r="F2125" s="1811"/>
      <c r="G2125" s="1811"/>
      <c r="H2125" s="1811"/>
      <c r="I2125" s="1811"/>
      <c r="J2125" s="1811"/>
      <c r="K2125" s="1811"/>
      <c r="L2125" s="1811"/>
      <c r="M2125" s="1811"/>
      <c r="N2125" s="1811"/>
      <c r="O2125" s="1811"/>
      <c r="P2125" s="1811"/>
      <c r="Q2125" s="1812"/>
      <c r="R2125" s="1811"/>
      <c r="S2125" s="1811"/>
      <c r="T2125" s="1812"/>
      <c r="U2125" s="1812"/>
      <c r="V2125" s="1812"/>
      <c r="W2125" s="1812"/>
      <c r="X2125" s="1812"/>
      <c r="Y2125" s="1812"/>
      <c r="Z2125" s="1812"/>
      <c r="AA2125" s="1812"/>
      <c r="AB2125" s="1585"/>
      <c r="AC2125" s="1812">
        <v>109.23000000000002</v>
      </c>
      <c r="AD2125" s="1601">
        <f t="shared" si="174"/>
        <v>109.23000000000002</v>
      </c>
      <c r="AE2125" s="1790">
        <v>0</v>
      </c>
      <c r="AF2125" s="1792"/>
    </row>
    <row r="2126" spans="1:32" ht="27.75" customHeight="1">
      <c r="A2126" s="2900" t="s">
        <v>3632</v>
      </c>
      <c r="B2126" s="2902" t="s">
        <v>3633</v>
      </c>
      <c r="C2126" s="2904" t="s">
        <v>3499</v>
      </c>
      <c r="D2126" s="2906">
        <v>109.23000000000002</v>
      </c>
      <c r="E2126" s="1603" t="s">
        <v>2497</v>
      </c>
      <c r="F2126" s="1583"/>
      <c r="G2126" s="1583"/>
      <c r="H2126" s="1583"/>
      <c r="I2126" s="1583"/>
      <c r="J2126" s="1583"/>
      <c r="K2126" s="1583"/>
      <c r="L2126" s="1583"/>
      <c r="M2126" s="1583"/>
      <c r="N2126" s="1583"/>
      <c r="O2126" s="1583"/>
      <c r="P2126" s="1583"/>
      <c r="Q2126" s="1604"/>
      <c r="R2126" s="1583"/>
      <c r="S2126" s="1583"/>
      <c r="T2126" s="1604"/>
      <c r="U2126" s="1592"/>
      <c r="V2126" s="1585"/>
      <c r="W2126" s="1585"/>
      <c r="X2126" s="1585"/>
      <c r="Y2126" s="1592"/>
      <c r="Z2126" s="1585"/>
      <c r="AA2126" s="1585"/>
      <c r="AB2126" s="1585"/>
      <c r="AC2126" s="1585"/>
      <c r="AD2126" s="1601">
        <f t="shared" si="174"/>
        <v>0</v>
      </c>
      <c r="AE2126" s="1790">
        <v>0</v>
      </c>
      <c r="AF2126" s="1792"/>
    </row>
    <row r="2127" spans="1:32" ht="27.75" customHeight="1">
      <c r="A2127" s="2899" t="s">
        <v>3634</v>
      </c>
      <c r="B2127" s="2901" t="s">
        <v>4196</v>
      </c>
      <c r="C2127" s="2903" t="s">
        <v>49</v>
      </c>
      <c r="D2127" s="2905">
        <v>459.11040000000008</v>
      </c>
      <c r="E2127" s="1598" t="s">
        <v>2496</v>
      </c>
      <c r="F2127" s="1583"/>
      <c r="G2127" s="1583"/>
      <c r="H2127" s="1583"/>
      <c r="I2127" s="1583"/>
      <c r="J2127" s="1583"/>
      <c r="K2127" s="1583"/>
      <c r="L2127" s="1583"/>
      <c r="M2127" s="1583"/>
      <c r="N2127" s="1583"/>
      <c r="O2127" s="1583"/>
      <c r="P2127" s="1583"/>
      <c r="Q2127" s="1585"/>
      <c r="R2127" s="1583"/>
      <c r="S2127" s="1583"/>
      <c r="T2127" s="1585"/>
      <c r="U2127" s="1585"/>
      <c r="V2127" s="1585"/>
      <c r="W2127" s="1585"/>
      <c r="X2127" s="1585"/>
      <c r="Y2127" s="1585"/>
      <c r="Z2127" s="1585"/>
      <c r="AA2127" s="1585"/>
      <c r="AB2127" s="1585"/>
      <c r="AC2127" s="1585">
        <v>459.11040000000008</v>
      </c>
      <c r="AD2127" s="1601">
        <f t="shared" si="174"/>
        <v>459.11040000000008</v>
      </c>
      <c r="AE2127" s="1790">
        <v>0</v>
      </c>
      <c r="AF2127" s="1792"/>
    </row>
    <row r="2128" spans="1:32" ht="27.75" customHeight="1">
      <c r="A2128" s="2900" t="s">
        <v>3634</v>
      </c>
      <c r="B2128" s="2902" t="s">
        <v>3635</v>
      </c>
      <c r="C2128" s="2904" t="s">
        <v>49</v>
      </c>
      <c r="D2128" s="2906">
        <v>459.11040000000008</v>
      </c>
      <c r="E2128" s="1603" t="s">
        <v>2497</v>
      </c>
      <c r="F2128" s="1583"/>
      <c r="G2128" s="1583"/>
      <c r="H2128" s="1583"/>
      <c r="I2128" s="1583"/>
      <c r="J2128" s="1583"/>
      <c r="K2128" s="1583"/>
      <c r="L2128" s="1583"/>
      <c r="M2128" s="1583"/>
      <c r="N2128" s="1583"/>
      <c r="O2128" s="1583"/>
      <c r="P2128" s="1583"/>
      <c r="Q2128" s="1604"/>
      <c r="R2128" s="1583"/>
      <c r="S2128" s="1583"/>
      <c r="T2128" s="1604"/>
      <c r="U2128" s="1585"/>
      <c r="V2128" s="1585"/>
      <c r="W2128" s="1585"/>
      <c r="X2128" s="1585"/>
      <c r="Y2128" s="1585"/>
      <c r="Z2128" s="1585"/>
      <c r="AA2128" s="1585"/>
      <c r="AB2128" s="1585"/>
      <c r="AC2128" s="1585"/>
      <c r="AD2128" s="1601">
        <f t="shared" si="174"/>
        <v>0</v>
      </c>
      <c r="AE2128" s="1790">
        <v>0</v>
      </c>
      <c r="AF2128" s="1792"/>
    </row>
    <row r="2129" spans="1:32" ht="27.75" customHeight="1">
      <c r="A2129" s="2899" t="s">
        <v>3636</v>
      </c>
      <c r="B2129" s="2901" t="s">
        <v>4197</v>
      </c>
      <c r="C2129" s="2903" t="s">
        <v>49</v>
      </c>
      <c r="D2129" s="2905">
        <v>3249.8284000000003</v>
      </c>
      <c r="E2129" s="1810" t="s">
        <v>2496</v>
      </c>
      <c r="F2129" s="1811"/>
      <c r="G2129" s="1811"/>
      <c r="H2129" s="1811"/>
      <c r="I2129" s="1811"/>
      <c r="J2129" s="1811"/>
      <c r="K2129" s="1811"/>
      <c r="L2129" s="1811"/>
      <c r="M2129" s="1811"/>
      <c r="N2129" s="1811"/>
      <c r="O2129" s="1811"/>
      <c r="P2129" s="1811"/>
      <c r="Q2129" s="1812"/>
      <c r="R2129" s="1811"/>
      <c r="S2129" s="1811"/>
      <c r="T2129" s="1812"/>
      <c r="U2129" s="1812"/>
      <c r="V2129" s="1812"/>
      <c r="W2129" s="1812"/>
      <c r="X2129" s="1812"/>
      <c r="Y2129" s="1812"/>
      <c r="Z2129" s="1812"/>
      <c r="AA2129" s="1812"/>
      <c r="AB2129" s="1585"/>
      <c r="AC2129" s="1812">
        <v>3249.8284000000003</v>
      </c>
      <c r="AD2129" s="1601">
        <f t="shared" ref="AD2129:AD2192" si="175">SUM(F2129:AC2129)</f>
        <v>3249.8284000000003</v>
      </c>
      <c r="AE2129" s="1790">
        <v>0</v>
      </c>
      <c r="AF2129" s="1792"/>
    </row>
    <row r="2130" spans="1:32" ht="27.75" customHeight="1">
      <c r="A2130" s="2900" t="s">
        <v>3636</v>
      </c>
      <c r="B2130" s="2902" t="s">
        <v>3637</v>
      </c>
      <c r="C2130" s="2904" t="s">
        <v>49</v>
      </c>
      <c r="D2130" s="2906">
        <v>3249.8284000000003</v>
      </c>
      <c r="E2130" s="1603" t="s">
        <v>2497</v>
      </c>
      <c r="F2130" s="1583"/>
      <c r="G2130" s="1583"/>
      <c r="H2130" s="1583"/>
      <c r="I2130" s="1583"/>
      <c r="J2130" s="1583"/>
      <c r="K2130" s="1583"/>
      <c r="L2130" s="1583"/>
      <c r="M2130" s="1583"/>
      <c r="N2130" s="1583"/>
      <c r="O2130" s="1583"/>
      <c r="P2130" s="1583"/>
      <c r="Q2130" s="1604"/>
      <c r="R2130" s="1583"/>
      <c r="S2130" s="1583"/>
      <c r="T2130" s="1604"/>
      <c r="U2130" s="1592"/>
      <c r="V2130" s="1585"/>
      <c r="W2130" s="1585"/>
      <c r="X2130" s="1585"/>
      <c r="Y2130" s="1592"/>
      <c r="Z2130" s="1585"/>
      <c r="AA2130" s="1585"/>
      <c r="AB2130" s="1585"/>
      <c r="AC2130" s="1585"/>
      <c r="AD2130" s="1601">
        <f t="shared" si="175"/>
        <v>0</v>
      </c>
      <c r="AE2130" s="1790">
        <v>0</v>
      </c>
      <c r="AF2130" s="1792"/>
    </row>
    <row r="2131" spans="1:32" ht="27.75" customHeight="1">
      <c r="A2131" s="1817" t="s">
        <v>39</v>
      </c>
      <c r="B2131" s="1818" t="s">
        <v>3638</v>
      </c>
      <c r="C2131" s="1625"/>
      <c r="D2131" s="1597"/>
      <c r="E2131" s="1813"/>
      <c r="F2131" s="1811"/>
      <c r="G2131" s="1811"/>
      <c r="H2131" s="1811"/>
      <c r="I2131" s="1811"/>
      <c r="J2131" s="1811"/>
      <c r="K2131" s="1811"/>
      <c r="L2131" s="1811"/>
      <c r="M2131" s="1811"/>
      <c r="N2131" s="1811"/>
      <c r="O2131" s="1811"/>
      <c r="P2131" s="1811"/>
      <c r="Q2131" s="1814"/>
      <c r="R2131" s="1811"/>
      <c r="S2131" s="1811"/>
      <c r="T2131" s="1814"/>
      <c r="U2131" s="1816"/>
      <c r="V2131" s="1812"/>
      <c r="W2131" s="1812"/>
      <c r="X2131" s="1812"/>
      <c r="Y2131" s="1816"/>
      <c r="Z2131" s="1812"/>
      <c r="AA2131" s="1812"/>
      <c r="AB2131" s="1812"/>
      <c r="AC2131" s="1812"/>
      <c r="AD2131" s="1601">
        <f t="shared" si="175"/>
        <v>0</v>
      </c>
      <c r="AE2131" s="1790">
        <v>0</v>
      </c>
      <c r="AF2131" s="1792"/>
    </row>
    <row r="2132" spans="1:32" ht="27.75" customHeight="1">
      <c r="A2132" s="1647" t="s">
        <v>3639</v>
      </c>
      <c r="B2132" s="1647" t="s">
        <v>4198</v>
      </c>
      <c r="C2132" s="1625"/>
      <c r="D2132" s="1597"/>
      <c r="E2132" s="1813"/>
      <c r="F2132" s="1811"/>
      <c r="G2132" s="1811"/>
      <c r="H2132" s="1811"/>
      <c r="I2132" s="1811"/>
      <c r="J2132" s="1811"/>
      <c r="K2132" s="1811"/>
      <c r="L2132" s="1811"/>
      <c r="M2132" s="1811"/>
      <c r="N2132" s="1811"/>
      <c r="O2132" s="1811"/>
      <c r="P2132" s="1811"/>
      <c r="Q2132" s="1814"/>
      <c r="R2132" s="1811"/>
      <c r="S2132" s="1811"/>
      <c r="T2132" s="1814"/>
      <c r="U2132" s="1816"/>
      <c r="V2132" s="1812"/>
      <c r="W2132" s="1812"/>
      <c r="X2132" s="1812"/>
      <c r="Y2132" s="1816"/>
      <c r="Z2132" s="1812"/>
      <c r="AA2132" s="1812"/>
      <c r="AB2132" s="1812"/>
      <c r="AC2132" s="1812"/>
      <c r="AD2132" s="1601">
        <f t="shared" si="175"/>
        <v>0</v>
      </c>
      <c r="AE2132" s="1790">
        <v>0</v>
      </c>
      <c r="AF2132" s="1792"/>
    </row>
    <row r="2133" spans="1:32" ht="27.75" customHeight="1">
      <c r="A2133" s="2899" t="s">
        <v>3641</v>
      </c>
      <c r="B2133" s="2901" t="s">
        <v>4199</v>
      </c>
      <c r="C2133" s="2903" t="s">
        <v>52</v>
      </c>
      <c r="D2133" s="2905">
        <v>4212.6000000000004</v>
      </c>
      <c r="E2133" s="1810" t="s">
        <v>2496</v>
      </c>
      <c r="F2133" s="1811"/>
      <c r="G2133" s="1811"/>
      <c r="H2133" s="1811"/>
      <c r="I2133" s="1811"/>
      <c r="J2133" s="1811"/>
      <c r="K2133" s="1811"/>
      <c r="L2133" s="1811"/>
      <c r="M2133" s="1811"/>
      <c r="N2133" s="1811"/>
      <c r="O2133" s="1811"/>
      <c r="P2133" s="1811"/>
      <c r="Q2133" s="1812"/>
      <c r="R2133" s="1811"/>
      <c r="S2133" s="1811"/>
      <c r="T2133" s="1812"/>
      <c r="U2133" s="1812"/>
      <c r="V2133" s="1812"/>
      <c r="W2133" s="1812"/>
      <c r="X2133" s="1812"/>
      <c r="Y2133" s="1812"/>
      <c r="Z2133" s="1812"/>
      <c r="AA2133" s="1812"/>
      <c r="AB2133" s="1585"/>
      <c r="AC2133" s="1812">
        <v>4212.6000000000004</v>
      </c>
      <c r="AD2133" s="1601">
        <f t="shared" si="175"/>
        <v>4212.6000000000004</v>
      </c>
      <c r="AE2133" s="1790">
        <v>0</v>
      </c>
      <c r="AF2133" s="1792"/>
    </row>
    <row r="2134" spans="1:32" ht="27.75" customHeight="1">
      <c r="A2134" s="2900" t="s">
        <v>3641</v>
      </c>
      <c r="B2134" s="2902" t="s">
        <v>3642</v>
      </c>
      <c r="C2134" s="2904" t="s">
        <v>52</v>
      </c>
      <c r="D2134" s="2906">
        <v>4212.6000000000004</v>
      </c>
      <c r="E2134" s="1603" t="s">
        <v>2497</v>
      </c>
      <c r="F2134" s="1583"/>
      <c r="G2134" s="1583"/>
      <c r="H2134" s="1583"/>
      <c r="I2134" s="1583"/>
      <c r="J2134" s="1583"/>
      <c r="K2134" s="1583"/>
      <c r="L2134" s="1583"/>
      <c r="M2134" s="1583"/>
      <c r="N2134" s="1583"/>
      <c r="O2134" s="1583"/>
      <c r="P2134" s="1583"/>
      <c r="Q2134" s="1604"/>
      <c r="R2134" s="1583"/>
      <c r="S2134" s="1583"/>
      <c r="T2134" s="1604"/>
      <c r="U2134" s="1592"/>
      <c r="V2134" s="1585"/>
      <c r="W2134" s="1585"/>
      <c r="X2134" s="1585"/>
      <c r="Y2134" s="1592"/>
      <c r="Z2134" s="1585"/>
      <c r="AA2134" s="1585"/>
      <c r="AB2134" s="1585"/>
      <c r="AC2134" s="1585"/>
      <c r="AD2134" s="1601">
        <f t="shared" si="175"/>
        <v>0</v>
      </c>
      <c r="AE2134" s="1790">
        <v>0</v>
      </c>
      <c r="AF2134" s="1792"/>
    </row>
    <row r="2135" spans="1:32" ht="27.75" customHeight="1">
      <c r="A2135" s="1647" t="s">
        <v>3643</v>
      </c>
      <c r="B2135" s="1647" t="s">
        <v>4200</v>
      </c>
      <c r="C2135" s="1625"/>
      <c r="D2135" s="1597"/>
      <c r="E2135" s="1599"/>
      <c r="F2135" s="1583"/>
      <c r="G2135" s="1583"/>
      <c r="H2135" s="1583"/>
      <c r="I2135" s="1583"/>
      <c r="J2135" s="1583"/>
      <c r="K2135" s="1583"/>
      <c r="L2135" s="1583"/>
      <c r="M2135" s="1583"/>
      <c r="N2135" s="1583"/>
      <c r="O2135" s="1583"/>
      <c r="P2135" s="1583"/>
      <c r="Q2135" s="1604"/>
      <c r="R2135" s="1583"/>
      <c r="S2135" s="1583"/>
      <c r="T2135" s="1604"/>
      <c r="U2135" s="1592"/>
      <c r="V2135" s="1585"/>
      <c r="W2135" s="1585"/>
      <c r="X2135" s="1585"/>
      <c r="Y2135" s="1592"/>
      <c r="Z2135" s="1585"/>
      <c r="AA2135" s="1585"/>
      <c r="AB2135" s="1585"/>
      <c r="AC2135" s="1585"/>
      <c r="AD2135" s="1601">
        <f t="shared" si="175"/>
        <v>0</v>
      </c>
      <c r="AE2135" s="1790">
        <v>0</v>
      </c>
      <c r="AF2135" s="1792"/>
    </row>
    <row r="2136" spans="1:32" ht="27.75" customHeight="1">
      <c r="A2136" s="1795" t="s">
        <v>3645</v>
      </c>
      <c r="B2136" s="1795" t="s">
        <v>1977</v>
      </c>
      <c r="C2136" s="1625"/>
      <c r="D2136" s="1597"/>
      <c r="E2136" s="1599"/>
      <c r="F2136" s="1583"/>
      <c r="G2136" s="1583"/>
      <c r="H2136" s="1583"/>
      <c r="I2136" s="1583"/>
      <c r="J2136" s="1583"/>
      <c r="K2136" s="1583"/>
      <c r="L2136" s="1583"/>
      <c r="M2136" s="1583"/>
      <c r="N2136" s="1583"/>
      <c r="O2136" s="1583"/>
      <c r="P2136" s="1583"/>
      <c r="Q2136" s="1604"/>
      <c r="R2136" s="1583"/>
      <c r="S2136" s="1583"/>
      <c r="T2136" s="1604"/>
      <c r="U2136" s="1592"/>
      <c r="V2136" s="1585"/>
      <c r="W2136" s="1585"/>
      <c r="X2136" s="1585"/>
      <c r="Y2136" s="1592"/>
      <c r="Z2136" s="1585"/>
      <c r="AA2136" s="1585"/>
      <c r="AB2136" s="1585"/>
      <c r="AC2136" s="1585"/>
      <c r="AD2136" s="1601">
        <f t="shared" si="175"/>
        <v>0</v>
      </c>
      <c r="AE2136" s="1790">
        <v>0</v>
      </c>
      <c r="AF2136" s="1792"/>
    </row>
    <row r="2137" spans="1:32" ht="27.75" customHeight="1">
      <c r="A2137" s="2899" t="s">
        <v>3647</v>
      </c>
      <c r="B2137" s="2901" t="s">
        <v>4201</v>
      </c>
      <c r="C2137" s="2903" t="s">
        <v>51</v>
      </c>
      <c r="D2137" s="2905">
        <v>830.7</v>
      </c>
      <c r="E2137" s="1598" t="s">
        <v>2496</v>
      </c>
      <c r="F2137" s="1583"/>
      <c r="G2137" s="1583"/>
      <c r="H2137" s="1583"/>
      <c r="I2137" s="1583"/>
      <c r="J2137" s="1583"/>
      <c r="K2137" s="1583"/>
      <c r="L2137" s="1583"/>
      <c r="M2137" s="1583"/>
      <c r="N2137" s="1583"/>
      <c r="O2137" s="1583"/>
      <c r="P2137" s="1583"/>
      <c r="Q2137" s="1585"/>
      <c r="R2137" s="1583"/>
      <c r="S2137" s="1583"/>
      <c r="T2137" s="1585"/>
      <c r="U2137" s="1585"/>
      <c r="V2137" s="1585"/>
      <c r="W2137" s="1585"/>
      <c r="X2137" s="1585"/>
      <c r="Y2137" s="1585"/>
      <c r="Z2137" s="1585"/>
      <c r="AA2137" s="1585"/>
      <c r="AB2137" s="1585"/>
      <c r="AC2137" s="1585">
        <v>830.7</v>
      </c>
      <c r="AD2137" s="1601">
        <f t="shared" si="175"/>
        <v>830.7</v>
      </c>
      <c r="AE2137" s="1790">
        <v>0</v>
      </c>
      <c r="AF2137" s="1792"/>
    </row>
    <row r="2138" spans="1:32" ht="27.75" customHeight="1">
      <c r="A2138" s="2900" t="s">
        <v>3647</v>
      </c>
      <c r="B2138" s="2902" t="s">
        <v>3648</v>
      </c>
      <c r="C2138" s="2904" t="s">
        <v>51</v>
      </c>
      <c r="D2138" s="2906">
        <v>830.7</v>
      </c>
      <c r="E2138" s="1603" t="s">
        <v>2497</v>
      </c>
      <c r="F2138" s="1583"/>
      <c r="G2138" s="1583"/>
      <c r="H2138" s="1583"/>
      <c r="I2138" s="1583"/>
      <c r="J2138" s="1583"/>
      <c r="K2138" s="1583"/>
      <c r="L2138" s="1583"/>
      <c r="M2138" s="1583"/>
      <c r="N2138" s="1583"/>
      <c r="O2138" s="1583"/>
      <c r="P2138" s="1583"/>
      <c r="Q2138" s="1604"/>
      <c r="R2138" s="1583"/>
      <c r="S2138" s="1583"/>
      <c r="T2138" s="1604"/>
      <c r="U2138" s="1585"/>
      <c r="V2138" s="1585"/>
      <c r="W2138" s="1585"/>
      <c r="X2138" s="1585"/>
      <c r="Y2138" s="1585"/>
      <c r="Z2138" s="1585"/>
      <c r="AA2138" s="1585"/>
      <c r="AB2138" s="1585"/>
      <c r="AC2138" s="1585"/>
      <c r="AD2138" s="1601">
        <f t="shared" si="175"/>
        <v>0</v>
      </c>
      <c r="AE2138" s="1790">
        <v>0</v>
      </c>
      <c r="AF2138" s="1792"/>
    </row>
    <row r="2139" spans="1:32" ht="27.75" customHeight="1">
      <c r="A2139" s="2899" t="s">
        <v>3649</v>
      </c>
      <c r="B2139" s="2901" t="s">
        <v>1979</v>
      </c>
      <c r="C2139" s="2903" t="s">
        <v>51</v>
      </c>
      <c r="D2139" s="2905">
        <v>10641.45</v>
      </c>
      <c r="E2139" s="1810" t="s">
        <v>2496</v>
      </c>
      <c r="F2139" s="1811"/>
      <c r="G2139" s="1811"/>
      <c r="H2139" s="1811"/>
      <c r="I2139" s="1811"/>
      <c r="J2139" s="1811"/>
      <c r="K2139" s="1811"/>
      <c r="L2139" s="1811"/>
      <c r="M2139" s="1811"/>
      <c r="N2139" s="1811"/>
      <c r="O2139" s="1811"/>
      <c r="P2139" s="1811"/>
      <c r="Q2139" s="1812"/>
      <c r="R2139" s="1811"/>
      <c r="S2139" s="1811"/>
      <c r="T2139" s="1812"/>
      <c r="U2139" s="1812"/>
      <c r="V2139" s="1812"/>
      <c r="W2139" s="1812"/>
      <c r="X2139" s="1812"/>
      <c r="Y2139" s="1812"/>
      <c r="Z2139" s="1812"/>
      <c r="AA2139" s="1812"/>
      <c r="AB2139" s="1585"/>
      <c r="AC2139" s="1812">
        <v>10641.45</v>
      </c>
      <c r="AD2139" s="1601">
        <f t="shared" si="175"/>
        <v>10641.45</v>
      </c>
      <c r="AE2139" s="1790">
        <v>0</v>
      </c>
      <c r="AF2139" s="1792"/>
    </row>
    <row r="2140" spans="1:32" ht="27.75" customHeight="1">
      <c r="A2140" s="2900" t="s">
        <v>3649</v>
      </c>
      <c r="B2140" s="2902" t="s">
        <v>3650</v>
      </c>
      <c r="C2140" s="2904" t="s">
        <v>51</v>
      </c>
      <c r="D2140" s="2906">
        <v>10641.45</v>
      </c>
      <c r="E2140" s="1603" t="s">
        <v>2497</v>
      </c>
      <c r="F2140" s="1583"/>
      <c r="G2140" s="1583"/>
      <c r="H2140" s="1583"/>
      <c r="I2140" s="1583"/>
      <c r="J2140" s="1583"/>
      <c r="K2140" s="1583"/>
      <c r="L2140" s="1583"/>
      <c r="M2140" s="1583"/>
      <c r="N2140" s="1583"/>
      <c r="O2140" s="1583"/>
      <c r="P2140" s="1583"/>
      <c r="Q2140" s="1604"/>
      <c r="R2140" s="1583"/>
      <c r="S2140" s="1583"/>
      <c r="T2140" s="1604"/>
      <c r="U2140" s="1592"/>
      <c r="V2140" s="1585"/>
      <c r="W2140" s="1585"/>
      <c r="X2140" s="1585"/>
      <c r="Y2140" s="1592"/>
      <c r="Z2140" s="1585"/>
      <c r="AA2140" s="1585"/>
      <c r="AB2140" s="1585"/>
      <c r="AC2140" s="1585"/>
      <c r="AD2140" s="1601">
        <f t="shared" si="175"/>
        <v>0</v>
      </c>
      <c r="AE2140" s="1790">
        <v>0</v>
      </c>
      <c r="AF2140" s="1792"/>
    </row>
    <row r="2141" spans="1:32" ht="27.75" customHeight="1">
      <c r="A2141" s="1795" t="s">
        <v>3651</v>
      </c>
      <c r="B2141" s="1795" t="s">
        <v>1980</v>
      </c>
      <c r="C2141" s="1803"/>
      <c r="D2141" s="1804"/>
      <c r="E2141" s="1813"/>
      <c r="F2141" s="1811"/>
      <c r="G2141" s="1811"/>
      <c r="H2141" s="1811"/>
      <c r="I2141" s="1811"/>
      <c r="J2141" s="1811"/>
      <c r="K2141" s="1811"/>
      <c r="L2141" s="1811"/>
      <c r="M2141" s="1811"/>
      <c r="N2141" s="1811"/>
      <c r="O2141" s="1811"/>
      <c r="P2141" s="1811"/>
      <c r="Q2141" s="1814"/>
      <c r="R2141" s="1811"/>
      <c r="S2141" s="1811"/>
      <c r="T2141" s="1814"/>
      <c r="U2141" s="1816"/>
      <c r="V2141" s="1812"/>
      <c r="W2141" s="1812"/>
      <c r="X2141" s="1812"/>
      <c r="Y2141" s="1816"/>
      <c r="Z2141" s="1812"/>
      <c r="AA2141" s="1812"/>
      <c r="AB2141" s="1812"/>
      <c r="AC2141" s="1812"/>
      <c r="AD2141" s="1601">
        <f t="shared" si="175"/>
        <v>0</v>
      </c>
      <c r="AE2141" s="1790">
        <v>0</v>
      </c>
      <c r="AF2141" s="1792"/>
    </row>
    <row r="2142" spans="1:32" ht="27.75" customHeight="1">
      <c r="A2142" s="2899" t="s">
        <v>3653</v>
      </c>
      <c r="B2142" s="2901" t="s">
        <v>4202</v>
      </c>
      <c r="C2142" s="2903" t="s">
        <v>52</v>
      </c>
      <c r="D2142" s="2905">
        <v>878.53</v>
      </c>
      <c r="E2142" s="1810" t="s">
        <v>2496</v>
      </c>
      <c r="F2142" s="1811"/>
      <c r="G2142" s="1811"/>
      <c r="H2142" s="1811"/>
      <c r="I2142" s="1811"/>
      <c r="J2142" s="1811"/>
      <c r="K2142" s="1811"/>
      <c r="L2142" s="1811"/>
      <c r="M2142" s="1811"/>
      <c r="N2142" s="1811"/>
      <c r="O2142" s="1811"/>
      <c r="P2142" s="1811"/>
      <c r="Q2142" s="1812"/>
      <c r="R2142" s="1811"/>
      <c r="S2142" s="1811"/>
      <c r="T2142" s="1812"/>
      <c r="U2142" s="1812"/>
      <c r="V2142" s="1812"/>
      <c r="W2142" s="1812"/>
      <c r="X2142" s="1812"/>
      <c r="Y2142" s="1812"/>
      <c r="Z2142" s="1812"/>
      <c r="AA2142" s="1812"/>
      <c r="AB2142" s="1585"/>
      <c r="AC2142" s="1812">
        <v>878.53</v>
      </c>
      <c r="AD2142" s="1601">
        <f t="shared" si="175"/>
        <v>878.53</v>
      </c>
      <c r="AE2142" s="1790">
        <v>0</v>
      </c>
      <c r="AF2142" s="1792"/>
    </row>
    <row r="2143" spans="1:32" ht="27.75" customHeight="1">
      <c r="A2143" s="2900" t="s">
        <v>3653</v>
      </c>
      <c r="B2143" s="2902" t="s">
        <v>3654</v>
      </c>
      <c r="C2143" s="2904" t="s">
        <v>52</v>
      </c>
      <c r="D2143" s="2906">
        <v>878.53</v>
      </c>
      <c r="E2143" s="1603" t="s">
        <v>2497</v>
      </c>
      <c r="F2143" s="1583"/>
      <c r="G2143" s="1583"/>
      <c r="H2143" s="1583"/>
      <c r="I2143" s="1583"/>
      <c r="J2143" s="1583"/>
      <c r="K2143" s="1583"/>
      <c r="L2143" s="1583"/>
      <c r="M2143" s="1583"/>
      <c r="N2143" s="1583"/>
      <c r="O2143" s="1583"/>
      <c r="P2143" s="1583"/>
      <c r="Q2143" s="1604"/>
      <c r="R2143" s="1583"/>
      <c r="S2143" s="1583"/>
      <c r="T2143" s="1604"/>
      <c r="U2143" s="1592"/>
      <c r="V2143" s="1585"/>
      <c r="W2143" s="1585"/>
      <c r="X2143" s="1585"/>
      <c r="Y2143" s="1592"/>
      <c r="Z2143" s="1585"/>
      <c r="AA2143" s="1585"/>
      <c r="AB2143" s="1585"/>
      <c r="AC2143" s="1585"/>
      <c r="AD2143" s="1601">
        <f t="shared" si="175"/>
        <v>0</v>
      </c>
      <c r="AE2143" s="1790">
        <v>0</v>
      </c>
      <c r="AF2143" s="1792"/>
    </row>
    <row r="2144" spans="1:32" ht="27.75" customHeight="1">
      <c r="A2144" s="2899" t="s">
        <v>3655</v>
      </c>
      <c r="B2144" s="2901" t="s">
        <v>4203</v>
      </c>
      <c r="C2144" s="2903" t="s">
        <v>52</v>
      </c>
      <c r="D2144" s="2905">
        <v>11094.64</v>
      </c>
      <c r="E2144" s="1810" t="s">
        <v>2496</v>
      </c>
      <c r="F2144" s="1811"/>
      <c r="G2144" s="1811"/>
      <c r="H2144" s="1811"/>
      <c r="I2144" s="1811"/>
      <c r="J2144" s="1811"/>
      <c r="K2144" s="1811"/>
      <c r="L2144" s="1811"/>
      <c r="M2144" s="1811"/>
      <c r="N2144" s="1811"/>
      <c r="O2144" s="1811"/>
      <c r="P2144" s="1811"/>
      <c r="Q2144" s="1812"/>
      <c r="R2144" s="1811"/>
      <c r="S2144" s="1811"/>
      <c r="T2144" s="1812"/>
      <c r="U2144" s="1812"/>
      <c r="V2144" s="1812"/>
      <c r="W2144" s="1812"/>
      <c r="X2144" s="1812"/>
      <c r="Y2144" s="1812"/>
      <c r="Z2144" s="1812"/>
      <c r="AA2144" s="1585">
        <f>D2144</f>
        <v>11094.64</v>
      </c>
      <c r="AB2144" s="1812"/>
      <c r="AC2144" s="1812"/>
      <c r="AD2144" s="1601">
        <f t="shared" si="175"/>
        <v>11094.64</v>
      </c>
      <c r="AE2144" s="1790">
        <v>0</v>
      </c>
      <c r="AF2144" s="1792"/>
    </row>
    <row r="2145" spans="1:32" ht="27.75" customHeight="1">
      <c r="A2145" s="2900" t="s">
        <v>3655</v>
      </c>
      <c r="B2145" s="2902" t="s">
        <v>3656</v>
      </c>
      <c r="C2145" s="2904" t="s">
        <v>52</v>
      </c>
      <c r="D2145" s="2906">
        <v>11094.64</v>
      </c>
      <c r="E2145" s="1603" t="s">
        <v>2497</v>
      </c>
      <c r="F2145" s="1583"/>
      <c r="G2145" s="1583"/>
      <c r="H2145" s="1583"/>
      <c r="I2145" s="1583"/>
      <c r="J2145" s="1583"/>
      <c r="K2145" s="1583"/>
      <c r="L2145" s="1583"/>
      <c r="M2145" s="1583"/>
      <c r="N2145" s="1583"/>
      <c r="O2145" s="1583"/>
      <c r="P2145" s="1583"/>
      <c r="Q2145" s="1604"/>
      <c r="R2145" s="1583"/>
      <c r="S2145" s="1583"/>
      <c r="T2145" s="1604"/>
      <c r="U2145" s="1592"/>
      <c r="V2145" s="1585"/>
      <c r="W2145" s="1585"/>
      <c r="X2145" s="1585"/>
      <c r="Y2145" s="1592"/>
      <c r="Z2145" s="1585"/>
      <c r="AA2145" s="1585"/>
      <c r="AB2145" s="1585"/>
      <c r="AC2145" s="1585"/>
      <c r="AD2145" s="1601">
        <f t="shared" si="175"/>
        <v>0</v>
      </c>
      <c r="AE2145" s="1790">
        <v>0</v>
      </c>
      <c r="AF2145" s="1792"/>
    </row>
    <row r="2146" spans="1:32" ht="27.75" customHeight="1">
      <c r="A2146" s="2899" t="s">
        <v>3657</v>
      </c>
      <c r="B2146" s="2901" t="s">
        <v>4204</v>
      </c>
      <c r="C2146" s="2903" t="s">
        <v>52</v>
      </c>
      <c r="D2146" s="2905">
        <v>2771.51</v>
      </c>
      <c r="E2146" s="1598" t="s">
        <v>2496</v>
      </c>
      <c r="F2146" s="1583"/>
      <c r="G2146" s="1583"/>
      <c r="H2146" s="1583"/>
      <c r="I2146" s="1583"/>
      <c r="J2146" s="1583"/>
      <c r="K2146" s="1583"/>
      <c r="L2146" s="1583"/>
      <c r="M2146" s="1583"/>
      <c r="N2146" s="1583"/>
      <c r="O2146" s="1583"/>
      <c r="P2146" s="1583"/>
      <c r="Q2146" s="1585"/>
      <c r="R2146" s="1583"/>
      <c r="S2146" s="1583"/>
      <c r="T2146" s="1585"/>
      <c r="U2146" s="1585"/>
      <c r="V2146" s="1585"/>
      <c r="W2146" s="1585"/>
      <c r="X2146" s="1585"/>
      <c r="Y2146" s="1585"/>
      <c r="Z2146" s="1585"/>
      <c r="AA2146" s="1585">
        <f>D2146</f>
        <v>2771.51</v>
      </c>
      <c r="AB2146" s="1585"/>
      <c r="AC2146" s="1585"/>
      <c r="AD2146" s="1601">
        <f t="shared" si="175"/>
        <v>2771.51</v>
      </c>
      <c r="AE2146" s="1790">
        <v>0</v>
      </c>
      <c r="AF2146" s="1792"/>
    </row>
    <row r="2147" spans="1:32" ht="27.75" customHeight="1">
      <c r="A2147" s="2900" t="s">
        <v>3657</v>
      </c>
      <c r="B2147" s="2902" t="s">
        <v>3658</v>
      </c>
      <c r="C2147" s="2904" t="s">
        <v>52</v>
      </c>
      <c r="D2147" s="2906">
        <v>2771.51</v>
      </c>
      <c r="E2147" s="1603" t="s">
        <v>2497</v>
      </c>
      <c r="F2147" s="1583"/>
      <c r="G2147" s="1583"/>
      <c r="H2147" s="1583"/>
      <c r="I2147" s="1583"/>
      <c r="J2147" s="1583"/>
      <c r="K2147" s="1583"/>
      <c r="L2147" s="1583"/>
      <c r="M2147" s="1583"/>
      <c r="N2147" s="1583"/>
      <c r="O2147" s="1583"/>
      <c r="P2147" s="1583"/>
      <c r="Q2147" s="1604"/>
      <c r="R2147" s="1583"/>
      <c r="S2147" s="1583"/>
      <c r="T2147" s="1604"/>
      <c r="U2147" s="1585"/>
      <c r="V2147" s="1585"/>
      <c r="W2147" s="1585"/>
      <c r="X2147" s="1585"/>
      <c r="Y2147" s="1585"/>
      <c r="Z2147" s="1585"/>
      <c r="AA2147" s="1585"/>
      <c r="AB2147" s="1585"/>
      <c r="AC2147" s="1585"/>
      <c r="AD2147" s="1601">
        <f t="shared" si="175"/>
        <v>0</v>
      </c>
      <c r="AE2147" s="1790">
        <v>0</v>
      </c>
      <c r="AF2147" s="1792"/>
    </row>
    <row r="2148" spans="1:32" ht="27.75" customHeight="1">
      <c r="A2148" s="1647" t="s">
        <v>3659</v>
      </c>
      <c r="B2148" s="1647" t="s">
        <v>3660</v>
      </c>
      <c r="C2148" s="1625"/>
      <c r="D2148" s="1597"/>
      <c r="E2148" s="1599"/>
      <c r="F2148" s="1811"/>
      <c r="G2148" s="1811"/>
      <c r="H2148" s="1811"/>
      <c r="I2148" s="1811"/>
      <c r="J2148" s="1811"/>
      <c r="K2148" s="1811"/>
      <c r="L2148" s="1811"/>
      <c r="M2148" s="1811"/>
      <c r="N2148" s="1811"/>
      <c r="O2148" s="1811"/>
      <c r="P2148" s="1811"/>
      <c r="Q2148" s="1814"/>
      <c r="R2148" s="1811"/>
      <c r="S2148" s="1811"/>
      <c r="T2148" s="1814"/>
      <c r="U2148" s="1812"/>
      <c r="V2148" s="1812"/>
      <c r="W2148" s="1812"/>
      <c r="X2148" s="1812"/>
      <c r="Y2148" s="1812"/>
      <c r="Z2148" s="1812"/>
      <c r="AA2148" s="1812"/>
      <c r="AB2148" s="1812"/>
      <c r="AC2148" s="1812"/>
      <c r="AD2148" s="1601">
        <f t="shared" si="175"/>
        <v>0</v>
      </c>
      <c r="AE2148" s="1790">
        <v>0</v>
      </c>
      <c r="AF2148" s="1792"/>
    </row>
    <row r="2149" spans="1:32" ht="27.75" customHeight="1">
      <c r="A2149" s="1795" t="s">
        <v>3661</v>
      </c>
      <c r="B2149" s="1795" t="s">
        <v>3646</v>
      </c>
      <c r="C2149" s="1625"/>
      <c r="D2149" s="1597"/>
      <c r="E2149" s="1599"/>
      <c r="F2149" s="1811"/>
      <c r="G2149" s="1811"/>
      <c r="H2149" s="1811"/>
      <c r="I2149" s="1811"/>
      <c r="J2149" s="1811"/>
      <c r="K2149" s="1811"/>
      <c r="L2149" s="1811"/>
      <c r="M2149" s="1811"/>
      <c r="N2149" s="1811"/>
      <c r="O2149" s="1811"/>
      <c r="P2149" s="1811"/>
      <c r="Q2149" s="1814"/>
      <c r="R2149" s="1811"/>
      <c r="S2149" s="1811"/>
      <c r="T2149" s="1814"/>
      <c r="U2149" s="1812"/>
      <c r="V2149" s="1812"/>
      <c r="W2149" s="1812"/>
      <c r="X2149" s="1812"/>
      <c r="Y2149" s="1812"/>
      <c r="Z2149" s="1812"/>
      <c r="AA2149" s="1812"/>
      <c r="AB2149" s="1812"/>
      <c r="AC2149" s="1812"/>
      <c r="AD2149" s="1601">
        <f t="shared" si="175"/>
        <v>0</v>
      </c>
      <c r="AE2149" s="1790">
        <v>0</v>
      </c>
      <c r="AF2149" s="1792"/>
    </row>
    <row r="2150" spans="1:32" ht="27.75" customHeight="1">
      <c r="A2150" s="2899" t="s">
        <v>3662</v>
      </c>
      <c r="B2150" s="2901" t="s">
        <v>4205</v>
      </c>
      <c r="C2150" s="2903" t="s">
        <v>51</v>
      </c>
      <c r="D2150" s="2905">
        <v>323.05</v>
      </c>
      <c r="E2150" s="1810" t="s">
        <v>2496</v>
      </c>
      <c r="F2150" s="1811"/>
      <c r="G2150" s="1811"/>
      <c r="H2150" s="1811"/>
      <c r="I2150" s="1811"/>
      <c r="J2150" s="1811"/>
      <c r="K2150" s="1811"/>
      <c r="L2150" s="1811"/>
      <c r="M2150" s="1811"/>
      <c r="N2150" s="1811"/>
      <c r="O2150" s="1811"/>
      <c r="P2150" s="1811"/>
      <c r="Q2150" s="1812"/>
      <c r="R2150" s="1811"/>
      <c r="S2150" s="1811"/>
      <c r="T2150" s="1812"/>
      <c r="U2150" s="1812"/>
      <c r="V2150" s="1812"/>
      <c r="W2150" s="1812"/>
      <c r="X2150" s="1812"/>
      <c r="Y2150" s="1812"/>
      <c r="Z2150" s="1812"/>
      <c r="AA2150" s="1585">
        <f>D2150</f>
        <v>323.05</v>
      </c>
      <c r="AB2150" s="1812"/>
      <c r="AC2150" s="1812"/>
      <c r="AD2150" s="1601">
        <f t="shared" si="175"/>
        <v>323.05</v>
      </c>
      <c r="AE2150" s="1790">
        <v>0</v>
      </c>
      <c r="AF2150" s="1792"/>
    </row>
    <row r="2151" spans="1:32" ht="27.75" customHeight="1">
      <c r="A2151" s="2900" t="s">
        <v>3662</v>
      </c>
      <c r="B2151" s="2902" t="s">
        <v>3663</v>
      </c>
      <c r="C2151" s="2904" t="s">
        <v>51</v>
      </c>
      <c r="D2151" s="2906">
        <v>323.05</v>
      </c>
      <c r="E2151" s="1603" t="s">
        <v>2497</v>
      </c>
      <c r="F2151" s="1583"/>
      <c r="G2151" s="1583"/>
      <c r="H2151" s="1583"/>
      <c r="I2151" s="1583"/>
      <c r="J2151" s="1583"/>
      <c r="K2151" s="1583"/>
      <c r="L2151" s="1583"/>
      <c r="M2151" s="1583"/>
      <c r="N2151" s="1583"/>
      <c r="O2151" s="1583"/>
      <c r="P2151" s="1583"/>
      <c r="Q2151" s="1604"/>
      <c r="R2151" s="1583"/>
      <c r="S2151" s="1583"/>
      <c r="T2151" s="1604"/>
      <c r="U2151" s="1592"/>
      <c r="V2151" s="1585"/>
      <c r="W2151" s="1585"/>
      <c r="X2151" s="1585"/>
      <c r="Y2151" s="1592"/>
      <c r="Z2151" s="1585"/>
      <c r="AA2151" s="1585"/>
      <c r="AB2151" s="1585"/>
      <c r="AC2151" s="1585"/>
      <c r="AD2151" s="1601">
        <f t="shared" si="175"/>
        <v>0</v>
      </c>
      <c r="AE2151" s="1790">
        <v>0</v>
      </c>
      <c r="AF2151" s="1792"/>
    </row>
    <row r="2152" spans="1:32" ht="27.75" customHeight="1">
      <c r="A2152" s="1647" t="s">
        <v>3664</v>
      </c>
      <c r="B2152" s="1647" t="s">
        <v>2031</v>
      </c>
      <c r="C2152" s="1625"/>
      <c r="D2152" s="1597"/>
      <c r="E2152" s="1599"/>
      <c r="F2152" s="1583"/>
      <c r="G2152" s="1583"/>
      <c r="H2152" s="1583"/>
      <c r="I2152" s="1583"/>
      <c r="J2152" s="1583"/>
      <c r="K2152" s="1583"/>
      <c r="L2152" s="1583"/>
      <c r="M2152" s="1583"/>
      <c r="N2152" s="1583"/>
      <c r="O2152" s="1583"/>
      <c r="P2152" s="1583"/>
      <c r="Q2152" s="1604"/>
      <c r="R2152" s="1583"/>
      <c r="S2152" s="1583"/>
      <c r="T2152" s="1604"/>
      <c r="U2152" s="1592"/>
      <c r="V2152" s="1585"/>
      <c r="W2152" s="1585"/>
      <c r="X2152" s="1585"/>
      <c r="Y2152" s="1592"/>
      <c r="Z2152" s="1585"/>
      <c r="AA2152" s="1585"/>
      <c r="AB2152" s="1585"/>
      <c r="AC2152" s="1585"/>
      <c r="AD2152" s="1601">
        <f t="shared" si="175"/>
        <v>0</v>
      </c>
      <c r="AE2152" s="1790">
        <v>0</v>
      </c>
      <c r="AF2152" s="1792"/>
    </row>
    <row r="2153" spans="1:32" ht="27.75" customHeight="1">
      <c r="A2153" s="1795" t="s">
        <v>3666</v>
      </c>
      <c r="B2153" s="1795" t="s">
        <v>1977</v>
      </c>
      <c r="C2153" s="1625"/>
      <c r="D2153" s="1597"/>
      <c r="E2153" s="1599"/>
      <c r="F2153" s="1583"/>
      <c r="G2153" s="1583"/>
      <c r="H2153" s="1583"/>
      <c r="I2153" s="1583"/>
      <c r="J2153" s="1583"/>
      <c r="K2153" s="1583"/>
      <c r="L2153" s="1583"/>
      <c r="M2153" s="1583"/>
      <c r="N2153" s="1583"/>
      <c r="O2153" s="1583"/>
      <c r="P2153" s="1583"/>
      <c r="Q2153" s="1604"/>
      <c r="R2153" s="1583"/>
      <c r="S2153" s="1583"/>
      <c r="T2153" s="1604"/>
      <c r="U2153" s="1592"/>
      <c r="V2153" s="1585"/>
      <c r="W2153" s="1585"/>
      <c r="X2153" s="1585"/>
      <c r="Y2153" s="1592"/>
      <c r="Z2153" s="1585"/>
      <c r="AA2153" s="1585"/>
      <c r="AB2153" s="1585"/>
      <c r="AC2153" s="1585"/>
      <c r="AD2153" s="1601">
        <f t="shared" si="175"/>
        <v>0</v>
      </c>
      <c r="AE2153" s="1790">
        <v>0</v>
      </c>
      <c r="AF2153" s="1792"/>
    </row>
    <row r="2154" spans="1:32" ht="27.75" customHeight="1">
      <c r="A2154" s="2899">
        <v>4.46</v>
      </c>
      <c r="B2154" s="2901" t="s">
        <v>2032</v>
      </c>
      <c r="C2154" s="2903" t="s">
        <v>51</v>
      </c>
      <c r="D2154" s="2905">
        <v>13603</v>
      </c>
      <c r="E2154" s="1598" t="s">
        <v>2496</v>
      </c>
      <c r="F2154" s="1583"/>
      <c r="G2154" s="1583"/>
      <c r="H2154" s="1583"/>
      <c r="I2154" s="1583"/>
      <c r="J2154" s="1583"/>
      <c r="K2154" s="1583"/>
      <c r="L2154" s="1583"/>
      <c r="M2154" s="1583"/>
      <c r="N2154" s="1583"/>
      <c r="O2154" s="1583"/>
      <c r="P2154" s="1583"/>
      <c r="Q2154" s="1585"/>
      <c r="R2154" s="1583"/>
      <c r="S2154" s="1583"/>
      <c r="T2154" s="1585"/>
      <c r="U2154" s="1585"/>
      <c r="V2154" s="1585"/>
      <c r="W2154" s="1585"/>
      <c r="X2154" s="1585"/>
      <c r="Y2154" s="1585"/>
      <c r="Z2154" s="1585"/>
      <c r="AA2154" s="1585">
        <f>D2154</f>
        <v>13603</v>
      </c>
      <c r="AB2154" s="1585"/>
      <c r="AC2154" s="1585"/>
      <c r="AD2154" s="1601">
        <f t="shared" si="175"/>
        <v>13603</v>
      </c>
      <c r="AE2154" s="1790">
        <v>0</v>
      </c>
      <c r="AF2154" s="1792"/>
    </row>
    <row r="2155" spans="1:32" ht="27.75" customHeight="1">
      <c r="A2155" s="2900">
        <v>4.46</v>
      </c>
      <c r="B2155" s="2902" t="s">
        <v>3667</v>
      </c>
      <c r="C2155" s="2904" t="s">
        <v>51</v>
      </c>
      <c r="D2155" s="2906">
        <v>13603</v>
      </c>
      <c r="E2155" s="1603" t="s">
        <v>2497</v>
      </c>
      <c r="F2155" s="1583"/>
      <c r="G2155" s="1583"/>
      <c r="H2155" s="1583"/>
      <c r="I2155" s="1583"/>
      <c r="J2155" s="1583"/>
      <c r="K2155" s="1583"/>
      <c r="L2155" s="1583"/>
      <c r="M2155" s="1583"/>
      <c r="N2155" s="1583"/>
      <c r="O2155" s="1583"/>
      <c r="P2155" s="1583"/>
      <c r="Q2155" s="1604"/>
      <c r="R2155" s="1583"/>
      <c r="S2155" s="1583"/>
      <c r="T2155" s="1604"/>
      <c r="U2155" s="1585"/>
      <c r="V2155" s="1585"/>
      <c r="W2155" s="1585"/>
      <c r="X2155" s="1585"/>
      <c r="Y2155" s="1585"/>
      <c r="Z2155" s="1585"/>
      <c r="AA2155" s="1585"/>
      <c r="AB2155" s="1585"/>
      <c r="AC2155" s="1585"/>
      <c r="AD2155" s="1601">
        <f t="shared" si="175"/>
        <v>0</v>
      </c>
      <c r="AE2155" s="1790">
        <v>0</v>
      </c>
      <c r="AF2155" s="1792"/>
    </row>
    <row r="2156" spans="1:32" ht="27.75" customHeight="1">
      <c r="A2156" s="2899" t="s">
        <v>3668</v>
      </c>
      <c r="B2156" s="2901" t="s">
        <v>2033</v>
      </c>
      <c r="C2156" s="2903" t="s">
        <v>51</v>
      </c>
      <c r="D2156" s="2905">
        <v>9638</v>
      </c>
      <c r="E2156" s="1810" t="s">
        <v>2496</v>
      </c>
      <c r="F2156" s="1811"/>
      <c r="G2156" s="1811"/>
      <c r="H2156" s="1811"/>
      <c r="I2156" s="1811"/>
      <c r="J2156" s="1811"/>
      <c r="K2156" s="1811"/>
      <c r="L2156" s="1811"/>
      <c r="M2156" s="1811"/>
      <c r="N2156" s="1811"/>
      <c r="O2156" s="1811"/>
      <c r="P2156" s="1811"/>
      <c r="Q2156" s="1812"/>
      <c r="R2156" s="1811"/>
      <c r="S2156" s="1811"/>
      <c r="T2156" s="1812"/>
      <c r="U2156" s="1812"/>
      <c r="V2156" s="1812"/>
      <c r="W2156" s="1812"/>
      <c r="X2156" s="1812"/>
      <c r="Y2156" s="1812"/>
      <c r="Z2156" s="1812"/>
      <c r="AA2156" s="1585">
        <f>D2156</f>
        <v>9638</v>
      </c>
      <c r="AB2156" s="1812"/>
      <c r="AC2156" s="1812"/>
      <c r="AD2156" s="1601">
        <f t="shared" si="175"/>
        <v>9638</v>
      </c>
      <c r="AE2156" s="1790">
        <v>0</v>
      </c>
      <c r="AF2156" s="1792"/>
    </row>
    <row r="2157" spans="1:32" ht="27.75" customHeight="1">
      <c r="A2157" s="2900" t="s">
        <v>3668</v>
      </c>
      <c r="B2157" s="2902" t="s">
        <v>3669</v>
      </c>
      <c r="C2157" s="2904" t="s">
        <v>51</v>
      </c>
      <c r="D2157" s="2906">
        <v>9638</v>
      </c>
      <c r="E2157" s="1603" t="s">
        <v>2497</v>
      </c>
      <c r="F2157" s="1583"/>
      <c r="G2157" s="1583"/>
      <c r="H2157" s="1583"/>
      <c r="I2157" s="1583"/>
      <c r="J2157" s="1583"/>
      <c r="K2157" s="1583"/>
      <c r="L2157" s="1583"/>
      <c r="M2157" s="1583"/>
      <c r="N2157" s="1583"/>
      <c r="O2157" s="1583"/>
      <c r="P2157" s="1583"/>
      <c r="Q2157" s="1604"/>
      <c r="R2157" s="1583"/>
      <c r="S2157" s="1583"/>
      <c r="T2157" s="1604"/>
      <c r="U2157" s="1592"/>
      <c r="V2157" s="1585"/>
      <c r="W2157" s="1585"/>
      <c r="X2157" s="1585"/>
      <c r="Y2157" s="1592"/>
      <c r="Z2157" s="1585"/>
      <c r="AA2157" s="1585"/>
      <c r="AB2157" s="1585"/>
      <c r="AC2157" s="1585"/>
      <c r="AD2157" s="1601">
        <f t="shared" si="175"/>
        <v>0</v>
      </c>
      <c r="AE2157" s="1790">
        <v>0</v>
      </c>
      <c r="AF2157" s="1792"/>
    </row>
    <row r="2158" spans="1:32" ht="27.75" customHeight="1">
      <c r="A2158" s="1647" t="s">
        <v>3670</v>
      </c>
      <c r="B2158" s="1647" t="s">
        <v>2059</v>
      </c>
      <c r="C2158" s="1803"/>
      <c r="D2158" s="1804"/>
      <c r="E2158" s="1813"/>
      <c r="F2158" s="1811"/>
      <c r="G2158" s="1811"/>
      <c r="H2158" s="1811"/>
      <c r="I2158" s="1811"/>
      <c r="J2158" s="1811"/>
      <c r="K2158" s="1811"/>
      <c r="L2158" s="1811"/>
      <c r="M2158" s="1811"/>
      <c r="N2158" s="1811"/>
      <c r="O2158" s="1811"/>
      <c r="P2158" s="1811"/>
      <c r="Q2158" s="1814"/>
      <c r="R2158" s="1811"/>
      <c r="S2158" s="1811"/>
      <c r="T2158" s="1814"/>
      <c r="U2158" s="1816"/>
      <c r="V2158" s="1812"/>
      <c r="W2158" s="1812"/>
      <c r="X2158" s="1812"/>
      <c r="Y2158" s="1816"/>
      <c r="Z2158" s="1812"/>
      <c r="AA2158" s="1812"/>
      <c r="AB2158" s="1812"/>
      <c r="AC2158" s="1812"/>
      <c r="AD2158" s="1601">
        <f t="shared" si="175"/>
        <v>0</v>
      </c>
      <c r="AE2158" s="1790">
        <v>0</v>
      </c>
      <c r="AF2158" s="1792"/>
    </row>
    <row r="2159" spans="1:32" ht="27.75" customHeight="1">
      <c r="A2159" s="2899" t="s">
        <v>3672</v>
      </c>
      <c r="B2159" s="2901" t="s">
        <v>2060</v>
      </c>
      <c r="C2159" s="2903" t="s">
        <v>52</v>
      </c>
      <c r="D2159" s="2905">
        <v>457460</v>
      </c>
      <c r="E2159" s="1810" t="s">
        <v>2496</v>
      </c>
      <c r="F2159" s="1811"/>
      <c r="G2159" s="1811"/>
      <c r="H2159" s="1811"/>
      <c r="I2159" s="1811"/>
      <c r="J2159" s="1811"/>
      <c r="K2159" s="1811"/>
      <c r="L2159" s="1811"/>
      <c r="M2159" s="1811"/>
      <c r="N2159" s="1811"/>
      <c r="O2159" s="1811"/>
      <c r="P2159" s="1811"/>
      <c r="Q2159" s="1812"/>
      <c r="R2159" s="1811"/>
      <c r="S2159" s="1811"/>
      <c r="T2159" s="1812"/>
      <c r="U2159" s="1812"/>
      <c r="V2159" s="1812"/>
      <c r="W2159" s="1812"/>
      <c r="X2159" s="1812"/>
      <c r="Y2159" s="1812"/>
      <c r="Z2159" s="1812"/>
      <c r="AA2159" s="1585">
        <v>228730</v>
      </c>
      <c r="AB2159" s="1812"/>
      <c r="AC2159" s="1812">
        <v>228730</v>
      </c>
      <c r="AD2159" s="1601">
        <f t="shared" si="175"/>
        <v>457460</v>
      </c>
      <c r="AE2159" s="1790">
        <v>0</v>
      </c>
      <c r="AF2159" s="1792"/>
    </row>
    <row r="2160" spans="1:32" ht="27.75" customHeight="1">
      <c r="A2160" s="2900" t="s">
        <v>3672</v>
      </c>
      <c r="B2160" s="2902" t="s">
        <v>3673</v>
      </c>
      <c r="C2160" s="2904" t="s">
        <v>52</v>
      </c>
      <c r="D2160" s="2906">
        <v>457460</v>
      </c>
      <c r="E2160" s="1603" t="s">
        <v>2497</v>
      </c>
      <c r="F2160" s="1583"/>
      <c r="G2160" s="1583"/>
      <c r="H2160" s="1583"/>
      <c r="I2160" s="1583"/>
      <c r="J2160" s="1583"/>
      <c r="K2160" s="1583"/>
      <c r="L2160" s="1583"/>
      <c r="M2160" s="1583"/>
      <c r="N2160" s="1583"/>
      <c r="O2160" s="1583"/>
      <c r="P2160" s="1583"/>
      <c r="Q2160" s="1604"/>
      <c r="R2160" s="1583"/>
      <c r="S2160" s="1583"/>
      <c r="T2160" s="1604"/>
      <c r="U2160" s="1592"/>
      <c r="V2160" s="1585"/>
      <c r="W2160" s="1585"/>
      <c r="X2160" s="1585"/>
      <c r="Y2160" s="1592"/>
      <c r="Z2160" s="1585"/>
      <c r="AA2160" s="1585"/>
      <c r="AB2160" s="1585"/>
      <c r="AC2160" s="1585"/>
      <c r="AD2160" s="1601">
        <f t="shared" si="175"/>
        <v>0</v>
      </c>
      <c r="AE2160" s="1790">
        <v>0</v>
      </c>
      <c r="AF2160" s="1792"/>
    </row>
    <row r="2161" spans="1:32" ht="27.75" customHeight="1">
      <c r="A2161" s="2899" t="s">
        <v>3674</v>
      </c>
      <c r="B2161" s="2901" t="s">
        <v>4206</v>
      </c>
      <c r="C2161" s="2903" t="s">
        <v>268</v>
      </c>
      <c r="D2161" s="2905">
        <v>10000</v>
      </c>
      <c r="E2161" s="1810" t="s">
        <v>2496</v>
      </c>
      <c r="F2161" s="1811"/>
      <c r="G2161" s="1811"/>
      <c r="H2161" s="1811"/>
      <c r="I2161" s="1811"/>
      <c r="J2161" s="1811"/>
      <c r="K2161" s="1811"/>
      <c r="L2161" s="1811"/>
      <c r="M2161" s="1811"/>
      <c r="N2161" s="1811"/>
      <c r="O2161" s="1811"/>
      <c r="P2161" s="1811"/>
      <c r="Q2161" s="1812"/>
      <c r="R2161" s="1811"/>
      <c r="S2161" s="1811"/>
      <c r="T2161" s="1812"/>
      <c r="U2161" s="1812"/>
      <c r="V2161" s="1812"/>
      <c r="W2161" s="1812"/>
      <c r="X2161" s="1812"/>
      <c r="Y2161" s="1812"/>
      <c r="Z2161" s="1812"/>
      <c r="AA2161" s="1812">
        <f>D2161</f>
        <v>10000</v>
      </c>
      <c r="AB2161" s="1812"/>
      <c r="AC2161" s="1812"/>
      <c r="AD2161" s="1601">
        <f t="shared" si="175"/>
        <v>10000</v>
      </c>
      <c r="AE2161" s="1790">
        <v>0</v>
      </c>
      <c r="AF2161" s="1792"/>
    </row>
    <row r="2162" spans="1:32" ht="27.75" customHeight="1">
      <c r="A2162" s="2900" t="s">
        <v>3674</v>
      </c>
      <c r="B2162" s="2902" t="s">
        <v>3675</v>
      </c>
      <c r="C2162" s="2904" t="s">
        <v>268</v>
      </c>
      <c r="D2162" s="2906">
        <v>10000</v>
      </c>
      <c r="E2162" s="1603" t="s">
        <v>2497</v>
      </c>
      <c r="F2162" s="1583"/>
      <c r="G2162" s="1583"/>
      <c r="H2162" s="1583"/>
      <c r="I2162" s="1583"/>
      <c r="J2162" s="1583"/>
      <c r="K2162" s="1583"/>
      <c r="L2162" s="1583"/>
      <c r="M2162" s="1583"/>
      <c r="N2162" s="1583"/>
      <c r="O2162" s="1583"/>
      <c r="P2162" s="1583"/>
      <c r="Q2162" s="1604"/>
      <c r="R2162" s="1583"/>
      <c r="S2162" s="1583"/>
      <c r="T2162" s="1604"/>
      <c r="U2162" s="1592"/>
      <c r="V2162" s="1585"/>
      <c r="W2162" s="1585"/>
      <c r="X2162" s="1585"/>
      <c r="Y2162" s="1592"/>
      <c r="Z2162" s="1585"/>
      <c r="AA2162" s="1585"/>
      <c r="AB2162" s="1585"/>
      <c r="AC2162" s="1585"/>
      <c r="AD2162" s="1601">
        <f t="shared" si="175"/>
        <v>0</v>
      </c>
      <c r="AE2162" s="1790">
        <v>0</v>
      </c>
      <c r="AF2162" s="1792"/>
    </row>
    <row r="2163" spans="1:32" ht="27.75" customHeight="1">
      <c r="A2163" s="1647" t="s">
        <v>3676</v>
      </c>
      <c r="B2163" s="1647" t="s">
        <v>2062</v>
      </c>
      <c r="C2163" s="1803"/>
      <c r="D2163" s="1804"/>
      <c r="E2163" s="1599"/>
      <c r="F2163" s="1583"/>
      <c r="G2163" s="1583"/>
      <c r="H2163" s="1583"/>
      <c r="I2163" s="1583"/>
      <c r="J2163" s="1583"/>
      <c r="K2163" s="1583"/>
      <c r="L2163" s="1583"/>
      <c r="M2163" s="1583"/>
      <c r="N2163" s="1583"/>
      <c r="O2163" s="1583"/>
      <c r="P2163" s="1583"/>
      <c r="Q2163" s="1604"/>
      <c r="R2163" s="1583"/>
      <c r="S2163" s="1583"/>
      <c r="T2163" s="1604"/>
      <c r="U2163" s="1592"/>
      <c r="V2163" s="1585"/>
      <c r="W2163" s="1585"/>
      <c r="X2163" s="1585"/>
      <c r="Y2163" s="1592"/>
      <c r="Z2163" s="1585"/>
      <c r="AA2163" s="1585"/>
      <c r="AB2163" s="1585"/>
      <c r="AC2163" s="1585"/>
      <c r="AD2163" s="1601">
        <f t="shared" si="175"/>
        <v>0</v>
      </c>
      <c r="AE2163" s="1790">
        <v>0</v>
      </c>
      <c r="AF2163" s="1792"/>
    </row>
    <row r="2164" spans="1:32" ht="27.75" customHeight="1">
      <c r="A2164" s="2899" t="s">
        <v>3678</v>
      </c>
      <c r="B2164" s="2901" t="s">
        <v>4207</v>
      </c>
      <c r="C2164" s="2903" t="s">
        <v>52</v>
      </c>
      <c r="D2164" s="2905">
        <v>90014.46</v>
      </c>
      <c r="E2164" s="1598" t="s">
        <v>2496</v>
      </c>
      <c r="F2164" s="1583"/>
      <c r="G2164" s="1583"/>
      <c r="H2164" s="1583"/>
      <c r="I2164" s="1583"/>
      <c r="J2164" s="1583"/>
      <c r="K2164" s="1583"/>
      <c r="L2164" s="1583"/>
      <c r="M2164" s="1583"/>
      <c r="N2164" s="1583"/>
      <c r="O2164" s="1583"/>
      <c r="P2164" s="1583"/>
      <c r="Q2164" s="1585"/>
      <c r="R2164" s="1583"/>
      <c r="S2164" s="1583"/>
      <c r="T2164" s="1585"/>
      <c r="U2164" s="1585"/>
      <c r="V2164" s="1585"/>
      <c r="W2164" s="1585"/>
      <c r="X2164" s="1585"/>
      <c r="Y2164" s="1585"/>
      <c r="Z2164" s="1585">
        <f>D2164/3</f>
        <v>30004.820000000003</v>
      </c>
      <c r="AA2164" s="1585">
        <v>30004.820000000003</v>
      </c>
      <c r="AB2164" s="1585"/>
      <c r="AC2164" s="1585">
        <v>30004.820000000003</v>
      </c>
      <c r="AD2164" s="1601">
        <f t="shared" si="175"/>
        <v>90014.46</v>
      </c>
      <c r="AE2164" s="1790">
        <v>0</v>
      </c>
      <c r="AF2164" s="1792"/>
    </row>
    <row r="2165" spans="1:32" ht="27.75" customHeight="1">
      <c r="A2165" s="2900" t="s">
        <v>3678</v>
      </c>
      <c r="B2165" s="2902" t="s">
        <v>3679</v>
      </c>
      <c r="C2165" s="2904" t="s">
        <v>52</v>
      </c>
      <c r="D2165" s="2906">
        <v>90014.46</v>
      </c>
      <c r="E2165" s="1603" t="s">
        <v>2497</v>
      </c>
      <c r="F2165" s="1583"/>
      <c r="G2165" s="1583"/>
      <c r="H2165" s="1583"/>
      <c r="I2165" s="1583"/>
      <c r="J2165" s="1583"/>
      <c r="K2165" s="1583"/>
      <c r="L2165" s="1583"/>
      <c r="M2165" s="1583"/>
      <c r="N2165" s="1583"/>
      <c r="O2165" s="1583"/>
      <c r="P2165" s="1583"/>
      <c r="Q2165" s="1604"/>
      <c r="R2165" s="1583"/>
      <c r="S2165" s="1583"/>
      <c r="T2165" s="1604"/>
      <c r="U2165" s="1585"/>
      <c r="V2165" s="1585"/>
      <c r="W2165" s="1585"/>
      <c r="X2165" s="1585"/>
      <c r="Y2165" s="1585"/>
      <c r="Z2165" s="1585"/>
      <c r="AA2165" s="1585"/>
      <c r="AB2165" s="1585"/>
      <c r="AC2165" s="1585"/>
      <c r="AD2165" s="1601">
        <f t="shared" si="175"/>
        <v>0</v>
      </c>
      <c r="AE2165" s="1790">
        <v>0</v>
      </c>
      <c r="AF2165" s="1792"/>
    </row>
    <row r="2166" spans="1:32" ht="27.75" customHeight="1">
      <c r="A2166" s="2899" t="s">
        <v>3680</v>
      </c>
      <c r="B2166" s="2901" t="s">
        <v>4208</v>
      </c>
      <c r="C2166" s="2903" t="s">
        <v>52</v>
      </c>
      <c r="D2166" s="2905">
        <v>17796.66</v>
      </c>
      <c r="E2166" s="1810" t="s">
        <v>2496</v>
      </c>
      <c r="F2166" s="1811"/>
      <c r="G2166" s="1811"/>
      <c r="H2166" s="1811"/>
      <c r="I2166" s="1811"/>
      <c r="J2166" s="1811"/>
      <c r="K2166" s="1811"/>
      <c r="L2166" s="1811"/>
      <c r="M2166" s="1811"/>
      <c r="N2166" s="1811"/>
      <c r="O2166" s="1811"/>
      <c r="P2166" s="1811"/>
      <c r="Q2166" s="1812"/>
      <c r="R2166" s="1811"/>
      <c r="S2166" s="1811"/>
      <c r="T2166" s="1812"/>
      <c r="U2166" s="1812"/>
      <c r="V2166" s="1812"/>
      <c r="W2166" s="1812"/>
      <c r="X2166" s="1812"/>
      <c r="Y2166" s="1812"/>
      <c r="Z2166" s="1812">
        <f>D2166</f>
        <v>17796.66</v>
      </c>
      <c r="AA2166" s="1812"/>
      <c r="AB2166" s="1812"/>
      <c r="AC2166" s="1812"/>
      <c r="AD2166" s="1601">
        <f t="shared" si="175"/>
        <v>17796.66</v>
      </c>
      <c r="AE2166" s="1790">
        <v>0</v>
      </c>
      <c r="AF2166" s="1792"/>
    </row>
    <row r="2167" spans="1:32" ht="27.75" customHeight="1">
      <c r="A2167" s="2900" t="s">
        <v>3680</v>
      </c>
      <c r="B2167" s="2902" t="s">
        <v>3681</v>
      </c>
      <c r="C2167" s="2904" t="s">
        <v>52</v>
      </c>
      <c r="D2167" s="2906">
        <v>17796.66</v>
      </c>
      <c r="E2167" s="1603" t="s">
        <v>2497</v>
      </c>
      <c r="F2167" s="1583"/>
      <c r="G2167" s="1583"/>
      <c r="H2167" s="1583"/>
      <c r="I2167" s="1583"/>
      <c r="J2167" s="1583"/>
      <c r="K2167" s="1583"/>
      <c r="L2167" s="1583"/>
      <c r="M2167" s="1583"/>
      <c r="N2167" s="1583"/>
      <c r="O2167" s="1583"/>
      <c r="P2167" s="1583"/>
      <c r="Q2167" s="1604"/>
      <c r="R2167" s="1583"/>
      <c r="S2167" s="1583"/>
      <c r="T2167" s="1604"/>
      <c r="U2167" s="1592"/>
      <c r="V2167" s="1585"/>
      <c r="W2167" s="1585"/>
      <c r="X2167" s="1585"/>
      <c r="Y2167" s="1592"/>
      <c r="Z2167" s="1585"/>
      <c r="AA2167" s="1585"/>
      <c r="AB2167" s="1585"/>
      <c r="AC2167" s="1585"/>
      <c r="AD2167" s="1601">
        <f t="shared" si="175"/>
        <v>0</v>
      </c>
      <c r="AE2167" s="1790">
        <v>0</v>
      </c>
      <c r="AF2167" s="1792"/>
    </row>
    <row r="2168" spans="1:32" ht="27.75" customHeight="1">
      <c r="A2168" s="2899" t="s">
        <v>3682</v>
      </c>
      <c r="B2168" s="2901" t="s">
        <v>4209</v>
      </c>
      <c r="C2168" s="2903" t="s">
        <v>52</v>
      </c>
      <c r="D2168" s="2905">
        <v>80605</v>
      </c>
      <c r="E2168" s="1810" t="s">
        <v>2496</v>
      </c>
      <c r="F2168" s="1811"/>
      <c r="G2168" s="1811"/>
      <c r="H2168" s="1811"/>
      <c r="I2168" s="1811"/>
      <c r="J2168" s="1811"/>
      <c r="K2168" s="1811"/>
      <c r="L2168" s="1811"/>
      <c r="M2168" s="1811"/>
      <c r="N2168" s="1811"/>
      <c r="O2168" s="1811"/>
      <c r="P2168" s="1811"/>
      <c r="Q2168" s="1812"/>
      <c r="R2168" s="1811"/>
      <c r="S2168" s="1811"/>
      <c r="T2168" s="1812"/>
      <c r="U2168" s="1812"/>
      <c r="V2168" s="1812"/>
      <c r="W2168" s="1812"/>
      <c r="X2168" s="1812"/>
      <c r="Y2168" s="1812"/>
      <c r="Z2168" s="1585">
        <f>D2168/3</f>
        <v>26868.333333333332</v>
      </c>
      <c r="AA2168" s="1812">
        <v>26868.333333333332</v>
      </c>
      <c r="AB2168" s="1812"/>
      <c r="AC2168" s="1812">
        <v>26868.333333333332</v>
      </c>
      <c r="AD2168" s="1601">
        <f t="shared" si="175"/>
        <v>80605</v>
      </c>
      <c r="AE2168" s="1790">
        <v>0</v>
      </c>
      <c r="AF2168" s="1792"/>
    </row>
    <row r="2169" spans="1:32" ht="27.75" customHeight="1">
      <c r="A2169" s="2900" t="s">
        <v>3682</v>
      </c>
      <c r="B2169" s="2902" t="s">
        <v>3683</v>
      </c>
      <c r="C2169" s="2904" t="s">
        <v>52</v>
      </c>
      <c r="D2169" s="2906">
        <v>80605</v>
      </c>
      <c r="E2169" s="1603" t="s">
        <v>2497</v>
      </c>
      <c r="F2169" s="1583"/>
      <c r="G2169" s="1583"/>
      <c r="H2169" s="1583"/>
      <c r="I2169" s="1583"/>
      <c r="J2169" s="1583"/>
      <c r="K2169" s="1583"/>
      <c r="L2169" s="1583"/>
      <c r="M2169" s="1583"/>
      <c r="N2169" s="1583"/>
      <c r="O2169" s="1583"/>
      <c r="P2169" s="1583"/>
      <c r="Q2169" s="1604"/>
      <c r="R2169" s="1583"/>
      <c r="S2169" s="1583"/>
      <c r="T2169" s="1604"/>
      <c r="U2169" s="1592"/>
      <c r="V2169" s="1585"/>
      <c r="W2169" s="1585"/>
      <c r="X2169" s="1585"/>
      <c r="Y2169" s="1592"/>
      <c r="Z2169" s="1585"/>
      <c r="AA2169" s="1585"/>
      <c r="AB2169" s="1585"/>
      <c r="AC2169" s="1585"/>
      <c r="AD2169" s="1601">
        <f t="shared" si="175"/>
        <v>0</v>
      </c>
      <c r="AE2169" s="1790">
        <v>0</v>
      </c>
      <c r="AF2169" s="1792"/>
    </row>
    <row r="2170" spans="1:32" ht="27.75" customHeight="1">
      <c r="A2170" s="2899" t="s">
        <v>3684</v>
      </c>
      <c r="B2170" s="2901" t="s">
        <v>4210</v>
      </c>
      <c r="C2170" s="2903" t="s">
        <v>52</v>
      </c>
      <c r="D2170" s="2905">
        <v>413796</v>
      </c>
      <c r="E2170" s="1810" t="s">
        <v>2496</v>
      </c>
      <c r="F2170" s="1811"/>
      <c r="G2170" s="1811"/>
      <c r="H2170" s="1811"/>
      <c r="I2170" s="1811"/>
      <c r="J2170" s="1811"/>
      <c r="K2170" s="1811"/>
      <c r="L2170" s="1811"/>
      <c r="M2170" s="1811"/>
      <c r="N2170" s="1811"/>
      <c r="O2170" s="1811"/>
      <c r="P2170" s="1811"/>
      <c r="Q2170" s="1812"/>
      <c r="R2170" s="1811"/>
      <c r="S2170" s="1811"/>
      <c r="T2170" s="1812"/>
      <c r="U2170" s="1812"/>
      <c r="V2170" s="1812"/>
      <c r="W2170" s="1812"/>
      <c r="X2170" s="1812"/>
      <c r="Y2170" s="1812"/>
      <c r="Z2170" s="1585">
        <f>D2170/3</f>
        <v>137932</v>
      </c>
      <c r="AA2170" s="1812">
        <f>Z2170</f>
        <v>137932</v>
      </c>
      <c r="AB2170" s="1812"/>
      <c r="AC2170" s="1812">
        <v>137932</v>
      </c>
      <c r="AD2170" s="1601">
        <f t="shared" si="175"/>
        <v>413796</v>
      </c>
      <c r="AE2170" s="1790">
        <v>0</v>
      </c>
      <c r="AF2170" s="1792"/>
    </row>
    <row r="2171" spans="1:32" ht="27.75" customHeight="1">
      <c r="A2171" s="2900" t="s">
        <v>3684</v>
      </c>
      <c r="B2171" s="2902" t="s">
        <v>3685</v>
      </c>
      <c r="C2171" s="2904" t="s">
        <v>52</v>
      </c>
      <c r="D2171" s="2906">
        <v>413796</v>
      </c>
      <c r="E2171" s="1603" t="s">
        <v>2497</v>
      </c>
      <c r="F2171" s="1583"/>
      <c r="G2171" s="1583"/>
      <c r="H2171" s="1583"/>
      <c r="I2171" s="1583"/>
      <c r="J2171" s="1583"/>
      <c r="K2171" s="1583"/>
      <c r="L2171" s="1583"/>
      <c r="M2171" s="1583"/>
      <c r="N2171" s="1583"/>
      <c r="O2171" s="1583"/>
      <c r="P2171" s="1583"/>
      <c r="Q2171" s="1604"/>
      <c r="R2171" s="1583"/>
      <c r="S2171" s="1583"/>
      <c r="T2171" s="1604"/>
      <c r="U2171" s="1592"/>
      <c r="V2171" s="1585"/>
      <c r="W2171" s="1585"/>
      <c r="X2171" s="1585"/>
      <c r="Y2171" s="1592"/>
      <c r="Z2171" s="1585"/>
      <c r="AA2171" s="1585"/>
      <c r="AB2171" s="1585"/>
      <c r="AC2171" s="1585"/>
      <c r="AD2171" s="1601">
        <f t="shared" si="175"/>
        <v>0</v>
      </c>
      <c r="AE2171" s="1790">
        <v>0</v>
      </c>
      <c r="AF2171" s="1792"/>
    </row>
    <row r="2172" spans="1:32" ht="27.75" customHeight="1">
      <c r="A2172" s="1647" t="s">
        <v>3686</v>
      </c>
      <c r="B2172" s="1647" t="s">
        <v>4211</v>
      </c>
      <c r="C2172" s="1803"/>
      <c r="D2172" s="1804"/>
      <c r="E2172" s="1599"/>
      <c r="F2172" s="1583"/>
      <c r="G2172" s="1583"/>
      <c r="H2172" s="1583"/>
      <c r="I2172" s="1583"/>
      <c r="J2172" s="1583"/>
      <c r="K2172" s="1583"/>
      <c r="L2172" s="1583"/>
      <c r="M2172" s="1583"/>
      <c r="N2172" s="1583"/>
      <c r="O2172" s="1583"/>
      <c r="P2172" s="1583"/>
      <c r="Q2172" s="1604"/>
      <c r="R2172" s="1583"/>
      <c r="S2172" s="1583"/>
      <c r="T2172" s="1604"/>
      <c r="U2172" s="1592"/>
      <c r="V2172" s="1585"/>
      <c r="W2172" s="1585"/>
      <c r="X2172" s="1585"/>
      <c r="Y2172" s="1592"/>
      <c r="Z2172" s="1585"/>
      <c r="AA2172" s="1585"/>
      <c r="AB2172" s="1585"/>
      <c r="AC2172" s="1585"/>
      <c r="AD2172" s="1601">
        <f t="shared" si="175"/>
        <v>0</v>
      </c>
      <c r="AE2172" s="1790">
        <v>0</v>
      </c>
      <c r="AF2172" s="1792"/>
    </row>
    <row r="2173" spans="1:32" ht="27.75" customHeight="1">
      <c r="A2173" s="2899" t="s">
        <v>3688</v>
      </c>
      <c r="B2173" s="2901" t="s">
        <v>4212</v>
      </c>
      <c r="C2173" s="2903" t="s">
        <v>51</v>
      </c>
      <c r="D2173" s="2905">
        <v>1820.7</v>
      </c>
      <c r="E2173" s="1598" t="s">
        <v>2496</v>
      </c>
      <c r="F2173" s="1583"/>
      <c r="G2173" s="1583"/>
      <c r="H2173" s="1583"/>
      <c r="I2173" s="1583"/>
      <c r="J2173" s="1583"/>
      <c r="K2173" s="1583"/>
      <c r="L2173" s="1583"/>
      <c r="M2173" s="1583"/>
      <c r="N2173" s="1583"/>
      <c r="O2173" s="1583"/>
      <c r="P2173" s="1583"/>
      <c r="Q2173" s="1585"/>
      <c r="R2173" s="1583"/>
      <c r="S2173" s="1583"/>
      <c r="T2173" s="1585"/>
      <c r="U2173" s="1585"/>
      <c r="V2173" s="1585"/>
      <c r="W2173" s="1585"/>
      <c r="X2173" s="1585"/>
      <c r="Y2173" s="1585"/>
      <c r="Z2173" s="1585">
        <f>D2173</f>
        <v>1820.7</v>
      </c>
      <c r="AA2173" s="1585"/>
      <c r="AB2173" s="1585"/>
      <c r="AC2173" s="1585"/>
      <c r="AD2173" s="1601">
        <f t="shared" si="175"/>
        <v>1820.7</v>
      </c>
      <c r="AE2173" s="1790">
        <v>0</v>
      </c>
      <c r="AF2173" s="1792"/>
    </row>
    <row r="2174" spans="1:32" ht="27.75" customHeight="1">
      <c r="A2174" s="2900" t="s">
        <v>3688</v>
      </c>
      <c r="B2174" s="2902" t="s">
        <v>3689</v>
      </c>
      <c r="C2174" s="2904" t="s">
        <v>51</v>
      </c>
      <c r="D2174" s="2906">
        <v>1820.7</v>
      </c>
      <c r="E2174" s="1603" t="s">
        <v>2497</v>
      </c>
      <c r="F2174" s="1583"/>
      <c r="G2174" s="1583"/>
      <c r="H2174" s="1583"/>
      <c r="I2174" s="1583"/>
      <c r="J2174" s="1583"/>
      <c r="K2174" s="1583"/>
      <c r="L2174" s="1583"/>
      <c r="M2174" s="1583"/>
      <c r="N2174" s="1583"/>
      <c r="O2174" s="1583"/>
      <c r="P2174" s="1583"/>
      <c r="Q2174" s="1604"/>
      <c r="R2174" s="1583"/>
      <c r="S2174" s="1583"/>
      <c r="T2174" s="1604"/>
      <c r="U2174" s="1585"/>
      <c r="V2174" s="1585"/>
      <c r="W2174" s="1585"/>
      <c r="X2174" s="1585"/>
      <c r="Y2174" s="1585"/>
      <c r="Z2174" s="1585"/>
      <c r="AA2174" s="1585"/>
      <c r="AB2174" s="1585"/>
      <c r="AC2174" s="1585"/>
      <c r="AD2174" s="1601">
        <f t="shared" si="175"/>
        <v>0</v>
      </c>
      <c r="AE2174" s="1790">
        <v>0</v>
      </c>
      <c r="AF2174" s="1792"/>
    </row>
    <row r="2175" spans="1:32" ht="27.75" customHeight="1">
      <c r="A2175" s="1647" t="s">
        <v>3690</v>
      </c>
      <c r="B2175" s="1647" t="s">
        <v>2076</v>
      </c>
      <c r="C2175" s="1805"/>
      <c r="D2175" s="1804"/>
      <c r="E2175" s="1820"/>
      <c r="F2175" s="1811"/>
      <c r="G2175" s="1811"/>
      <c r="H2175" s="1811"/>
      <c r="I2175" s="1811"/>
      <c r="J2175" s="1811"/>
      <c r="K2175" s="1811"/>
      <c r="L2175" s="1811"/>
      <c r="M2175" s="1811"/>
      <c r="N2175" s="1811"/>
      <c r="O2175" s="1811"/>
      <c r="P2175" s="1811"/>
      <c r="Q2175" s="1814"/>
      <c r="R2175" s="1811"/>
      <c r="S2175" s="1811"/>
      <c r="T2175" s="1814"/>
      <c r="U2175" s="1812"/>
      <c r="V2175" s="1812"/>
      <c r="W2175" s="1812"/>
      <c r="X2175" s="1812"/>
      <c r="Y2175" s="1812"/>
      <c r="Z2175" s="1812"/>
      <c r="AA2175" s="1812"/>
      <c r="AB2175" s="1812"/>
      <c r="AC2175" s="1812"/>
      <c r="AD2175" s="1601">
        <f t="shared" si="175"/>
        <v>0</v>
      </c>
      <c r="AE2175" s="1790">
        <v>0</v>
      </c>
      <c r="AF2175" s="1792"/>
    </row>
    <row r="2176" spans="1:32" ht="27.75" customHeight="1">
      <c r="A2176" s="2899" t="s">
        <v>3692</v>
      </c>
      <c r="B2176" s="2901" t="s">
        <v>4213</v>
      </c>
      <c r="C2176" s="2903" t="s">
        <v>52</v>
      </c>
      <c r="D2176" s="2905">
        <v>15000</v>
      </c>
      <c r="E2176" s="1810" t="s">
        <v>2496</v>
      </c>
      <c r="F2176" s="1811"/>
      <c r="G2176" s="1811"/>
      <c r="H2176" s="1811"/>
      <c r="I2176" s="1811"/>
      <c r="J2176" s="1811"/>
      <c r="K2176" s="1811"/>
      <c r="L2176" s="1811"/>
      <c r="M2176" s="1811"/>
      <c r="N2176" s="1811"/>
      <c r="O2176" s="1811"/>
      <c r="P2176" s="1811"/>
      <c r="Q2176" s="1812"/>
      <c r="R2176" s="1811"/>
      <c r="S2176" s="1811"/>
      <c r="T2176" s="1812"/>
      <c r="U2176" s="1812"/>
      <c r="V2176" s="1812"/>
      <c r="W2176" s="1812"/>
      <c r="X2176" s="1812"/>
      <c r="Y2176" s="1812"/>
      <c r="Z2176" s="1812"/>
      <c r="AA2176" s="1812"/>
      <c r="AB2176" s="1812"/>
      <c r="AC2176" s="1812"/>
      <c r="AD2176" s="1601">
        <f t="shared" si="175"/>
        <v>0</v>
      </c>
      <c r="AE2176" s="1790">
        <v>0</v>
      </c>
      <c r="AF2176" s="1792"/>
    </row>
    <row r="2177" spans="1:32" ht="27.75" customHeight="1">
      <c r="A2177" s="2900" t="s">
        <v>3692</v>
      </c>
      <c r="B2177" s="2902" t="s">
        <v>3693</v>
      </c>
      <c r="C2177" s="2904" t="s">
        <v>52</v>
      </c>
      <c r="D2177" s="2906">
        <v>15000</v>
      </c>
      <c r="E2177" s="1603" t="s">
        <v>2497</v>
      </c>
      <c r="F2177" s="1583"/>
      <c r="G2177" s="1583"/>
      <c r="H2177" s="1583"/>
      <c r="I2177" s="1583"/>
      <c r="J2177" s="1583"/>
      <c r="K2177" s="1583"/>
      <c r="L2177" s="1583"/>
      <c r="M2177" s="1583"/>
      <c r="N2177" s="1583"/>
      <c r="O2177" s="1583"/>
      <c r="P2177" s="1583"/>
      <c r="Q2177" s="1604"/>
      <c r="R2177" s="1583"/>
      <c r="S2177" s="1583"/>
      <c r="T2177" s="1604"/>
      <c r="U2177" s="1592"/>
      <c r="V2177" s="1585"/>
      <c r="W2177" s="1585"/>
      <c r="X2177" s="1585"/>
      <c r="Y2177" s="1592"/>
      <c r="Z2177" s="1585"/>
      <c r="AA2177" s="1585"/>
      <c r="AB2177" s="1585"/>
      <c r="AC2177" s="1585"/>
      <c r="AD2177" s="1601">
        <f t="shared" si="175"/>
        <v>0</v>
      </c>
      <c r="AE2177" s="1790">
        <v>0</v>
      </c>
      <c r="AF2177" s="1792"/>
    </row>
    <row r="2178" spans="1:32" ht="27.75" customHeight="1">
      <c r="A2178" s="2899" t="s">
        <v>3694</v>
      </c>
      <c r="B2178" s="2901" t="s">
        <v>2078</v>
      </c>
      <c r="C2178" s="2903" t="s">
        <v>52</v>
      </c>
      <c r="D2178" s="2905">
        <v>12260</v>
      </c>
      <c r="E2178" s="1598" t="s">
        <v>2496</v>
      </c>
      <c r="F2178" s="1583"/>
      <c r="G2178" s="1583"/>
      <c r="H2178" s="1583"/>
      <c r="I2178" s="1583"/>
      <c r="J2178" s="1583"/>
      <c r="K2178" s="1583"/>
      <c r="L2178" s="1583"/>
      <c r="M2178" s="1583"/>
      <c r="N2178" s="1583"/>
      <c r="O2178" s="1583"/>
      <c r="P2178" s="1583"/>
      <c r="Q2178" s="1585"/>
      <c r="R2178" s="1583"/>
      <c r="S2178" s="1583"/>
      <c r="T2178" s="1585"/>
      <c r="U2178" s="1585"/>
      <c r="V2178" s="1585"/>
      <c r="W2178" s="1585"/>
      <c r="X2178" s="1585"/>
      <c r="Y2178" s="1585"/>
      <c r="Z2178" s="1585"/>
      <c r="AA2178" s="1585"/>
      <c r="AB2178" s="1585"/>
      <c r="AC2178" s="1812"/>
      <c r="AD2178" s="1601">
        <f t="shared" si="175"/>
        <v>0</v>
      </c>
      <c r="AE2178" s="1790">
        <v>0</v>
      </c>
      <c r="AF2178" s="1792"/>
    </row>
    <row r="2179" spans="1:32" ht="27.75" customHeight="1">
      <c r="A2179" s="2900" t="s">
        <v>3694</v>
      </c>
      <c r="B2179" s="2902" t="s">
        <v>3695</v>
      </c>
      <c r="C2179" s="2904" t="s">
        <v>52</v>
      </c>
      <c r="D2179" s="2906">
        <v>12260</v>
      </c>
      <c r="E2179" s="1603" t="s">
        <v>2497</v>
      </c>
      <c r="F2179" s="1583"/>
      <c r="G2179" s="1583"/>
      <c r="H2179" s="1583"/>
      <c r="I2179" s="1583"/>
      <c r="J2179" s="1583"/>
      <c r="K2179" s="1583"/>
      <c r="L2179" s="1583"/>
      <c r="M2179" s="1583"/>
      <c r="N2179" s="1583"/>
      <c r="O2179" s="1583"/>
      <c r="P2179" s="1583"/>
      <c r="Q2179" s="1604"/>
      <c r="R2179" s="1583"/>
      <c r="S2179" s="1583"/>
      <c r="T2179" s="1604"/>
      <c r="U2179" s="1585"/>
      <c r="V2179" s="1585"/>
      <c r="W2179" s="1585"/>
      <c r="X2179" s="1585"/>
      <c r="Y2179" s="1585"/>
      <c r="Z2179" s="1585"/>
      <c r="AA2179" s="1585"/>
      <c r="AB2179" s="1585"/>
      <c r="AC2179" s="1585"/>
      <c r="AD2179" s="1601">
        <f t="shared" si="175"/>
        <v>0</v>
      </c>
      <c r="AE2179" s="1790">
        <v>0</v>
      </c>
      <c r="AF2179" s="1792"/>
    </row>
    <row r="2180" spans="1:32" ht="27.75" customHeight="1">
      <c r="A2180" s="2899" t="s">
        <v>3696</v>
      </c>
      <c r="B2180" s="2901" t="s">
        <v>2079</v>
      </c>
      <c r="C2180" s="2903" t="s">
        <v>52</v>
      </c>
      <c r="D2180" s="2905">
        <v>10940</v>
      </c>
      <c r="E2180" s="1810" t="s">
        <v>2496</v>
      </c>
      <c r="F2180" s="1811"/>
      <c r="G2180" s="1811"/>
      <c r="H2180" s="1811"/>
      <c r="I2180" s="1811"/>
      <c r="J2180" s="1811"/>
      <c r="K2180" s="1811"/>
      <c r="L2180" s="1811"/>
      <c r="M2180" s="1811"/>
      <c r="N2180" s="1811"/>
      <c r="O2180" s="1811"/>
      <c r="P2180" s="1811"/>
      <c r="Q2180" s="1812"/>
      <c r="R2180" s="1811"/>
      <c r="S2180" s="1811"/>
      <c r="T2180" s="1812"/>
      <c r="U2180" s="1812"/>
      <c r="V2180" s="1812"/>
      <c r="W2180" s="1812"/>
      <c r="X2180" s="1812"/>
      <c r="Y2180" s="1812"/>
      <c r="Z2180" s="1812"/>
      <c r="AA2180" s="1812"/>
      <c r="AB2180" s="1812"/>
      <c r="AC2180" s="1812"/>
      <c r="AD2180" s="1601">
        <f t="shared" si="175"/>
        <v>0</v>
      </c>
      <c r="AE2180" s="1790">
        <v>0</v>
      </c>
      <c r="AF2180" s="1792"/>
    </row>
    <row r="2181" spans="1:32" ht="27.75" customHeight="1">
      <c r="A2181" s="2900" t="s">
        <v>3696</v>
      </c>
      <c r="B2181" s="2902" t="s">
        <v>3697</v>
      </c>
      <c r="C2181" s="2904" t="s">
        <v>52</v>
      </c>
      <c r="D2181" s="2906">
        <v>10940</v>
      </c>
      <c r="E2181" s="1603" t="s">
        <v>2497</v>
      </c>
      <c r="F2181" s="1583"/>
      <c r="G2181" s="1583"/>
      <c r="H2181" s="1583"/>
      <c r="I2181" s="1583"/>
      <c r="J2181" s="1583"/>
      <c r="K2181" s="1583"/>
      <c r="L2181" s="1583"/>
      <c r="M2181" s="1583"/>
      <c r="N2181" s="1583"/>
      <c r="O2181" s="1583"/>
      <c r="P2181" s="1583"/>
      <c r="Q2181" s="1604"/>
      <c r="R2181" s="1583"/>
      <c r="S2181" s="1583"/>
      <c r="T2181" s="1604"/>
      <c r="U2181" s="1592"/>
      <c r="V2181" s="1585"/>
      <c r="W2181" s="1585"/>
      <c r="X2181" s="1585"/>
      <c r="Y2181" s="1592"/>
      <c r="Z2181" s="1585"/>
      <c r="AA2181" s="1585"/>
      <c r="AB2181" s="1585"/>
      <c r="AC2181" s="1585"/>
      <c r="AD2181" s="1601">
        <f t="shared" si="175"/>
        <v>0</v>
      </c>
      <c r="AE2181" s="1790">
        <v>0</v>
      </c>
      <c r="AF2181" s="1792"/>
    </row>
    <row r="2182" spans="1:32" ht="27.75" customHeight="1">
      <c r="A2182" s="1647" t="s">
        <v>3698</v>
      </c>
      <c r="B2182" s="1647" t="s">
        <v>2083</v>
      </c>
      <c r="C2182" s="1625"/>
      <c r="D2182" s="1597"/>
      <c r="E2182" s="1599"/>
      <c r="F2182" s="1811"/>
      <c r="G2182" s="1811"/>
      <c r="H2182" s="1811"/>
      <c r="I2182" s="1811"/>
      <c r="J2182" s="1811"/>
      <c r="K2182" s="1811"/>
      <c r="L2182" s="1811"/>
      <c r="M2182" s="1811"/>
      <c r="N2182" s="1811"/>
      <c r="O2182" s="1811"/>
      <c r="P2182" s="1811"/>
      <c r="Q2182" s="1814"/>
      <c r="R2182" s="1811"/>
      <c r="S2182" s="1811"/>
      <c r="T2182" s="1814"/>
      <c r="U2182" s="1816"/>
      <c r="V2182" s="1812"/>
      <c r="W2182" s="1812"/>
      <c r="X2182" s="1812"/>
      <c r="Y2182" s="1816"/>
      <c r="Z2182" s="1812"/>
      <c r="AA2182" s="1812"/>
      <c r="AB2182" s="1812"/>
      <c r="AC2182" s="1812"/>
      <c r="AD2182" s="1601">
        <f t="shared" si="175"/>
        <v>0</v>
      </c>
      <c r="AE2182" s="1790">
        <v>0</v>
      </c>
      <c r="AF2182" s="1792"/>
    </row>
    <row r="2183" spans="1:32" ht="27.75" customHeight="1">
      <c r="A2183" s="1795" t="s">
        <v>3700</v>
      </c>
      <c r="B2183" s="1795" t="s">
        <v>1977</v>
      </c>
      <c r="C2183" s="1625"/>
      <c r="D2183" s="1597"/>
      <c r="E2183" s="1599"/>
      <c r="F2183" s="1811"/>
      <c r="G2183" s="1811"/>
      <c r="H2183" s="1811"/>
      <c r="I2183" s="1811"/>
      <c r="J2183" s="1811"/>
      <c r="K2183" s="1811"/>
      <c r="L2183" s="1811"/>
      <c r="M2183" s="1811"/>
      <c r="N2183" s="1811"/>
      <c r="O2183" s="1811"/>
      <c r="P2183" s="1811"/>
      <c r="Q2183" s="1814"/>
      <c r="R2183" s="1811"/>
      <c r="S2183" s="1811"/>
      <c r="T2183" s="1814"/>
      <c r="U2183" s="1816"/>
      <c r="V2183" s="1812"/>
      <c r="W2183" s="1812"/>
      <c r="X2183" s="1812"/>
      <c r="Y2183" s="1816"/>
      <c r="Z2183" s="1812"/>
      <c r="AA2183" s="1812"/>
      <c r="AB2183" s="1812"/>
      <c r="AC2183" s="1812"/>
      <c r="AD2183" s="1601">
        <f t="shared" si="175"/>
        <v>0</v>
      </c>
      <c r="AE2183" s="1790">
        <v>0</v>
      </c>
      <c r="AF2183" s="1792"/>
    </row>
    <row r="2184" spans="1:32" ht="27.75" customHeight="1">
      <c r="A2184" s="2899" t="s">
        <v>3701</v>
      </c>
      <c r="B2184" s="2901" t="s">
        <v>4214</v>
      </c>
      <c r="C2184" s="2903" t="s">
        <v>52</v>
      </c>
      <c r="D2184" s="2905">
        <v>86715.85</v>
      </c>
      <c r="E2184" s="1810" t="s">
        <v>2496</v>
      </c>
      <c r="F2184" s="1811"/>
      <c r="G2184" s="1811"/>
      <c r="H2184" s="1811"/>
      <c r="I2184" s="1811"/>
      <c r="J2184" s="1811"/>
      <c r="K2184" s="1811"/>
      <c r="L2184" s="1811"/>
      <c r="M2184" s="1811"/>
      <c r="N2184" s="1811"/>
      <c r="O2184" s="1811"/>
      <c r="P2184" s="1811"/>
      <c r="Q2184" s="1812"/>
      <c r="R2184" s="1811"/>
      <c r="S2184" s="1811"/>
      <c r="T2184" s="1812"/>
      <c r="U2184" s="1812"/>
      <c r="V2184" s="1812"/>
      <c r="W2184" s="1812"/>
      <c r="X2184" s="1812"/>
      <c r="Y2184" s="1812"/>
      <c r="Z2184" s="1812">
        <f>D2184/2</f>
        <v>43357.925000000003</v>
      </c>
      <c r="AA2184" s="1812">
        <v>43357.925000000003</v>
      </c>
      <c r="AB2184" s="1812"/>
      <c r="AC2184" s="1812"/>
      <c r="AD2184" s="1601">
        <f t="shared" si="175"/>
        <v>86715.85</v>
      </c>
      <c r="AE2184" s="1790">
        <v>0</v>
      </c>
      <c r="AF2184" s="1792"/>
    </row>
    <row r="2185" spans="1:32" ht="27.75" customHeight="1">
      <c r="A2185" s="2900" t="s">
        <v>3701</v>
      </c>
      <c r="B2185" s="2902" t="s">
        <v>3702</v>
      </c>
      <c r="C2185" s="2904" t="s">
        <v>52</v>
      </c>
      <c r="D2185" s="2906">
        <v>179015.85</v>
      </c>
      <c r="E2185" s="1603" t="s">
        <v>2497</v>
      </c>
      <c r="F2185" s="1583"/>
      <c r="G2185" s="1583"/>
      <c r="H2185" s="1583"/>
      <c r="I2185" s="1583"/>
      <c r="J2185" s="1583"/>
      <c r="K2185" s="1583"/>
      <c r="L2185" s="1583"/>
      <c r="M2185" s="1583"/>
      <c r="N2185" s="1583"/>
      <c r="O2185" s="1583"/>
      <c r="P2185" s="1583"/>
      <c r="Q2185" s="1604"/>
      <c r="R2185" s="1583"/>
      <c r="S2185" s="1583"/>
      <c r="T2185" s="1604"/>
      <c r="U2185" s="1592"/>
      <c r="V2185" s="1585"/>
      <c r="W2185" s="1585"/>
      <c r="X2185" s="1585"/>
      <c r="Y2185" s="1592"/>
      <c r="Z2185" s="1585"/>
      <c r="AA2185" s="1585"/>
      <c r="AB2185" s="1585"/>
      <c r="AC2185" s="1585"/>
      <c r="AD2185" s="1601">
        <f t="shared" si="175"/>
        <v>0</v>
      </c>
      <c r="AE2185" s="1790">
        <v>0</v>
      </c>
      <c r="AF2185" s="1792"/>
    </row>
    <row r="2186" spans="1:32" ht="27.75" customHeight="1">
      <c r="A2186" s="1795" t="s">
        <v>3703</v>
      </c>
      <c r="B2186" s="1795" t="s">
        <v>2102</v>
      </c>
      <c r="C2186" s="1805"/>
      <c r="D2186" s="1804"/>
      <c r="E2186" s="1820"/>
      <c r="F2186" s="1811"/>
      <c r="G2186" s="1811"/>
      <c r="H2186" s="1811"/>
      <c r="I2186" s="1811"/>
      <c r="J2186" s="1811"/>
      <c r="K2186" s="1811"/>
      <c r="L2186" s="1811"/>
      <c r="M2186" s="1811"/>
      <c r="N2186" s="1811"/>
      <c r="O2186" s="1811"/>
      <c r="P2186" s="1811"/>
      <c r="Q2186" s="1814"/>
      <c r="R2186" s="1811"/>
      <c r="S2186" s="1811"/>
      <c r="T2186" s="1814"/>
      <c r="U2186" s="1816"/>
      <c r="V2186" s="1812"/>
      <c r="W2186" s="1812"/>
      <c r="X2186" s="1812"/>
      <c r="Y2186" s="1816"/>
      <c r="Z2186" s="1812"/>
      <c r="AA2186" s="1812"/>
      <c r="AB2186" s="1812"/>
      <c r="AC2186" s="1812"/>
      <c r="AD2186" s="1601">
        <f t="shared" si="175"/>
        <v>0</v>
      </c>
      <c r="AE2186" s="1790">
        <v>0</v>
      </c>
      <c r="AF2186" s="1792"/>
    </row>
    <row r="2187" spans="1:32" ht="27.75" customHeight="1">
      <c r="A2187" s="2899" t="s">
        <v>3705</v>
      </c>
      <c r="B2187" s="2901" t="s">
        <v>4215</v>
      </c>
      <c r="C2187" s="2903" t="s">
        <v>52</v>
      </c>
      <c r="D2187" s="2905">
        <v>77812</v>
      </c>
      <c r="E2187" s="1810" t="s">
        <v>2496</v>
      </c>
      <c r="F2187" s="1811"/>
      <c r="G2187" s="1811"/>
      <c r="H2187" s="1811"/>
      <c r="I2187" s="1811"/>
      <c r="J2187" s="1811"/>
      <c r="K2187" s="1811"/>
      <c r="L2187" s="1811"/>
      <c r="M2187" s="1811"/>
      <c r="N2187" s="1811"/>
      <c r="O2187" s="1811"/>
      <c r="P2187" s="1811"/>
      <c r="Q2187" s="1812"/>
      <c r="R2187" s="1811"/>
      <c r="S2187" s="1811"/>
      <c r="T2187" s="1812"/>
      <c r="U2187" s="1812"/>
      <c r="V2187" s="1812"/>
      <c r="W2187" s="1812"/>
      <c r="X2187" s="1812"/>
      <c r="Y2187" s="1812"/>
      <c r="Z2187" s="1812"/>
      <c r="AA2187" s="1812">
        <f>D2187</f>
        <v>77812</v>
      </c>
      <c r="AB2187" s="1812"/>
      <c r="AC2187" s="1812"/>
      <c r="AD2187" s="1601">
        <f t="shared" si="175"/>
        <v>77812</v>
      </c>
      <c r="AE2187" s="1790">
        <v>0</v>
      </c>
      <c r="AF2187" s="1792"/>
    </row>
    <row r="2188" spans="1:32" ht="27.75" customHeight="1">
      <c r="A2188" s="2900" t="s">
        <v>3705</v>
      </c>
      <c r="B2188" s="2902" t="s">
        <v>3706</v>
      </c>
      <c r="C2188" s="2904" t="s">
        <v>52</v>
      </c>
      <c r="D2188" s="2906">
        <v>77812</v>
      </c>
      <c r="E2188" s="1603" t="s">
        <v>2497</v>
      </c>
      <c r="F2188" s="1583"/>
      <c r="G2188" s="1583"/>
      <c r="H2188" s="1583"/>
      <c r="I2188" s="1583"/>
      <c r="J2188" s="1583"/>
      <c r="K2188" s="1583"/>
      <c r="L2188" s="1583"/>
      <c r="M2188" s="1583"/>
      <c r="N2188" s="1583"/>
      <c r="O2188" s="1583"/>
      <c r="P2188" s="1583"/>
      <c r="Q2188" s="1604"/>
      <c r="R2188" s="1583"/>
      <c r="S2188" s="1583"/>
      <c r="T2188" s="1604"/>
      <c r="U2188" s="1592"/>
      <c r="V2188" s="1585"/>
      <c r="W2188" s="1585"/>
      <c r="X2188" s="1585"/>
      <c r="Y2188" s="1592"/>
      <c r="Z2188" s="1585"/>
      <c r="AA2188" s="1585"/>
      <c r="AB2188" s="1585"/>
      <c r="AC2188" s="1585"/>
      <c r="AD2188" s="1601">
        <f t="shared" si="175"/>
        <v>0</v>
      </c>
      <c r="AE2188" s="1790">
        <v>0</v>
      </c>
      <c r="AF2188" s="1792"/>
    </row>
    <row r="2189" spans="1:32" ht="27.75" customHeight="1">
      <c r="A2189" s="2899" t="s">
        <v>3707</v>
      </c>
      <c r="B2189" s="2901" t="s">
        <v>4216</v>
      </c>
      <c r="C2189" s="2903" t="s">
        <v>52</v>
      </c>
      <c r="D2189" s="2905">
        <v>170640.75</v>
      </c>
      <c r="E2189" s="1598" t="s">
        <v>2496</v>
      </c>
      <c r="F2189" s="1583"/>
      <c r="G2189" s="1583"/>
      <c r="H2189" s="1583"/>
      <c r="I2189" s="1583"/>
      <c r="J2189" s="1583"/>
      <c r="K2189" s="1583"/>
      <c r="L2189" s="1583"/>
      <c r="M2189" s="1583"/>
      <c r="N2189" s="1583"/>
      <c r="O2189" s="1583"/>
      <c r="P2189" s="1583"/>
      <c r="Q2189" s="1585"/>
      <c r="R2189" s="1583"/>
      <c r="S2189" s="1583"/>
      <c r="T2189" s="1585"/>
      <c r="U2189" s="1585"/>
      <c r="V2189" s="1585"/>
      <c r="W2189" s="1585"/>
      <c r="X2189" s="1585"/>
      <c r="Y2189" s="1585"/>
      <c r="Z2189" s="1585"/>
      <c r="AA2189" s="1585">
        <f>D2189/2</f>
        <v>85320.375</v>
      </c>
      <c r="AB2189" s="1585"/>
      <c r="AC2189" s="1585">
        <v>85320.375</v>
      </c>
      <c r="AD2189" s="1601">
        <f t="shared" si="175"/>
        <v>170640.75</v>
      </c>
      <c r="AE2189" s="1790">
        <v>0</v>
      </c>
      <c r="AF2189" s="1792"/>
    </row>
    <row r="2190" spans="1:32" ht="27.75" customHeight="1">
      <c r="A2190" s="2900" t="s">
        <v>3707</v>
      </c>
      <c r="B2190" s="2902" t="s">
        <v>3708</v>
      </c>
      <c r="C2190" s="2904" t="s">
        <v>52</v>
      </c>
      <c r="D2190" s="2906">
        <v>170640.75</v>
      </c>
      <c r="E2190" s="1603" t="s">
        <v>2497</v>
      </c>
      <c r="F2190" s="1583"/>
      <c r="G2190" s="1583"/>
      <c r="H2190" s="1583"/>
      <c r="I2190" s="1583"/>
      <c r="J2190" s="1583"/>
      <c r="K2190" s="1583"/>
      <c r="L2190" s="1583"/>
      <c r="M2190" s="1583"/>
      <c r="N2190" s="1583"/>
      <c r="O2190" s="1583"/>
      <c r="P2190" s="1583"/>
      <c r="Q2190" s="1604"/>
      <c r="R2190" s="1583"/>
      <c r="S2190" s="1583"/>
      <c r="T2190" s="1604"/>
      <c r="U2190" s="1585"/>
      <c r="V2190" s="1585"/>
      <c r="W2190" s="1585"/>
      <c r="X2190" s="1585"/>
      <c r="Y2190" s="1585"/>
      <c r="Z2190" s="1585"/>
      <c r="AA2190" s="1585"/>
      <c r="AB2190" s="1585"/>
      <c r="AC2190" s="1585"/>
      <c r="AD2190" s="1601">
        <f t="shared" si="175"/>
        <v>0</v>
      </c>
      <c r="AE2190" s="1790">
        <v>0</v>
      </c>
      <c r="AF2190" s="1792"/>
    </row>
    <row r="2191" spans="1:32" ht="27.75" customHeight="1">
      <c r="A2191" s="1795" t="s">
        <v>3709</v>
      </c>
      <c r="B2191" s="1795" t="s">
        <v>2027</v>
      </c>
      <c r="C2191" s="1803"/>
      <c r="D2191" s="1804"/>
      <c r="E2191" s="1813"/>
      <c r="F2191" s="1811"/>
      <c r="G2191" s="1811"/>
      <c r="H2191" s="1811"/>
      <c r="I2191" s="1811"/>
      <c r="J2191" s="1811"/>
      <c r="K2191" s="1811"/>
      <c r="L2191" s="1811"/>
      <c r="M2191" s="1811"/>
      <c r="N2191" s="1811"/>
      <c r="O2191" s="1811"/>
      <c r="P2191" s="1811"/>
      <c r="Q2191" s="1814"/>
      <c r="R2191" s="1811"/>
      <c r="S2191" s="1811"/>
      <c r="T2191" s="1814"/>
      <c r="U2191" s="1812"/>
      <c r="V2191" s="1812"/>
      <c r="W2191" s="1812"/>
      <c r="X2191" s="1812"/>
      <c r="Y2191" s="1812"/>
      <c r="Z2191" s="1812"/>
      <c r="AA2191" s="1812"/>
      <c r="AB2191" s="1812"/>
      <c r="AC2191" s="1812"/>
      <c r="AD2191" s="1601">
        <f t="shared" si="175"/>
        <v>0</v>
      </c>
      <c r="AE2191" s="1790">
        <v>0</v>
      </c>
      <c r="AF2191" s="1792"/>
    </row>
    <row r="2192" spans="1:32" ht="27.75" customHeight="1">
      <c r="A2192" s="2899" t="s">
        <v>3711</v>
      </c>
      <c r="B2192" s="2901" t="s">
        <v>4217</v>
      </c>
      <c r="C2192" s="2903" t="s">
        <v>52</v>
      </c>
      <c r="D2192" s="2905">
        <v>2076.3000000000002</v>
      </c>
      <c r="E2192" s="1810" t="s">
        <v>2496</v>
      </c>
      <c r="F2192" s="1811"/>
      <c r="G2192" s="1811"/>
      <c r="H2192" s="1811"/>
      <c r="I2192" s="1811"/>
      <c r="J2192" s="1811"/>
      <c r="K2192" s="1811"/>
      <c r="L2192" s="1811"/>
      <c r="M2192" s="1811"/>
      <c r="N2192" s="1811"/>
      <c r="O2192" s="1811"/>
      <c r="P2192" s="1811"/>
      <c r="Q2192" s="1812"/>
      <c r="R2192" s="1811"/>
      <c r="S2192" s="1811"/>
      <c r="T2192" s="1812"/>
      <c r="U2192" s="1812"/>
      <c r="V2192" s="1812"/>
      <c r="W2192" s="1812"/>
      <c r="X2192" s="1812"/>
      <c r="Y2192" s="1812"/>
      <c r="Z2192" s="1812"/>
      <c r="AA2192" s="1812">
        <f>D2192</f>
        <v>2076.3000000000002</v>
      </c>
      <c r="AB2192" s="1812"/>
      <c r="AC2192" s="1812"/>
      <c r="AD2192" s="1601">
        <f t="shared" si="175"/>
        <v>2076.3000000000002</v>
      </c>
      <c r="AE2192" s="1790">
        <v>0</v>
      </c>
      <c r="AF2192" s="1792"/>
    </row>
    <row r="2193" spans="1:32" ht="27.75" customHeight="1">
      <c r="A2193" s="2900" t="s">
        <v>3711</v>
      </c>
      <c r="B2193" s="2902" t="s">
        <v>3712</v>
      </c>
      <c r="C2193" s="2904" t="s">
        <v>52</v>
      </c>
      <c r="D2193" s="2906">
        <v>2076.3000000000002</v>
      </c>
      <c r="E2193" s="1603" t="s">
        <v>2497</v>
      </c>
      <c r="F2193" s="1583"/>
      <c r="G2193" s="1583"/>
      <c r="H2193" s="1583"/>
      <c r="I2193" s="1583"/>
      <c r="J2193" s="1583"/>
      <c r="K2193" s="1583"/>
      <c r="L2193" s="1583"/>
      <c r="M2193" s="1583"/>
      <c r="N2193" s="1583"/>
      <c r="O2193" s="1583"/>
      <c r="P2193" s="1583"/>
      <c r="Q2193" s="1604"/>
      <c r="R2193" s="1583"/>
      <c r="S2193" s="1583"/>
      <c r="T2193" s="1604"/>
      <c r="U2193" s="1592"/>
      <c r="V2193" s="1585"/>
      <c r="W2193" s="1585"/>
      <c r="X2193" s="1585"/>
      <c r="Y2193" s="1592"/>
      <c r="Z2193" s="1585"/>
      <c r="AA2193" s="1585"/>
      <c r="AB2193" s="1585"/>
      <c r="AC2193" s="1585"/>
      <c r="AD2193" s="1601">
        <f t="shared" ref="AD2193:AD2256" si="176">SUM(F2193:AC2193)</f>
        <v>0</v>
      </c>
      <c r="AE2193" s="1790">
        <v>0</v>
      </c>
      <c r="AF2193" s="1792"/>
    </row>
    <row r="2194" spans="1:32" ht="27.75" customHeight="1">
      <c r="A2194" s="2899" t="s">
        <v>3713</v>
      </c>
      <c r="B2194" s="2901" t="s">
        <v>4218</v>
      </c>
      <c r="C2194" s="2903" t="s">
        <v>52</v>
      </c>
      <c r="D2194" s="2905">
        <v>732.6</v>
      </c>
      <c r="E2194" s="1810" t="s">
        <v>2496</v>
      </c>
      <c r="F2194" s="1811"/>
      <c r="G2194" s="1811"/>
      <c r="H2194" s="1811"/>
      <c r="I2194" s="1811"/>
      <c r="J2194" s="1811"/>
      <c r="K2194" s="1811"/>
      <c r="L2194" s="1811"/>
      <c r="M2194" s="1811"/>
      <c r="N2194" s="1811"/>
      <c r="O2194" s="1811"/>
      <c r="P2194" s="1811"/>
      <c r="Q2194" s="1812"/>
      <c r="R2194" s="1811"/>
      <c r="S2194" s="1811"/>
      <c r="T2194" s="1812"/>
      <c r="U2194" s="1812"/>
      <c r="V2194" s="1812"/>
      <c r="W2194" s="1812"/>
      <c r="X2194" s="1812"/>
      <c r="Y2194" s="1812"/>
      <c r="Z2194" s="1812"/>
      <c r="AA2194" s="1812">
        <f>D2194</f>
        <v>732.6</v>
      </c>
      <c r="AB2194" s="1812"/>
      <c r="AC2194" s="1812"/>
      <c r="AD2194" s="1601">
        <f t="shared" si="176"/>
        <v>732.6</v>
      </c>
      <c r="AE2194" s="1790">
        <v>0</v>
      </c>
      <c r="AF2194" s="1792"/>
    </row>
    <row r="2195" spans="1:32" ht="27.75" customHeight="1">
      <c r="A2195" s="2900" t="s">
        <v>3713</v>
      </c>
      <c r="B2195" s="2902" t="s">
        <v>3714</v>
      </c>
      <c r="C2195" s="2904" t="s">
        <v>52</v>
      </c>
      <c r="D2195" s="2906">
        <v>732.6</v>
      </c>
      <c r="E2195" s="1603" t="s">
        <v>2497</v>
      </c>
      <c r="F2195" s="1583"/>
      <c r="G2195" s="1583"/>
      <c r="H2195" s="1583"/>
      <c r="I2195" s="1583"/>
      <c r="J2195" s="1583"/>
      <c r="K2195" s="1583"/>
      <c r="L2195" s="1583"/>
      <c r="M2195" s="1583"/>
      <c r="N2195" s="1583"/>
      <c r="O2195" s="1583"/>
      <c r="P2195" s="1583"/>
      <c r="Q2195" s="1604"/>
      <c r="R2195" s="1583"/>
      <c r="S2195" s="1583"/>
      <c r="T2195" s="1604"/>
      <c r="U2195" s="1592"/>
      <c r="V2195" s="1585"/>
      <c r="W2195" s="1585"/>
      <c r="X2195" s="1585"/>
      <c r="Y2195" s="1592"/>
      <c r="Z2195" s="1585"/>
      <c r="AA2195" s="1585"/>
      <c r="AB2195" s="1585"/>
      <c r="AC2195" s="1585"/>
      <c r="AD2195" s="1601">
        <f t="shared" si="176"/>
        <v>0</v>
      </c>
      <c r="AE2195" s="1790">
        <v>0</v>
      </c>
      <c r="AF2195" s="1792"/>
    </row>
    <row r="2196" spans="1:32" ht="27.75" customHeight="1">
      <c r="A2196" s="2899" t="s">
        <v>3715</v>
      </c>
      <c r="B2196" s="2901" t="s">
        <v>4219</v>
      </c>
      <c r="C2196" s="2903" t="s">
        <v>52</v>
      </c>
      <c r="D2196" s="2905">
        <v>838.11999999999989</v>
      </c>
      <c r="E2196" s="1810" t="s">
        <v>2496</v>
      </c>
      <c r="F2196" s="1811"/>
      <c r="G2196" s="1811"/>
      <c r="H2196" s="1811"/>
      <c r="I2196" s="1811"/>
      <c r="J2196" s="1811"/>
      <c r="K2196" s="1811"/>
      <c r="L2196" s="1811"/>
      <c r="M2196" s="1811"/>
      <c r="N2196" s="1811"/>
      <c r="O2196" s="1811"/>
      <c r="P2196" s="1811"/>
      <c r="Q2196" s="1812"/>
      <c r="R2196" s="1811"/>
      <c r="S2196" s="1811"/>
      <c r="T2196" s="1812"/>
      <c r="U2196" s="1812"/>
      <c r="V2196" s="1812"/>
      <c r="W2196" s="1812"/>
      <c r="X2196" s="1812"/>
      <c r="Y2196" s="1812"/>
      <c r="Z2196" s="1812"/>
      <c r="AA2196" s="1812">
        <f>D2196</f>
        <v>838.11999999999989</v>
      </c>
      <c r="AB2196" s="1812"/>
      <c r="AC2196" s="1812"/>
      <c r="AD2196" s="1601">
        <f t="shared" si="176"/>
        <v>838.11999999999989</v>
      </c>
      <c r="AE2196" s="1790">
        <v>0</v>
      </c>
      <c r="AF2196" s="1792"/>
    </row>
    <row r="2197" spans="1:32" ht="27.75" customHeight="1">
      <c r="A2197" s="2900" t="s">
        <v>3715</v>
      </c>
      <c r="B2197" s="2902" t="s">
        <v>3716</v>
      </c>
      <c r="C2197" s="2904" t="s">
        <v>52</v>
      </c>
      <c r="D2197" s="2906">
        <v>838.11999999999989</v>
      </c>
      <c r="E2197" s="1603" t="s">
        <v>2497</v>
      </c>
      <c r="F2197" s="1583"/>
      <c r="G2197" s="1583"/>
      <c r="H2197" s="1583"/>
      <c r="I2197" s="1583"/>
      <c r="J2197" s="1583"/>
      <c r="K2197" s="1583"/>
      <c r="L2197" s="1583"/>
      <c r="M2197" s="1583"/>
      <c r="N2197" s="1583"/>
      <c r="O2197" s="1583"/>
      <c r="P2197" s="1583"/>
      <c r="Q2197" s="1604"/>
      <c r="R2197" s="1583"/>
      <c r="S2197" s="1583"/>
      <c r="T2197" s="1604"/>
      <c r="U2197" s="1592"/>
      <c r="V2197" s="1585"/>
      <c r="W2197" s="1585"/>
      <c r="X2197" s="1585"/>
      <c r="Y2197" s="1592"/>
      <c r="Z2197" s="1585"/>
      <c r="AA2197" s="1585"/>
      <c r="AB2197" s="1585"/>
      <c r="AC2197" s="1585"/>
      <c r="AD2197" s="1601">
        <f t="shared" si="176"/>
        <v>0</v>
      </c>
      <c r="AE2197" s="1790">
        <v>0</v>
      </c>
      <c r="AF2197" s="1792"/>
    </row>
    <row r="2198" spans="1:32" ht="27.75" customHeight="1">
      <c r="A2198" s="2899" t="s">
        <v>3717</v>
      </c>
      <c r="B2198" s="2901" t="s">
        <v>4199</v>
      </c>
      <c r="C2198" s="2903" t="s">
        <v>52</v>
      </c>
      <c r="D2198" s="2905">
        <v>21889.000000000004</v>
      </c>
      <c r="E2198" s="1598" t="s">
        <v>2496</v>
      </c>
      <c r="F2198" s="1583"/>
      <c r="G2198" s="1583"/>
      <c r="H2198" s="1583"/>
      <c r="I2198" s="1583"/>
      <c r="J2198" s="1583"/>
      <c r="K2198" s="1583"/>
      <c r="L2198" s="1583"/>
      <c r="M2198" s="1583"/>
      <c r="N2198" s="1583"/>
      <c r="O2198" s="1583"/>
      <c r="P2198" s="1583"/>
      <c r="Q2198" s="1585"/>
      <c r="R2198" s="1583"/>
      <c r="S2198" s="1583"/>
      <c r="T2198" s="1585"/>
      <c r="U2198" s="1585"/>
      <c r="V2198" s="1585"/>
      <c r="W2198" s="1585"/>
      <c r="X2198" s="1585"/>
      <c r="Y2198" s="1585"/>
      <c r="Z2198" s="1585"/>
      <c r="AA2198" s="1812">
        <f>D2198</f>
        <v>21889.000000000004</v>
      </c>
      <c r="AB2198" s="1585"/>
      <c r="AC2198" s="1585"/>
      <c r="AD2198" s="1601">
        <f t="shared" si="176"/>
        <v>21889.000000000004</v>
      </c>
      <c r="AE2198" s="1790">
        <v>0</v>
      </c>
      <c r="AF2198" s="1792"/>
    </row>
    <row r="2199" spans="1:32" ht="27.75" customHeight="1">
      <c r="A2199" s="2900" t="s">
        <v>3717</v>
      </c>
      <c r="B2199" s="2902" t="s">
        <v>3718</v>
      </c>
      <c r="C2199" s="2904" t="s">
        <v>52</v>
      </c>
      <c r="D2199" s="2906">
        <v>21889.000000000004</v>
      </c>
      <c r="E2199" s="1603" t="s">
        <v>2497</v>
      </c>
      <c r="F2199" s="1583"/>
      <c r="G2199" s="1583"/>
      <c r="H2199" s="1583"/>
      <c r="I2199" s="1583"/>
      <c r="J2199" s="1583"/>
      <c r="K2199" s="1583"/>
      <c r="L2199" s="1583"/>
      <c r="M2199" s="1583"/>
      <c r="N2199" s="1583"/>
      <c r="O2199" s="1583"/>
      <c r="P2199" s="1583"/>
      <c r="Q2199" s="1604"/>
      <c r="R2199" s="1583"/>
      <c r="S2199" s="1583"/>
      <c r="T2199" s="1604"/>
      <c r="U2199" s="1585"/>
      <c r="V2199" s="1585"/>
      <c r="W2199" s="1585"/>
      <c r="X2199" s="1585"/>
      <c r="Y2199" s="1585"/>
      <c r="Z2199" s="1585"/>
      <c r="AA2199" s="1585"/>
      <c r="AB2199" s="1585"/>
      <c r="AC2199" s="1585"/>
      <c r="AD2199" s="1601">
        <f t="shared" si="176"/>
        <v>0</v>
      </c>
      <c r="AE2199" s="1790">
        <v>0</v>
      </c>
      <c r="AF2199" s="1792"/>
    </row>
    <row r="2200" spans="1:32" ht="27.75" customHeight="1">
      <c r="A2200" s="1647" t="s">
        <v>3719</v>
      </c>
      <c r="B2200" s="1647" t="s">
        <v>4220</v>
      </c>
      <c r="C2200" s="1803"/>
      <c r="D2200" s="1804"/>
      <c r="E2200" s="1813"/>
      <c r="F2200" s="1811"/>
      <c r="G2200" s="1811"/>
      <c r="H2200" s="1811"/>
      <c r="I2200" s="1811"/>
      <c r="J2200" s="1811"/>
      <c r="K2200" s="1811"/>
      <c r="L2200" s="1811"/>
      <c r="M2200" s="1811"/>
      <c r="N2200" s="1811"/>
      <c r="O2200" s="1811"/>
      <c r="P2200" s="1811"/>
      <c r="Q2200" s="1814"/>
      <c r="R2200" s="1811"/>
      <c r="S2200" s="1811"/>
      <c r="T2200" s="1814"/>
      <c r="U2200" s="1812"/>
      <c r="V2200" s="1812"/>
      <c r="W2200" s="1812"/>
      <c r="X2200" s="1812"/>
      <c r="Y2200" s="1812"/>
      <c r="Z2200" s="1812"/>
      <c r="AA2200" s="1812"/>
      <c r="AB2200" s="1812"/>
      <c r="AC2200" s="1812"/>
      <c r="AD2200" s="1601">
        <f t="shared" si="176"/>
        <v>0</v>
      </c>
      <c r="AE2200" s="1790">
        <v>0</v>
      </c>
      <c r="AF2200" s="1792"/>
    </row>
    <row r="2201" spans="1:32" ht="27.75" customHeight="1">
      <c r="A2201" s="2899" t="s">
        <v>3721</v>
      </c>
      <c r="B2201" s="2901" t="s">
        <v>4221</v>
      </c>
      <c r="C2201" s="2903" t="s">
        <v>52</v>
      </c>
      <c r="D2201" s="2905">
        <v>27491.520000000004</v>
      </c>
      <c r="E2201" s="1810" t="s">
        <v>2496</v>
      </c>
      <c r="F2201" s="1811"/>
      <c r="G2201" s="1811"/>
      <c r="H2201" s="1811"/>
      <c r="I2201" s="1811"/>
      <c r="J2201" s="1811"/>
      <c r="K2201" s="1811"/>
      <c r="L2201" s="1811"/>
      <c r="M2201" s="1811"/>
      <c r="N2201" s="1811"/>
      <c r="O2201" s="1811"/>
      <c r="P2201" s="1811"/>
      <c r="Q2201" s="1812"/>
      <c r="R2201" s="1811"/>
      <c r="S2201" s="1811"/>
      <c r="T2201" s="1812"/>
      <c r="U2201" s="1812"/>
      <c r="V2201" s="1812"/>
      <c r="W2201" s="1812"/>
      <c r="X2201" s="1812"/>
      <c r="Y2201" s="1812"/>
      <c r="Z2201" s="1812"/>
      <c r="AA2201" s="1812"/>
      <c r="AB2201" s="1812"/>
      <c r="AC2201" s="1812">
        <f>D2201</f>
        <v>27491.520000000004</v>
      </c>
      <c r="AD2201" s="1601">
        <f t="shared" si="176"/>
        <v>27491.520000000004</v>
      </c>
      <c r="AE2201" s="1790">
        <v>0</v>
      </c>
      <c r="AF2201" s="1792"/>
    </row>
    <row r="2202" spans="1:32" ht="27.75" customHeight="1">
      <c r="A2202" s="2900" t="s">
        <v>3721</v>
      </c>
      <c r="B2202" s="2902" t="s">
        <v>3722</v>
      </c>
      <c r="C2202" s="2904" t="s">
        <v>52</v>
      </c>
      <c r="D2202" s="2906">
        <v>27491.520000000004</v>
      </c>
      <c r="E2202" s="1603" t="s">
        <v>2497</v>
      </c>
      <c r="F2202" s="1583"/>
      <c r="G2202" s="1583"/>
      <c r="H2202" s="1583"/>
      <c r="I2202" s="1583"/>
      <c r="J2202" s="1583"/>
      <c r="K2202" s="1583"/>
      <c r="L2202" s="1583"/>
      <c r="M2202" s="1583"/>
      <c r="N2202" s="1583"/>
      <c r="O2202" s="1583"/>
      <c r="P2202" s="1583"/>
      <c r="Q2202" s="1604"/>
      <c r="R2202" s="1583"/>
      <c r="S2202" s="1583"/>
      <c r="T2202" s="1604"/>
      <c r="U2202" s="1592"/>
      <c r="V2202" s="1585"/>
      <c r="W2202" s="1585"/>
      <c r="X2202" s="1585"/>
      <c r="Y2202" s="1592"/>
      <c r="Z2202" s="1585"/>
      <c r="AA2202" s="1585"/>
      <c r="AB2202" s="1585"/>
      <c r="AC2202" s="1585"/>
      <c r="AD2202" s="1601">
        <f t="shared" si="176"/>
        <v>0</v>
      </c>
      <c r="AE2202" s="1790">
        <v>0</v>
      </c>
      <c r="AF2202" s="1792"/>
    </row>
    <row r="2203" spans="1:32" ht="27.75" customHeight="1">
      <c r="A2203" s="2899" t="s">
        <v>3723</v>
      </c>
      <c r="B2203" s="2901" t="s">
        <v>4222</v>
      </c>
      <c r="C2203" s="2903" t="s">
        <v>52</v>
      </c>
      <c r="D2203" s="2905">
        <v>14082.98</v>
      </c>
      <c r="E2203" s="1598" t="s">
        <v>2496</v>
      </c>
      <c r="F2203" s="1583"/>
      <c r="G2203" s="1583"/>
      <c r="H2203" s="1583"/>
      <c r="I2203" s="1583"/>
      <c r="J2203" s="1583"/>
      <c r="K2203" s="1583"/>
      <c r="L2203" s="1583"/>
      <c r="M2203" s="1583"/>
      <c r="N2203" s="1583"/>
      <c r="O2203" s="1583"/>
      <c r="P2203" s="1583"/>
      <c r="Q2203" s="1585"/>
      <c r="R2203" s="1583"/>
      <c r="S2203" s="1583"/>
      <c r="T2203" s="1585"/>
      <c r="U2203" s="1585"/>
      <c r="V2203" s="1585"/>
      <c r="W2203" s="1585"/>
      <c r="X2203" s="1585"/>
      <c r="Y2203" s="1585"/>
      <c r="Z2203" s="1585"/>
      <c r="AA2203" s="1585"/>
      <c r="AB2203" s="1585"/>
      <c r="AC2203" s="1812">
        <f>D2203</f>
        <v>14082.98</v>
      </c>
      <c r="AD2203" s="1601">
        <f t="shared" si="176"/>
        <v>14082.98</v>
      </c>
      <c r="AE2203" s="1790">
        <v>0</v>
      </c>
      <c r="AF2203" s="1792"/>
    </row>
    <row r="2204" spans="1:32" ht="27.75" customHeight="1">
      <c r="A2204" s="2900" t="s">
        <v>3723</v>
      </c>
      <c r="B2204" s="2902" t="s">
        <v>3724</v>
      </c>
      <c r="C2204" s="2904" t="s">
        <v>52</v>
      </c>
      <c r="D2204" s="2906">
        <v>14082.98</v>
      </c>
      <c r="E2204" s="1603" t="s">
        <v>2497</v>
      </c>
      <c r="F2204" s="1583"/>
      <c r="G2204" s="1583"/>
      <c r="H2204" s="1583"/>
      <c r="I2204" s="1583"/>
      <c r="J2204" s="1583"/>
      <c r="K2204" s="1583"/>
      <c r="L2204" s="1583"/>
      <c r="M2204" s="1583"/>
      <c r="N2204" s="1583"/>
      <c r="O2204" s="1583"/>
      <c r="P2204" s="1583"/>
      <c r="Q2204" s="1604"/>
      <c r="R2204" s="1583"/>
      <c r="S2204" s="1583"/>
      <c r="T2204" s="1604"/>
      <c r="U2204" s="1585"/>
      <c r="V2204" s="1585"/>
      <c r="W2204" s="1585"/>
      <c r="X2204" s="1585"/>
      <c r="Y2204" s="1585"/>
      <c r="Z2204" s="1585"/>
      <c r="AA2204" s="1585"/>
      <c r="AB2204" s="1585"/>
      <c r="AC2204" s="1585"/>
      <c r="AD2204" s="1601">
        <f t="shared" si="176"/>
        <v>0</v>
      </c>
      <c r="AE2204" s="1790">
        <v>0</v>
      </c>
      <c r="AF2204" s="1792"/>
    </row>
    <row r="2205" spans="1:32" ht="27.75" customHeight="1">
      <c r="A2205" s="2899" t="s">
        <v>3725</v>
      </c>
      <c r="B2205" s="2901" t="s">
        <v>4223</v>
      </c>
      <c r="C2205" s="2903" t="s">
        <v>52</v>
      </c>
      <c r="D2205" s="2905">
        <v>16962.95</v>
      </c>
      <c r="E2205" s="1810" t="s">
        <v>2496</v>
      </c>
      <c r="F2205" s="1811"/>
      <c r="G2205" s="1811"/>
      <c r="H2205" s="1811"/>
      <c r="I2205" s="1811"/>
      <c r="J2205" s="1811"/>
      <c r="K2205" s="1811"/>
      <c r="L2205" s="1811"/>
      <c r="M2205" s="1811"/>
      <c r="N2205" s="1811"/>
      <c r="O2205" s="1811"/>
      <c r="P2205" s="1811"/>
      <c r="Q2205" s="1812"/>
      <c r="R2205" s="1811"/>
      <c r="S2205" s="1811"/>
      <c r="T2205" s="1812"/>
      <c r="U2205" s="1812"/>
      <c r="V2205" s="1812"/>
      <c r="W2205" s="1812"/>
      <c r="X2205" s="1812"/>
      <c r="Y2205" s="1812"/>
      <c r="Z2205" s="1812"/>
      <c r="AA2205" s="1812"/>
      <c r="AB2205" s="1812"/>
      <c r="AC2205" s="1812">
        <f>D2205</f>
        <v>16962.95</v>
      </c>
      <c r="AD2205" s="1601">
        <f t="shared" si="176"/>
        <v>16962.95</v>
      </c>
      <c r="AE2205" s="1790">
        <v>0</v>
      </c>
      <c r="AF2205" s="1792"/>
    </row>
    <row r="2206" spans="1:32" ht="27.75" customHeight="1">
      <c r="A2206" s="2900" t="s">
        <v>3725</v>
      </c>
      <c r="B2206" s="2902" t="s">
        <v>3726</v>
      </c>
      <c r="C2206" s="2904" t="s">
        <v>52</v>
      </c>
      <c r="D2206" s="2906">
        <v>16962.95</v>
      </c>
      <c r="E2206" s="1603" t="s">
        <v>2497</v>
      </c>
      <c r="F2206" s="1583"/>
      <c r="G2206" s="1583"/>
      <c r="H2206" s="1583"/>
      <c r="I2206" s="1583"/>
      <c r="J2206" s="1583"/>
      <c r="K2206" s="1583"/>
      <c r="L2206" s="1583"/>
      <c r="M2206" s="1583"/>
      <c r="N2206" s="1583"/>
      <c r="O2206" s="1583"/>
      <c r="P2206" s="1583"/>
      <c r="Q2206" s="1604"/>
      <c r="R2206" s="1583"/>
      <c r="S2206" s="1583"/>
      <c r="T2206" s="1604"/>
      <c r="U2206" s="1592"/>
      <c r="V2206" s="1585"/>
      <c r="W2206" s="1585"/>
      <c r="X2206" s="1585"/>
      <c r="Y2206" s="1592"/>
      <c r="Z2206" s="1585"/>
      <c r="AA2206" s="1585"/>
      <c r="AB2206" s="1585"/>
      <c r="AC2206" s="1585"/>
      <c r="AD2206" s="1601">
        <f t="shared" si="176"/>
        <v>0</v>
      </c>
      <c r="AE2206" s="1790">
        <v>0</v>
      </c>
      <c r="AF2206" s="1792"/>
    </row>
    <row r="2207" spans="1:32" ht="27.75" customHeight="1">
      <c r="A2207" s="2899" t="s">
        <v>3727</v>
      </c>
      <c r="B2207" s="2901" t="s">
        <v>4224</v>
      </c>
      <c r="C2207" s="2903" t="s">
        <v>52</v>
      </c>
      <c r="D2207" s="2905">
        <v>24185.75</v>
      </c>
      <c r="E2207" s="1810" t="s">
        <v>2496</v>
      </c>
      <c r="F2207" s="1811"/>
      <c r="G2207" s="1811"/>
      <c r="H2207" s="1811"/>
      <c r="I2207" s="1811"/>
      <c r="J2207" s="1811"/>
      <c r="K2207" s="1811"/>
      <c r="L2207" s="1811"/>
      <c r="M2207" s="1811"/>
      <c r="N2207" s="1811"/>
      <c r="O2207" s="1811"/>
      <c r="P2207" s="1811"/>
      <c r="Q2207" s="1812"/>
      <c r="R2207" s="1811"/>
      <c r="S2207" s="1811"/>
      <c r="T2207" s="1812"/>
      <c r="U2207" s="1812"/>
      <c r="V2207" s="1812"/>
      <c r="W2207" s="1812"/>
      <c r="X2207" s="1812"/>
      <c r="Y2207" s="1812"/>
      <c r="Z2207" s="1812"/>
      <c r="AA2207" s="1812"/>
      <c r="AB2207" s="1812"/>
      <c r="AC2207" s="1812">
        <f>D2207</f>
        <v>24185.75</v>
      </c>
      <c r="AD2207" s="1601">
        <f t="shared" si="176"/>
        <v>24185.75</v>
      </c>
      <c r="AE2207" s="1790">
        <v>0</v>
      </c>
      <c r="AF2207" s="1792"/>
    </row>
    <row r="2208" spans="1:32" ht="27.75" customHeight="1">
      <c r="A2208" s="2900" t="s">
        <v>3727</v>
      </c>
      <c r="B2208" s="2902" t="s">
        <v>3728</v>
      </c>
      <c r="C2208" s="2904" t="s">
        <v>52</v>
      </c>
      <c r="D2208" s="2906">
        <v>24185.75</v>
      </c>
      <c r="E2208" s="1603" t="s">
        <v>2497</v>
      </c>
      <c r="F2208" s="1583"/>
      <c r="G2208" s="1583"/>
      <c r="H2208" s="1583"/>
      <c r="I2208" s="1583"/>
      <c r="J2208" s="1583"/>
      <c r="K2208" s="1583"/>
      <c r="L2208" s="1583"/>
      <c r="M2208" s="1583"/>
      <c r="N2208" s="1583"/>
      <c r="O2208" s="1583"/>
      <c r="P2208" s="1583"/>
      <c r="Q2208" s="1604"/>
      <c r="R2208" s="1583"/>
      <c r="S2208" s="1583"/>
      <c r="T2208" s="1604"/>
      <c r="U2208" s="1592"/>
      <c r="V2208" s="1585"/>
      <c r="W2208" s="1585"/>
      <c r="X2208" s="1585"/>
      <c r="Y2208" s="1592"/>
      <c r="Z2208" s="1585"/>
      <c r="AA2208" s="1585"/>
      <c r="AB2208" s="1585"/>
      <c r="AC2208" s="1585"/>
      <c r="AD2208" s="1601">
        <f t="shared" si="176"/>
        <v>0</v>
      </c>
      <c r="AE2208" s="1790">
        <v>0</v>
      </c>
      <c r="AF2208" s="1792"/>
    </row>
    <row r="2209" spans="1:32" ht="27.75" customHeight="1">
      <c r="A2209" s="2899" t="s">
        <v>3729</v>
      </c>
      <c r="B2209" s="2901" t="s">
        <v>4225</v>
      </c>
      <c r="C2209" s="2903" t="s">
        <v>52</v>
      </c>
      <c r="D2209" s="2905">
        <v>25042.54</v>
      </c>
      <c r="E2209" s="1810" t="s">
        <v>2496</v>
      </c>
      <c r="F2209" s="1811"/>
      <c r="G2209" s="1811"/>
      <c r="H2209" s="1811"/>
      <c r="I2209" s="1811"/>
      <c r="J2209" s="1811"/>
      <c r="K2209" s="1811"/>
      <c r="L2209" s="1811"/>
      <c r="M2209" s="1811"/>
      <c r="N2209" s="1811"/>
      <c r="O2209" s="1811"/>
      <c r="P2209" s="1811"/>
      <c r="Q2209" s="1812"/>
      <c r="R2209" s="1811"/>
      <c r="S2209" s="1811"/>
      <c r="T2209" s="1812"/>
      <c r="U2209" s="1812"/>
      <c r="V2209" s="1812"/>
      <c r="W2209" s="1812"/>
      <c r="X2209" s="1812"/>
      <c r="Y2209" s="1812"/>
      <c r="Z2209" s="1812"/>
      <c r="AA2209" s="1812"/>
      <c r="AB2209" s="1812"/>
      <c r="AC2209" s="1812">
        <f>D2209</f>
        <v>25042.54</v>
      </c>
      <c r="AD2209" s="1601">
        <f t="shared" si="176"/>
        <v>25042.54</v>
      </c>
      <c r="AE2209" s="1790">
        <v>0</v>
      </c>
      <c r="AF2209" s="1792"/>
    </row>
    <row r="2210" spans="1:32" ht="27.75" customHeight="1">
      <c r="A2210" s="2900" t="s">
        <v>3729</v>
      </c>
      <c r="B2210" s="2902" t="s">
        <v>3730</v>
      </c>
      <c r="C2210" s="2904" t="s">
        <v>52</v>
      </c>
      <c r="D2210" s="2906">
        <v>25042.54</v>
      </c>
      <c r="E2210" s="1603" t="s">
        <v>2497</v>
      </c>
      <c r="F2210" s="1583"/>
      <c r="G2210" s="1583"/>
      <c r="H2210" s="1583"/>
      <c r="I2210" s="1583"/>
      <c r="J2210" s="1583"/>
      <c r="K2210" s="1583"/>
      <c r="L2210" s="1583"/>
      <c r="M2210" s="1583"/>
      <c r="N2210" s="1583"/>
      <c r="O2210" s="1583"/>
      <c r="P2210" s="1583"/>
      <c r="Q2210" s="1604"/>
      <c r="R2210" s="1583"/>
      <c r="S2210" s="1583"/>
      <c r="T2210" s="1604"/>
      <c r="U2210" s="1592"/>
      <c r="V2210" s="1585"/>
      <c r="W2210" s="1585"/>
      <c r="X2210" s="1585"/>
      <c r="Y2210" s="1592"/>
      <c r="Z2210" s="1585"/>
      <c r="AA2210" s="1585"/>
      <c r="AB2210" s="1585"/>
      <c r="AC2210" s="1585"/>
      <c r="AD2210" s="1601">
        <f t="shared" si="176"/>
        <v>0</v>
      </c>
      <c r="AE2210" s="1790">
        <v>0</v>
      </c>
      <c r="AF2210" s="1792"/>
    </row>
    <row r="2211" spans="1:32" ht="27.75" customHeight="1">
      <c r="A2211" s="2899" t="s">
        <v>3731</v>
      </c>
      <c r="B2211" s="2901" t="s">
        <v>4226</v>
      </c>
      <c r="C2211" s="2903" t="s">
        <v>52</v>
      </c>
      <c r="D2211" s="2905">
        <v>14760.800000000001</v>
      </c>
      <c r="E2211" s="1598" t="s">
        <v>2496</v>
      </c>
      <c r="F2211" s="1583"/>
      <c r="G2211" s="1583"/>
      <c r="H2211" s="1583"/>
      <c r="I2211" s="1583"/>
      <c r="J2211" s="1583"/>
      <c r="K2211" s="1583"/>
      <c r="L2211" s="1583"/>
      <c r="M2211" s="1583"/>
      <c r="N2211" s="1583"/>
      <c r="O2211" s="1583"/>
      <c r="P2211" s="1583"/>
      <c r="Q2211" s="1585"/>
      <c r="R2211" s="1583"/>
      <c r="S2211" s="1583"/>
      <c r="T2211" s="1585"/>
      <c r="U2211" s="1585"/>
      <c r="V2211" s="1585"/>
      <c r="W2211" s="1585"/>
      <c r="X2211" s="1585"/>
      <c r="Y2211" s="1585"/>
      <c r="Z2211" s="1585"/>
      <c r="AA2211" s="1585"/>
      <c r="AB2211" s="1585"/>
      <c r="AC2211" s="1812">
        <f>D2211</f>
        <v>14760.800000000001</v>
      </c>
      <c r="AD2211" s="1601">
        <f t="shared" si="176"/>
        <v>14760.800000000001</v>
      </c>
      <c r="AE2211" s="1790">
        <v>0</v>
      </c>
      <c r="AF2211" s="1792"/>
    </row>
    <row r="2212" spans="1:32" ht="27.75" customHeight="1">
      <c r="A2212" s="2900" t="s">
        <v>3731</v>
      </c>
      <c r="B2212" s="2902" t="s">
        <v>3732</v>
      </c>
      <c r="C2212" s="2904" t="s">
        <v>52</v>
      </c>
      <c r="D2212" s="2906">
        <v>14760.800000000001</v>
      </c>
      <c r="E2212" s="1603" t="s">
        <v>2497</v>
      </c>
      <c r="F2212" s="1583"/>
      <c r="G2212" s="1583"/>
      <c r="H2212" s="1583"/>
      <c r="I2212" s="1583"/>
      <c r="J2212" s="1583"/>
      <c r="K2212" s="1583"/>
      <c r="L2212" s="1583"/>
      <c r="M2212" s="1583"/>
      <c r="N2212" s="1583"/>
      <c r="O2212" s="1583"/>
      <c r="P2212" s="1583"/>
      <c r="Q2212" s="1604"/>
      <c r="R2212" s="1583"/>
      <c r="S2212" s="1583"/>
      <c r="T2212" s="1604"/>
      <c r="U2212" s="1585"/>
      <c r="V2212" s="1585"/>
      <c r="W2212" s="1585"/>
      <c r="X2212" s="1585"/>
      <c r="Y2212" s="1585"/>
      <c r="Z2212" s="1585"/>
      <c r="AA2212" s="1585"/>
      <c r="AB2212" s="1585"/>
      <c r="AC2212" s="1585"/>
      <c r="AD2212" s="1601">
        <f t="shared" si="176"/>
        <v>0</v>
      </c>
      <c r="AE2212" s="1790">
        <v>0</v>
      </c>
      <c r="AF2212" s="1792"/>
    </row>
    <row r="2213" spans="1:32" ht="27.75" customHeight="1">
      <c r="A2213" s="2899" t="s">
        <v>3733</v>
      </c>
      <c r="B2213" s="2901" t="s">
        <v>4227</v>
      </c>
      <c r="C2213" s="2903" t="s">
        <v>52</v>
      </c>
      <c r="D2213" s="2905">
        <v>1658.05</v>
      </c>
      <c r="E2213" s="1810" t="s">
        <v>2496</v>
      </c>
      <c r="F2213" s="1811"/>
      <c r="G2213" s="1811"/>
      <c r="H2213" s="1811"/>
      <c r="I2213" s="1811"/>
      <c r="J2213" s="1811"/>
      <c r="K2213" s="1811"/>
      <c r="L2213" s="1811"/>
      <c r="M2213" s="1811"/>
      <c r="N2213" s="1811"/>
      <c r="O2213" s="1811"/>
      <c r="P2213" s="1811"/>
      <c r="Q2213" s="1812"/>
      <c r="R2213" s="1811"/>
      <c r="S2213" s="1811"/>
      <c r="T2213" s="1812"/>
      <c r="U2213" s="1812"/>
      <c r="V2213" s="1812"/>
      <c r="W2213" s="1812"/>
      <c r="X2213" s="1812"/>
      <c r="Y2213" s="1812"/>
      <c r="Z2213" s="1812"/>
      <c r="AA2213" s="1812"/>
      <c r="AB2213" s="1812"/>
      <c r="AC2213" s="1812">
        <f>D2213</f>
        <v>1658.05</v>
      </c>
      <c r="AD2213" s="1601">
        <f t="shared" si="176"/>
        <v>1658.05</v>
      </c>
      <c r="AE2213" s="1790">
        <v>0</v>
      </c>
      <c r="AF2213" s="1792"/>
    </row>
    <row r="2214" spans="1:32" ht="27.75" customHeight="1">
      <c r="A2214" s="2900" t="s">
        <v>3733</v>
      </c>
      <c r="B2214" s="2902" t="s">
        <v>3734</v>
      </c>
      <c r="C2214" s="2904" t="s">
        <v>52</v>
      </c>
      <c r="D2214" s="2906">
        <v>1658.05</v>
      </c>
      <c r="E2214" s="1603" t="s">
        <v>2497</v>
      </c>
      <c r="F2214" s="1583"/>
      <c r="G2214" s="1583"/>
      <c r="H2214" s="1583"/>
      <c r="I2214" s="1583"/>
      <c r="J2214" s="1583"/>
      <c r="K2214" s="1583"/>
      <c r="L2214" s="1583"/>
      <c r="M2214" s="1583"/>
      <c r="N2214" s="1583"/>
      <c r="O2214" s="1583"/>
      <c r="P2214" s="1583"/>
      <c r="Q2214" s="1604"/>
      <c r="R2214" s="1583"/>
      <c r="S2214" s="1583"/>
      <c r="T2214" s="1604"/>
      <c r="U2214" s="1592"/>
      <c r="V2214" s="1585"/>
      <c r="W2214" s="1585"/>
      <c r="X2214" s="1585"/>
      <c r="Y2214" s="1592"/>
      <c r="Z2214" s="1585"/>
      <c r="AA2214" s="1585"/>
      <c r="AB2214" s="1585"/>
      <c r="AC2214" s="1585"/>
      <c r="AD2214" s="1601">
        <f t="shared" si="176"/>
        <v>0</v>
      </c>
      <c r="AE2214" s="1790">
        <v>0</v>
      </c>
      <c r="AF2214" s="1792"/>
    </row>
    <row r="2215" spans="1:32" ht="27.75" customHeight="1">
      <c r="A2215" s="2899" t="s">
        <v>3735</v>
      </c>
      <c r="B2215" s="2901" t="s">
        <v>4228</v>
      </c>
      <c r="C2215" s="2903" t="s">
        <v>52</v>
      </c>
      <c r="D2215" s="2905">
        <v>8800.44</v>
      </c>
      <c r="E2215" s="1810" t="s">
        <v>2496</v>
      </c>
      <c r="F2215" s="1811"/>
      <c r="G2215" s="1811"/>
      <c r="H2215" s="1811"/>
      <c r="I2215" s="1811"/>
      <c r="J2215" s="1811"/>
      <c r="K2215" s="1811"/>
      <c r="L2215" s="1811"/>
      <c r="M2215" s="1811"/>
      <c r="N2215" s="1811"/>
      <c r="O2215" s="1811"/>
      <c r="P2215" s="1811"/>
      <c r="Q2215" s="1812"/>
      <c r="R2215" s="1811"/>
      <c r="S2215" s="1811"/>
      <c r="T2215" s="1812"/>
      <c r="U2215" s="1812"/>
      <c r="V2215" s="1812"/>
      <c r="W2215" s="1812"/>
      <c r="X2215" s="1812"/>
      <c r="Y2215" s="1812"/>
      <c r="Z2215" s="1812"/>
      <c r="AA2215" s="1812"/>
      <c r="AB2215" s="1812"/>
      <c r="AC2215" s="1812">
        <f>D2215</f>
        <v>8800.44</v>
      </c>
      <c r="AD2215" s="1601">
        <f t="shared" si="176"/>
        <v>8800.44</v>
      </c>
      <c r="AE2215" s="1790">
        <v>0</v>
      </c>
      <c r="AF2215" s="1792"/>
    </row>
    <row r="2216" spans="1:32" ht="27.75" customHeight="1">
      <c r="A2216" s="2900" t="s">
        <v>3735</v>
      </c>
      <c r="B2216" s="2902" t="s">
        <v>3736</v>
      </c>
      <c r="C2216" s="2904" t="s">
        <v>52</v>
      </c>
      <c r="D2216" s="2906">
        <v>8800.44</v>
      </c>
      <c r="E2216" s="1603" t="s">
        <v>2497</v>
      </c>
      <c r="F2216" s="1583"/>
      <c r="G2216" s="1583"/>
      <c r="H2216" s="1583"/>
      <c r="I2216" s="1583"/>
      <c r="J2216" s="1583"/>
      <c r="K2216" s="1583"/>
      <c r="L2216" s="1583"/>
      <c r="M2216" s="1583"/>
      <c r="N2216" s="1583"/>
      <c r="O2216" s="1583"/>
      <c r="P2216" s="1583"/>
      <c r="Q2216" s="1604"/>
      <c r="R2216" s="1583"/>
      <c r="S2216" s="1583"/>
      <c r="T2216" s="1604"/>
      <c r="U2216" s="1592"/>
      <c r="V2216" s="1585"/>
      <c r="W2216" s="1585"/>
      <c r="X2216" s="1585"/>
      <c r="Y2216" s="1592"/>
      <c r="Z2216" s="1585"/>
      <c r="AA2216" s="1585"/>
      <c r="AB2216" s="1585"/>
      <c r="AC2216" s="1585"/>
      <c r="AD2216" s="1601">
        <f t="shared" si="176"/>
        <v>0</v>
      </c>
      <c r="AE2216" s="1790">
        <v>0</v>
      </c>
      <c r="AF2216" s="1792"/>
    </row>
    <row r="2217" spans="1:32" ht="27.75" customHeight="1">
      <c r="A2217" s="2899" t="s">
        <v>3737</v>
      </c>
      <c r="B2217" s="2901" t="s">
        <v>4229</v>
      </c>
      <c r="C2217" s="2903" t="s">
        <v>52</v>
      </c>
      <c r="D2217" s="2905">
        <v>209.65</v>
      </c>
      <c r="E2217" s="1810" t="s">
        <v>2496</v>
      </c>
      <c r="F2217" s="1811"/>
      <c r="G2217" s="1811"/>
      <c r="H2217" s="1811"/>
      <c r="I2217" s="1811"/>
      <c r="J2217" s="1811"/>
      <c r="K2217" s="1811"/>
      <c r="L2217" s="1811"/>
      <c r="M2217" s="1811"/>
      <c r="N2217" s="1811"/>
      <c r="O2217" s="1811"/>
      <c r="P2217" s="1811"/>
      <c r="Q2217" s="1812"/>
      <c r="R2217" s="1811"/>
      <c r="S2217" s="1811"/>
      <c r="T2217" s="1812"/>
      <c r="U2217" s="1812"/>
      <c r="V2217" s="1812"/>
      <c r="W2217" s="1812"/>
      <c r="X2217" s="1812"/>
      <c r="Y2217" s="1812"/>
      <c r="Z2217" s="1812"/>
      <c r="AA2217" s="1812"/>
      <c r="AB2217" s="1812"/>
      <c r="AC2217" s="1812">
        <f>D2217</f>
        <v>209.65</v>
      </c>
      <c r="AD2217" s="1601">
        <f t="shared" si="176"/>
        <v>209.65</v>
      </c>
      <c r="AE2217" s="1790">
        <v>0</v>
      </c>
      <c r="AF2217" s="1792"/>
    </row>
    <row r="2218" spans="1:32" ht="27.75" customHeight="1">
      <c r="A2218" s="2900" t="s">
        <v>3737</v>
      </c>
      <c r="B2218" s="2902" t="s">
        <v>3738</v>
      </c>
      <c r="C2218" s="2904" t="s">
        <v>52</v>
      </c>
      <c r="D2218" s="2906">
        <v>209.65</v>
      </c>
      <c r="E2218" s="1603" t="s">
        <v>2497</v>
      </c>
      <c r="F2218" s="1583"/>
      <c r="G2218" s="1583"/>
      <c r="H2218" s="1583"/>
      <c r="I2218" s="1583"/>
      <c r="J2218" s="1583"/>
      <c r="K2218" s="1583"/>
      <c r="L2218" s="1583"/>
      <c r="M2218" s="1583"/>
      <c r="N2218" s="1583"/>
      <c r="O2218" s="1583"/>
      <c r="P2218" s="1583"/>
      <c r="Q2218" s="1604"/>
      <c r="R2218" s="1583"/>
      <c r="S2218" s="1583"/>
      <c r="T2218" s="1604"/>
      <c r="U2218" s="1592"/>
      <c r="V2218" s="1585"/>
      <c r="W2218" s="1585"/>
      <c r="X2218" s="1585"/>
      <c r="Y2218" s="1592"/>
      <c r="Z2218" s="1585"/>
      <c r="AA2218" s="1585"/>
      <c r="AB2218" s="1585"/>
      <c r="AC2218" s="1585"/>
      <c r="AD2218" s="1601">
        <f t="shared" si="176"/>
        <v>0</v>
      </c>
      <c r="AE2218" s="1790">
        <v>0</v>
      </c>
      <c r="AF2218" s="1792"/>
    </row>
    <row r="2219" spans="1:32" ht="27.75" customHeight="1">
      <c r="A2219" s="2899" t="s">
        <v>3739</v>
      </c>
      <c r="B2219" s="2901" t="s">
        <v>4230</v>
      </c>
      <c r="C2219" s="2903" t="s">
        <v>52</v>
      </c>
      <c r="D2219" s="2905">
        <v>1277.2</v>
      </c>
      <c r="E2219" s="1598" t="s">
        <v>2496</v>
      </c>
      <c r="F2219" s="1583"/>
      <c r="G2219" s="1583"/>
      <c r="H2219" s="1583"/>
      <c r="I2219" s="1583"/>
      <c r="J2219" s="1583"/>
      <c r="K2219" s="1583"/>
      <c r="L2219" s="1583"/>
      <c r="M2219" s="1583"/>
      <c r="N2219" s="1583"/>
      <c r="O2219" s="1583"/>
      <c r="P2219" s="1583"/>
      <c r="Q2219" s="1585"/>
      <c r="R2219" s="1583"/>
      <c r="S2219" s="1583"/>
      <c r="T2219" s="1585"/>
      <c r="U2219" s="1585"/>
      <c r="V2219" s="1585"/>
      <c r="W2219" s="1585"/>
      <c r="X2219" s="1585"/>
      <c r="Y2219" s="1585"/>
      <c r="Z2219" s="1585"/>
      <c r="AA2219" s="1585"/>
      <c r="AB2219" s="1585"/>
      <c r="AC2219" s="1812">
        <f>D2219</f>
        <v>1277.2</v>
      </c>
      <c r="AD2219" s="1601">
        <f t="shared" si="176"/>
        <v>1277.2</v>
      </c>
      <c r="AE2219" s="1790">
        <v>0</v>
      </c>
      <c r="AF2219" s="1792"/>
    </row>
    <row r="2220" spans="1:32" ht="27.75" customHeight="1">
      <c r="A2220" s="2900" t="s">
        <v>3739</v>
      </c>
      <c r="B2220" s="2902" t="s">
        <v>3740</v>
      </c>
      <c r="C2220" s="2904" t="s">
        <v>52</v>
      </c>
      <c r="D2220" s="2906">
        <v>1277.2</v>
      </c>
      <c r="E2220" s="1603" t="s">
        <v>2497</v>
      </c>
      <c r="F2220" s="1583"/>
      <c r="G2220" s="1583"/>
      <c r="H2220" s="1583"/>
      <c r="I2220" s="1583"/>
      <c r="J2220" s="1583"/>
      <c r="K2220" s="1583"/>
      <c r="L2220" s="1583"/>
      <c r="M2220" s="1583"/>
      <c r="N2220" s="1583"/>
      <c r="O2220" s="1583"/>
      <c r="P2220" s="1583"/>
      <c r="Q2220" s="1604"/>
      <c r="R2220" s="1583"/>
      <c r="S2220" s="1583"/>
      <c r="T2220" s="1604"/>
      <c r="U2220" s="1585"/>
      <c r="V2220" s="1585"/>
      <c r="W2220" s="1585"/>
      <c r="X2220" s="1585"/>
      <c r="Y2220" s="1585"/>
      <c r="Z2220" s="1585"/>
      <c r="AA2220" s="1585"/>
      <c r="AB2220" s="1585"/>
      <c r="AC2220" s="1585"/>
      <c r="AD2220" s="1601">
        <f t="shared" si="176"/>
        <v>0</v>
      </c>
      <c r="AE2220" s="1790">
        <v>0</v>
      </c>
      <c r="AF2220" s="1792"/>
    </row>
    <row r="2221" spans="1:32" ht="27.75" customHeight="1">
      <c r="A2221" s="2899" t="s">
        <v>3741</v>
      </c>
      <c r="B2221" s="2901" t="s">
        <v>2110</v>
      </c>
      <c r="C2221" s="2903" t="s">
        <v>52</v>
      </c>
      <c r="D2221" s="2905">
        <v>3194.4</v>
      </c>
      <c r="E2221" s="1810" t="s">
        <v>2496</v>
      </c>
      <c r="F2221" s="1811"/>
      <c r="G2221" s="1811"/>
      <c r="H2221" s="1811"/>
      <c r="I2221" s="1811"/>
      <c r="J2221" s="1811"/>
      <c r="K2221" s="1811"/>
      <c r="L2221" s="1811"/>
      <c r="M2221" s="1811"/>
      <c r="N2221" s="1811"/>
      <c r="O2221" s="1811"/>
      <c r="P2221" s="1811"/>
      <c r="Q2221" s="1812"/>
      <c r="R2221" s="1811"/>
      <c r="S2221" s="1811"/>
      <c r="T2221" s="1812"/>
      <c r="U2221" s="1812"/>
      <c r="V2221" s="1812"/>
      <c r="W2221" s="1812"/>
      <c r="X2221" s="1812"/>
      <c r="Y2221" s="1812"/>
      <c r="Z2221" s="1812"/>
      <c r="AA2221" s="1812"/>
      <c r="AB2221" s="1812"/>
      <c r="AC2221" s="1812">
        <f>D2221</f>
        <v>3194.4</v>
      </c>
      <c r="AD2221" s="1601">
        <f t="shared" si="176"/>
        <v>3194.4</v>
      </c>
      <c r="AE2221" s="1790">
        <v>0</v>
      </c>
      <c r="AF2221" s="1792"/>
    </row>
    <row r="2222" spans="1:32" ht="27.75" customHeight="1">
      <c r="A2222" s="2900" t="s">
        <v>3741</v>
      </c>
      <c r="B2222" s="2902" t="s">
        <v>3742</v>
      </c>
      <c r="C2222" s="2904" t="s">
        <v>52</v>
      </c>
      <c r="D2222" s="2906">
        <v>3194.4</v>
      </c>
      <c r="E2222" s="1603" t="s">
        <v>2497</v>
      </c>
      <c r="F2222" s="1583"/>
      <c r="G2222" s="1583"/>
      <c r="H2222" s="1583"/>
      <c r="I2222" s="1583"/>
      <c r="J2222" s="1583"/>
      <c r="K2222" s="1583"/>
      <c r="L2222" s="1583"/>
      <c r="M2222" s="1583"/>
      <c r="N2222" s="1583"/>
      <c r="O2222" s="1583"/>
      <c r="P2222" s="1583"/>
      <c r="Q2222" s="1604"/>
      <c r="R2222" s="1583"/>
      <c r="S2222" s="1583"/>
      <c r="T2222" s="1604"/>
      <c r="U2222" s="1592"/>
      <c r="V2222" s="1585"/>
      <c r="W2222" s="1585"/>
      <c r="X2222" s="1585"/>
      <c r="Y2222" s="1592"/>
      <c r="Z2222" s="1585"/>
      <c r="AA2222" s="1585"/>
      <c r="AB2222" s="1585"/>
      <c r="AC2222" s="1585"/>
      <c r="AD2222" s="1601">
        <f t="shared" si="176"/>
        <v>0</v>
      </c>
      <c r="AE2222" s="1790">
        <v>0</v>
      </c>
      <c r="AF2222" s="1792"/>
    </row>
    <row r="2223" spans="1:32" ht="27.75" customHeight="1">
      <c r="A2223" s="1647" t="s">
        <v>3743</v>
      </c>
      <c r="B2223" s="1647" t="s">
        <v>4231</v>
      </c>
      <c r="C2223" s="1803"/>
      <c r="D2223" s="1804"/>
      <c r="E2223" s="1599"/>
      <c r="F2223" s="1583"/>
      <c r="G2223" s="1583"/>
      <c r="H2223" s="1583"/>
      <c r="I2223" s="1583"/>
      <c r="J2223" s="1583"/>
      <c r="K2223" s="1583"/>
      <c r="L2223" s="1583"/>
      <c r="M2223" s="1583"/>
      <c r="N2223" s="1583"/>
      <c r="O2223" s="1583"/>
      <c r="P2223" s="1583"/>
      <c r="Q2223" s="1604"/>
      <c r="R2223" s="1583"/>
      <c r="S2223" s="1583"/>
      <c r="T2223" s="1604"/>
      <c r="U2223" s="1592"/>
      <c r="V2223" s="1585"/>
      <c r="W2223" s="1585"/>
      <c r="X2223" s="1585"/>
      <c r="Y2223" s="1592"/>
      <c r="Z2223" s="1585"/>
      <c r="AA2223" s="1585"/>
      <c r="AB2223" s="1585"/>
      <c r="AC2223" s="1585"/>
      <c r="AD2223" s="1601">
        <f t="shared" si="176"/>
        <v>0</v>
      </c>
      <c r="AE2223" s="1790">
        <v>0</v>
      </c>
      <c r="AF2223" s="1792"/>
    </row>
    <row r="2224" spans="1:32" ht="27.75" customHeight="1">
      <c r="A2224" s="2899" t="s">
        <v>3745</v>
      </c>
      <c r="B2224" s="2901" t="s">
        <v>4232</v>
      </c>
      <c r="C2224" s="2903" t="s">
        <v>52</v>
      </c>
      <c r="D2224" s="2905">
        <v>2224.33</v>
      </c>
      <c r="E2224" s="1598" t="s">
        <v>2496</v>
      </c>
      <c r="F2224" s="1583"/>
      <c r="G2224" s="1583"/>
      <c r="H2224" s="1583"/>
      <c r="I2224" s="1583"/>
      <c r="J2224" s="1583"/>
      <c r="K2224" s="1583"/>
      <c r="L2224" s="1583"/>
      <c r="M2224" s="1583"/>
      <c r="N2224" s="1583"/>
      <c r="O2224" s="1583"/>
      <c r="P2224" s="1583"/>
      <c r="Q2224" s="1585"/>
      <c r="R2224" s="1583"/>
      <c r="S2224" s="1583"/>
      <c r="T2224" s="1585"/>
      <c r="U2224" s="1585"/>
      <c r="V2224" s="1585"/>
      <c r="W2224" s="1585"/>
      <c r="X2224" s="1585"/>
      <c r="Y2224" s="1585"/>
      <c r="Z2224" s="1585"/>
      <c r="AA2224" s="1585">
        <f>D2224</f>
        <v>2224.33</v>
      </c>
      <c r="AB2224" s="1585"/>
      <c r="AC2224" s="1585"/>
      <c r="AD2224" s="1601">
        <f t="shared" si="176"/>
        <v>2224.33</v>
      </c>
      <c r="AE2224" s="1790">
        <v>0</v>
      </c>
      <c r="AF2224" s="1792"/>
    </row>
    <row r="2225" spans="1:32" ht="27.75" customHeight="1">
      <c r="A2225" s="2900" t="s">
        <v>3745</v>
      </c>
      <c r="B2225" s="2902" t="s">
        <v>3746</v>
      </c>
      <c r="C2225" s="2904" t="s">
        <v>52</v>
      </c>
      <c r="D2225" s="2906">
        <v>2224.33</v>
      </c>
      <c r="E2225" s="1603" t="s">
        <v>2497</v>
      </c>
      <c r="F2225" s="1583"/>
      <c r="G2225" s="1583"/>
      <c r="H2225" s="1583"/>
      <c r="I2225" s="1583"/>
      <c r="J2225" s="1583"/>
      <c r="K2225" s="1583"/>
      <c r="L2225" s="1583"/>
      <c r="M2225" s="1583"/>
      <c r="N2225" s="1583"/>
      <c r="O2225" s="1583"/>
      <c r="P2225" s="1583"/>
      <c r="Q2225" s="1604"/>
      <c r="R2225" s="1583"/>
      <c r="S2225" s="1583"/>
      <c r="T2225" s="1604"/>
      <c r="U2225" s="1585"/>
      <c r="V2225" s="1585"/>
      <c r="W2225" s="1585"/>
      <c r="X2225" s="1585"/>
      <c r="Y2225" s="1585"/>
      <c r="Z2225" s="1585"/>
      <c r="AA2225" s="1585"/>
      <c r="AB2225" s="1585"/>
      <c r="AC2225" s="1585"/>
      <c r="AD2225" s="1601">
        <f t="shared" si="176"/>
        <v>0</v>
      </c>
      <c r="AE2225" s="1790">
        <v>0</v>
      </c>
      <c r="AF2225" s="1792"/>
    </row>
    <row r="2226" spans="1:32" ht="27.75" customHeight="1">
      <c r="A2226" s="2899" t="s">
        <v>3747</v>
      </c>
      <c r="B2226" s="2901" t="s">
        <v>4233</v>
      </c>
      <c r="C2226" s="2903" t="s">
        <v>51</v>
      </c>
      <c r="D2226" s="2905">
        <v>1867.5000000000002</v>
      </c>
      <c r="E2226" s="1810" t="s">
        <v>2496</v>
      </c>
      <c r="F2226" s="1811"/>
      <c r="G2226" s="1811"/>
      <c r="H2226" s="1811"/>
      <c r="I2226" s="1811"/>
      <c r="J2226" s="1811"/>
      <c r="K2226" s="1811"/>
      <c r="L2226" s="1811"/>
      <c r="M2226" s="1811"/>
      <c r="N2226" s="1811"/>
      <c r="O2226" s="1811"/>
      <c r="P2226" s="1811"/>
      <c r="Q2226" s="1812"/>
      <c r="R2226" s="1811"/>
      <c r="S2226" s="1811"/>
      <c r="T2226" s="1812"/>
      <c r="U2226" s="1812"/>
      <c r="V2226" s="1812"/>
      <c r="W2226" s="1812"/>
      <c r="X2226" s="1812"/>
      <c r="Y2226" s="1812"/>
      <c r="Z2226" s="1812"/>
      <c r="AA2226" s="1585">
        <f>D2226</f>
        <v>1867.5000000000002</v>
      </c>
      <c r="AB2226" s="1812"/>
      <c r="AC2226" s="1812"/>
      <c r="AD2226" s="1601">
        <f t="shared" si="176"/>
        <v>1867.5000000000002</v>
      </c>
      <c r="AE2226" s="1790">
        <v>0</v>
      </c>
      <c r="AF2226" s="1792"/>
    </row>
    <row r="2227" spans="1:32" ht="27.75" customHeight="1">
      <c r="A2227" s="2900" t="s">
        <v>3747</v>
      </c>
      <c r="B2227" s="2902" t="s">
        <v>3748</v>
      </c>
      <c r="C2227" s="2904" t="s">
        <v>51</v>
      </c>
      <c r="D2227" s="2906">
        <v>1867.5000000000002</v>
      </c>
      <c r="E2227" s="1603" t="s">
        <v>2497</v>
      </c>
      <c r="F2227" s="1583"/>
      <c r="G2227" s="1583"/>
      <c r="H2227" s="1583"/>
      <c r="I2227" s="1583"/>
      <c r="J2227" s="1583"/>
      <c r="K2227" s="1583"/>
      <c r="L2227" s="1583"/>
      <c r="M2227" s="1583"/>
      <c r="N2227" s="1583"/>
      <c r="O2227" s="1583"/>
      <c r="P2227" s="1583"/>
      <c r="Q2227" s="1604"/>
      <c r="R2227" s="1583"/>
      <c r="S2227" s="1583"/>
      <c r="T2227" s="1604"/>
      <c r="U2227" s="1592"/>
      <c r="V2227" s="1585"/>
      <c r="W2227" s="1585"/>
      <c r="X2227" s="1585"/>
      <c r="Y2227" s="1592"/>
      <c r="Z2227" s="1585"/>
      <c r="AA2227" s="1585"/>
      <c r="AB2227" s="1585"/>
      <c r="AC2227" s="1585"/>
      <c r="AD2227" s="1601">
        <f t="shared" si="176"/>
        <v>0</v>
      </c>
      <c r="AE2227" s="1790">
        <v>0</v>
      </c>
      <c r="AF2227" s="1792"/>
    </row>
    <row r="2228" spans="1:32" ht="27.75" customHeight="1">
      <c r="A2228" s="2899" t="s">
        <v>3749</v>
      </c>
      <c r="B2228" s="2901" t="s">
        <v>4234</v>
      </c>
      <c r="C2228" s="2903" t="s">
        <v>51</v>
      </c>
      <c r="D2228" s="2905">
        <v>1005.0000000000001</v>
      </c>
      <c r="E2228" s="1810" t="s">
        <v>2496</v>
      </c>
      <c r="F2228" s="1811"/>
      <c r="G2228" s="1811"/>
      <c r="H2228" s="1811"/>
      <c r="I2228" s="1811"/>
      <c r="J2228" s="1811"/>
      <c r="K2228" s="1811"/>
      <c r="L2228" s="1811"/>
      <c r="M2228" s="1811"/>
      <c r="N2228" s="1811"/>
      <c r="O2228" s="1811"/>
      <c r="P2228" s="1811"/>
      <c r="Q2228" s="1812"/>
      <c r="R2228" s="1811"/>
      <c r="S2228" s="1811"/>
      <c r="T2228" s="1812"/>
      <c r="U2228" s="1812"/>
      <c r="V2228" s="1812"/>
      <c r="W2228" s="1812"/>
      <c r="X2228" s="1812"/>
      <c r="Y2228" s="1812"/>
      <c r="Z2228" s="1812"/>
      <c r="AA2228" s="1585">
        <f>D2228</f>
        <v>1005.0000000000001</v>
      </c>
      <c r="AB2228" s="1812"/>
      <c r="AC2228" s="1812"/>
      <c r="AD2228" s="1601">
        <f t="shared" si="176"/>
        <v>1005.0000000000001</v>
      </c>
      <c r="AE2228" s="1790">
        <v>0</v>
      </c>
      <c r="AF2228" s="1792"/>
    </row>
    <row r="2229" spans="1:32" ht="27.75" customHeight="1">
      <c r="A2229" s="2900" t="s">
        <v>3749</v>
      </c>
      <c r="B2229" s="2902" t="s">
        <v>3750</v>
      </c>
      <c r="C2229" s="2904" t="s">
        <v>51</v>
      </c>
      <c r="D2229" s="2906">
        <v>1005.0000000000001</v>
      </c>
      <c r="E2229" s="1603" t="s">
        <v>2497</v>
      </c>
      <c r="F2229" s="1583"/>
      <c r="G2229" s="1583"/>
      <c r="H2229" s="1583"/>
      <c r="I2229" s="1583"/>
      <c r="J2229" s="1583"/>
      <c r="K2229" s="1583"/>
      <c r="L2229" s="1583"/>
      <c r="M2229" s="1583"/>
      <c r="N2229" s="1583"/>
      <c r="O2229" s="1583"/>
      <c r="P2229" s="1583"/>
      <c r="Q2229" s="1604"/>
      <c r="R2229" s="1583"/>
      <c r="S2229" s="1583"/>
      <c r="T2229" s="1604"/>
      <c r="U2229" s="1592"/>
      <c r="V2229" s="1585"/>
      <c r="W2229" s="1585"/>
      <c r="X2229" s="1585"/>
      <c r="Y2229" s="1592"/>
      <c r="Z2229" s="1585"/>
      <c r="AA2229" s="1585"/>
      <c r="AB2229" s="1585"/>
      <c r="AC2229" s="1585"/>
      <c r="AD2229" s="1601">
        <f t="shared" si="176"/>
        <v>0</v>
      </c>
      <c r="AE2229" s="1790">
        <v>0</v>
      </c>
      <c r="AF2229" s="1792"/>
    </row>
    <row r="2230" spans="1:32" ht="27.75" customHeight="1">
      <c r="A2230" s="2899" t="s">
        <v>3751</v>
      </c>
      <c r="B2230" s="2901" t="s">
        <v>4235</v>
      </c>
      <c r="C2230" s="2903" t="s">
        <v>51</v>
      </c>
      <c r="D2230" s="2905">
        <v>2328.75</v>
      </c>
      <c r="E2230" s="1810" t="s">
        <v>2496</v>
      </c>
      <c r="F2230" s="1811"/>
      <c r="G2230" s="1811"/>
      <c r="H2230" s="1811"/>
      <c r="I2230" s="1811"/>
      <c r="J2230" s="1811"/>
      <c r="K2230" s="1811"/>
      <c r="L2230" s="1811"/>
      <c r="M2230" s="1811"/>
      <c r="N2230" s="1811"/>
      <c r="O2230" s="1811"/>
      <c r="P2230" s="1811"/>
      <c r="Q2230" s="1812"/>
      <c r="R2230" s="1811"/>
      <c r="S2230" s="1811"/>
      <c r="T2230" s="1812"/>
      <c r="U2230" s="1812"/>
      <c r="V2230" s="1812"/>
      <c r="W2230" s="1812"/>
      <c r="X2230" s="1812"/>
      <c r="Y2230" s="1812"/>
      <c r="Z2230" s="1812"/>
      <c r="AA2230" s="1585">
        <f>D2230</f>
        <v>2328.75</v>
      </c>
      <c r="AB2230" s="1812"/>
      <c r="AC2230" s="1812"/>
      <c r="AD2230" s="1601">
        <f t="shared" si="176"/>
        <v>2328.75</v>
      </c>
      <c r="AE2230" s="1790">
        <v>0</v>
      </c>
      <c r="AF2230" s="1792"/>
    </row>
    <row r="2231" spans="1:32" ht="27.75" customHeight="1">
      <c r="A2231" s="2900" t="s">
        <v>3751</v>
      </c>
      <c r="B2231" s="2902" t="s">
        <v>3752</v>
      </c>
      <c r="C2231" s="2904" t="s">
        <v>51</v>
      </c>
      <c r="D2231" s="2906">
        <v>2328.75</v>
      </c>
      <c r="E2231" s="1603" t="s">
        <v>2497</v>
      </c>
      <c r="F2231" s="1583"/>
      <c r="G2231" s="1583"/>
      <c r="H2231" s="1583"/>
      <c r="I2231" s="1583"/>
      <c r="J2231" s="1583"/>
      <c r="K2231" s="1583"/>
      <c r="L2231" s="1583"/>
      <c r="M2231" s="1583"/>
      <c r="N2231" s="1583"/>
      <c r="O2231" s="1583"/>
      <c r="P2231" s="1583"/>
      <c r="Q2231" s="1604"/>
      <c r="R2231" s="1583"/>
      <c r="S2231" s="1583"/>
      <c r="T2231" s="1604"/>
      <c r="U2231" s="1592"/>
      <c r="V2231" s="1585"/>
      <c r="W2231" s="1585"/>
      <c r="X2231" s="1585"/>
      <c r="Y2231" s="1592"/>
      <c r="Z2231" s="1585"/>
      <c r="AA2231" s="1585"/>
      <c r="AB2231" s="1585"/>
      <c r="AC2231" s="1585"/>
      <c r="AD2231" s="1601">
        <f t="shared" si="176"/>
        <v>0</v>
      </c>
      <c r="AE2231" s="1790">
        <v>0</v>
      </c>
      <c r="AF2231" s="1792"/>
    </row>
    <row r="2232" spans="1:32" ht="27.75" customHeight="1">
      <c r="A2232" s="2899" t="s">
        <v>3753</v>
      </c>
      <c r="B2232" s="2901" t="s">
        <v>4236</v>
      </c>
      <c r="C2232" s="2903" t="s">
        <v>51</v>
      </c>
      <c r="D2232" s="2905">
        <v>781.5</v>
      </c>
      <c r="E2232" s="1598" t="s">
        <v>2496</v>
      </c>
      <c r="F2232" s="1583"/>
      <c r="G2232" s="1583"/>
      <c r="H2232" s="1583"/>
      <c r="I2232" s="1583"/>
      <c r="J2232" s="1583"/>
      <c r="K2232" s="1583"/>
      <c r="L2232" s="1583"/>
      <c r="M2232" s="1583"/>
      <c r="N2232" s="1583"/>
      <c r="O2232" s="1583"/>
      <c r="P2232" s="1583"/>
      <c r="Q2232" s="1585"/>
      <c r="R2232" s="1583"/>
      <c r="S2232" s="1583"/>
      <c r="T2232" s="1585"/>
      <c r="U2232" s="1585"/>
      <c r="V2232" s="1585"/>
      <c r="W2232" s="1585"/>
      <c r="X2232" s="1585"/>
      <c r="Y2232" s="1585"/>
      <c r="Z2232" s="1585"/>
      <c r="AA2232" s="1585">
        <f>D2232</f>
        <v>781.5</v>
      </c>
      <c r="AB2232" s="1585"/>
      <c r="AC2232" s="1585"/>
      <c r="AD2232" s="1601">
        <f t="shared" si="176"/>
        <v>781.5</v>
      </c>
      <c r="AE2232" s="1790">
        <v>0</v>
      </c>
      <c r="AF2232" s="1792"/>
    </row>
    <row r="2233" spans="1:32" ht="27.75" customHeight="1">
      <c r="A2233" s="2900" t="s">
        <v>3753</v>
      </c>
      <c r="B2233" s="2902" t="s">
        <v>3754</v>
      </c>
      <c r="C2233" s="2904" t="s">
        <v>51</v>
      </c>
      <c r="D2233" s="2906">
        <v>781.5</v>
      </c>
      <c r="E2233" s="1603" t="s">
        <v>2497</v>
      </c>
      <c r="F2233" s="1583"/>
      <c r="G2233" s="1583"/>
      <c r="H2233" s="1583"/>
      <c r="I2233" s="1583"/>
      <c r="J2233" s="1583"/>
      <c r="K2233" s="1583"/>
      <c r="L2233" s="1583"/>
      <c r="M2233" s="1583"/>
      <c r="N2233" s="1583"/>
      <c r="O2233" s="1583"/>
      <c r="P2233" s="1583"/>
      <c r="Q2233" s="1604"/>
      <c r="R2233" s="1583"/>
      <c r="S2233" s="1583"/>
      <c r="T2233" s="1604"/>
      <c r="U2233" s="1585"/>
      <c r="V2233" s="1585"/>
      <c r="W2233" s="1585"/>
      <c r="X2233" s="1585"/>
      <c r="Y2233" s="1585"/>
      <c r="Z2233" s="1585"/>
      <c r="AA2233" s="1585"/>
      <c r="AB2233" s="1585"/>
      <c r="AC2233" s="1585"/>
      <c r="AD2233" s="1601">
        <f t="shared" si="176"/>
        <v>0</v>
      </c>
      <c r="AE2233" s="1790">
        <v>0</v>
      </c>
      <c r="AF2233" s="1792"/>
    </row>
    <row r="2234" spans="1:32" ht="27.75" customHeight="1">
      <c r="A2234" s="2899" t="s">
        <v>3755</v>
      </c>
      <c r="B2234" s="2901" t="s">
        <v>4237</v>
      </c>
      <c r="C2234" s="2903" t="s">
        <v>51</v>
      </c>
      <c r="D2234" s="2905">
        <v>1507.5</v>
      </c>
      <c r="E2234" s="1810" t="s">
        <v>2496</v>
      </c>
      <c r="F2234" s="1811"/>
      <c r="G2234" s="1811"/>
      <c r="H2234" s="1811"/>
      <c r="I2234" s="1811"/>
      <c r="J2234" s="1811"/>
      <c r="K2234" s="1811"/>
      <c r="L2234" s="1811"/>
      <c r="M2234" s="1811"/>
      <c r="N2234" s="1811"/>
      <c r="O2234" s="1811"/>
      <c r="P2234" s="1811"/>
      <c r="Q2234" s="1812"/>
      <c r="R2234" s="1811"/>
      <c r="S2234" s="1811"/>
      <c r="T2234" s="1812"/>
      <c r="U2234" s="1812"/>
      <c r="V2234" s="1812"/>
      <c r="W2234" s="1812"/>
      <c r="X2234" s="1812"/>
      <c r="Y2234" s="1812"/>
      <c r="Z2234" s="1812"/>
      <c r="AA2234" s="1585">
        <f>D2234</f>
        <v>1507.5</v>
      </c>
      <c r="AB2234" s="1812"/>
      <c r="AC2234" s="1812"/>
      <c r="AD2234" s="1601">
        <f t="shared" si="176"/>
        <v>1507.5</v>
      </c>
      <c r="AE2234" s="1790">
        <v>0</v>
      </c>
      <c r="AF2234" s="1792"/>
    </row>
    <row r="2235" spans="1:32" ht="27.75" customHeight="1">
      <c r="A2235" s="2900" t="s">
        <v>3755</v>
      </c>
      <c r="B2235" s="2902" t="s">
        <v>3756</v>
      </c>
      <c r="C2235" s="2904" t="s">
        <v>51</v>
      </c>
      <c r="D2235" s="2906">
        <v>1507.5</v>
      </c>
      <c r="E2235" s="1603" t="s">
        <v>2497</v>
      </c>
      <c r="F2235" s="1583"/>
      <c r="G2235" s="1583"/>
      <c r="H2235" s="1583"/>
      <c r="I2235" s="1583"/>
      <c r="J2235" s="1583"/>
      <c r="K2235" s="1583"/>
      <c r="L2235" s="1583"/>
      <c r="M2235" s="1583"/>
      <c r="N2235" s="1583"/>
      <c r="O2235" s="1583"/>
      <c r="P2235" s="1583"/>
      <c r="Q2235" s="1604"/>
      <c r="R2235" s="1583"/>
      <c r="S2235" s="1583"/>
      <c r="T2235" s="1604"/>
      <c r="U2235" s="1592"/>
      <c r="V2235" s="1585"/>
      <c r="W2235" s="1585"/>
      <c r="X2235" s="1585"/>
      <c r="Y2235" s="1592"/>
      <c r="Z2235" s="1585"/>
      <c r="AA2235" s="1585"/>
      <c r="AB2235" s="1585"/>
      <c r="AC2235" s="1585"/>
      <c r="AD2235" s="1601">
        <f t="shared" si="176"/>
        <v>0</v>
      </c>
      <c r="AE2235" s="1790">
        <v>0</v>
      </c>
      <c r="AF2235" s="1792"/>
    </row>
    <row r="2236" spans="1:32" ht="27.75" customHeight="1">
      <c r="A2236" s="2899" t="s">
        <v>3757</v>
      </c>
      <c r="B2236" s="2901" t="s">
        <v>4238</v>
      </c>
      <c r="C2236" s="2903" t="s">
        <v>52</v>
      </c>
      <c r="D2236" s="2905">
        <v>259.47000000000003</v>
      </c>
      <c r="E2236" s="1810" t="s">
        <v>2496</v>
      </c>
      <c r="F2236" s="1811"/>
      <c r="G2236" s="1811"/>
      <c r="H2236" s="1811"/>
      <c r="I2236" s="1811"/>
      <c r="J2236" s="1811"/>
      <c r="K2236" s="1811"/>
      <c r="L2236" s="1811"/>
      <c r="M2236" s="1811"/>
      <c r="N2236" s="1811"/>
      <c r="O2236" s="1811"/>
      <c r="P2236" s="1811"/>
      <c r="Q2236" s="1812"/>
      <c r="R2236" s="1811"/>
      <c r="S2236" s="1811"/>
      <c r="T2236" s="1812"/>
      <c r="U2236" s="1812"/>
      <c r="V2236" s="1812"/>
      <c r="W2236" s="1812"/>
      <c r="X2236" s="1812"/>
      <c r="Y2236" s="1812"/>
      <c r="Z2236" s="1812"/>
      <c r="AA2236" s="1585">
        <f>D2236</f>
        <v>259.47000000000003</v>
      </c>
      <c r="AB2236" s="1812"/>
      <c r="AC2236" s="1812"/>
      <c r="AD2236" s="1601">
        <f t="shared" si="176"/>
        <v>259.47000000000003</v>
      </c>
      <c r="AE2236" s="1790">
        <v>0</v>
      </c>
      <c r="AF2236" s="1792"/>
    </row>
    <row r="2237" spans="1:32" ht="27.75" customHeight="1">
      <c r="A2237" s="2900" t="s">
        <v>3757</v>
      </c>
      <c r="B2237" s="2902" t="s">
        <v>3758</v>
      </c>
      <c r="C2237" s="2904" t="s">
        <v>52</v>
      </c>
      <c r="D2237" s="2906">
        <v>259.47000000000003</v>
      </c>
      <c r="E2237" s="1603" t="s">
        <v>2497</v>
      </c>
      <c r="F2237" s="1583"/>
      <c r="G2237" s="1583"/>
      <c r="H2237" s="1583"/>
      <c r="I2237" s="1583"/>
      <c r="J2237" s="1583"/>
      <c r="K2237" s="1583"/>
      <c r="L2237" s="1583"/>
      <c r="M2237" s="1583"/>
      <c r="N2237" s="1583"/>
      <c r="O2237" s="1583"/>
      <c r="P2237" s="1583"/>
      <c r="Q2237" s="1604"/>
      <c r="R2237" s="1583"/>
      <c r="S2237" s="1583"/>
      <c r="T2237" s="1604"/>
      <c r="U2237" s="1592"/>
      <c r="V2237" s="1585"/>
      <c r="W2237" s="1585"/>
      <c r="X2237" s="1585"/>
      <c r="Y2237" s="1592"/>
      <c r="Z2237" s="1585"/>
      <c r="AA2237" s="1585"/>
      <c r="AB2237" s="1585"/>
      <c r="AC2237" s="1585"/>
      <c r="AD2237" s="1601">
        <f t="shared" si="176"/>
        <v>0</v>
      </c>
      <c r="AE2237" s="1790">
        <v>0</v>
      </c>
      <c r="AF2237" s="1792"/>
    </row>
    <row r="2238" spans="1:32" ht="27.75" customHeight="1">
      <c r="A2238" s="2899" t="s">
        <v>3759</v>
      </c>
      <c r="B2238" s="2901" t="s">
        <v>4239</v>
      </c>
      <c r="C2238" s="2903" t="s">
        <v>52</v>
      </c>
      <c r="D2238" s="2905">
        <v>159.47</v>
      </c>
      <c r="E2238" s="1810" t="s">
        <v>2496</v>
      </c>
      <c r="F2238" s="1811"/>
      <c r="G2238" s="1811"/>
      <c r="H2238" s="1811"/>
      <c r="I2238" s="1811"/>
      <c r="J2238" s="1811"/>
      <c r="K2238" s="1811"/>
      <c r="L2238" s="1811"/>
      <c r="M2238" s="1811"/>
      <c r="N2238" s="1811"/>
      <c r="O2238" s="1811"/>
      <c r="P2238" s="1811"/>
      <c r="Q2238" s="1812"/>
      <c r="R2238" s="1811"/>
      <c r="S2238" s="1811"/>
      <c r="T2238" s="1812"/>
      <c r="U2238" s="1812"/>
      <c r="V2238" s="1812"/>
      <c r="W2238" s="1812"/>
      <c r="X2238" s="1812"/>
      <c r="Y2238" s="1812"/>
      <c r="Z2238" s="1812"/>
      <c r="AA2238" s="1585">
        <f>D2238</f>
        <v>159.47</v>
      </c>
      <c r="AB2238" s="1812"/>
      <c r="AC2238" s="1812"/>
      <c r="AD2238" s="1601">
        <f t="shared" si="176"/>
        <v>159.47</v>
      </c>
      <c r="AE2238" s="1790">
        <v>0</v>
      </c>
      <c r="AF2238" s="1792"/>
    </row>
    <row r="2239" spans="1:32" ht="27.75" customHeight="1">
      <c r="A2239" s="2900" t="s">
        <v>3759</v>
      </c>
      <c r="B2239" s="2902" t="s">
        <v>3760</v>
      </c>
      <c r="C2239" s="2904" t="s">
        <v>52</v>
      </c>
      <c r="D2239" s="2906">
        <v>159.47</v>
      </c>
      <c r="E2239" s="1603" t="s">
        <v>2497</v>
      </c>
      <c r="F2239" s="1583"/>
      <c r="G2239" s="1583"/>
      <c r="H2239" s="1583"/>
      <c r="I2239" s="1583"/>
      <c r="J2239" s="1583"/>
      <c r="K2239" s="1583"/>
      <c r="L2239" s="1583"/>
      <c r="M2239" s="1583"/>
      <c r="N2239" s="1583"/>
      <c r="O2239" s="1583"/>
      <c r="P2239" s="1583"/>
      <c r="Q2239" s="1604"/>
      <c r="R2239" s="1583"/>
      <c r="S2239" s="1583"/>
      <c r="T2239" s="1604"/>
      <c r="U2239" s="1592"/>
      <c r="V2239" s="1585"/>
      <c r="W2239" s="1585"/>
      <c r="X2239" s="1585"/>
      <c r="Y2239" s="1592"/>
      <c r="Z2239" s="1585"/>
      <c r="AA2239" s="1585"/>
      <c r="AB2239" s="1585"/>
      <c r="AC2239" s="1585"/>
      <c r="AD2239" s="1601">
        <f t="shared" si="176"/>
        <v>0</v>
      </c>
      <c r="AE2239" s="1790">
        <v>0</v>
      </c>
      <c r="AF2239" s="1792"/>
    </row>
    <row r="2240" spans="1:32" ht="27.75" customHeight="1">
      <c r="A2240" s="2899" t="s">
        <v>3761</v>
      </c>
      <c r="B2240" s="2901" t="s">
        <v>4240</v>
      </c>
      <c r="C2240" s="2903" t="s">
        <v>52</v>
      </c>
      <c r="D2240" s="2905">
        <v>149.86000000000001</v>
      </c>
      <c r="E2240" s="1598" t="s">
        <v>2496</v>
      </c>
      <c r="F2240" s="1583"/>
      <c r="G2240" s="1583"/>
      <c r="H2240" s="1583"/>
      <c r="I2240" s="1583"/>
      <c r="J2240" s="1583"/>
      <c r="K2240" s="1583"/>
      <c r="L2240" s="1583"/>
      <c r="M2240" s="1583"/>
      <c r="N2240" s="1583"/>
      <c r="O2240" s="1583"/>
      <c r="P2240" s="1583"/>
      <c r="Q2240" s="1585"/>
      <c r="R2240" s="1583"/>
      <c r="S2240" s="1583"/>
      <c r="T2240" s="1585"/>
      <c r="U2240" s="1585"/>
      <c r="V2240" s="1585"/>
      <c r="W2240" s="1585"/>
      <c r="X2240" s="1585"/>
      <c r="Y2240" s="1585"/>
      <c r="Z2240" s="1585"/>
      <c r="AA2240" s="1585">
        <f>D2240</f>
        <v>149.86000000000001</v>
      </c>
      <c r="AB2240" s="1585"/>
      <c r="AC2240" s="1585"/>
      <c r="AD2240" s="1601">
        <f t="shared" si="176"/>
        <v>149.86000000000001</v>
      </c>
      <c r="AE2240" s="1790">
        <v>0</v>
      </c>
      <c r="AF2240" s="1792"/>
    </row>
    <row r="2241" spans="1:32" ht="27.75" customHeight="1">
      <c r="A2241" s="2900" t="s">
        <v>3761</v>
      </c>
      <c r="B2241" s="2902" t="s">
        <v>3762</v>
      </c>
      <c r="C2241" s="2904" t="s">
        <v>52</v>
      </c>
      <c r="D2241" s="2906">
        <v>149.86000000000001</v>
      </c>
      <c r="E2241" s="1603" t="s">
        <v>2497</v>
      </c>
      <c r="F2241" s="1583"/>
      <c r="G2241" s="1583"/>
      <c r="H2241" s="1583"/>
      <c r="I2241" s="1583"/>
      <c r="J2241" s="1583"/>
      <c r="K2241" s="1583"/>
      <c r="L2241" s="1583"/>
      <c r="M2241" s="1583"/>
      <c r="N2241" s="1583"/>
      <c r="O2241" s="1583"/>
      <c r="P2241" s="1583"/>
      <c r="Q2241" s="1604"/>
      <c r="R2241" s="1583"/>
      <c r="S2241" s="1583"/>
      <c r="T2241" s="1604"/>
      <c r="U2241" s="1585"/>
      <c r="V2241" s="1585"/>
      <c r="W2241" s="1585"/>
      <c r="X2241" s="1585"/>
      <c r="Y2241" s="1585"/>
      <c r="Z2241" s="1585"/>
      <c r="AA2241" s="1585"/>
      <c r="AB2241" s="1585"/>
      <c r="AC2241" s="1585"/>
      <c r="AD2241" s="1601">
        <f t="shared" si="176"/>
        <v>0</v>
      </c>
      <c r="AE2241" s="1790">
        <v>0</v>
      </c>
      <c r="AF2241" s="1792"/>
    </row>
    <row r="2242" spans="1:32" ht="27.75" customHeight="1">
      <c r="A2242" s="2899" t="s">
        <v>3763</v>
      </c>
      <c r="B2242" s="2901" t="s">
        <v>4241</v>
      </c>
      <c r="C2242" s="2903" t="s">
        <v>52</v>
      </c>
      <c r="D2242" s="2905">
        <v>75.459999999999994</v>
      </c>
      <c r="E2242" s="1810" t="s">
        <v>2496</v>
      </c>
      <c r="F2242" s="1811"/>
      <c r="G2242" s="1811"/>
      <c r="H2242" s="1811"/>
      <c r="I2242" s="1811"/>
      <c r="J2242" s="1811"/>
      <c r="K2242" s="1811"/>
      <c r="L2242" s="1811"/>
      <c r="M2242" s="1811"/>
      <c r="N2242" s="1811"/>
      <c r="O2242" s="1811"/>
      <c r="P2242" s="1811"/>
      <c r="Q2242" s="1812"/>
      <c r="R2242" s="1811"/>
      <c r="S2242" s="1811"/>
      <c r="T2242" s="1812"/>
      <c r="U2242" s="1812"/>
      <c r="V2242" s="1812"/>
      <c r="W2242" s="1812"/>
      <c r="X2242" s="1812"/>
      <c r="Y2242" s="1812"/>
      <c r="Z2242" s="1812"/>
      <c r="AA2242" s="1585">
        <f>D2242</f>
        <v>75.459999999999994</v>
      </c>
      <c r="AB2242" s="1812"/>
      <c r="AC2242" s="1812"/>
      <c r="AD2242" s="1601">
        <f t="shared" si="176"/>
        <v>75.459999999999994</v>
      </c>
      <c r="AE2242" s="1790">
        <v>0</v>
      </c>
      <c r="AF2242" s="1792"/>
    </row>
    <row r="2243" spans="1:32" ht="27.75" customHeight="1">
      <c r="A2243" s="2900" t="s">
        <v>3763</v>
      </c>
      <c r="B2243" s="2902" t="s">
        <v>3764</v>
      </c>
      <c r="C2243" s="2904" t="s">
        <v>52</v>
      </c>
      <c r="D2243" s="2906">
        <v>75.459999999999994</v>
      </c>
      <c r="E2243" s="1603" t="s">
        <v>2497</v>
      </c>
      <c r="F2243" s="1583"/>
      <c r="G2243" s="1583"/>
      <c r="H2243" s="1583"/>
      <c r="I2243" s="1583"/>
      <c r="J2243" s="1583"/>
      <c r="K2243" s="1583"/>
      <c r="L2243" s="1583"/>
      <c r="M2243" s="1583"/>
      <c r="N2243" s="1583"/>
      <c r="O2243" s="1583"/>
      <c r="P2243" s="1583"/>
      <c r="Q2243" s="1604"/>
      <c r="R2243" s="1583"/>
      <c r="S2243" s="1583"/>
      <c r="T2243" s="1604"/>
      <c r="U2243" s="1592"/>
      <c r="V2243" s="1585"/>
      <c r="W2243" s="1585"/>
      <c r="X2243" s="1585"/>
      <c r="Y2243" s="1592"/>
      <c r="Z2243" s="1585"/>
      <c r="AA2243" s="1585"/>
      <c r="AB2243" s="1585"/>
      <c r="AC2243" s="1585"/>
      <c r="AD2243" s="1601">
        <f t="shared" si="176"/>
        <v>0</v>
      </c>
      <c r="AE2243" s="1790">
        <v>0</v>
      </c>
      <c r="AF2243" s="1792"/>
    </row>
    <row r="2244" spans="1:32" ht="27.75" customHeight="1">
      <c r="A2244" s="2899" t="s">
        <v>3765</v>
      </c>
      <c r="B2244" s="2901" t="s">
        <v>4242</v>
      </c>
      <c r="C2244" s="2903" t="s">
        <v>52</v>
      </c>
      <c r="D2244" s="2905">
        <v>150.91999999999999</v>
      </c>
      <c r="E2244" s="1598" t="s">
        <v>2496</v>
      </c>
      <c r="F2244" s="1583"/>
      <c r="G2244" s="1583"/>
      <c r="H2244" s="1583"/>
      <c r="I2244" s="1583"/>
      <c r="J2244" s="1583"/>
      <c r="K2244" s="1583"/>
      <c r="L2244" s="1583"/>
      <c r="M2244" s="1583"/>
      <c r="N2244" s="1583"/>
      <c r="O2244" s="1583"/>
      <c r="P2244" s="1583"/>
      <c r="Q2244" s="1585"/>
      <c r="R2244" s="1583"/>
      <c r="S2244" s="1583"/>
      <c r="T2244" s="1585"/>
      <c r="U2244" s="1585"/>
      <c r="V2244" s="1585"/>
      <c r="W2244" s="1585"/>
      <c r="X2244" s="1585"/>
      <c r="Y2244" s="1585"/>
      <c r="Z2244" s="1585"/>
      <c r="AA2244" s="1585">
        <f>D2244</f>
        <v>150.91999999999999</v>
      </c>
      <c r="AB2244" s="1585"/>
      <c r="AC2244" s="1585"/>
      <c r="AD2244" s="1601">
        <f t="shared" si="176"/>
        <v>150.91999999999999</v>
      </c>
      <c r="AE2244" s="1790">
        <v>0</v>
      </c>
      <c r="AF2244" s="1792"/>
    </row>
    <row r="2245" spans="1:32" ht="27.75" customHeight="1">
      <c r="A2245" s="2900" t="s">
        <v>3765</v>
      </c>
      <c r="B2245" s="2902" t="s">
        <v>3766</v>
      </c>
      <c r="C2245" s="2904" t="s">
        <v>52</v>
      </c>
      <c r="D2245" s="2906">
        <v>150.91999999999999</v>
      </c>
      <c r="E2245" s="1603" t="s">
        <v>2497</v>
      </c>
      <c r="F2245" s="1583"/>
      <c r="G2245" s="1583"/>
      <c r="H2245" s="1583"/>
      <c r="I2245" s="1583"/>
      <c r="J2245" s="1583"/>
      <c r="K2245" s="1583"/>
      <c r="L2245" s="1583"/>
      <c r="M2245" s="1583"/>
      <c r="N2245" s="1583"/>
      <c r="O2245" s="1583"/>
      <c r="P2245" s="1583"/>
      <c r="Q2245" s="1604"/>
      <c r="R2245" s="1583"/>
      <c r="S2245" s="1583"/>
      <c r="T2245" s="1604"/>
      <c r="U2245" s="1585"/>
      <c r="V2245" s="1585"/>
      <c r="W2245" s="1585"/>
      <c r="X2245" s="1585"/>
      <c r="Y2245" s="1585"/>
      <c r="Z2245" s="1585"/>
      <c r="AA2245" s="1585"/>
      <c r="AB2245" s="1585"/>
      <c r="AC2245" s="1585"/>
      <c r="AD2245" s="1601">
        <f t="shared" si="176"/>
        <v>0</v>
      </c>
      <c r="AE2245" s="1790">
        <v>0</v>
      </c>
      <c r="AF2245" s="1792"/>
    </row>
    <row r="2246" spans="1:32" ht="27.75" customHeight="1">
      <c r="A2246" s="2899" t="s">
        <v>3767</v>
      </c>
      <c r="B2246" s="2901" t="s">
        <v>4243</v>
      </c>
      <c r="C2246" s="2903" t="s">
        <v>52</v>
      </c>
      <c r="D2246" s="2905">
        <v>23.96</v>
      </c>
      <c r="E2246" s="1810" t="s">
        <v>2496</v>
      </c>
      <c r="F2246" s="1811"/>
      <c r="G2246" s="1811"/>
      <c r="H2246" s="1811"/>
      <c r="I2246" s="1811"/>
      <c r="J2246" s="1811"/>
      <c r="K2246" s="1811"/>
      <c r="L2246" s="1811"/>
      <c r="M2246" s="1811"/>
      <c r="N2246" s="1811"/>
      <c r="O2246" s="1811"/>
      <c r="P2246" s="1811"/>
      <c r="Q2246" s="1812"/>
      <c r="R2246" s="1811"/>
      <c r="S2246" s="1811"/>
      <c r="T2246" s="1812"/>
      <c r="U2246" s="1812"/>
      <c r="V2246" s="1812"/>
      <c r="W2246" s="1812"/>
      <c r="X2246" s="1812"/>
      <c r="Y2246" s="1812"/>
      <c r="Z2246" s="1812"/>
      <c r="AA2246" s="1585">
        <f>D2246</f>
        <v>23.96</v>
      </c>
      <c r="AB2246" s="1812"/>
      <c r="AC2246" s="1812"/>
      <c r="AD2246" s="1601">
        <f t="shared" si="176"/>
        <v>23.96</v>
      </c>
      <c r="AE2246" s="1790">
        <v>0</v>
      </c>
      <c r="AF2246" s="1792"/>
    </row>
    <row r="2247" spans="1:32" ht="27.75" customHeight="1">
      <c r="A2247" s="2900" t="s">
        <v>3767</v>
      </c>
      <c r="B2247" s="2902" t="s">
        <v>3768</v>
      </c>
      <c r="C2247" s="2904" t="s">
        <v>52</v>
      </c>
      <c r="D2247" s="2906">
        <v>23.96</v>
      </c>
      <c r="E2247" s="1603" t="s">
        <v>2497</v>
      </c>
      <c r="F2247" s="1583"/>
      <c r="G2247" s="1583"/>
      <c r="H2247" s="1583"/>
      <c r="I2247" s="1583"/>
      <c r="J2247" s="1583"/>
      <c r="K2247" s="1583"/>
      <c r="L2247" s="1583"/>
      <c r="M2247" s="1583"/>
      <c r="N2247" s="1583"/>
      <c r="O2247" s="1583"/>
      <c r="P2247" s="1583"/>
      <c r="Q2247" s="1604"/>
      <c r="R2247" s="1583"/>
      <c r="S2247" s="1583"/>
      <c r="T2247" s="1604"/>
      <c r="U2247" s="1592"/>
      <c r="V2247" s="1585"/>
      <c r="W2247" s="1585"/>
      <c r="X2247" s="1585"/>
      <c r="Y2247" s="1592"/>
      <c r="Z2247" s="1585"/>
      <c r="AA2247" s="1585"/>
      <c r="AB2247" s="1585"/>
      <c r="AC2247" s="1585"/>
      <c r="AD2247" s="1601">
        <f t="shared" si="176"/>
        <v>0</v>
      </c>
      <c r="AE2247" s="1790">
        <v>0</v>
      </c>
      <c r="AF2247" s="1792"/>
    </row>
    <row r="2248" spans="1:32" ht="27.75" customHeight="1">
      <c r="A2248" s="2899" t="s">
        <v>3769</v>
      </c>
      <c r="B2248" s="2901" t="s">
        <v>4244</v>
      </c>
      <c r="C2248" s="2903" t="s">
        <v>52</v>
      </c>
      <c r="D2248" s="2905">
        <v>37.14</v>
      </c>
      <c r="E2248" s="1810" t="s">
        <v>2496</v>
      </c>
      <c r="F2248" s="1811"/>
      <c r="G2248" s="1811"/>
      <c r="H2248" s="1811"/>
      <c r="I2248" s="1811"/>
      <c r="J2248" s="1811"/>
      <c r="K2248" s="1811"/>
      <c r="L2248" s="1811"/>
      <c r="M2248" s="1811"/>
      <c r="N2248" s="1811"/>
      <c r="O2248" s="1811"/>
      <c r="P2248" s="1811"/>
      <c r="Q2248" s="1812"/>
      <c r="R2248" s="1811"/>
      <c r="S2248" s="1811"/>
      <c r="T2248" s="1812"/>
      <c r="U2248" s="1812"/>
      <c r="V2248" s="1812"/>
      <c r="W2248" s="1812"/>
      <c r="X2248" s="1812"/>
      <c r="Y2248" s="1812"/>
      <c r="Z2248" s="1812"/>
      <c r="AA2248" s="1585">
        <f>D2248</f>
        <v>37.14</v>
      </c>
      <c r="AB2248" s="1812"/>
      <c r="AC2248" s="1812"/>
      <c r="AD2248" s="1601">
        <f t="shared" si="176"/>
        <v>37.14</v>
      </c>
      <c r="AE2248" s="1790">
        <v>0</v>
      </c>
      <c r="AF2248" s="1792"/>
    </row>
    <row r="2249" spans="1:32" ht="27.75" customHeight="1">
      <c r="A2249" s="2900" t="s">
        <v>3769</v>
      </c>
      <c r="B2249" s="2902" t="s">
        <v>3770</v>
      </c>
      <c r="C2249" s="2904" t="s">
        <v>52</v>
      </c>
      <c r="D2249" s="2906">
        <v>37.14</v>
      </c>
      <c r="E2249" s="1603" t="s">
        <v>2497</v>
      </c>
      <c r="F2249" s="1583"/>
      <c r="G2249" s="1583"/>
      <c r="H2249" s="1583"/>
      <c r="I2249" s="1583"/>
      <c r="J2249" s="1583"/>
      <c r="K2249" s="1583"/>
      <c r="L2249" s="1583"/>
      <c r="M2249" s="1583"/>
      <c r="N2249" s="1583"/>
      <c r="O2249" s="1583"/>
      <c r="P2249" s="1583"/>
      <c r="Q2249" s="1604"/>
      <c r="R2249" s="1583"/>
      <c r="S2249" s="1583"/>
      <c r="T2249" s="1604"/>
      <c r="U2249" s="1592"/>
      <c r="V2249" s="1585"/>
      <c r="W2249" s="1585"/>
      <c r="X2249" s="1585"/>
      <c r="Y2249" s="1592"/>
      <c r="Z2249" s="1585"/>
      <c r="AA2249" s="1585"/>
      <c r="AB2249" s="1585"/>
      <c r="AC2249" s="1585"/>
      <c r="AD2249" s="1601">
        <f t="shared" si="176"/>
        <v>0</v>
      </c>
      <c r="AE2249" s="1790">
        <v>0</v>
      </c>
      <c r="AF2249" s="1792"/>
    </row>
    <row r="2250" spans="1:32" ht="27.75" customHeight="1">
      <c r="A2250" s="2899" t="s">
        <v>3771</v>
      </c>
      <c r="B2250" s="2901" t="s">
        <v>4245</v>
      </c>
      <c r="C2250" s="2903" t="s">
        <v>52</v>
      </c>
      <c r="D2250" s="2905">
        <v>14.78</v>
      </c>
      <c r="E2250" s="1810" t="s">
        <v>2496</v>
      </c>
      <c r="F2250" s="1811"/>
      <c r="G2250" s="1811"/>
      <c r="H2250" s="1811"/>
      <c r="I2250" s="1811"/>
      <c r="J2250" s="1811"/>
      <c r="K2250" s="1811"/>
      <c r="L2250" s="1811"/>
      <c r="M2250" s="1811"/>
      <c r="N2250" s="1811"/>
      <c r="O2250" s="1811"/>
      <c r="P2250" s="1811"/>
      <c r="Q2250" s="1812"/>
      <c r="R2250" s="1811"/>
      <c r="S2250" s="1811"/>
      <c r="T2250" s="1812"/>
      <c r="U2250" s="1812"/>
      <c r="V2250" s="1812"/>
      <c r="W2250" s="1812"/>
      <c r="X2250" s="1812"/>
      <c r="Y2250" s="1812"/>
      <c r="Z2250" s="1812"/>
      <c r="AA2250" s="1585">
        <f>D2250</f>
        <v>14.78</v>
      </c>
      <c r="AB2250" s="1812"/>
      <c r="AC2250" s="1812"/>
      <c r="AD2250" s="1601">
        <f t="shared" si="176"/>
        <v>14.78</v>
      </c>
      <c r="AE2250" s="1790">
        <v>0</v>
      </c>
      <c r="AF2250" s="1792"/>
    </row>
    <row r="2251" spans="1:32" ht="27.75" customHeight="1">
      <c r="A2251" s="2900" t="s">
        <v>3771</v>
      </c>
      <c r="B2251" s="2902" t="s">
        <v>3772</v>
      </c>
      <c r="C2251" s="2904" t="s">
        <v>52</v>
      </c>
      <c r="D2251" s="2906">
        <v>14.78</v>
      </c>
      <c r="E2251" s="1603" t="s">
        <v>2497</v>
      </c>
      <c r="F2251" s="1583"/>
      <c r="G2251" s="1583"/>
      <c r="H2251" s="1583"/>
      <c r="I2251" s="1583"/>
      <c r="J2251" s="1583"/>
      <c r="K2251" s="1583"/>
      <c r="L2251" s="1583"/>
      <c r="M2251" s="1583"/>
      <c r="N2251" s="1583"/>
      <c r="O2251" s="1583"/>
      <c r="P2251" s="1583"/>
      <c r="Q2251" s="1604"/>
      <c r="R2251" s="1583"/>
      <c r="S2251" s="1583"/>
      <c r="T2251" s="1604"/>
      <c r="U2251" s="1592"/>
      <c r="V2251" s="1585"/>
      <c r="W2251" s="1585"/>
      <c r="X2251" s="1585"/>
      <c r="Y2251" s="1592"/>
      <c r="Z2251" s="1585"/>
      <c r="AA2251" s="1585"/>
      <c r="AB2251" s="1585"/>
      <c r="AC2251" s="1585"/>
      <c r="AD2251" s="1601">
        <f t="shared" si="176"/>
        <v>0</v>
      </c>
      <c r="AE2251" s="1790">
        <v>0</v>
      </c>
      <c r="AF2251" s="1792"/>
    </row>
    <row r="2252" spans="1:32" ht="27.75" customHeight="1">
      <c r="A2252" s="2899" t="s">
        <v>3773</v>
      </c>
      <c r="B2252" s="2901" t="s">
        <v>4246</v>
      </c>
      <c r="C2252" s="2903" t="s">
        <v>52</v>
      </c>
      <c r="D2252" s="2905">
        <v>919.17000000000007</v>
      </c>
      <c r="E2252" s="1598" t="s">
        <v>2496</v>
      </c>
      <c r="F2252" s="1583"/>
      <c r="G2252" s="1583"/>
      <c r="H2252" s="1583"/>
      <c r="I2252" s="1583"/>
      <c r="J2252" s="1583"/>
      <c r="K2252" s="1583"/>
      <c r="L2252" s="1583"/>
      <c r="M2252" s="1583"/>
      <c r="N2252" s="1583"/>
      <c r="O2252" s="1583"/>
      <c r="P2252" s="1583"/>
      <c r="Q2252" s="1585"/>
      <c r="R2252" s="1583"/>
      <c r="S2252" s="1583"/>
      <c r="T2252" s="1585"/>
      <c r="U2252" s="1585"/>
      <c r="V2252" s="1585"/>
      <c r="W2252" s="1585"/>
      <c r="X2252" s="1585"/>
      <c r="Y2252" s="1585"/>
      <c r="Z2252" s="1585"/>
      <c r="AA2252" s="1585">
        <f>D2252</f>
        <v>919.17000000000007</v>
      </c>
      <c r="AB2252" s="1585"/>
      <c r="AC2252" s="1585"/>
      <c r="AD2252" s="1601">
        <f t="shared" si="176"/>
        <v>919.17000000000007</v>
      </c>
      <c r="AE2252" s="1790">
        <v>0</v>
      </c>
      <c r="AF2252" s="1792"/>
    </row>
    <row r="2253" spans="1:32" ht="27.75" customHeight="1">
      <c r="A2253" s="2900" t="s">
        <v>3773</v>
      </c>
      <c r="B2253" s="2902" t="s">
        <v>3774</v>
      </c>
      <c r="C2253" s="2904" t="s">
        <v>52</v>
      </c>
      <c r="D2253" s="2906">
        <v>919.17000000000007</v>
      </c>
      <c r="E2253" s="1603" t="s">
        <v>2497</v>
      </c>
      <c r="F2253" s="1583"/>
      <c r="G2253" s="1583"/>
      <c r="H2253" s="1583"/>
      <c r="I2253" s="1583"/>
      <c r="J2253" s="1583"/>
      <c r="K2253" s="1583"/>
      <c r="L2253" s="1583"/>
      <c r="M2253" s="1583"/>
      <c r="N2253" s="1583"/>
      <c r="O2253" s="1583"/>
      <c r="P2253" s="1583"/>
      <c r="Q2253" s="1604"/>
      <c r="R2253" s="1583"/>
      <c r="S2253" s="1583"/>
      <c r="T2253" s="1604"/>
      <c r="U2253" s="1585"/>
      <c r="V2253" s="1585"/>
      <c r="W2253" s="1585"/>
      <c r="X2253" s="1585"/>
      <c r="Y2253" s="1585"/>
      <c r="Z2253" s="1585"/>
      <c r="AA2253" s="1585"/>
      <c r="AB2253" s="1585"/>
      <c r="AC2253" s="1585"/>
      <c r="AD2253" s="1601">
        <f t="shared" si="176"/>
        <v>0</v>
      </c>
      <c r="AE2253" s="1790">
        <v>0</v>
      </c>
      <c r="AF2253" s="1792"/>
    </row>
    <row r="2254" spans="1:32" ht="27.75" customHeight="1">
      <c r="A2254" s="1647" t="s">
        <v>3775</v>
      </c>
      <c r="B2254" s="1647" t="s">
        <v>4247</v>
      </c>
      <c r="C2254" s="1803"/>
      <c r="D2254" s="1804"/>
      <c r="E2254" s="1813"/>
      <c r="F2254" s="1811"/>
      <c r="G2254" s="1811"/>
      <c r="H2254" s="1811"/>
      <c r="I2254" s="1811"/>
      <c r="J2254" s="1811"/>
      <c r="K2254" s="1811"/>
      <c r="L2254" s="1811"/>
      <c r="M2254" s="1811"/>
      <c r="N2254" s="1811"/>
      <c r="O2254" s="1811"/>
      <c r="P2254" s="1811"/>
      <c r="Q2254" s="1814"/>
      <c r="R2254" s="1811"/>
      <c r="S2254" s="1811"/>
      <c r="T2254" s="1814"/>
      <c r="U2254" s="1812"/>
      <c r="V2254" s="1812"/>
      <c r="W2254" s="1812"/>
      <c r="X2254" s="1812"/>
      <c r="Y2254" s="1812"/>
      <c r="Z2254" s="1812"/>
      <c r="AA2254" s="1812"/>
      <c r="AB2254" s="1812"/>
      <c r="AC2254" s="1812"/>
      <c r="AD2254" s="1601">
        <f t="shared" si="176"/>
        <v>0</v>
      </c>
      <c r="AE2254" s="1790">
        <v>0</v>
      </c>
      <c r="AF2254" s="1792"/>
    </row>
    <row r="2255" spans="1:32" ht="27.75" customHeight="1">
      <c r="A2255" s="2899" t="s">
        <v>3777</v>
      </c>
      <c r="B2255" s="2901" t="s">
        <v>4248</v>
      </c>
      <c r="C2255" s="2903" t="s">
        <v>49</v>
      </c>
      <c r="D2255" s="2905">
        <v>3555.69</v>
      </c>
      <c r="E2255" s="1810" t="s">
        <v>2496</v>
      </c>
      <c r="F2255" s="1811"/>
      <c r="G2255" s="1811"/>
      <c r="H2255" s="1811"/>
      <c r="I2255" s="1811"/>
      <c r="J2255" s="1811"/>
      <c r="K2255" s="1811"/>
      <c r="L2255" s="1811"/>
      <c r="M2255" s="1811"/>
      <c r="N2255" s="1811"/>
      <c r="O2255" s="1811"/>
      <c r="P2255" s="1811"/>
      <c r="Q2255" s="1812"/>
      <c r="R2255" s="1811"/>
      <c r="S2255" s="1811"/>
      <c r="T2255" s="1812"/>
      <c r="U2255" s="1812"/>
      <c r="V2255" s="1812"/>
      <c r="W2255" s="1812"/>
      <c r="X2255" s="1812"/>
      <c r="Y2255" s="1812"/>
      <c r="Z2255" s="1812"/>
      <c r="AA2255" s="1585">
        <f>D2255</f>
        <v>3555.69</v>
      </c>
      <c r="AB2255" s="1812"/>
      <c r="AC2255" s="1812"/>
      <c r="AD2255" s="1601">
        <f t="shared" si="176"/>
        <v>3555.69</v>
      </c>
      <c r="AE2255" s="1790">
        <v>0</v>
      </c>
      <c r="AF2255" s="1792"/>
    </row>
    <row r="2256" spans="1:32" ht="27.75" customHeight="1">
      <c r="A2256" s="2900" t="s">
        <v>3777</v>
      </c>
      <c r="B2256" s="2902" t="s">
        <v>3778</v>
      </c>
      <c r="C2256" s="2904" t="s">
        <v>49</v>
      </c>
      <c r="D2256" s="2906">
        <v>3555.69</v>
      </c>
      <c r="E2256" s="1603" t="s">
        <v>2497</v>
      </c>
      <c r="F2256" s="1583"/>
      <c r="G2256" s="1583"/>
      <c r="H2256" s="1583"/>
      <c r="I2256" s="1583"/>
      <c r="J2256" s="1583"/>
      <c r="K2256" s="1583"/>
      <c r="L2256" s="1583"/>
      <c r="M2256" s="1583"/>
      <c r="N2256" s="1583"/>
      <c r="O2256" s="1583"/>
      <c r="P2256" s="1583"/>
      <c r="Q2256" s="1604"/>
      <c r="R2256" s="1583"/>
      <c r="S2256" s="1583"/>
      <c r="T2256" s="1604"/>
      <c r="U2256" s="1592"/>
      <c r="V2256" s="1585"/>
      <c r="W2256" s="1585"/>
      <c r="X2256" s="1585"/>
      <c r="Y2256" s="1592"/>
      <c r="Z2256" s="1585"/>
      <c r="AA2256" s="1585"/>
      <c r="AB2256" s="1585"/>
      <c r="AC2256" s="1585"/>
      <c r="AD2256" s="1601">
        <f t="shared" si="176"/>
        <v>0</v>
      </c>
      <c r="AE2256" s="1790">
        <v>0</v>
      </c>
      <c r="AF2256" s="1792"/>
    </row>
    <row r="2257" spans="1:32" ht="27.75" customHeight="1">
      <c r="A2257" s="1647">
        <v>5.13</v>
      </c>
      <c r="B2257" s="1647" t="s">
        <v>4249</v>
      </c>
      <c r="C2257" s="1803"/>
      <c r="D2257" s="1804"/>
      <c r="E2257" s="1813"/>
      <c r="F2257" s="1811"/>
      <c r="G2257" s="1811"/>
      <c r="H2257" s="1811"/>
      <c r="I2257" s="1811"/>
      <c r="J2257" s="1811"/>
      <c r="K2257" s="1811"/>
      <c r="L2257" s="1811"/>
      <c r="M2257" s="1811"/>
      <c r="N2257" s="1811"/>
      <c r="O2257" s="1811"/>
      <c r="P2257" s="1811"/>
      <c r="Q2257" s="1814"/>
      <c r="R2257" s="1811"/>
      <c r="S2257" s="1811"/>
      <c r="T2257" s="1814"/>
      <c r="U2257" s="1816"/>
      <c r="V2257" s="1812"/>
      <c r="W2257" s="1812"/>
      <c r="X2257" s="1812"/>
      <c r="Y2257" s="1816"/>
      <c r="Z2257" s="1812"/>
      <c r="AA2257" s="1812"/>
      <c r="AB2257" s="1812"/>
      <c r="AC2257" s="1812"/>
      <c r="AD2257" s="1601">
        <f t="shared" ref="AD2257:AD2320" si="177">SUM(F2257:AC2257)</f>
        <v>0</v>
      </c>
      <c r="AE2257" s="1790">
        <v>0</v>
      </c>
      <c r="AF2257" s="1792"/>
    </row>
    <row r="2258" spans="1:32" ht="27.75" customHeight="1">
      <c r="A2258" s="2899" t="s">
        <v>3780</v>
      </c>
      <c r="B2258" s="2901" t="s">
        <v>4250</v>
      </c>
      <c r="C2258" s="2903" t="s">
        <v>53</v>
      </c>
      <c r="D2258" s="2905">
        <v>10000</v>
      </c>
      <c r="E2258" s="1810" t="s">
        <v>2496</v>
      </c>
      <c r="F2258" s="1811"/>
      <c r="G2258" s="1811"/>
      <c r="H2258" s="1811"/>
      <c r="I2258" s="1811"/>
      <c r="J2258" s="1811"/>
      <c r="K2258" s="1811"/>
      <c r="L2258" s="1811"/>
      <c r="M2258" s="1811"/>
      <c r="N2258" s="1811"/>
      <c r="O2258" s="1811"/>
      <c r="P2258" s="1811"/>
      <c r="Q2258" s="1812"/>
      <c r="R2258" s="1811"/>
      <c r="S2258" s="1811"/>
      <c r="T2258" s="1812"/>
      <c r="U2258" s="1812"/>
      <c r="V2258" s="1812"/>
      <c r="W2258" s="1812"/>
      <c r="X2258" s="1812"/>
      <c r="Y2258" s="1812"/>
      <c r="Z2258" s="1812"/>
      <c r="AA2258" s="1812"/>
      <c r="AB2258" s="1812"/>
      <c r="AC2258" s="1812">
        <f>D2258</f>
        <v>10000</v>
      </c>
      <c r="AD2258" s="1601">
        <f t="shared" si="177"/>
        <v>10000</v>
      </c>
      <c r="AE2258" s="1790">
        <v>0</v>
      </c>
      <c r="AF2258" s="1792"/>
    </row>
    <row r="2259" spans="1:32" ht="27.75" customHeight="1">
      <c r="A2259" s="2900" t="s">
        <v>3780</v>
      </c>
      <c r="B2259" s="2902" t="s">
        <v>3781</v>
      </c>
      <c r="C2259" s="2904" t="s">
        <v>53</v>
      </c>
      <c r="D2259" s="2906">
        <v>10000</v>
      </c>
      <c r="E2259" s="1603" t="s">
        <v>2497</v>
      </c>
      <c r="F2259" s="1583"/>
      <c r="G2259" s="1583"/>
      <c r="H2259" s="1583"/>
      <c r="I2259" s="1583"/>
      <c r="J2259" s="1583"/>
      <c r="K2259" s="1583"/>
      <c r="L2259" s="1583"/>
      <c r="M2259" s="1583"/>
      <c r="N2259" s="1583"/>
      <c r="O2259" s="1583"/>
      <c r="P2259" s="1583"/>
      <c r="Q2259" s="1604"/>
      <c r="R2259" s="1583"/>
      <c r="S2259" s="1583"/>
      <c r="T2259" s="1604"/>
      <c r="U2259" s="1592"/>
      <c r="V2259" s="1585"/>
      <c r="W2259" s="1585"/>
      <c r="X2259" s="1585"/>
      <c r="Y2259" s="1592"/>
      <c r="Z2259" s="1585"/>
      <c r="AA2259" s="1585"/>
      <c r="AB2259" s="1585"/>
      <c r="AC2259" s="1585"/>
      <c r="AD2259" s="1601">
        <f t="shared" si="177"/>
        <v>0</v>
      </c>
      <c r="AE2259" s="1790">
        <v>0</v>
      </c>
      <c r="AF2259" s="1792"/>
    </row>
    <row r="2260" spans="1:32" ht="33.6" customHeight="1">
      <c r="A2260" s="1817">
        <v>6</v>
      </c>
      <c r="B2260" s="1817" t="s">
        <v>3782</v>
      </c>
      <c r="C2260" s="1625"/>
      <c r="D2260" s="1597"/>
      <c r="E2260" s="1813"/>
      <c r="F2260" s="1811"/>
      <c r="G2260" s="1811"/>
      <c r="H2260" s="1811"/>
      <c r="I2260" s="1811"/>
      <c r="J2260" s="1811"/>
      <c r="K2260" s="1811"/>
      <c r="L2260" s="1811"/>
      <c r="M2260" s="1811"/>
      <c r="N2260" s="1811"/>
      <c r="O2260" s="1811"/>
      <c r="P2260" s="1811"/>
      <c r="Q2260" s="1814"/>
      <c r="R2260" s="1811"/>
      <c r="S2260" s="1811"/>
      <c r="T2260" s="1814"/>
      <c r="U2260" s="1816"/>
      <c r="V2260" s="1812"/>
      <c r="W2260" s="1812"/>
      <c r="X2260" s="1812"/>
      <c r="Y2260" s="1816"/>
      <c r="Z2260" s="1812"/>
      <c r="AA2260" s="1812"/>
      <c r="AB2260" s="1812"/>
      <c r="AC2260" s="1812"/>
      <c r="AD2260" s="1601">
        <f t="shared" si="177"/>
        <v>0</v>
      </c>
      <c r="AE2260" s="1790">
        <v>0</v>
      </c>
      <c r="AF2260" s="1792"/>
    </row>
    <row r="2261" spans="1:32" ht="27.75" customHeight="1">
      <c r="A2261" s="1647">
        <v>6.01</v>
      </c>
      <c r="B2261" s="1647" t="s">
        <v>3783</v>
      </c>
      <c r="C2261" s="1625"/>
      <c r="D2261" s="1597"/>
      <c r="E2261" s="1813"/>
      <c r="F2261" s="1811"/>
      <c r="G2261" s="1811"/>
      <c r="H2261" s="1811"/>
      <c r="I2261" s="1811"/>
      <c r="J2261" s="1811"/>
      <c r="K2261" s="1811"/>
      <c r="L2261" s="1811"/>
      <c r="M2261" s="1811"/>
      <c r="N2261" s="1811"/>
      <c r="O2261" s="1811"/>
      <c r="P2261" s="1811"/>
      <c r="Q2261" s="1814"/>
      <c r="R2261" s="1811"/>
      <c r="S2261" s="1811"/>
      <c r="T2261" s="1814"/>
      <c r="U2261" s="1816"/>
      <c r="V2261" s="1812"/>
      <c r="W2261" s="1812"/>
      <c r="X2261" s="1812"/>
      <c r="Y2261" s="1816"/>
      <c r="Z2261" s="1812"/>
      <c r="AA2261" s="1812"/>
      <c r="AB2261" s="1812"/>
      <c r="AC2261" s="1812"/>
      <c r="AD2261" s="1601">
        <f t="shared" si="177"/>
        <v>0</v>
      </c>
      <c r="AE2261" s="1790">
        <v>0</v>
      </c>
      <c r="AF2261" s="1792"/>
    </row>
    <row r="2262" spans="1:32" ht="27.75" customHeight="1">
      <c r="A2262" s="2899" t="s">
        <v>3777</v>
      </c>
      <c r="B2262" s="2901" t="s">
        <v>3784</v>
      </c>
      <c r="C2262" s="2903" t="s">
        <v>49</v>
      </c>
      <c r="D2262" s="2905">
        <v>10772.300000000001</v>
      </c>
      <c r="E2262" s="1810" t="s">
        <v>2496</v>
      </c>
      <c r="F2262" s="1811"/>
      <c r="G2262" s="1811"/>
      <c r="H2262" s="1811"/>
      <c r="I2262" s="1811"/>
      <c r="J2262" s="1811"/>
      <c r="K2262" s="1811"/>
      <c r="L2262" s="1811"/>
      <c r="M2262" s="1811"/>
      <c r="N2262" s="1811"/>
      <c r="O2262" s="1811"/>
      <c r="P2262" s="1811"/>
      <c r="Q2262" s="1812"/>
      <c r="R2262" s="1811"/>
      <c r="S2262" s="1811"/>
      <c r="T2262" s="1812"/>
      <c r="U2262" s="1812"/>
      <c r="V2262" s="1812"/>
      <c r="W2262" s="1812"/>
      <c r="X2262" s="1812"/>
      <c r="Y2262" s="1812"/>
      <c r="Z2262" s="1812"/>
      <c r="AA2262" s="1812"/>
      <c r="AB2262" s="1812"/>
      <c r="AC2262" s="1812">
        <f>D2262</f>
        <v>10772.300000000001</v>
      </c>
      <c r="AD2262" s="1601">
        <f t="shared" si="177"/>
        <v>10772.300000000001</v>
      </c>
      <c r="AE2262" s="1790">
        <v>0</v>
      </c>
      <c r="AF2262" s="1792"/>
    </row>
    <row r="2263" spans="1:32" ht="27.75" customHeight="1">
      <c r="A2263" s="2900" t="s">
        <v>3777</v>
      </c>
      <c r="B2263" s="2902" t="s">
        <v>3784</v>
      </c>
      <c r="C2263" s="2904" t="s">
        <v>49</v>
      </c>
      <c r="D2263" s="2906">
        <v>10772.300000000001</v>
      </c>
      <c r="E2263" s="1603" t="s">
        <v>2497</v>
      </c>
      <c r="F2263" s="1583"/>
      <c r="G2263" s="1583"/>
      <c r="H2263" s="1583"/>
      <c r="I2263" s="1583"/>
      <c r="J2263" s="1583"/>
      <c r="K2263" s="1583"/>
      <c r="L2263" s="1583"/>
      <c r="M2263" s="1583"/>
      <c r="N2263" s="1583"/>
      <c r="O2263" s="1583"/>
      <c r="P2263" s="1583"/>
      <c r="Q2263" s="1604"/>
      <c r="R2263" s="1583"/>
      <c r="S2263" s="1583"/>
      <c r="T2263" s="1604"/>
      <c r="U2263" s="1592"/>
      <c r="V2263" s="1585"/>
      <c r="W2263" s="1585"/>
      <c r="X2263" s="1585"/>
      <c r="Y2263" s="1592"/>
      <c r="Z2263" s="1585"/>
      <c r="AA2263" s="1585"/>
      <c r="AB2263" s="1585"/>
      <c r="AC2263" s="1585"/>
      <c r="AD2263" s="1601">
        <f t="shared" si="177"/>
        <v>0</v>
      </c>
      <c r="AE2263" s="1790">
        <v>0</v>
      </c>
      <c r="AF2263" s="1792"/>
    </row>
    <row r="2264" spans="1:32" ht="27.75" customHeight="1">
      <c r="A2264" s="1647">
        <v>6.01</v>
      </c>
      <c r="B2264" s="1647" t="s">
        <v>3785</v>
      </c>
      <c r="C2264" s="1803"/>
      <c r="D2264" s="1804"/>
      <c r="E2264" s="1599"/>
      <c r="F2264" s="1583"/>
      <c r="G2264" s="1583"/>
      <c r="H2264" s="1583"/>
      <c r="I2264" s="1583"/>
      <c r="J2264" s="1583"/>
      <c r="K2264" s="1583"/>
      <c r="L2264" s="1583"/>
      <c r="M2264" s="1583"/>
      <c r="N2264" s="1583"/>
      <c r="O2264" s="1583"/>
      <c r="P2264" s="1583"/>
      <c r="Q2264" s="1604"/>
      <c r="R2264" s="1583"/>
      <c r="S2264" s="1583"/>
      <c r="T2264" s="1604"/>
      <c r="U2264" s="1592"/>
      <c r="V2264" s="1585"/>
      <c r="W2264" s="1585"/>
      <c r="X2264" s="1585"/>
      <c r="Y2264" s="1592"/>
      <c r="Z2264" s="1585"/>
      <c r="AA2264" s="1585"/>
      <c r="AB2264" s="1585"/>
      <c r="AC2264" s="1585"/>
      <c r="AD2264" s="1601">
        <f t="shared" si="177"/>
        <v>0</v>
      </c>
      <c r="AE2264" s="1790">
        <v>0</v>
      </c>
      <c r="AF2264" s="1792"/>
    </row>
    <row r="2265" spans="1:32" ht="27.75" customHeight="1">
      <c r="A2265" s="2899" t="s">
        <v>3777</v>
      </c>
      <c r="B2265" s="2901" t="s">
        <v>3786</v>
      </c>
      <c r="C2265" s="2903" t="s">
        <v>49</v>
      </c>
      <c r="D2265" s="2905">
        <v>888.6</v>
      </c>
      <c r="E2265" s="1598" t="s">
        <v>2496</v>
      </c>
      <c r="F2265" s="1583"/>
      <c r="G2265" s="1583"/>
      <c r="H2265" s="1583"/>
      <c r="I2265" s="1583"/>
      <c r="J2265" s="1583"/>
      <c r="K2265" s="1583"/>
      <c r="L2265" s="1583"/>
      <c r="M2265" s="1583"/>
      <c r="N2265" s="1583"/>
      <c r="O2265" s="1583"/>
      <c r="P2265" s="1583"/>
      <c r="Q2265" s="1585"/>
      <c r="R2265" s="1583"/>
      <c r="S2265" s="1583"/>
      <c r="T2265" s="1585"/>
      <c r="U2265" s="1585"/>
      <c r="V2265" s="1585"/>
      <c r="W2265" s="1585"/>
      <c r="X2265" s="1585"/>
      <c r="Y2265" s="1585"/>
      <c r="Z2265" s="1585"/>
      <c r="AA2265" s="1585"/>
      <c r="AB2265" s="1585"/>
      <c r="AC2265" s="1812">
        <f>D2265</f>
        <v>888.6</v>
      </c>
      <c r="AD2265" s="1601">
        <f t="shared" si="177"/>
        <v>888.6</v>
      </c>
      <c r="AE2265" s="1790">
        <v>0</v>
      </c>
      <c r="AF2265" s="1792"/>
    </row>
    <row r="2266" spans="1:32" ht="27.75" customHeight="1">
      <c r="A2266" s="2900" t="s">
        <v>3777</v>
      </c>
      <c r="B2266" s="2902" t="s">
        <v>3786</v>
      </c>
      <c r="C2266" s="2904" t="s">
        <v>49</v>
      </c>
      <c r="D2266" s="2906">
        <v>888.6</v>
      </c>
      <c r="E2266" s="1603" t="s">
        <v>2497</v>
      </c>
      <c r="F2266" s="1583"/>
      <c r="G2266" s="1583"/>
      <c r="H2266" s="1583"/>
      <c r="I2266" s="1583"/>
      <c r="J2266" s="1583"/>
      <c r="K2266" s="1583"/>
      <c r="L2266" s="1583"/>
      <c r="M2266" s="1583"/>
      <c r="N2266" s="1583"/>
      <c r="O2266" s="1583"/>
      <c r="P2266" s="1583"/>
      <c r="Q2266" s="1604"/>
      <c r="R2266" s="1583"/>
      <c r="S2266" s="1583"/>
      <c r="T2266" s="1604"/>
      <c r="U2266" s="1585"/>
      <c r="V2266" s="1585"/>
      <c r="W2266" s="1585"/>
      <c r="X2266" s="1585"/>
      <c r="Y2266" s="1585"/>
      <c r="Z2266" s="1585"/>
      <c r="AA2266" s="1585"/>
      <c r="AB2266" s="1585"/>
      <c r="AC2266" s="1585"/>
      <c r="AD2266" s="1601">
        <f t="shared" si="177"/>
        <v>0</v>
      </c>
      <c r="AE2266" s="1790">
        <v>0</v>
      </c>
      <c r="AF2266" s="1792"/>
    </row>
    <row r="2267" spans="1:32" ht="27.75" customHeight="1">
      <c r="A2267" s="1821"/>
      <c r="B2267" s="1627" t="s">
        <v>4251</v>
      </c>
      <c r="C2267" s="1625"/>
      <c r="D2267" s="1597"/>
      <c r="E2267" s="1813"/>
      <c r="F2267" s="1811"/>
      <c r="G2267" s="1811"/>
      <c r="H2267" s="1811"/>
      <c r="I2267" s="1811"/>
      <c r="J2267" s="1811"/>
      <c r="K2267" s="1811"/>
      <c r="L2267" s="1811"/>
      <c r="M2267" s="1811"/>
      <c r="N2267" s="1811"/>
      <c r="O2267" s="1811"/>
      <c r="P2267" s="1811"/>
      <c r="Q2267" s="1814"/>
      <c r="R2267" s="1811"/>
      <c r="S2267" s="1811"/>
      <c r="T2267" s="1814"/>
      <c r="U2267" s="1812"/>
      <c r="V2267" s="1812"/>
      <c r="W2267" s="1812"/>
      <c r="X2267" s="1812"/>
      <c r="Y2267" s="1812"/>
      <c r="Z2267" s="1812"/>
      <c r="AA2267" s="1812"/>
      <c r="AB2267" s="1812"/>
      <c r="AC2267" s="1812"/>
      <c r="AD2267" s="1601"/>
      <c r="AE2267" s="1790">
        <v>0</v>
      </c>
      <c r="AF2267" s="1792"/>
    </row>
    <row r="2268" spans="1:32" s="1990" customFormat="1" ht="31.5">
      <c r="A2268" s="1991">
        <v>1</v>
      </c>
      <c r="B2268" s="1992" t="s">
        <v>1671</v>
      </c>
      <c r="C2268" s="1976"/>
      <c r="D2268" s="1977"/>
      <c r="E2268" s="1993"/>
      <c r="F2268" s="1994"/>
      <c r="G2268" s="1994"/>
      <c r="H2268" s="1994"/>
      <c r="I2268" s="1994"/>
      <c r="J2268" s="1994"/>
      <c r="K2268" s="1994"/>
      <c r="L2268" s="1994"/>
      <c r="M2268" s="1994"/>
      <c r="N2268" s="1994"/>
      <c r="O2268" s="1994"/>
      <c r="P2268" s="1994"/>
      <c r="Q2268" s="1995"/>
      <c r="R2268" s="1994"/>
      <c r="S2268" s="1994"/>
      <c r="T2268" s="1995"/>
      <c r="U2268" s="1996"/>
      <c r="V2268" s="1996"/>
      <c r="W2268" s="1996"/>
      <c r="X2268" s="1996"/>
      <c r="Y2268" s="1996"/>
      <c r="Z2268" s="1996"/>
      <c r="AA2268" s="1996"/>
      <c r="AB2268" s="1996"/>
      <c r="AC2268" s="1996"/>
      <c r="AD2268" s="1982"/>
      <c r="AE2268" s="1983">
        <v>0</v>
      </c>
      <c r="AF2268" s="1984"/>
    </row>
    <row r="2269" spans="1:32" ht="27" customHeight="1">
      <c r="A2269" s="1306">
        <v>1.1000000000000001</v>
      </c>
      <c r="B2269" s="1307" t="s">
        <v>1672</v>
      </c>
      <c r="C2269" s="1802"/>
      <c r="D2269" s="1788"/>
      <c r="E2269" s="1813"/>
      <c r="F2269" s="1811"/>
      <c r="G2269" s="1811"/>
      <c r="H2269" s="1811"/>
      <c r="I2269" s="1811"/>
      <c r="J2269" s="1811"/>
      <c r="K2269" s="1811"/>
      <c r="L2269" s="1811"/>
      <c r="M2269" s="1811"/>
      <c r="N2269" s="1811"/>
      <c r="O2269" s="1811"/>
      <c r="P2269" s="1811"/>
      <c r="Q2269" s="1814"/>
      <c r="R2269" s="1811"/>
      <c r="S2269" s="1811"/>
      <c r="T2269" s="1814"/>
      <c r="U2269" s="1812"/>
      <c r="V2269" s="1812"/>
      <c r="W2269" s="1812"/>
      <c r="X2269" s="1812"/>
      <c r="Y2269" s="1812"/>
      <c r="Z2269" s="1812"/>
      <c r="AA2269" s="1812"/>
      <c r="AB2269" s="1812"/>
      <c r="AC2269" s="1812"/>
      <c r="AD2269" s="1601"/>
      <c r="AE2269" s="1790">
        <v>0</v>
      </c>
      <c r="AF2269" s="1792"/>
    </row>
    <row r="2270" spans="1:32" ht="27" customHeight="1">
      <c r="A2270" s="1309" t="s">
        <v>1189</v>
      </c>
      <c r="B2270" s="1310" t="s">
        <v>1673</v>
      </c>
      <c r="C2270" s="1802"/>
      <c r="D2270" s="1788"/>
      <c r="E2270" s="1813"/>
      <c r="F2270" s="1811"/>
      <c r="G2270" s="1811"/>
      <c r="H2270" s="1811"/>
      <c r="I2270" s="1811"/>
      <c r="J2270" s="1811"/>
      <c r="K2270" s="1811"/>
      <c r="L2270" s="1811"/>
      <c r="M2270" s="1811"/>
      <c r="N2270" s="1811"/>
      <c r="O2270" s="1811"/>
      <c r="P2270" s="1811"/>
      <c r="Q2270" s="1814"/>
      <c r="R2270" s="1811"/>
      <c r="S2270" s="1811"/>
      <c r="T2270" s="1814"/>
      <c r="U2270" s="1812"/>
      <c r="V2270" s="1812"/>
      <c r="W2270" s="1812"/>
      <c r="X2270" s="1812"/>
      <c r="Y2270" s="1812"/>
      <c r="Z2270" s="1812"/>
      <c r="AA2270" s="1812"/>
      <c r="AB2270" s="1812"/>
      <c r="AC2270" s="1812"/>
      <c r="AD2270" s="1601"/>
      <c r="AE2270" s="1790">
        <v>0</v>
      </c>
      <c r="AF2270" s="1792"/>
    </row>
    <row r="2271" spans="1:32" ht="27.75" customHeight="1">
      <c r="A2271" s="2899"/>
      <c r="B2271" s="2901" t="s">
        <v>2326</v>
      </c>
      <c r="C2271" s="2903" t="s">
        <v>53</v>
      </c>
      <c r="D2271" s="2905">
        <v>7000</v>
      </c>
      <c r="E2271" s="1810" t="s">
        <v>2496</v>
      </c>
      <c r="F2271" s="1811"/>
      <c r="G2271" s="1811"/>
      <c r="H2271" s="1811"/>
      <c r="I2271" s="1811"/>
      <c r="J2271" s="1811"/>
      <c r="K2271" s="1811"/>
      <c r="L2271" s="1811"/>
      <c r="M2271" s="1811"/>
      <c r="N2271" s="1811"/>
      <c r="O2271" s="1811"/>
      <c r="P2271" s="1811"/>
      <c r="Q2271" s="1812"/>
      <c r="R2271" s="1811"/>
      <c r="S2271" s="1811"/>
      <c r="T2271" s="1812"/>
      <c r="U2271" s="1812"/>
      <c r="V2271" s="1812"/>
      <c r="W2271" s="1812"/>
      <c r="X2271" s="1812"/>
      <c r="Y2271" s="1812"/>
      <c r="Z2271" s="1812">
        <f>D2271/4</f>
        <v>1750</v>
      </c>
      <c r="AA2271" s="1812">
        <v>1750</v>
      </c>
      <c r="AB2271" s="1812">
        <v>1750</v>
      </c>
      <c r="AC2271" s="1812">
        <v>1750</v>
      </c>
      <c r="AD2271" s="1601">
        <f t="shared" si="177"/>
        <v>7000</v>
      </c>
      <c r="AE2271" s="1790">
        <v>0</v>
      </c>
      <c r="AF2271" s="1792"/>
    </row>
    <row r="2272" spans="1:32" ht="27.75" customHeight="1">
      <c r="A2272" s="2900"/>
      <c r="B2272" s="2902" t="s">
        <v>2326</v>
      </c>
      <c r="C2272" s="2904" t="s">
        <v>53</v>
      </c>
      <c r="D2272" s="2906">
        <v>7000</v>
      </c>
      <c r="E2272" s="1603" t="s">
        <v>2497</v>
      </c>
      <c r="F2272" s="1583"/>
      <c r="G2272" s="1583"/>
      <c r="H2272" s="1583"/>
      <c r="I2272" s="1583"/>
      <c r="J2272" s="1583"/>
      <c r="K2272" s="1583"/>
      <c r="L2272" s="1583"/>
      <c r="M2272" s="1583"/>
      <c r="N2272" s="1583"/>
      <c r="O2272" s="1583"/>
      <c r="P2272" s="1583"/>
      <c r="Q2272" s="1604"/>
      <c r="R2272" s="1583"/>
      <c r="S2272" s="1583"/>
      <c r="T2272" s="1604"/>
      <c r="U2272" s="1592"/>
      <c r="V2272" s="1585"/>
      <c r="W2272" s="1585"/>
      <c r="X2272" s="1585"/>
      <c r="Y2272" s="1592"/>
      <c r="Z2272" s="1585"/>
      <c r="AA2272" s="1585"/>
      <c r="AB2272" s="1585"/>
      <c r="AC2272" s="1585"/>
      <c r="AD2272" s="1601">
        <f t="shared" si="177"/>
        <v>0</v>
      </c>
      <c r="AE2272" s="1790">
        <v>0</v>
      </c>
      <c r="AF2272" s="1792"/>
    </row>
    <row r="2273" spans="1:32" ht="27.75" customHeight="1">
      <c r="A2273" s="2899"/>
      <c r="B2273" s="2901" t="s">
        <v>2328</v>
      </c>
      <c r="C2273" s="2903" t="s">
        <v>53</v>
      </c>
      <c r="D2273" s="2905">
        <v>59500</v>
      </c>
      <c r="E2273" s="1598" t="s">
        <v>2496</v>
      </c>
      <c r="F2273" s="1583"/>
      <c r="G2273" s="1583"/>
      <c r="H2273" s="1583"/>
      <c r="I2273" s="1583"/>
      <c r="J2273" s="1583"/>
      <c r="K2273" s="1583"/>
      <c r="L2273" s="1583"/>
      <c r="M2273" s="1583"/>
      <c r="N2273" s="1583"/>
      <c r="O2273" s="1583"/>
      <c r="P2273" s="1583"/>
      <c r="Q2273" s="1585"/>
      <c r="R2273" s="1583"/>
      <c r="S2273" s="1583"/>
      <c r="T2273" s="1585"/>
      <c r="U2273" s="1585"/>
      <c r="V2273" s="1585"/>
      <c r="W2273" s="1585"/>
      <c r="X2273" s="1585"/>
      <c r="Y2273" s="1585"/>
      <c r="Z2273" s="1812">
        <f>D2273/4</f>
        <v>14875</v>
      </c>
      <c r="AA2273" s="1812">
        <f>Z2273</f>
        <v>14875</v>
      </c>
      <c r="AB2273" s="1812">
        <f>AA2273</f>
        <v>14875</v>
      </c>
      <c r="AC2273" s="1812">
        <f>AB2273</f>
        <v>14875</v>
      </c>
      <c r="AD2273" s="1601">
        <f t="shared" si="177"/>
        <v>59500</v>
      </c>
      <c r="AE2273" s="1790">
        <v>0</v>
      </c>
      <c r="AF2273" s="1792"/>
    </row>
    <row r="2274" spans="1:32" ht="27.75" customHeight="1">
      <c r="A2274" s="2900"/>
      <c r="B2274" s="2902" t="s">
        <v>2328</v>
      </c>
      <c r="C2274" s="2904" t="s">
        <v>53</v>
      </c>
      <c r="D2274" s="2906">
        <v>59500</v>
      </c>
      <c r="E2274" s="1603" t="s">
        <v>2497</v>
      </c>
      <c r="F2274" s="1583"/>
      <c r="G2274" s="1583"/>
      <c r="H2274" s="1583"/>
      <c r="I2274" s="1583"/>
      <c r="J2274" s="1583"/>
      <c r="K2274" s="1583"/>
      <c r="L2274" s="1583"/>
      <c r="M2274" s="1583"/>
      <c r="N2274" s="1583"/>
      <c r="O2274" s="1583"/>
      <c r="P2274" s="1583"/>
      <c r="Q2274" s="1604"/>
      <c r="R2274" s="1583"/>
      <c r="S2274" s="1583"/>
      <c r="T2274" s="1604"/>
      <c r="U2274" s="1585"/>
      <c r="V2274" s="1585"/>
      <c r="W2274" s="1585"/>
      <c r="X2274" s="1585"/>
      <c r="Y2274" s="1585"/>
      <c r="Z2274" s="1585"/>
      <c r="AA2274" s="1585"/>
      <c r="AB2274" s="1585"/>
      <c r="AC2274" s="1585"/>
      <c r="AD2274" s="1601">
        <f t="shared" si="177"/>
        <v>0</v>
      </c>
      <c r="AE2274" s="1790">
        <v>0</v>
      </c>
      <c r="AF2274" s="1792"/>
    </row>
    <row r="2275" spans="1:32" ht="27.75" customHeight="1">
      <c r="A2275" s="1428" t="s">
        <v>1194</v>
      </c>
      <c r="B2275" s="1430" t="s">
        <v>1678</v>
      </c>
      <c r="C2275" s="1803"/>
      <c r="D2275" s="1804"/>
      <c r="E2275" s="1813"/>
      <c r="F2275" s="1811"/>
      <c r="G2275" s="1811"/>
      <c r="H2275" s="1811"/>
      <c r="I2275" s="1811"/>
      <c r="J2275" s="1811"/>
      <c r="K2275" s="1811"/>
      <c r="L2275" s="1811"/>
      <c r="M2275" s="1811"/>
      <c r="N2275" s="1811"/>
      <c r="O2275" s="1811"/>
      <c r="P2275" s="1811"/>
      <c r="Q2275" s="1814"/>
      <c r="R2275" s="1811"/>
      <c r="S2275" s="1811"/>
      <c r="T2275" s="1814"/>
      <c r="U2275" s="1812"/>
      <c r="V2275" s="1812"/>
      <c r="W2275" s="1812"/>
      <c r="X2275" s="1812"/>
      <c r="Y2275" s="1812"/>
      <c r="Z2275" s="1812"/>
      <c r="AA2275" s="1812"/>
      <c r="AB2275" s="1812"/>
      <c r="AC2275" s="1812"/>
      <c r="AD2275" s="1601">
        <f t="shared" si="177"/>
        <v>0</v>
      </c>
      <c r="AE2275" s="1790">
        <v>0</v>
      </c>
      <c r="AF2275" s="1792"/>
    </row>
    <row r="2276" spans="1:32" ht="27.75" customHeight="1">
      <c r="A2276" s="2899"/>
      <c r="B2276" s="2901" t="s">
        <v>2330</v>
      </c>
      <c r="C2276" s="2903" t="s">
        <v>53</v>
      </c>
      <c r="D2276" s="2905">
        <v>2450</v>
      </c>
      <c r="E2276" s="1810" t="s">
        <v>2496</v>
      </c>
      <c r="F2276" s="1811"/>
      <c r="G2276" s="1811"/>
      <c r="H2276" s="1811"/>
      <c r="I2276" s="1811"/>
      <c r="J2276" s="1811"/>
      <c r="K2276" s="1811"/>
      <c r="L2276" s="1811"/>
      <c r="M2276" s="1811"/>
      <c r="N2276" s="1811"/>
      <c r="O2276" s="1811"/>
      <c r="P2276" s="1811"/>
      <c r="Q2276" s="1812"/>
      <c r="R2276" s="1811"/>
      <c r="S2276" s="1811"/>
      <c r="T2276" s="1812"/>
      <c r="U2276" s="1812"/>
      <c r="V2276" s="1812"/>
      <c r="W2276" s="1812"/>
      <c r="X2276" s="1812"/>
      <c r="Y2276" s="1812"/>
      <c r="Z2276" s="1812">
        <f>D2276/4</f>
        <v>612.5</v>
      </c>
      <c r="AA2276" s="1812">
        <f>Z2276</f>
        <v>612.5</v>
      </c>
      <c r="AB2276" s="1812">
        <f>AA2276</f>
        <v>612.5</v>
      </c>
      <c r="AC2276" s="1812">
        <f>AB2276</f>
        <v>612.5</v>
      </c>
      <c r="AD2276" s="1601">
        <f t="shared" si="177"/>
        <v>2450</v>
      </c>
      <c r="AE2276" s="1790">
        <v>0</v>
      </c>
      <c r="AF2276" s="1792"/>
    </row>
    <row r="2277" spans="1:32" ht="27.75" customHeight="1">
      <c r="A2277" s="2900"/>
      <c r="B2277" s="2902" t="s">
        <v>2330</v>
      </c>
      <c r="C2277" s="2904" t="s">
        <v>53</v>
      </c>
      <c r="D2277" s="2906">
        <v>2450</v>
      </c>
      <c r="E2277" s="1603" t="s">
        <v>2497</v>
      </c>
      <c r="F2277" s="1583"/>
      <c r="G2277" s="1583"/>
      <c r="H2277" s="1583"/>
      <c r="I2277" s="1583"/>
      <c r="J2277" s="1583"/>
      <c r="K2277" s="1583"/>
      <c r="L2277" s="1583"/>
      <c r="M2277" s="1583"/>
      <c r="N2277" s="1583"/>
      <c r="O2277" s="1583"/>
      <c r="P2277" s="1583"/>
      <c r="Q2277" s="1604"/>
      <c r="R2277" s="1583"/>
      <c r="S2277" s="1583"/>
      <c r="T2277" s="1604"/>
      <c r="U2277" s="1592"/>
      <c r="V2277" s="1585"/>
      <c r="W2277" s="1585"/>
      <c r="X2277" s="1585"/>
      <c r="Y2277" s="1592"/>
      <c r="Z2277" s="1585"/>
      <c r="AA2277" s="1585"/>
      <c r="AB2277" s="1585"/>
      <c r="AC2277" s="1585"/>
      <c r="AD2277" s="1601">
        <f t="shared" si="177"/>
        <v>0</v>
      </c>
      <c r="AE2277" s="1790">
        <v>0</v>
      </c>
      <c r="AF2277" s="1792"/>
    </row>
    <row r="2278" spans="1:32" ht="27.75" customHeight="1">
      <c r="A2278" s="2899"/>
      <c r="B2278" s="2901" t="s">
        <v>2331</v>
      </c>
      <c r="C2278" s="2903" t="s">
        <v>53</v>
      </c>
      <c r="D2278" s="2905">
        <v>5600</v>
      </c>
      <c r="E2278" s="1810" t="s">
        <v>2496</v>
      </c>
      <c r="F2278" s="1811"/>
      <c r="G2278" s="1811"/>
      <c r="H2278" s="1811"/>
      <c r="I2278" s="1811"/>
      <c r="J2278" s="1811"/>
      <c r="K2278" s="1811"/>
      <c r="L2278" s="1811"/>
      <c r="M2278" s="1811"/>
      <c r="N2278" s="1811"/>
      <c r="O2278" s="1811"/>
      <c r="P2278" s="1811"/>
      <c r="Q2278" s="1812"/>
      <c r="R2278" s="1811"/>
      <c r="S2278" s="1811"/>
      <c r="T2278" s="1812"/>
      <c r="U2278" s="1812"/>
      <c r="V2278" s="1812"/>
      <c r="W2278" s="1812"/>
      <c r="X2278" s="1812"/>
      <c r="Y2278" s="1812"/>
      <c r="Z2278" s="1812">
        <f>D2278/4</f>
        <v>1400</v>
      </c>
      <c r="AA2278" s="1812">
        <f>Z2278</f>
        <v>1400</v>
      </c>
      <c r="AB2278" s="1812">
        <f>AA2278</f>
        <v>1400</v>
      </c>
      <c r="AC2278" s="1812">
        <f>AB2278</f>
        <v>1400</v>
      </c>
      <c r="AD2278" s="1601">
        <f t="shared" si="177"/>
        <v>5600</v>
      </c>
      <c r="AE2278" s="1790">
        <v>0</v>
      </c>
      <c r="AF2278" s="1792"/>
    </row>
    <row r="2279" spans="1:32" ht="27.75" customHeight="1">
      <c r="A2279" s="2900"/>
      <c r="B2279" s="2902" t="s">
        <v>2331</v>
      </c>
      <c r="C2279" s="2904" t="s">
        <v>53</v>
      </c>
      <c r="D2279" s="2906">
        <v>5600</v>
      </c>
      <c r="E2279" s="1603" t="s">
        <v>2497</v>
      </c>
      <c r="F2279" s="1583"/>
      <c r="G2279" s="1583"/>
      <c r="H2279" s="1583"/>
      <c r="I2279" s="1583"/>
      <c r="J2279" s="1583"/>
      <c r="K2279" s="1583"/>
      <c r="L2279" s="1583"/>
      <c r="M2279" s="1583"/>
      <c r="N2279" s="1583"/>
      <c r="O2279" s="1583"/>
      <c r="P2279" s="1583"/>
      <c r="Q2279" s="1604"/>
      <c r="R2279" s="1583"/>
      <c r="S2279" s="1583"/>
      <c r="T2279" s="1604"/>
      <c r="U2279" s="1592"/>
      <c r="V2279" s="1585"/>
      <c r="W2279" s="1585"/>
      <c r="X2279" s="1585"/>
      <c r="Y2279" s="1592"/>
      <c r="Z2279" s="1585"/>
      <c r="AA2279" s="1585"/>
      <c r="AB2279" s="1585"/>
      <c r="AC2279" s="1585"/>
      <c r="AD2279" s="1601">
        <f t="shared" si="177"/>
        <v>0</v>
      </c>
      <c r="AE2279" s="1790">
        <v>0</v>
      </c>
      <c r="AF2279" s="1792"/>
    </row>
    <row r="2280" spans="1:32" ht="27.75" customHeight="1">
      <c r="A2280" s="1102">
        <v>1.2</v>
      </c>
      <c r="B2280" s="1102" t="s">
        <v>1688</v>
      </c>
      <c r="C2280" s="1803"/>
      <c r="D2280" s="1804"/>
      <c r="E2280" s="1813"/>
      <c r="F2280" s="1811"/>
      <c r="G2280" s="1811"/>
      <c r="H2280" s="1811"/>
      <c r="I2280" s="1811"/>
      <c r="J2280" s="1811"/>
      <c r="K2280" s="1811"/>
      <c r="L2280" s="1811"/>
      <c r="M2280" s="1811"/>
      <c r="N2280" s="1811"/>
      <c r="O2280" s="1811"/>
      <c r="P2280" s="1811"/>
      <c r="Q2280" s="1814"/>
      <c r="R2280" s="1811"/>
      <c r="S2280" s="1811"/>
      <c r="T2280" s="1814"/>
      <c r="U2280" s="1816"/>
      <c r="V2280" s="1812"/>
      <c r="W2280" s="1812"/>
      <c r="X2280" s="1812"/>
      <c r="Y2280" s="1816"/>
      <c r="Z2280" s="1812"/>
      <c r="AA2280" s="1812"/>
      <c r="AB2280" s="1812"/>
      <c r="AC2280" s="1812"/>
      <c r="AD2280" s="1601">
        <f t="shared" si="177"/>
        <v>0</v>
      </c>
      <c r="AE2280" s="1790">
        <v>0</v>
      </c>
      <c r="AF2280" s="1792"/>
    </row>
    <row r="2281" spans="1:32" ht="27.75" customHeight="1">
      <c r="A2281" s="2899" t="s">
        <v>1204</v>
      </c>
      <c r="B2281" s="2901" t="s">
        <v>1689</v>
      </c>
      <c r="C2281" s="2903" t="s">
        <v>268</v>
      </c>
      <c r="D2281" s="2905">
        <v>4750</v>
      </c>
      <c r="E2281" s="1810" t="s">
        <v>2496</v>
      </c>
      <c r="F2281" s="1811"/>
      <c r="G2281" s="1811"/>
      <c r="H2281" s="1811"/>
      <c r="I2281" s="1811"/>
      <c r="J2281" s="1811"/>
      <c r="K2281" s="1811"/>
      <c r="L2281" s="1811"/>
      <c r="M2281" s="1811"/>
      <c r="N2281" s="1811"/>
      <c r="O2281" s="1811"/>
      <c r="P2281" s="1811"/>
      <c r="Q2281" s="1812"/>
      <c r="R2281" s="1811"/>
      <c r="S2281" s="1811"/>
      <c r="T2281" s="1812"/>
      <c r="U2281" s="1812"/>
      <c r="V2281" s="1812"/>
      <c r="W2281" s="1812"/>
      <c r="X2281" s="1812"/>
      <c r="Y2281" s="1812"/>
      <c r="Z2281" s="1812">
        <f>D2281/4</f>
        <v>1187.5</v>
      </c>
      <c r="AA2281" s="1812">
        <f>Z2281</f>
        <v>1187.5</v>
      </c>
      <c r="AB2281" s="1812">
        <f>AA2281</f>
        <v>1187.5</v>
      </c>
      <c r="AC2281" s="1812">
        <f>AB2281</f>
        <v>1187.5</v>
      </c>
      <c r="AD2281" s="1601">
        <f t="shared" si="177"/>
        <v>4750</v>
      </c>
      <c r="AE2281" s="1790">
        <v>0</v>
      </c>
      <c r="AF2281" s="1792"/>
    </row>
    <row r="2282" spans="1:32" ht="27.75" customHeight="1">
      <c r="A2282" s="2900" t="s">
        <v>1204</v>
      </c>
      <c r="B2282" s="2902" t="s">
        <v>1689</v>
      </c>
      <c r="C2282" s="2904" t="s">
        <v>268</v>
      </c>
      <c r="D2282" s="2906">
        <v>4750</v>
      </c>
      <c r="E2282" s="1603" t="s">
        <v>2497</v>
      </c>
      <c r="F2282" s="1583"/>
      <c r="G2282" s="1583"/>
      <c r="H2282" s="1583"/>
      <c r="I2282" s="1583"/>
      <c r="J2282" s="1583"/>
      <c r="K2282" s="1583"/>
      <c r="L2282" s="1583"/>
      <c r="M2282" s="1583"/>
      <c r="N2282" s="1583"/>
      <c r="O2282" s="1583"/>
      <c r="P2282" s="1583"/>
      <c r="Q2282" s="1604"/>
      <c r="R2282" s="1583"/>
      <c r="S2282" s="1583"/>
      <c r="T2282" s="1604"/>
      <c r="U2282" s="1592"/>
      <c r="V2282" s="1585"/>
      <c r="W2282" s="1585"/>
      <c r="X2282" s="1585"/>
      <c r="Y2282" s="1592"/>
      <c r="Z2282" s="1585"/>
      <c r="AA2282" s="1585"/>
      <c r="AB2282" s="1585"/>
      <c r="AC2282" s="1585"/>
      <c r="AD2282" s="1601">
        <f t="shared" si="177"/>
        <v>0</v>
      </c>
      <c r="AE2282" s="1790">
        <v>0</v>
      </c>
      <c r="AF2282" s="1792"/>
    </row>
    <row r="2283" spans="1:32" ht="27.75" customHeight="1">
      <c r="A2283" s="2899" t="s">
        <v>1205</v>
      </c>
      <c r="B2283" s="2901" t="s">
        <v>1690</v>
      </c>
      <c r="C2283" s="2903" t="s">
        <v>52</v>
      </c>
      <c r="D2283" s="2905">
        <v>15820</v>
      </c>
      <c r="E2283" s="1598" t="s">
        <v>2496</v>
      </c>
      <c r="F2283" s="1583"/>
      <c r="G2283" s="1583"/>
      <c r="H2283" s="1583"/>
      <c r="I2283" s="1583"/>
      <c r="J2283" s="1583"/>
      <c r="K2283" s="1583"/>
      <c r="L2283" s="1583"/>
      <c r="M2283" s="1583"/>
      <c r="N2283" s="1583"/>
      <c r="O2283" s="1583"/>
      <c r="P2283" s="1583"/>
      <c r="Q2283" s="1585"/>
      <c r="R2283" s="1583"/>
      <c r="S2283" s="1583"/>
      <c r="T2283" s="1585"/>
      <c r="U2283" s="1585"/>
      <c r="V2283" s="1585"/>
      <c r="W2283" s="1585"/>
      <c r="X2283" s="1585"/>
      <c r="Y2283" s="1585"/>
      <c r="Z2283" s="1812">
        <f>D2283/4</f>
        <v>3955</v>
      </c>
      <c r="AA2283" s="1812">
        <f>Z2283</f>
        <v>3955</v>
      </c>
      <c r="AB2283" s="1812">
        <f>AA2283</f>
        <v>3955</v>
      </c>
      <c r="AC2283" s="1812">
        <f>AB2283</f>
        <v>3955</v>
      </c>
      <c r="AD2283" s="1601">
        <f t="shared" si="177"/>
        <v>15820</v>
      </c>
      <c r="AE2283" s="1790">
        <v>0</v>
      </c>
      <c r="AF2283" s="1792"/>
    </row>
    <row r="2284" spans="1:32" ht="27.75" customHeight="1">
      <c r="A2284" s="2900" t="s">
        <v>1205</v>
      </c>
      <c r="B2284" s="2902" t="s">
        <v>1690</v>
      </c>
      <c r="C2284" s="2904" t="s">
        <v>52</v>
      </c>
      <c r="D2284" s="2906">
        <v>15820</v>
      </c>
      <c r="E2284" s="1603" t="s">
        <v>2497</v>
      </c>
      <c r="F2284" s="1583"/>
      <c r="G2284" s="1583"/>
      <c r="H2284" s="1583"/>
      <c r="I2284" s="1583"/>
      <c r="J2284" s="1583"/>
      <c r="K2284" s="1583"/>
      <c r="L2284" s="1583"/>
      <c r="M2284" s="1583"/>
      <c r="N2284" s="1583"/>
      <c r="O2284" s="1583"/>
      <c r="P2284" s="1583"/>
      <c r="Q2284" s="1604"/>
      <c r="R2284" s="1583"/>
      <c r="S2284" s="1583"/>
      <c r="T2284" s="1604"/>
      <c r="U2284" s="1585"/>
      <c r="V2284" s="1585"/>
      <c r="W2284" s="1585"/>
      <c r="X2284" s="1585"/>
      <c r="Y2284" s="1585"/>
      <c r="Z2284" s="1585"/>
      <c r="AA2284" s="1585"/>
      <c r="AB2284" s="1585"/>
      <c r="AC2284" s="1585"/>
      <c r="AD2284" s="1601">
        <f t="shared" si="177"/>
        <v>0</v>
      </c>
      <c r="AE2284" s="1790">
        <v>0</v>
      </c>
      <c r="AF2284" s="1792"/>
    </row>
    <row r="2285" spans="1:32" ht="27.75" customHeight="1">
      <c r="A2285" s="2899" t="s">
        <v>1206</v>
      </c>
      <c r="B2285" s="2901" t="s">
        <v>1691</v>
      </c>
      <c r="C2285" s="2903" t="s">
        <v>268</v>
      </c>
      <c r="D2285" s="2905">
        <v>18000</v>
      </c>
      <c r="E2285" s="1810" t="s">
        <v>2496</v>
      </c>
      <c r="F2285" s="1811"/>
      <c r="G2285" s="1811"/>
      <c r="H2285" s="1811"/>
      <c r="I2285" s="1811"/>
      <c r="J2285" s="1811"/>
      <c r="K2285" s="1811"/>
      <c r="L2285" s="1811"/>
      <c r="M2285" s="1811"/>
      <c r="N2285" s="1811"/>
      <c r="O2285" s="1811"/>
      <c r="P2285" s="1811"/>
      <c r="Q2285" s="1812"/>
      <c r="R2285" s="1811"/>
      <c r="S2285" s="1811"/>
      <c r="T2285" s="1812"/>
      <c r="U2285" s="1812"/>
      <c r="V2285" s="1812"/>
      <c r="W2285" s="1812"/>
      <c r="X2285" s="1812"/>
      <c r="Y2285" s="1812"/>
      <c r="Z2285" s="1812">
        <f>D2285/4</f>
        <v>4500</v>
      </c>
      <c r="AA2285" s="1812">
        <f>Z2285</f>
        <v>4500</v>
      </c>
      <c r="AB2285" s="1812">
        <f>AA2285</f>
        <v>4500</v>
      </c>
      <c r="AC2285" s="1812">
        <f>AB2285</f>
        <v>4500</v>
      </c>
      <c r="AD2285" s="1601">
        <f t="shared" si="177"/>
        <v>18000</v>
      </c>
      <c r="AE2285" s="1790">
        <v>0</v>
      </c>
      <c r="AF2285" s="1792"/>
    </row>
    <row r="2286" spans="1:32" ht="27.75" customHeight="1">
      <c r="A2286" s="2900" t="s">
        <v>1206</v>
      </c>
      <c r="B2286" s="2902" t="s">
        <v>1691</v>
      </c>
      <c r="C2286" s="2904" t="s">
        <v>268</v>
      </c>
      <c r="D2286" s="2906">
        <v>18000</v>
      </c>
      <c r="E2286" s="1603" t="s">
        <v>2497</v>
      </c>
      <c r="F2286" s="1583"/>
      <c r="G2286" s="1583"/>
      <c r="H2286" s="1583"/>
      <c r="I2286" s="1583"/>
      <c r="J2286" s="1583"/>
      <c r="K2286" s="1583"/>
      <c r="L2286" s="1583"/>
      <c r="M2286" s="1583"/>
      <c r="N2286" s="1583"/>
      <c r="O2286" s="1583"/>
      <c r="P2286" s="1583"/>
      <c r="Q2286" s="1604"/>
      <c r="R2286" s="1583"/>
      <c r="S2286" s="1583"/>
      <c r="T2286" s="1604"/>
      <c r="U2286" s="1592"/>
      <c r="V2286" s="1585"/>
      <c r="W2286" s="1585"/>
      <c r="X2286" s="1585"/>
      <c r="Y2286" s="1592"/>
      <c r="Z2286" s="1585"/>
      <c r="AA2286" s="1585"/>
      <c r="AB2286" s="1585"/>
      <c r="AC2286" s="1585"/>
      <c r="AD2286" s="1601">
        <f t="shared" si="177"/>
        <v>0</v>
      </c>
      <c r="AE2286" s="1790">
        <v>0</v>
      </c>
      <c r="AF2286" s="1792"/>
    </row>
    <row r="2287" spans="1:32" ht="27.75" customHeight="1">
      <c r="A2287" s="2899" t="s">
        <v>1207</v>
      </c>
      <c r="B2287" s="2901" t="s">
        <v>1692</v>
      </c>
      <c r="C2287" s="2903" t="s">
        <v>268</v>
      </c>
      <c r="D2287" s="2905">
        <v>12400</v>
      </c>
      <c r="E2287" s="1810" t="s">
        <v>2496</v>
      </c>
      <c r="F2287" s="1811"/>
      <c r="G2287" s="1811"/>
      <c r="H2287" s="1811"/>
      <c r="I2287" s="1811"/>
      <c r="J2287" s="1811"/>
      <c r="K2287" s="1811"/>
      <c r="L2287" s="1811"/>
      <c r="M2287" s="1811"/>
      <c r="N2287" s="1811"/>
      <c r="O2287" s="1811"/>
      <c r="P2287" s="1811"/>
      <c r="Q2287" s="1812"/>
      <c r="R2287" s="1811"/>
      <c r="S2287" s="1811"/>
      <c r="T2287" s="1812"/>
      <c r="U2287" s="1812"/>
      <c r="V2287" s="1812"/>
      <c r="W2287" s="1812"/>
      <c r="X2287" s="1812"/>
      <c r="Y2287" s="1812"/>
      <c r="Z2287" s="1812">
        <f>D2287/4</f>
        <v>3100</v>
      </c>
      <c r="AA2287" s="1812">
        <f>Z2287</f>
        <v>3100</v>
      </c>
      <c r="AB2287" s="1812">
        <f>AA2287</f>
        <v>3100</v>
      </c>
      <c r="AC2287" s="1812">
        <f>AB2287</f>
        <v>3100</v>
      </c>
      <c r="AD2287" s="1601">
        <f t="shared" si="177"/>
        <v>12400</v>
      </c>
      <c r="AE2287" s="1790">
        <v>0</v>
      </c>
      <c r="AF2287" s="1792"/>
    </row>
    <row r="2288" spans="1:32" ht="27.75" customHeight="1">
      <c r="A2288" s="2900" t="s">
        <v>1207</v>
      </c>
      <c r="B2288" s="2902" t="s">
        <v>1692</v>
      </c>
      <c r="C2288" s="2904" t="s">
        <v>268</v>
      </c>
      <c r="D2288" s="2906">
        <v>12400</v>
      </c>
      <c r="E2288" s="1603" t="s">
        <v>2497</v>
      </c>
      <c r="F2288" s="1583"/>
      <c r="G2288" s="1583"/>
      <c r="H2288" s="1583"/>
      <c r="I2288" s="1583"/>
      <c r="J2288" s="1583"/>
      <c r="K2288" s="1583"/>
      <c r="L2288" s="1583"/>
      <c r="M2288" s="1583"/>
      <c r="N2288" s="1583"/>
      <c r="O2288" s="1583"/>
      <c r="P2288" s="1583"/>
      <c r="Q2288" s="1604"/>
      <c r="R2288" s="1583"/>
      <c r="S2288" s="1583"/>
      <c r="T2288" s="1604"/>
      <c r="U2288" s="1592"/>
      <c r="V2288" s="1585"/>
      <c r="W2288" s="1585"/>
      <c r="X2288" s="1585"/>
      <c r="Y2288" s="1592"/>
      <c r="Z2288" s="1585"/>
      <c r="AA2288" s="1585"/>
      <c r="AB2288" s="1585"/>
      <c r="AC2288" s="1585"/>
      <c r="AD2288" s="1601">
        <f t="shared" si="177"/>
        <v>0</v>
      </c>
      <c r="AE2288" s="1790">
        <v>0</v>
      </c>
      <c r="AF2288" s="1792"/>
    </row>
    <row r="2289" spans="1:32" ht="27.75" customHeight="1">
      <c r="A2289" s="2899" t="s">
        <v>1208</v>
      </c>
      <c r="B2289" s="2901" t="s">
        <v>1693</v>
      </c>
      <c r="C2289" s="2903" t="s">
        <v>268</v>
      </c>
      <c r="D2289" s="2905">
        <v>19800</v>
      </c>
      <c r="E2289" s="1810" t="s">
        <v>2496</v>
      </c>
      <c r="F2289" s="1811"/>
      <c r="G2289" s="1811"/>
      <c r="H2289" s="1811"/>
      <c r="I2289" s="1811"/>
      <c r="J2289" s="1811"/>
      <c r="K2289" s="1811"/>
      <c r="L2289" s="1811"/>
      <c r="M2289" s="1811"/>
      <c r="N2289" s="1811"/>
      <c r="O2289" s="1811"/>
      <c r="P2289" s="1811"/>
      <c r="Q2289" s="1812"/>
      <c r="R2289" s="1811"/>
      <c r="S2289" s="1811"/>
      <c r="T2289" s="1812"/>
      <c r="U2289" s="1812"/>
      <c r="V2289" s="1812"/>
      <c r="W2289" s="1812"/>
      <c r="X2289" s="1812"/>
      <c r="Y2289" s="1812"/>
      <c r="Z2289" s="1812">
        <f>D2289/4</f>
        <v>4950</v>
      </c>
      <c r="AA2289" s="1812">
        <f>Z2289</f>
        <v>4950</v>
      </c>
      <c r="AB2289" s="1812">
        <f>AA2289</f>
        <v>4950</v>
      </c>
      <c r="AC2289" s="1812">
        <f>AB2289</f>
        <v>4950</v>
      </c>
      <c r="AD2289" s="1601">
        <f t="shared" si="177"/>
        <v>19800</v>
      </c>
      <c r="AE2289" s="1790">
        <v>0</v>
      </c>
      <c r="AF2289" s="1792"/>
    </row>
    <row r="2290" spans="1:32" ht="27.75" customHeight="1">
      <c r="A2290" s="2900" t="s">
        <v>1208</v>
      </c>
      <c r="B2290" s="2902" t="s">
        <v>1693</v>
      </c>
      <c r="C2290" s="2904" t="s">
        <v>268</v>
      </c>
      <c r="D2290" s="2906">
        <v>19800</v>
      </c>
      <c r="E2290" s="1603" t="s">
        <v>2497</v>
      </c>
      <c r="F2290" s="1583"/>
      <c r="G2290" s="1583"/>
      <c r="H2290" s="1583"/>
      <c r="I2290" s="1583"/>
      <c r="J2290" s="1583"/>
      <c r="K2290" s="1583"/>
      <c r="L2290" s="1583"/>
      <c r="M2290" s="1583"/>
      <c r="N2290" s="1583"/>
      <c r="O2290" s="1583"/>
      <c r="P2290" s="1583"/>
      <c r="Q2290" s="1604"/>
      <c r="R2290" s="1583"/>
      <c r="S2290" s="1583"/>
      <c r="T2290" s="1604"/>
      <c r="U2290" s="1592"/>
      <c r="V2290" s="1585"/>
      <c r="W2290" s="1585"/>
      <c r="X2290" s="1585"/>
      <c r="Y2290" s="1592"/>
      <c r="Z2290" s="1585"/>
      <c r="AA2290" s="1585"/>
      <c r="AB2290" s="1585"/>
      <c r="AC2290" s="1585"/>
      <c r="AD2290" s="1601">
        <f t="shared" si="177"/>
        <v>0</v>
      </c>
      <c r="AE2290" s="1790">
        <v>0</v>
      </c>
      <c r="AF2290" s="1792"/>
    </row>
    <row r="2291" spans="1:32" ht="27.75" customHeight="1">
      <c r="A2291" s="1706">
        <v>2</v>
      </c>
      <c r="B2291" s="1707" t="s">
        <v>1695</v>
      </c>
      <c r="C2291" s="1625"/>
      <c r="D2291" s="1597"/>
      <c r="E2291" s="1599"/>
      <c r="F2291" s="1583"/>
      <c r="G2291" s="1583"/>
      <c r="H2291" s="1583"/>
      <c r="I2291" s="1583"/>
      <c r="J2291" s="1583"/>
      <c r="K2291" s="1583"/>
      <c r="L2291" s="1583"/>
      <c r="M2291" s="1583"/>
      <c r="N2291" s="1583"/>
      <c r="O2291" s="1583"/>
      <c r="P2291" s="1583"/>
      <c r="Q2291" s="1604"/>
      <c r="R2291" s="1583"/>
      <c r="S2291" s="1583"/>
      <c r="T2291" s="1604"/>
      <c r="U2291" s="1592"/>
      <c r="V2291" s="1585"/>
      <c r="W2291" s="1585"/>
      <c r="X2291" s="1585"/>
      <c r="Y2291" s="1592"/>
      <c r="Z2291" s="1585"/>
      <c r="AA2291" s="1585"/>
      <c r="AB2291" s="1585"/>
      <c r="AC2291" s="1585"/>
      <c r="AD2291" s="1601">
        <f t="shared" si="177"/>
        <v>0</v>
      </c>
      <c r="AE2291" s="1790">
        <v>0</v>
      </c>
      <c r="AF2291" s="1792"/>
    </row>
    <row r="2292" spans="1:32" ht="27.75" customHeight="1">
      <c r="A2292" s="1102">
        <v>2.1</v>
      </c>
      <c r="B2292" s="1724" t="s">
        <v>1701</v>
      </c>
      <c r="C2292" s="1625"/>
      <c r="D2292" s="1597"/>
      <c r="E2292" s="1599"/>
      <c r="F2292" s="1583"/>
      <c r="G2292" s="1583"/>
      <c r="H2292" s="1583"/>
      <c r="I2292" s="1583"/>
      <c r="J2292" s="1583"/>
      <c r="K2292" s="1583"/>
      <c r="L2292" s="1583"/>
      <c r="M2292" s="1583"/>
      <c r="N2292" s="1583"/>
      <c r="O2292" s="1583"/>
      <c r="P2292" s="1583"/>
      <c r="Q2292" s="1604"/>
      <c r="R2292" s="1583"/>
      <c r="S2292" s="1583"/>
      <c r="T2292" s="1604"/>
      <c r="U2292" s="1592"/>
      <c r="V2292" s="1585"/>
      <c r="W2292" s="1585"/>
      <c r="X2292" s="1585"/>
      <c r="Y2292" s="1592"/>
      <c r="Z2292" s="1585"/>
      <c r="AA2292" s="1585"/>
      <c r="AB2292" s="1585"/>
      <c r="AC2292" s="1585"/>
      <c r="AD2292" s="1601">
        <f t="shared" si="177"/>
        <v>0</v>
      </c>
      <c r="AE2292" s="1790">
        <v>0</v>
      </c>
      <c r="AF2292" s="1792"/>
    </row>
    <row r="2293" spans="1:32" ht="27.75" customHeight="1">
      <c r="A2293" s="1725" t="s">
        <v>1216</v>
      </c>
      <c r="B2293" s="1726" t="s">
        <v>2377</v>
      </c>
      <c r="C2293" s="1625"/>
      <c r="D2293" s="1597"/>
      <c r="E2293" s="1599"/>
      <c r="F2293" s="1583"/>
      <c r="G2293" s="1583"/>
      <c r="H2293" s="1583"/>
      <c r="I2293" s="1583"/>
      <c r="J2293" s="1583"/>
      <c r="K2293" s="1583"/>
      <c r="L2293" s="1583"/>
      <c r="M2293" s="1583"/>
      <c r="N2293" s="1583"/>
      <c r="O2293" s="1583"/>
      <c r="P2293" s="1583"/>
      <c r="Q2293" s="1604"/>
      <c r="R2293" s="1583"/>
      <c r="S2293" s="1583"/>
      <c r="T2293" s="1604"/>
      <c r="U2293" s="1592"/>
      <c r="V2293" s="1585"/>
      <c r="W2293" s="1585"/>
      <c r="X2293" s="1585"/>
      <c r="Y2293" s="1592"/>
      <c r="Z2293" s="1585"/>
      <c r="AA2293" s="1585"/>
      <c r="AB2293" s="1585"/>
      <c r="AC2293" s="1585"/>
      <c r="AD2293" s="1601">
        <f t="shared" si="177"/>
        <v>0</v>
      </c>
      <c r="AE2293" s="1790">
        <v>0</v>
      </c>
      <c r="AF2293" s="1792"/>
    </row>
    <row r="2294" spans="1:32" ht="27.75" customHeight="1">
      <c r="A2294" s="2899" t="s">
        <v>2687</v>
      </c>
      <c r="B2294" s="2901" t="s">
        <v>2380</v>
      </c>
      <c r="C2294" s="2903" t="s">
        <v>50</v>
      </c>
      <c r="D2294" s="2905">
        <v>3895.2</v>
      </c>
      <c r="E2294" s="1598" t="s">
        <v>2496</v>
      </c>
      <c r="F2294" s="1583"/>
      <c r="G2294" s="1583"/>
      <c r="H2294" s="1583"/>
      <c r="I2294" s="1583"/>
      <c r="J2294" s="1583"/>
      <c r="K2294" s="1583"/>
      <c r="L2294" s="1583"/>
      <c r="M2294" s="1583"/>
      <c r="N2294" s="1583"/>
      <c r="O2294" s="1583"/>
      <c r="P2294" s="1583"/>
      <c r="Q2294" s="1585"/>
      <c r="R2294" s="1583"/>
      <c r="S2294" s="1583"/>
      <c r="T2294" s="1585"/>
      <c r="U2294" s="1585"/>
      <c r="V2294" s="1585"/>
      <c r="W2294" s="1585"/>
      <c r="X2294" s="1585"/>
      <c r="Y2294" s="1585"/>
      <c r="Z2294" s="1585">
        <f>D2294</f>
        <v>3895.2</v>
      </c>
      <c r="AA2294" s="1585"/>
      <c r="AB2294" s="1585"/>
      <c r="AC2294" s="1585"/>
      <c r="AD2294" s="1601">
        <f t="shared" si="177"/>
        <v>3895.2</v>
      </c>
      <c r="AE2294" s="1790">
        <v>0</v>
      </c>
      <c r="AF2294" s="1792"/>
    </row>
    <row r="2295" spans="1:32" ht="27.75" customHeight="1">
      <c r="A2295" s="2900" t="s">
        <v>2687</v>
      </c>
      <c r="B2295" s="2902" t="s">
        <v>2380</v>
      </c>
      <c r="C2295" s="2904" t="s">
        <v>50</v>
      </c>
      <c r="D2295" s="2906">
        <v>3895.2</v>
      </c>
      <c r="E2295" s="1603" t="s">
        <v>2497</v>
      </c>
      <c r="F2295" s="1583"/>
      <c r="G2295" s="1583"/>
      <c r="H2295" s="1583"/>
      <c r="I2295" s="1583"/>
      <c r="J2295" s="1583"/>
      <c r="K2295" s="1583"/>
      <c r="L2295" s="1583"/>
      <c r="M2295" s="1583"/>
      <c r="N2295" s="1583"/>
      <c r="O2295" s="1583"/>
      <c r="P2295" s="1583"/>
      <c r="Q2295" s="1604"/>
      <c r="R2295" s="1583"/>
      <c r="S2295" s="1583"/>
      <c r="T2295" s="1604"/>
      <c r="U2295" s="1585"/>
      <c r="V2295" s="1585"/>
      <c r="W2295" s="1585"/>
      <c r="X2295" s="1585"/>
      <c r="Y2295" s="1585"/>
      <c r="Z2295" s="1585"/>
      <c r="AA2295" s="1585"/>
      <c r="AB2295" s="1585"/>
      <c r="AC2295" s="1585"/>
      <c r="AD2295" s="1601">
        <f t="shared" si="177"/>
        <v>0</v>
      </c>
      <c r="AE2295" s="1790">
        <v>0</v>
      </c>
      <c r="AF2295" s="1792"/>
    </row>
    <row r="2296" spans="1:32" ht="27.75" customHeight="1">
      <c r="A2296" s="1728" t="s">
        <v>2345</v>
      </c>
      <c r="B2296" s="1729" t="s">
        <v>2346</v>
      </c>
      <c r="C2296" s="1625"/>
      <c r="D2296" s="1597"/>
      <c r="E2296" s="1813"/>
      <c r="F2296" s="1811"/>
      <c r="G2296" s="1811"/>
      <c r="H2296" s="1811"/>
      <c r="I2296" s="1811"/>
      <c r="J2296" s="1811"/>
      <c r="K2296" s="1811"/>
      <c r="L2296" s="1811"/>
      <c r="M2296" s="1811"/>
      <c r="N2296" s="1811"/>
      <c r="O2296" s="1811"/>
      <c r="P2296" s="1811"/>
      <c r="Q2296" s="1814"/>
      <c r="R2296" s="1811"/>
      <c r="S2296" s="1811"/>
      <c r="T2296" s="1814"/>
      <c r="U2296" s="1812"/>
      <c r="V2296" s="1812"/>
      <c r="W2296" s="1812"/>
      <c r="X2296" s="1812"/>
      <c r="Y2296" s="1812"/>
      <c r="Z2296" s="1812"/>
      <c r="AA2296" s="1812"/>
      <c r="AB2296" s="1812"/>
      <c r="AC2296" s="1812"/>
      <c r="AD2296" s="1601">
        <f t="shared" si="177"/>
        <v>0</v>
      </c>
      <c r="AE2296" s="1790">
        <v>0</v>
      </c>
      <c r="AF2296" s="1792"/>
    </row>
    <row r="2297" spans="1:32" ht="27.75" customHeight="1">
      <c r="A2297" s="1731" t="s">
        <v>2353</v>
      </c>
      <c r="B2297" s="1726" t="s">
        <v>2354</v>
      </c>
      <c r="C2297" s="1625"/>
      <c r="D2297" s="1597"/>
      <c r="E2297" s="1813"/>
      <c r="F2297" s="1811"/>
      <c r="G2297" s="1811"/>
      <c r="H2297" s="1811"/>
      <c r="I2297" s="1811"/>
      <c r="J2297" s="1811"/>
      <c r="K2297" s="1811"/>
      <c r="L2297" s="1811"/>
      <c r="M2297" s="1811"/>
      <c r="N2297" s="1811"/>
      <c r="O2297" s="1811"/>
      <c r="P2297" s="1811"/>
      <c r="Q2297" s="1814"/>
      <c r="R2297" s="1811"/>
      <c r="S2297" s="1811"/>
      <c r="T2297" s="1814"/>
      <c r="U2297" s="1812"/>
      <c r="V2297" s="1812"/>
      <c r="W2297" s="1812"/>
      <c r="X2297" s="1812"/>
      <c r="Y2297" s="1812"/>
      <c r="Z2297" s="1812"/>
      <c r="AA2297" s="1812"/>
      <c r="AB2297" s="1812"/>
      <c r="AC2297" s="1812"/>
      <c r="AD2297" s="1601">
        <f t="shared" si="177"/>
        <v>0</v>
      </c>
      <c r="AE2297" s="1790">
        <v>0</v>
      </c>
      <c r="AF2297" s="1792"/>
    </row>
    <row r="2298" spans="1:32" ht="27.75" customHeight="1">
      <c r="A2298" s="2899"/>
      <c r="B2298" s="2901" t="s">
        <v>3787</v>
      </c>
      <c r="C2298" s="2903" t="s">
        <v>49</v>
      </c>
      <c r="D2298" s="2905">
        <v>1702.8</v>
      </c>
      <c r="E2298" s="1810" t="s">
        <v>2496</v>
      </c>
      <c r="F2298" s="1811"/>
      <c r="G2298" s="1811"/>
      <c r="H2298" s="1811"/>
      <c r="I2298" s="1811"/>
      <c r="J2298" s="1811"/>
      <c r="K2298" s="1811"/>
      <c r="L2298" s="1811"/>
      <c r="M2298" s="1811"/>
      <c r="N2298" s="1811"/>
      <c r="O2298" s="1811"/>
      <c r="P2298" s="1811"/>
      <c r="Q2298" s="1812"/>
      <c r="R2298" s="1811"/>
      <c r="S2298" s="1811"/>
      <c r="T2298" s="1812"/>
      <c r="U2298" s="1812"/>
      <c r="V2298" s="1812"/>
      <c r="W2298" s="1812"/>
      <c r="X2298" s="1812"/>
      <c r="Y2298" s="1812"/>
      <c r="Z2298" s="1585">
        <f>D2298</f>
        <v>1702.8</v>
      </c>
      <c r="AA2298" s="1812"/>
      <c r="AB2298" s="1812"/>
      <c r="AC2298" s="1812"/>
      <c r="AD2298" s="1601">
        <f t="shared" si="177"/>
        <v>1702.8</v>
      </c>
      <c r="AE2298" s="1790">
        <v>0</v>
      </c>
      <c r="AF2298" s="1792"/>
    </row>
    <row r="2299" spans="1:32" ht="27.75" customHeight="1">
      <c r="A2299" s="2900"/>
      <c r="B2299" s="2902" t="s">
        <v>3787</v>
      </c>
      <c r="C2299" s="2904" t="s">
        <v>49</v>
      </c>
      <c r="D2299" s="2906">
        <v>1702.8</v>
      </c>
      <c r="E2299" s="1603" t="s">
        <v>2497</v>
      </c>
      <c r="F2299" s="1583"/>
      <c r="G2299" s="1583"/>
      <c r="H2299" s="1583"/>
      <c r="I2299" s="1583"/>
      <c r="J2299" s="1583"/>
      <c r="K2299" s="1583"/>
      <c r="L2299" s="1583"/>
      <c r="M2299" s="1583"/>
      <c r="N2299" s="1583"/>
      <c r="O2299" s="1583"/>
      <c r="P2299" s="1583"/>
      <c r="Q2299" s="1604"/>
      <c r="R2299" s="1583"/>
      <c r="S2299" s="1583"/>
      <c r="T2299" s="1604"/>
      <c r="U2299" s="1592"/>
      <c r="V2299" s="1585"/>
      <c r="W2299" s="1585"/>
      <c r="X2299" s="1585"/>
      <c r="Y2299" s="1592"/>
      <c r="Z2299" s="1585"/>
      <c r="AA2299" s="1585"/>
      <c r="AB2299" s="1585"/>
      <c r="AC2299" s="1585"/>
      <c r="AD2299" s="1601">
        <f t="shared" si="177"/>
        <v>0</v>
      </c>
      <c r="AE2299" s="1790">
        <v>0</v>
      </c>
      <c r="AF2299" s="1792"/>
    </row>
    <row r="2300" spans="1:32" ht="27.75" customHeight="1">
      <c r="A2300" s="2899"/>
      <c r="B2300" s="2901" t="s">
        <v>2355</v>
      </c>
      <c r="C2300" s="2903" t="s">
        <v>50</v>
      </c>
      <c r="D2300" s="2905">
        <v>1846.44</v>
      </c>
      <c r="E2300" s="1598" t="s">
        <v>2496</v>
      </c>
      <c r="F2300" s="1583"/>
      <c r="G2300" s="1583"/>
      <c r="H2300" s="1583"/>
      <c r="I2300" s="1583"/>
      <c r="J2300" s="1583"/>
      <c r="K2300" s="1583"/>
      <c r="L2300" s="1583"/>
      <c r="M2300" s="1583"/>
      <c r="N2300" s="1583"/>
      <c r="O2300" s="1583"/>
      <c r="P2300" s="1583"/>
      <c r="Q2300" s="1585"/>
      <c r="R2300" s="1583"/>
      <c r="S2300" s="1583"/>
      <c r="T2300" s="1585"/>
      <c r="U2300" s="1585"/>
      <c r="V2300" s="1585"/>
      <c r="W2300" s="1585"/>
      <c r="X2300" s="1585"/>
      <c r="Y2300" s="1585"/>
      <c r="Z2300" s="1585">
        <f>D2300</f>
        <v>1846.44</v>
      </c>
      <c r="AA2300" s="1585"/>
      <c r="AB2300" s="1585"/>
      <c r="AC2300" s="1585"/>
      <c r="AD2300" s="1601">
        <f t="shared" si="177"/>
        <v>1846.44</v>
      </c>
      <c r="AE2300" s="1790">
        <v>0</v>
      </c>
      <c r="AF2300" s="1792"/>
    </row>
    <row r="2301" spans="1:32" ht="27.75" customHeight="1">
      <c r="A2301" s="2900"/>
      <c r="B2301" s="2902" t="s">
        <v>2355</v>
      </c>
      <c r="C2301" s="2904" t="s">
        <v>50</v>
      </c>
      <c r="D2301" s="2906">
        <v>1846.44</v>
      </c>
      <c r="E2301" s="1603" t="s">
        <v>2497</v>
      </c>
      <c r="F2301" s="1583"/>
      <c r="G2301" s="1583"/>
      <c r="H2301" s="1583"/>
      <c r="I2301" s="1583"/>
      <c r="J2301" s="1583"/>
      <c r="K2301" s="1583"/>
      <c r="L2301" s="1583"/>
      <c r="M2301" s="1583"/>
      <c r="N2301" s="1583"/>
      <c r="O2301" s="1583"/>
      <c r="P2301" s="1583"/>
      <c r="Q2301" s="1604"/>
      <c r="R2301" s="1583"/>
      <c r="S2301" s="1583"/>
      <c r="T2301" s="1604"/>
      <c r="U2301" s="1585"/>
      <c r="V2301" s="1585"/>
      <c r="W2301" s="1585"/>
      <c r="X2301" s="1585"/>
      <c r="Y2301" s="1585"/>
      <c r="Z2301" s="1585"/>
      <c r="AA2301" s="1585"/>
      <c r="AB2301" s="1585"/>
      <c r="AC2301" s="1585"/>
      <c r="AD2301" s="1601">
        <f t="shared" si="177"/>
        <v>0</v>
      </c>
      <c r="AE2301" s="1790">
        <v>0</v>
      </c>
      <c r="AF2301" s="1792"/>
    </row>
    <row r="2302" spans="1:32" ht="27.75" customHeight="1">
      <c r="A2302" s="1706">
        <v>3</v>
      </c>
      <c r="B2302" s="1707" t="s">
        <v>1736</v>
      </c>
      <c r="C2302" s="1625"/>
      <c r="D2302" s="1597"/>
      <c r="E2302" s="1599"/>
      <c r="F2302" s="1811"/>
      <c r="G2302" s="1811"/>
      <c r="H2302" s="1811"/>
      <c r="I2302" s="1811"/>
      <c r="J2302" s="1811"/>
      <c r="K2302" s="1811"/>
      <c r="L2302" s="1811"/>
      <c r="M2302" s="1811"/>
      <c r="N2302" s="1811"/>
      <c r="O2302" s="1811"/>
      <c r="P2302" s="1811"/>
      <c r="Q2302" s="1814"/>
      <c r="R2302" s="1811"/>
      <c r="S2302" s="1811"/>
      <c r="T2302" s="1814"/>
      <c r="U2302" s="1812"/>
      <c r="V2302" s="1812"/>
      <c r="W2302" s="1812"/>
      <c r="X2302" s="1812"/>
      <c r="Y2302" s="1812"/>
      <c r="Z2302" s="1812"/>
      <c r="AA2302" s="1812"/>
      <c r="AB2302" s="1812"/>
      <c r="AC2302" s="1812"/>
      <c r="AD2302" s="1601">
        <f t="shared" si="177"/>
        <v>0</v>
      </c>
      <c r="AE2302" s="1790">
        <v>0</v>
      </c>
      <c r="AF2302" s="1792"/>
    </row>
    <row r="2303" spans="1:32" ht="27.75" customHeight="1">
      <c r="A2303" s="1306" t="s">
        <v>45</v>
      </c>
      <c r="B2303" s="1307" t="s">
        <v>3788</v>
      </c>
      <c r="C2303" s="1625"/>
      <c r="D2303" s="1597"/>
      <c r="E2303" s="1599"/>
      <c r="F2303" s="1811"/>
      <c r="G2303" s="1811"/>
      <c r="H2303" s="1811"/>
      <c r="I2303" s="1811"/>
      <c r="J2303" s="1811"/>
      <c r="K2303" s="1811"/>
      <c r="L2303" s="1811"/>
      <c r="M2303" s="1811"/>
      <c r="N2303" s="1811"/>
      <c r="O2303" s="1811"/>
      <c r="P2303" s="1811"/>
      <c r="Q2303" s="1814"/>
      <c r="R2303" s="1811"/>
      <c r="S2303" s="1811"/>
      <c r="T2303" s="1814"/>
      <c r="U2303" s="1812"/>
      <c r="V2303" s="1812"/>
      <c r="W2303" s="1812"/>
      <c r="X2303" s="1812"/>
      <c r="Y2303" s="1812"/>
      <c r="Z2303" s="1812"/>
      <c r="AA2303" s="1812"/>
      <c r="AB2303" s="1812"/>
      <c r="AC2303" s="1812"/>
      <c r="AD2303" s="1601">
        <f t="shared" si="177"/>
        <v>0</v>
      </c>
      <c r="AE2303" s="1790">
        <v>0</v>
      </c>
      <c r="AF2303" s="1792"/>
    </row>
    <row r="2304" spans="1:32" ht="27.75" customHeight="1">
      <c r="A2304" s="2899" t="s">
        <v>675</v>
      </c>
      <c r="B2304" s="2901" t="s">
        <v>2742</v>
      </c>
      <c r="C2304" s="2903" t="s">
        <v>49</v>
      </c>
      <c r="D2304" s="2905">
        <v>2493.942</v>
      </c>
      <c r="E2304" s="1810" t="s">
        <v>2496</v>
      </c>
      <c r="F2304" s="1811"/>
      <c r="G2304" s="1811"/>
      <c r="H2304" s="1811"/>
      <c r="I2304" s="1811"/>
      <c r="J2304" s="1811"/>
      <c r="K2304" s="1811"/>
      <c r="L2304" s="1811"/>
      <c r="M2304" s="1811"/>
      <c r="N2304" s="1811"/>
      <c r="O2304" s="1811"/>
      <c r="P2304" s="1811"/>
      <c r="Q2304" s="1812"/>
      <c r="R2304" s="1811"/>
      <c r="S2304" s="1811"/>
      <c r="T2304" s="1812"/>
      <c r="U2304" s="1812"/>
      <c r="V2304" s="1812"/>
      <c r="W2304" s="1812"/>
      <c r="X2304" s="1812"/>
      <c r="Y2304" s="1812"/>
      <c r="Z2304" s="1585">
        <f>D2304</f>
        <v>2493.942</v>
      </c>
      <c r="AA2304" s="1812"/>
      <c r="AB2304" s="1812"/>
      <c r="AC2304" s="1812"/>
      <c r="AD2304" s="1601">
        <f t="shared" si="177"/>
        <v>2493.942</v>
      </c>
      <c r="AE2304" s="1790">
        <v>0</v>
      </c>
      <c r="AF2304" s="1792"/>
    </row>
    <row r="2305" spans="1:32" ht="27.75" customHeight="1">
      <c r="A2305" s="2900" t="s">
        <v>675</v>
      </c>
      <c r="B2305" s="2902" t="s">
        <v>2742</v>
      </c>
      <c r="C2305" s="2904" t="s">
        <v>49</v>
      </c>
      <c r="D2305" s="2906">
        <v>2493.942</v>
      </c>
      <c r="E2305" s="1603" t="s">
        <v>2497</v>
      </c>
      <c r="F2305" s="1583"/>
      <c r="G2305" s="1583"/>
      <c r="H2305" s="1583"/>
      <c r="I2305" s="1583"/>
      <c r="J2305" s="1583"/>
      <c r="K2305" s="1583"/>
      <c r="L2305" s="1583"/>
      <c r="M2305" s="1583"/>
      <c r="N2305" s="1583"/>
      <c r="O2305" s="1583"/>
      <c r="P2305" s="1583"/>
      <c r="Q2305" s="1604"/>
      <c r="R2305" s="1583"/>
      <c r="S2305" s="1583"/>
      <c r="T2305" s="1604"/>
      <c r="U2305" s="1592"/>
      <c r="V2305" s="1585"/>
      <c r="W2305" s="1585"/>
      <c r="X2305" s="1585"/>
      <c r="Y2305" s="1592"/>
      <c r="Z2305" s="1585"/>
      <c r="AA2305" s="1585"/>
      <c r="AB2305" s="1585"/>
      <c r="AC2305" s="1585"/>
      <c r="AD2305" s="1601">
        <f t="shared" si="177"/>
        <v>0</v>
      </c>
      <c r="AE2305" s="1790">
        <v>0</v>
      </c>
      <c r="AF2305" s="1792"/>
    </row>
    <row r="2306" spans="1:32" ht="27.75" customHeight="1">
      <c r="A2306" s="2899" t="s">
        <v>679</v>
      </c>
      <c r="B2306" s="2901" t="s">
        <v>2743</v>
      </c>
      <c r="C2306" s="2903" t="s">
        <v>49</v>
      </c>
      <c r="D2306" s="2905">
        <v>1740.0880000000002</v>
      </c>
      <c r="E2306" s="1810" t="s">
        <v>2496</v>
      </c>
      <c r="F2306" s="1811"/>
      <c r="G2306" s="1811"/>
      <c r="H2306" s="1811"/>
      <c r="I2306" s="1811"/>
      <c r="J2306" s="1811"/>
      <c r="K2306" s="1811"/>
      <c r="L2306" s="1811"/>
      <c r="M2306" s="1811"/>
      <c r="N2306" s="1811"/>
      <c r="O2306" s="1811"/>
      <c r="P2306" s="1811"/>
      <c r="Q2306" s="1812"/>
      <c r="R2306" s="1811"/>
      <c r="S2306" s="1811"/>
      <c r="T2306" s="1812"/>
      <c r="U2306" s="1812"/>
      <c r="V2306" s="1812"/>
      <c r="W2306" s="1812"/>
      <c r="X2306" s="1812"/>
      <c r="Y2306" s="1812"/>
      <c r="Z2306" s="1585">
        <f>D2306</f>
        <v>1740.0880000000002</v>
      </c>
      <c r="AA2306" s="1812"/>
      <c r="AB2306" s="1812"/>
      <c r="AC2306" s="1812"/>
      <c r="AD2306" s="1601">
        <f t="shared" si="177"/>
        <v>1740.0880000000002</v>
      </c>
      <c r="AE2306" s="1790">
        <v>0</v>
      </c>
      <c r="AF2306" s="1792"/>
    </row>
    <row r="2307" spans="1:32" ht="27.75" customHeight="1">
      <c r="A2307" s="2900" t="s">
        <v>679</v>
      </c>
      <c r="B2307" s="2902" t="s">
        <v>2743</v>
      </c>
      <c r="C2307" s="2904" t="s">
        <v>49</v>
      </c>
      <c r="D2307" s="2906">
        <v>1740.0880000000002</v>
      </c>
      <c r="E2307" s="1603" t="s">
        <v>2497</v>
      </c>
      <c r="F2307" s="1583"/>
      <c r="G2307" s="1583"/>
      <c r="H2307" s="1583"/>
      <c r="I2307" s="1583"/>
      <c r="J2307" s="1583"/>
      <c r="K2307" s="1583"/>
      <c r="L2307" s="1583"/>
      <c r="M2307" s="1583"/>
      <c r="N2307" s="1583"/>
      <c r="O2307" s="1583"/>
      <c r="P2307" s="1583"/>
      <c r="Q2307" s="1604"/>
      <c r="R2307" s="1583"/>
      <c r="S2307" s="1583"/>
      <c r="T2307" s="1604"/>
      <c r="U2307" s="1592"/>
      <c r="V2307" s="1585"/>
      <c r="W2307" s="1585"/>
      <c r="X2307" s="1585"/>
      <c r="Y2307" s="1592"/>
      <c r="Z2307" s="1585"/>
      <c r="AA2307" s="1585"/>
      <c r="AB2307" s="1585"/>
      <c r="AC2307" s="1585"/>
      <c r="AD2307" s="1601">
        <f t="shared" si="177"/>
        <v>0</v>
      </c>
      <c r="AE2307" s="1790">
        <v>0</v>
      </c>
      <c r="AF2307" s="1792"/>
    </row>
    <row r="2308" spans="1:32" ht="27.75" customHeight="1">
      <c r="A2308" s="1306" t="s">
        <v>116</v>
      </c>
      <c r="B2308" s="1307" t="s">
        <v>2723</v>
      </c>
      <c r="C2308" s="1803"/>
      <c r="D2308" s="1804"/>
      <c r="E2308" s="1813"/>
      <c r="F2308" s="1811"/>
      <c r="G2308" s="1811"/>
      <c r="H2308" s="1811"/>
      <c r="I2308" s="1811"/>
      <c r="J2308" s="1811"/>
      <c r="K2308" s="1811"/>
      <c r="L2308" s="1811"/>
      <c r="M2308" s="1811"/>
      <c r="N2308" s="1811"/>
      <c r="O2308" s="1811"/>
      <c r="P2308" s="1811"/>
      <c r="Q2308" s="1814"/>
      <c r="R2308" s="1811"/>
      <c r="S2308" s="1811"/>
      <c r="T2308" s="1814"/>
      <c r="U2308" s="1816"/>
      <c r="V2308" s="1812"/>
      <c r="W2308" s="1812"/>
      <c r="X2308" s="1812"/>
      <c r="Y2308" s="1816"/>
      <c r="Z2308" s="1812"/>
      <c r="AA2308" s="1812"/>
      <c r="AB2308" s="1812"/>
      <c r="AC2308" s="1812"/>
      <c r="AD2308" s="1601">
        <f t="shared" si="177"/>
        <v>0</v>
      </c>
      <c r="AE2308" s="1790">
        <v>0</v>
      </c>
      <c r="AF2308" s="1792"/>
    </row>
    <row r="2309" spans="1:32" ht="27.75" customHeight="1">
      <c r="A2309" s="2899" t="s">
        <v>689</v>
      </c>
      <c r="B2309" s="2901" t="s">
        <v>2744</v>
      </c>
      <c r="C2309" s="2903" t="s">
        <v>49</v>
      </c>
      <c r="D2309" s="2905">
        <v>3244.0245</v>
      </c>
      <c r="E2309" s="1810" t="s">
        <v>2496</v>
      </c>
      <c r="F2309" s="1811"/>
      <c r="G2309" s="1811"/>
      <c r="H2309" s="1811"/>
      <c r="I2309" s="1811"/>
      <c r="J2309" s="1811"/>
      <c r="K2309" s="1811"/>
      <c r="L2309" s="1811"/>
      <c r="M2309" s="1811"/>
      <c r="N2309" s="1811"/>
      <c r="O2309" s="1811"/>
      <c r="P2309" s="1811"/>
      <c r="Q2309" s="1812"/>
      <c r="R2309" s="1811"/>
      <c r="S2309" s="1811"/>
      <c r="T2309" s="1812"/>
      <c r="U2309" s="1812"/>
      <c r="V2309" s="1812"/>
      <c r="W2309" s="1812"/>
      <c r="X2309" s="1812"/>
      <c r="Y2309" s="1812"/>
      <c r="Z2309" s="1585">
        <f>D2309</f>
        <v>3244.0245</v>
      </c>
      <c r="AA2309" s="1812"/>
      <c r="AB2309" s="1812"/>
      <c r="AC2309" s="1812"/>
      <c r="AD2309" s="1601">
        <f t="shared" si="177"/>
        <v>3244.0245</v>
      </c>
      <c r="AE2309" s="1790">
        <v>0</v>
      </c>
      <c r="AF2309" s="1792"/>
    </row>
    <row r="2310" spans="1:32" ht="27.75" customHeight="1">
      <c r="A2310" s="2900" t="s">
        <v>689</v>
      </c>
      <c r="B2310" s="2902" t="s">
        <v>2744</v>
      </c>
      <c r="C2310" s="2904" t="s">
        <v>49</v>
      </c>
      <c r="D2310" s="2906">
        <v>3244.0245</v>
      </c>
      <c r="E2310" s="1603" t="s">
        <v>2497</v>
      </c>
      <c r="F2310" s="1583"/>
      <c r="G2310" s="1583"/>
      <c r="H2310" s="1583"/>
      <c r="I2310" s="1583"/>
      <c r="J2310" s="1583"/>
      <c r="K2310" s="1583"/>
      <c r="L2310" s="1583"/>
      <c r="M2310" s="1583"/>
      <c r="N2310" s="1583"/>
      <c r="O2310" s="1583"/>
      <c r="P2310" s="1583"/>
      <c r="Q2310" s="1604"/>
      <c r="R2310" s="1583"/>
      <c r="S2310" s="1583"/>
      <c r="T2310" s="1604"/>
      <c r="U2310" s="1592"/>
      <c r="V2310" s="1585"/>
      <c r="W2310" s="1585"/>
      <c r="X2310" s="1585"/>
      <c r="Y2310" s="1592"/>
      <c r="Z2310" s="1585"/>
      <c r="AA2310" s="1585"/>
      <c r="AB2310" s="1585"/>
      <c r="AC2310" s="1585"/>
      <c r="AD2310" s="1601">
        <f t="shared" si="177"/>
        <v>0</v>
      </c>
      <c r="AE2310" s="1790">
        <v>0</v>
      </c>
      <c r="AF2310" s="1792"/>
    </row>
    <row r="2311" spans="1:32" ht="27.75" customHeight="1">
      <c r="A2311" s="2899" t="s">
        <v>693</v>
      </c>
      <c r="B2311" s="2901" t="s">
        <v>2724</v>
      </c>
      <c r="C2311" s="2903" t="s">
        <v>49</v>
      </c>
      <c r="D2311" s="2905">
        <v>5178.3200999999999</v>
      </c>
      <c r="E2311" s="1598" t="s">
        <v>2496</v>
      </c>
      <c r="F2311" s="1583"/>
      <c r="G2311" s="1583"/>
      <c r="H2311" s="1583"/>
      <c r="I2311" s="1583"/>
      <c r="J2311" s="1583"/>
      <c r="K2311" s="1583"/>
      <c r="L2311" s="1583"/>
      <c r="M2311" s="1583"/>
      <c r="N2311" s="1583"/>
      <c r="O2311" s="1583"/>
      <c r="P2311" s="1583"/>
      <c r="Q2311" s="1585"/>
      <c r="R2311" s="1583"/>
      <c r="S2311" s="1583"/>
      <c r="T2311" s="1585"/>
      <c r="U2311" s="1585"/>
      <c r="V2311" s="1585"/>
      <c r="W2311" s="1585"/>
      <c r="X2311" s="1585"/>
      <c r="Y2311" s="1585"/>
      <c r="Z2311" s="1585">
        <f>D2311</f>
        <v>5178.3200999999999</v>
      </c>
      <c r="AA2311" s="1585"/>
      <c r="AB2311" s="1585"/>
      <c r="AC2311" s="1585"/>
      <c r="AD2311" s="1601">
        <f t="shared" si="177"/>
        <v>5178.3200999999999</v>
      </c>
      <c r="AE2311" s="1790">
        <v>0</v>
      </c>
      <c r="AF2311" s="1792"/>
    </row>
    <row r="2312" spans="1:32" ht="27.75" customHeight="1">
      <c r="A2312" s="2900" t="s">
        <v>693</v>
      </c>
      <c r="B2312" s="2902" t="s">
        <v>2724</v>
      </c>
      <c r="C2312" s="2904" t="s">
        <v>49</v>
      </c>
      <c r="D2312" s="2906">
        <v>5178.3200999999999</v>
      </c>
      <c r="E2312" s="1603" t="s">
        <v>2497</v>
      </c>
      <c r="F2312" s="1583"/>
      <c r="G2312" s="1583"/>
      <c r="H2312" s="1583"/>
      <c r="I2312" s="1583"/>
      <c r="J2312" s="1583"/>
      <c r="K2312" s="1583"/>
      <c r="L2312" s="1583"/>
      <c r="M2312" s="1583"/>
      <c r="N2312" s="1583"/>
      <c r="O2312" s="1583"/>
      <c r="P2312" s="1583"/>
      <c r="Q2312" s="1604"/>
      <c r="R2312" s="1583"/>
      <c r="S2312" s="1583"/>
      <c r="T2312" s="1604"/>
      <c r="U2312" s="1585"/>
      <c r="V2312" s="1585"/>
      <c r="W2312" s="1585"/>
      <c r="X2312" s="1585"/>
      <c r="Y2312" s="1585"/>
      <c r="Z2312" s="1585"/>
      <c r="AA2312" s="1585"/>
      <c r="AB2312" s="1585"/>
      <c r="AC2312" s="1585"/>
      <c r="AD2312" s="1601">
        <f t="shared" si="177"/>
        <v>0</v>
      </c>
      <c r="AE2312" s="1790">
        <v>0</v>
      </c>
      <c r="AF2312" s="1792"/>
    </row>
    <row r="2313" spans="1:32" ht="27.75" customHeight="1">
      <c r="A2313" s="2899" t="s">
        <v>1068</v>
      </c>
      <c r="B2313" s="2901" t="s">
        <v>2745</v>
      </c>
      <c r="C2313" s="2903" t="s">
        <v>51</v>
      </c>
      <c r="D2313" s="2905">
        <v>174.03100000000001</v>
      </c>
      <c r="E2313" s="1810" t="s">
        <v>2496</v>
      </c>
      <c r="F2313" s="1811"/>
      <c r="G2313" s="1811"/>
      <c r="H2313" s="1811"/>
      <c r="I2313" s="1811"/>
      <c r="J2313" s="1811"/>
      <c r="K2313" s="1811"/>
      <c r="L2313" s="1811"/>
      <c r="M2313" s="1811"/>
      <c r="N2313" s="1811"/>
      <c r="O2313" s="1811"/>
      <c r="P2313" s="1811"/>
      <c r="Q2313" s="1812"/>
      <c r="R2313" s="1811"/>
      <c r="S2313" s="1811"/>
      <c r="T2313" s="1812"/>
      <c r="U2313" s="1812"/>
      <c r="V2313" s="1812"/>
      <c r="W2313" s="1812"/>
      <c r="X2313" s="1812"/>
      <c r="Y2313" s="1812"/>
      <c r="Z2313" s="1812"/>
      <c r="AA2313" s="1812">
        <v>173.03</v>
      </c>
      <c r="AB2313" s="1812"/>
      <c r="AC2313" s="1812"/>
      <c r="AD2313" s="1601">
        <f t="shared" si="177"/>
        <v>173.03</v>
      </c>
      <c r="AE2313" s="1790">
        <v>0</v>
      </c>
      <c r="AF2313" s="1792"/>
    </row>
    <row r="2314" spans="1:32" ht="27.75" customHeight="1">
      <c r="A2314" s="2900" t="s">
        <v>1068</v>
      </c>
      <c r="B2314" s="2902" t="s">
        <v>2745</v>
      </c>
      <c r="C2314" s="2904" t="s">
        <v>51</v>
      </c>
      <c r="D2314" s="2906">
        <v>174.03100000000001</v>
      </c>
      <c r="E2314" s="1603" t="s">
        <v>2497</v>
      </c>
      <c r="F2314" s="1583"/>
      <c r="G2314" s="1583"/>
      <c r="H2314" s="1583"/>
      <c r="I2314" s="1583"/>
      <c r="J2314" s="1583"/>
      <c r="K2314" s="1583"/>
      <c r="L2314" s="1583"/>
      <c r="M2314" s="1583"/>
      <c r="N2314" s="1583"/>
      <c r="O2314" s="1583"/>
      <c r="P2314" s="1583"/>
      <c r="Q2314" s="1604"/>
      <c r="R2314" s="1583"/>
      <c r="S2314" s="1583"/>
      <c r="T2314" s="1604"/>
      <c r="U2314" s="1592"/>
      <c r="V2314" s="1585"/>
      <c r="W2314" s="1585"/>
      <c r="X2314" s="1585"/>
      <c r="Y2314" s="1592"/>
      <c r="Z2314" s="1585"/>
      <c r="AA2314" s="1585"/>
      <c r="AB2314" s="1585"/>
      <c r="AC2314" s="1585"/>
      <c r="AD2314" s="1601">
        <f t="shared" si="177"/>
        <v>0</v>
      </c>
      <c r="AE2314" s="1790">
        <v>0</v>
      </c>
      <c r="AF2314" s="1792"/>
    </row>
    <row r="2315" spans="1:32" ht="27.75" customHeight="1">
      <c r="A2315" s="1102">
        <v>3.2</v>
      </c>
      <c r="B2315" s="1724" t="s">
        <v>1744</v>
      </c>
      <c r="C2315" s="1803"/>
      <c r="D2315" s="1804"/>
      <c r="E2315" s="1813"/>
      <c r="F2315" s="1811"/>
      <c r="G2315" s="1811"/>
      <c r="H2315" s="1811"/>
      <c r="I2315" s="1811"/>
      <c r="J2315" s="1811"/>
      <c r="K2315" s="1811"/>
      <c r="L2315" s="1811"/>
      <c r="M2315" s="1811"/>
      <c r="N2315" s="1811"/>
      <c r="O2315" s="1811"/>
      <c r="P2315" s="1811"/>
      <c r="Q2315" s="1814"/>
      <c r="R2315" s="1811"/>
      <c r="S2315" s="1811"/>
      <c r="T2315" s="1814"/>
      <c r="U2315" s="1816"/>
      <c r="V2315" s="1812"/>
      <c r="W2315" s="1812"/>
      <c r="X2315" s="1812"/>
      <c r="Y2315" s="1816"/>
      <c r="Z2315" s="1812"/>
      <c r="AA2315" s="1812"/>
      <c r="AB2315" s="1812"/>
      <c r="AC2315" s="1812"/>
      <c r="AD2315" s="1601">
        <f t="shared" si="177"/>
        <v>0</v>
      </c>
      <c r="AE2315" s="1790">
        <v>0</v>
      </c>
      <c r="AF2315" s="1792"/>
    </row>
    <row r="2316" spans="1:32" ht="27.75" customHeight="1">
      <c r="A2316" s="2899"/>
      <c r="B2316" s="2901" t="s">
        <v>2393</v>
      </c>
      <c r="C2316" s="2903" t="s">
        <v>2147</v>
      </c>
      <c r="D2316" s="2905">
        <v>2294.4</v>
      </c>
      <c r="E2316" s="1810" t="s">
        <v>2496</v>
      </c>
      <c r="F2316" s="1811"/>
      <c r="G2316" s="1811"/>
      <c r="H2316" s="1811"/>
      <c r="I2316" s="1811"/>
      <c r="J2316" s="1811"/>
      <c r="K2316" s="1811"/>
      <c r="L2316" s="1811"/>
      <c r="M2316" s="1811"/>
      <c r="N2316" s="1811"/>
      <c r="O2316" s="1811"/>
      <c r="P2316" s="1811"/>
      <c r="Q2316" s="1812"/>
      <c r="R2316" s="1811"/>
      <c r="S2316" s="1811"/>
      <c r="T2316" s="1812"/>
      <c r="U2316" s="1812"/>
      <c r="V2316" s="1812"/>
      <c r="W2316" s="1812"/>
      <c r="X2316" s="1812"/>
      <c r="Y2316" s="1812"/>
      <c r="Z2316" s="1585">
        <f>D2316</f>
        <v>2294.4</v>
      </c>
      <c r="AA2316" s="1812"/>
      <c r="AB2316" s="1812"/>
      <c r="AC2316" s="1812"/>
      <c r="AD2316" s="1601">
        <f t="shared" si="177"/>
        <v>2294.4</v>
      </c>
      <c r="AE2316" s="1790">
        <v>0</v>
      </c>
      <c r="AF2316" s="1792"/>
    </row>
    <row r="2317" spans="1:32" ht="27.75" customHeight="1">
      <c r="A2317" s="2900"/>
      <c r="B2317" s="2902" t="s">
        <v>2393</v>
      </c>
      <c r="C2317" s="2904" t="s">
        <v>2147</v>
      </c>
      <c r="D2317" s="2906">
        <v>2294.4</v>
      </c>
      <c r="E2317" s="1603" t="s">
        <v>2497</v>
      </c>
      <c r="F2317" s="1583"/>
      <c r="G2317" s="1583"/>
      <c r="H2317" s="1583"/>
      <c r="I2317" s="1583"/>
      <c r="J2317" s="1583"/>
      <c r="K2317" s="1583"/>
      <c r="L2317" s="1583"/>
      <c r="M2317" s="1583"/>
      <c r="N2317" s="1583"/>
      <c r="O2317" s="1583"/>
      <c r="P2317" s="1583"/>
      <c r="Q2317" s="1604"/>
      <c r="R2317" s="1583"/>
      <c r="S2317" s="1583"/>
      <c r="T2317" s="1604"/>
      <c r="U2317" s="1592"/>
      <c r="V2317" s="1585"/>
      <c r="W2317" s="1585"/>
      <c r="X2317" s="1585"/>
      <c r="Y2317" s="1592"/>
      <c r="Z2317" s="1585"/>
      <c r="AA2317" s="1585"/>
      <c r="AB2317" s="1585"/>
      <c r="AC2317" s="1585"/>
      <c r="AD2317" s="1601">
        <f t="shared" si="177"/>
        <v>0</v>
      </c>
      <c r="AE2317" s="1790">
        <v>0</v>
      </c>
      <c r="AF2317" s="1792"/>
    </row>
    <row r="2318" spans="1:32" ht="27.75" customHeight="1">
      <c r="A2318" s="2899" t="s">
        <v>1251</v>
      </c>
      <c r="B2318" s="2901" t="s">
        <v>2391</v>
      </c>
      <c r="C2318" s="2903" t="s">
        <v>51</v>
      </c>
      <c r="D2318" s="2905">
        <v>3975</v>
      </c>
      <c r="E2318" s="1810" t="s">
        <v>2496</v>
      </c>
      <c r="F2318" s="1811"/>
      <c r="G2318" s="1811"/>
      <c r="H2318" s="1811"/>
      <c r="I2318" s="1811"/>
      <c r="J2318" s="1811"/>
      <c r="K2318" s="1811"/>
      <c r="L2318" s="1811"/>
      <c r="M2318" s="1811"/>
      <c r="N2318" s="1811"/>
      <c r="O2318" s="1811"/>
      <c r="P2318" s="1811"/>
      <c r="Q2318" s="1812"/>
      <c r="R2318" s="1811"/>
      <c r="S2318" s="1811"/>
      <c r="T2318" s="1812"/>
      <c r="U2318" s="1812"/>
      <c r="V2318" s="1812"/>
      <c r="W2318" s="1812"/>
      <c r="X2318" s="1812"/>
      <c r="Y2318" s="1812"/>
      <c r="Z2318" s="1585">
        <f>D2318</f>
        <v>3975</v>
      </c>
      <c r="AA2318" s="1812"/>
      <c r="AB2318" s="1812"/>
      <c r="AC2318" s="1812"/>
      <c r="AD2318" s="1601">
        <f t="shared" si="177"/>
        <v>3975</v>
      </c>
      <c r="AE2318" s="1790">
        <v>0</v>
      </c>
      <c r="AF2318" s="1792"/>
    </row>
    <row r="2319" spans="1:32" ht="27.75" customHeight="1">
      <c r="A2319" s="2900" t="s">
        <v>1251</v>
      </c>
      <c r="B2319" s="2902" t="s">
        <v>2391</v>
      </c>
      <c r="C2319" s="2904" t="s">
        <v>51</v>
      </c>
      <c r="D2319" s="2906">
        <v>3975</v>
      </c>
      <c r="E2319" s="1603" t="s">
        <v>2497</v>
      </c>
      <c r="F2319" s="1583"/>
      <c r="G2319" s="1583"/>
      <c r="H2319" s="1583"/>
      <c r="I2319" s="1583"/>
      <c r="J2319" s="1583"/>
      <c r="K2319" s="1583"/>
      <c r="L2319" s="1583"/>
      <c r="M2319" s="1583"/>
      <c r="N2319" s="1583"/>
      <c r="O2319" s="1583"/>
      <c r="P2319" s="1583"/>
      <c r="Q2319" s="1604"/>
      <c r="R2319" s="1583"/>
      <c r="S2319" s="1583"/>
      <c r="T2319" s="1604"/>
      <c r="U2319" s="1592"/>
      <c r="V2319" s="1585"/>
      <c r="W2319" s="1585"/>
      <c r="X2319" s="1585"/>
      <c r="Y2319" s="1592"/>
      <c r="Z2319" s="1585"/>
      <c r="AA2319" s="1585"/>
      <c r="AB2319" s="1585"/>
      <c r="AC2319" s="1585"/>
      <c r="AD2319" s="1601">
        <f t="shared" si="177"/>
        <v>0</v>
      </c>
      <c r="AE2319" s="1790">
        <v>0</v>
      </c>
      <c r="AF2319" s="1792"/>
    </row>
    <row r="2320" spans="1:32" ht="27.75" customHeight="1">
      <c r="A2320" s="1734">
        <v>3.6</v>
      </c>
      <c r="B2320" s="1735" t="s">
        <v>1762</v>
      </c>
      <c r="C2320" s="1803"/>
      <c r="D2320" s="1804"/>
      <c r="E2320" s="1599"/>
      <c r="F2320" s="1583"/>
      <c r="G2320" s="1583"/>
      <c r="H2320" s="1583"/>
      <c r="I2320" s="1583"/>
      <c r="J2320" s="1583"/>
      <c r="K2320" s="1583"/>
      <c r="L2320" s="1583"/>
      <c r="M2320" s="1583"/>
      <c r="N2320" s="1583"/>
      <c r="O2320" s="1583"/>
      <c r="P2320" s="1583"/>
      <c r="Q2320" s="1604"/>
      <c r="R2320" s="1583"/>
      <c r="S2320" s="1583"/>
      <c r="T2320" s="1604"/>
      <c r="U2320" s="1592"/>
      <c r="V2320" s="1585"/>
      <c r="W2320" s="1585"/>
      <c r="X2320" s="1585"/>
      <c r="Y2320" s="1592"/>
      <c r="Z2320" s="1585"/>
      <c r="AA2320" s="1585"/>
      <c r="AB2320" s="1585"/>
      <c r="AC2320" s="1585"/>
      <c r="AD2320" s="1601">
        <f t="shared" si="177"/>
        <v>0</v>
      </c>
      <c r="AE2320" s="1790">
        <v>0</v>
      </c>
      <c r="AF2320" s="1792"/>
    </row>
    <row r="2321" spans="1:32" ht="27.75" customHeight="1">
      <c r="A2321" s="2899" t="s">
        <v>1270</v>
      </c>
      <c r="B2321" s="2901" t="s">
        <v>1764</v>
      </c>
      <c r="C2321" s="2903" t="s">
        <v>49</v>
      </c>
      <c r="D2321" s="2905">
        <v>11382</v>
      </c>
      <c r="E2321" s="1598" t="s">
        <v>2496</v>
      </c>
      <c r="F2321" s="1583"/>
      <c r="G2321" s="1583"/>
      <c r="H2321" s="1583"/>
      <c r="I2321" s="1583"/>
      <c r="J2321" s="1583"/>
      <c r="K2321" s="1583"/>
      <c r="L2321" s="1583"/>
      <c r="M2321" s="1583"/>
      <c r="N2321" s="1583"/>
      <c r="O2321" s="1583"/>
      <c r="P2321" s="1583"/>
      <c r="Q2321" s="1585"/>
      <c r="R2321" s="1583"/>
      <c r="S2321" s="1583"/>
      <c r="T2321" s="1585"/>
      <c r="U2321" s="1585"/>
      <c r="V2321" s="1585"/>
      <c r="W2321" s="1585"/>
      <c r="X2321" s="1585"/>
      <c r="Y2321" s="1585"/>
      <c r="Z2321" s="1585">
        <f>D2321</f>
        <v>11382</v>
      </c>
      <c r="AA2321" s="1585"/>
      <c r="AB2321" s="1585"/>
      <c r="AC2321" s="1585"/>
      <c r="AD2321" s="1601">
        <f t="shared" ref="AD2321:AD2384" si="178">SUM(F2321:AC2321)</f>
        <v>11382</v>
      </c>
      <c r="AE2321" s="1790">
        <v>0</v>
      </c>
      <c r="AF2321" s="1792"/>
    </row>
    <row r="2322" spans="1:32" ht="27.75" customHeight="1">
      <c r="A2322" s="2900" t="s">
        <v>1270</v>
      </c>
      <c r="B2322" s="2902" t="s">
        <v>1764</v>
      </c>
      <c r="C2322" s="2904" t="s">
        <v>49</v>
      </c>
      <c r="D2322" s="2906">
        <v>11382</v>
      </c>
      <c r="E2322" s="1603" t="s">
        <v>2497</v>
      </c>
      <c r="F2322" s="1583"/>
      <c r="G2322" s="1583"/>
      <c r="H2322" s="1583"/>
      <c r="I2322" s="1583"/>
      <c r="J2322" s="1583"/>
      <c r="K2322" s="1583"/>
      <c r="L2322" s="1583"/>
      <c r="M2322" s="1583"/>
      <c r="N2322" s="1583"/>
      <c r="O2322" s="1583"/>
      <c r="P2322" s="1583"/>
      <c r="Q2322" s="1604"/>
      <c r="R2322" s="1583"/>
      <c r="S2322" s="1583"/>
      <c r="T2322" s="1604"/>
      <c r="U2322" s="1585"/>
      <c r="V2322" s="1585"/>
      <c r="W2322" s="1585"/>
      <c r="X2322" s="1585"/>
      <c r="Y2322" s="1585"/>
      <c r="Z2322" s="1585"/>
      <c r="AA2322" s="1585"/>
      <c r="AB2322" s="1585"/>
      <c r="AC2322" s="1585"/>
      <c r="AD2322" s="1601">
        <f t="shared" si="178"/>
        <v>0</v>
      </c>
      <c r="AE2322" s="1790">
        <v>0</v>
      </c>
      <c r="AF2322" s="1792"/>
    </row>
    <row r="2323" spans="1:32" ht="27.75" customHeight="1">
      <c r="A2323" s="1108">
        <v>4</v>
      </c>
      <c r="B2323" s="1110" t="s">
        <v>1784</v>
      </c>
      <c r="C2323" s="1625"/>
      <c r="D2323" s="1597"/>
      <c r="E2323" s="1599"/>
      <c r="F2323" s="1583"/>
      <c r="G2323" s="1583"/>
      <c r="H2323" s="1583"/>
      <c r="I2323" s="1583"/>
      <c r="J2323" s="1583"/>
      <c r="K2323" s="1583"/>
      <c r="L2323" s="1583"/>
      <c r="M2323" s="1583"/>
      <c r="N2323" s="1583"/>
      <c r="O2323" s="1583"/>
      <c r="P2323" s="1583"/>
      <c r="Q2323" s="1604"/>
      <c r="R2323" s="1811"/>
      <c r="S2323" s="1811"/>
      <c r="T2323" s="1814"/>
      <c r="U2323" s="1812"/>
      <c r="V2323" s="1812"/>
      <c r="W2323" s="1812"/>
      <c r="X2323" s="1812"/>
      <c r="Y2323" s="1812"/>
      <c r="Z2323" s="1812"/>
      <c r="AA2323" s="1812"/>
      <c r="AB2323" s="1812"/>
      <c r="AC2323" s="1812"/>
      <c r="AD2323" s="1601">
        <f t="shared" si="178"/>
        <v>0</v>
      </c>
      <c r="AE2323" s="1790">
        <v>0</v>
      </c>
      <c r="AF2323" s="1792"/>
    </row>
    <row r="2324" spans="1:32" ht="27.75" customHeight="1">
      <c r="A2324" s="1102">
        <v>4.2</v>
      </c>
      <c r="B2324" s="1102" t="s">
        <v>1791</v>
      </c>
      <c r="C2324" s="1625"/>
      <c r="D2324" s="1597"/>
      <c r="E2324" s="1599"/>
      <c r="F2324" s="1583"/>
      <c r="G2324" s="1583"/>
      <c r="H2324" s="1583"/>
      <c r="I2324" s="1583"/>
      <c r="J2324" s="1583"/>
      <c r="K2324" s="1583"/>
      <c r="L2324" s="1583"/>
      <c r="M2324" s="1583"/>
      <c r="N2324" s="1583"/>
      <c r="O2324" s="1583"/>
      <c r="P2324" s="1583"/>
      <c r="Q2324" s="1604"/>
      <c r="R2324" s="1811"/>
      <c r="S2324" s="1811"/>
      <c r="T2324" s="1814"/>
      <c r="U2324" s="1812"/>
      <c r="V2324" s="1812"/>
      <c r="W2324" s="1812"/>
      <c r="X2324" s="1812"/>
      <c r="Y2324" s="1812"/>
      <c r="Z2324" s="1812"/>
      <c r="AA2324" s="1812"/>
      <c r="AB2324" s="1812"/>
      <c r="AC2324" s="1812"/>
      <c r="AD2324" s="1601">
        <f t="shared" si="178"/>
        <v>0</v>
      </c>
      <c r="AE2324" s="1790">
        <v>0</v>
      </c>
      <c r="AF2324" s="1792"/>
    </row>
    <row r="2325" spans="1:32" ht="27.75" customHeight="1">
      <c r="A2325" s="1108" t="s">
        <v>1297</v>
      </c>
      <c r="B2325" s="1111" t="s">
        <v>1796</v>
      </c>
      <c r="C2325" s="1625"/>
      <c r="D2325" s="1597"/>
      <c r="E2325" s="1599"/>
      <c r="F2325" s="1583"/>
      <c r="G2325" s="1583"/>
      <c r="H2325" s="1583"/>
      <c r="I2325" s="1583"/>
      <c r="J2325" s="1583"/>
      <c r="K2325" s="1583"/>
      <c r="L2325" s="1583"/>
      <c r="M2325" s="1583"/>
      <c r="N2325" s="1583"/>
      <c r="O2325" s="1583"/>
      <c r="P2325" s="1583"/>
      <c r="Q2325" s="1604"/>
      <c r="R2325" s="1811"/>
      <c r="S2325" s="1811"/>
      <c r="T2325" s="1814"/>
      <c r="U2325" s="1812"/>
      <c r="V2325" s="1812"/>
      <c r="W2325" s="1812"/>
      <c r="X2325" s="1812"/>
      <c r="Y2325" s="1812"/>
      <c r="Z2325" s="1812"/>
      <c r="AA2325" s="1812"/>
      <c r="AB2325" s="1812"/>
      <c r="AC2325" s="1812"/>
      <c r="AD2325" s="1601">
        <f t="shared" si="178"/>
        <v>0</v>
      </c>
      <c r="AE2325" s="1790">
        <v>0</v>
      </c>
      <c r="AF2325" s="1792"/>
    </row>
    <row r="2326" spans="1:32" ht="27.75" customHeight="1">
      <c r="A2326" s="2899" t="s">
        <v>1298</v>
      </c>
      <c r="B2326" s="2901" t="s">
        <v>1797</v>
      </c>
      <c r="C2326" s="2903" t="s">
        <v>51</v>
      </c>
      <c r="D2326" s="2905">
        <v>19866</v>
      </c>
      <c r="E2326" s="1810" t="s">
        <v>2496</v>
      </c>
      <c r="F2326" s="1811"/>
      <c r="G2326" s="1811"/>
      <c r="H2326" s="1811"/>
      <c r="I2326" s="1811"/>
      <c r="J2326" s="1811"/>
      <c r="K2326" s="1811"/>
      <c r="L2326" s="1811"/>
      <c r="M2326" s="1811"/>
      <c r="N2326" s="1811"/>
      <c r="O2326" s="1811"/>
      <c r="P2326" s="1811"/>
      <c r="Q2326" s="1812"/>
      <c r="R2326" s="1811"/>
      <c r="S2326" s="1811"/>
      <c r="T2326" s="1812"/>
      <c r="U2326" s="1812"/>
      <c r="V2326" s="1812"/>
      <c r="W2326" s="1812"/>
      <c r="X2326" s="1812"/>
      <c r="Y2326" s="1812"/>
      <c r="Z2326" s="1585">
        <f>D2326</f>
        <v>19866</v>
      </c>
      <c r="AA2326" s="1812"/>
      <c r="AB2326" s="1812"/>
      <c r="AC2326" s="1812"/>
      <c r="AD2326" s="1601">
        <f t="shared" si="178"/>
        <v>19866</v>
      </c>
      <c r="AE2326" s="1790">
        <v>0</v>
      </c>
      <c r="AF2326" s="1792"/>
    </row>
    <row r="2327" spans="1:32" ht="27.75" customHeight="1">
      <c r="A2327" s="2900" t="s">
        <v>1298</v>
      </c>
      <c r="B2327" s="2902" t="s">
        <v>1797</v>
      </c>
      <c r="C2327" s="2904" t="s">
        <v>51</v>
      </c>
      <c r="D2327" s="2906">
        <v>19866</v>
      </c>
      <c r="E2327" s="1603" t="s">
        <v>2497</v>
      </c>
      <c r="F2327" s="1583"/>
      <c r="G2327" s="1583"/>
      <c r="H2327" s="1583"/>
      <c r="I2327" s="1583"/>
      <c r="J2327" s="1583"/>
      <c r="K2327" s="1583"/>
      <c r="L2327" s="1583"/>
      <c r="M2327" s="1583"/>
      <c r="N2327" s="1583"/>
      <c r="O2327" s="1583"/>
      <c r="P2327" s="1583"/>
      <c r="Q2327" s="1604"/>
      <c r="R2327" s="1583"/>
      <c r="S2327" s="1583"/>
      <c r="T2327" s="1604"/>
      <c r="U2327" s="1592"/>
      <c r="V2327" s="1585"/>
      <c r="W2327" s="1585"/>
      <c r="X2327" s="1585"/>
      <c r="Y2327" s="1592"/>
      <c r="Z2327" s="1585"/>
      <c r="AA2327" s="1585"/>
      <c r="AB2327" s="1585"/>
      <c r="AC2327" s="1585"/>
      <c r="AD2327" s="1601">
        <f t="shared" si="178"/>
        <v>0</v>
      </c>
      <c r="AE2327" s="1790">
        <v>0</v>
      </c>
      <c r="AF2327" s="1792"/>
    </row>
    <row r="2328" spans="1:32" ht="27.75" customHeight="1">
      <c r="A2328" s="2899" t="s">
        <v>1299</v>
      </c>
      <c r="B2328" s="2901" t="s">
        <v>1798</v>
      </c>
      <c r="C2328" s="2903" t="s">
        <v>51</v>
      </c>
      <c r="D2328" s="2905">
        <v>17088</v>
      </c>
      <c r="E2328" s="1598" t="s">
        <v>2496</v>
      </c>
      <c r="F2328" s="1583"/>
      <c r="G2328" s="1583"/>
      <c r="H2328" s="1583"/>
      <c r="I2328" s="1583"/>
      <c r="J2328" s="1583"/>
      <c r="K2328" s="1583"/>
      <c r="L2328" s="1583"/>
      <c r="M2328" s="1583"/>
      <c r="N2328" s="1583"/>
      <c r="O2328" s="1583"/>
      <c r="P2328" s="1583"/>
      <c r="Q2328" s="1585"/>
      <c r="R2328" s="1583"/>
      <c r="S2328" s="1583"/>
      <c r="T2328" s="1585"/>
      <c r="U2328" s="1585"/>
      <c r="V2328" s="1585"/>
      <c r="W2328" s="1585"/>
      <c r="X2328" s="1585"/>
      <c r="Y2328" s="1585"/>
      <c r="Z2328" s="1585">
        <f>D2328</f>
        <v>17088</v>
      </c>
      <c r="AA2328" s="1585"/>
      <c r="AB2328" s="1585"/>
      <c r="AC2328" s="1585"/>
      <c r="AD2328" s="1601">
        <f t="shared" si="178"/>
        <v>17088</v>
      </c>
      <c r="AE2328" s="1790">
        <v>0</v>
      </c>
      <c r="AF2328" s="1792"/>
    </row>
    <row r="2329" spans="1:32" ht="27.75" customHeight="1">
      <c r="A2329" s="2900" t="s">
        <v>1299</v>
      </c>
      <c r="B2329" s="2902" t="s">
        <v>1798</v>
      </c>
      <c r="C2329" s="2904" t="s">
        <v>51</v>
      </c>
      <c r="D2329" s="2906">
        <v>17088</v>
      </c>
      <c r="E2329" s="1603" t="s">
        <v>2497</v>
      </c>
      <c r="F2329" s="1583"/>
      <c r="G2329" s="1583"/>
      <c r="H2329" s="1583"/>
      <c r="I2329" s="1583"/>
      <c r="J2329" s="1583"/>
      <c r="K2329" s="1583"/>
      <c r="L2329" s="1583"/>
      <c r="M2329" s="1583"/>
      <c r="N2329" s="1583"/>
      <c r="O2329" s="1583"/>
      <c r="P2329" s="1583"/>
      <c r="Q2329" s="1604"/>
      <c r="R2329" s="1583"/>
      <c r="S2329" s="1583"/>
      <c r="T2329" s="1604"/>
      <c r="U2329" s="1585"/>
      <c r="V2329" s="1585"/>
      <c r="W2329" s="1585"/>
      <c r="X2329" s="1585"/>
      <c r="Y2329" s="1585"/>
      <c r="Z2329" s="1585"/>
      <c r="AA2329" s="1585"/>
      <c r="AB2329" s="1585"/>
      <c r="AC2329" s="1585"/>
      <c r="AD2329" s="1601">
        <f t="shared" si="178"/>
        <v>0</v>
      </c>
      <c r="AE2329" s="1790">
        <v>0</v>
      </c>
      <c r="AF2329" s="1792"/>
    </row>
    <row r="2330" spans="1:32" ht="27.75" customHeight="1">
      <c r="A2330" s="2899" t="s">
        <v>1338</v>
      </c>
      <c r="B2330" s="2901" t="s">
        <v>1837</v>
      </c>
      <c r="C2330" s="2903" t="s">
        <v>52</v>
      </c>
      <c r="D2330" s="2905">
        <v>348.72</v>
      </c>
      <c r="E2330" s="1810" t="s">
        <v>2496</v>
      </c>
      <c r="F2330" s="1811"/>
      <c r="G2330" s="1811"/>
      <c r="H2330" s="1811"/>
      <c r="I2330" s="1811"/>
      <c r="J2330" s="1811"/>
      <c r="K2330" s="1811"/>
      <c r="L2330" s="1811"/>
      <c r="M2330" s="1811"/>
      <c r="N2330" s="1811"/>
      <c r="O2330" s="1811"/>
      <c r="P2330" s="1811"/>
      <c r="Q2330" s="1812"/>
      <c r="R2330" s="1811"/>
      <c r="S2330" s="1811"/>
      <c r="T2330" s="1812"/>
      <c r="U2330" s="1812"/>
      <c r="V2330" s="1812"/>
      <c r="W2330" s="1812"/>
      <c r="X2330" s="1812"/>
      <c r="Y2330" s="1812"/>
      <c r="Z2330" s="1585">
        <f>D2330</f>
        <v>348.72</v>
      </c>
      <c r="AA2330" s="1812"/>
      <c r="AB2330" s="1812"/>
      <c r="AC2330" s="1812"/>
      <c r="AD2330" s="1601">
        <f t="shared" si="178"/>
        <v>348.72</v>
      </c>
      <c r="AE2330" s="1790">
        <v>0</v>
      </c>
      <c r="AF2330" s="1792"/>
    </row>
    <row r="2331" spans="1:32" ht="27.75" customHeight="1">
      <c r="A2331" s="2900" t="s">
        <v>1338</v>
      </c>
      <c r="B2331" s="2902" t="s">
        <v>1837</v>
      </c>
      <c r="C2331" s="2904" t="s">
        <v>52</v>
      </c>
      <c r="D2331" s="2906">
        <v>348.72</v>
      </c>
      <c r="E2331" s="1603" t="s">
        <v>2497</v>
      </c>
      <c r="F2331" s="1583"/>
      <c r="G2331" s="1583"/>
      <c r="H2331" s="1583"/>
      <c r="I2331" s="1583"/>
      <c r="J2331" s="1583"/>
      <c r="K2331" s="1583"/>
      <c r="L2331" s="1583"/>
      <c r="M2331" s="1583"/>
      <c r="N2331" s="1583"/>
      <c r="O2331" s="1583"/>
      <c r="P2331" s="1583"/>
      <c r="Q2331" s="1604"/>
      <c r="R2331" s="1583"/>
      <c r="S2331" s="1583"/>
      <c r="T2331" s="1604"/>
      <c r="U2331" s="1592"/>
      <c r="V2331" s="1585"/>
      <c r="W2331" s="1585"/>
      <c r="X2331" s="1585"/>
      <c r="Y2331" s="1592"/>
      <c r="Z2331" s="1585"/>
      <c r="AA2331" s="1585"/>
      <c r="AB2331" s="1585"/>
      <c r="AC2331" s="1585"/>
      <c r="AD2331" s="1601">
        <f t="shared" si="178"/>
        <v>0</v>
      </c>
      <c r="AE2331" s="1790">
        <v>0</v>
      </c>
      <c r="AF2331" s="1792"/>
    </row>
    <row r="2332" spans="1:32" ht="27.75" customHeight="1">
      <c r="A2332" s="2899" t="s">
        <v>1341</v>
      </c>
      <c r="B2332" s="2901" t="s">
        <v>1840</v>
      </c>
      <c r="C2332" s="2903" t="s">
        <v>52</v>
      </c>
      <c r="D2332" s="2905">
        <v>425.14</v>
      </c>
      <c r="E2332" s="1810" t="s">
        <v>2496</v>
      </c>
      <c r="F2332" s="1811"/>
      <c r="G2332" s="1811"/>
      <c r="H2332" s="1811"/>
      <c r="I2332" s="1811"/>
      <c r="J2332" s="1811"/>
      <c r="K2332" s="1811"/>
      <c r="L2332" s="1811"/>
      <c r="M2332" s="1811"/>
      <c r="N2332" s="1811"/>
      <c r="O2332" s="1811"/>
      <c r="P2332" s="1811"/>
      <c r="Q2332" s="1812"/>
      <c r="R2332" s="1811"/>
      <c r="S2332" s="1811"/>
      <c r="T2332" s="1812"/>
      <c r="U2332" s="1812"/>
      <c r="V2332" s="1812"/>
      <c r="W2332" s="1812"/>
      <c r="X2332" s="1812"/>
      <c r="Y2332" s="1812"/>
      <c r="Z2332" s="1585">
        <f>D2332</f>
        <v>425.14</v>
      </c>
      <c r="AA2332" s="1812"/>
      <c r="AB2332" s="1812"/>
      <c r="AC2332" s="1812"/>
      <c r="AD2332" s="1601">
        <f t="shared" si="178"/>
        <v>425.14</v>
      </c>
      <c r="AE2332" s="1790">
        <v>0</v>
      </c>
      <c r="AF2332" s="1792"/>
    </row>
    <row r="2333" spans="1:32" ht="27.75" customHeight="1">
      <c r="A2333" s="2900" t="s">
        <v>1341</v>
      </c>
      <c r="B2333" s="2902" t="s">
        <v>1840</v>
      </c>
      <c r="C2333" s="2904" t="s">
        <v>52</v>
      </c>
      <c r="D2333" s="2906">
        <v>425.14</v>
      </c>
      <c r="E2333" s="1603" t="s">
        <v>2497</v>
      </c>
      <c r="F2333" s="1583"/>
      <c r="G2333" s="1583"/>
      <c r="H2333" s="1583"/>
      <c r="I2333" s="1583"/>
      <c r="J2333" s="1583"/>
      <c r="K2333" s="1583"/>
      <c r="L2333" s="1583"/>
      <c r="M2333" s="1583"/>
      <c r="N2333" s="1583"/>
      <c r="O2333" s="1583"/>
      <c r="P2333" s="1583"/>
      <c r="Q2333" s="1604"/>
      <c r="R2333" s="1583"/>
      <c r="S2333" s="1583"/>
      <c r="T2333" s="1604"/>
      <c r="U2333" s="1592"/>
      <c r="V2333" s="1585"/>
      <c r="W2333" s="1585"/>
      <c r="X2333" s="1585"/>
      <c r="Y2333" s="1592"/>
      <c r="Z2333" s="1585"/>
      <c r="AA2333" s="1585"/>
      <c r="AB2333" s="1585"/>
      <c r="AC2333" s="1585"/>
      <c r="AD2333" s="1601">
        <f t="shared" si="178"/>
        <v>0</v>
      </c>
      <c r="AE2333" s="1790">
        <v>0</v>
      </c>
      <c r="AF2333" s="1792"/>
    </row>
    <row r="2334" spans="1:32" ht="27.75" customHeight="1">
      <c r="A2334" s="1108" t="s">
        <v>1303</v>
      </c>
      <c r="B2334" s="1111" t="s">
        <v>1802</v>
      </c>
      <c r="C2334" s="1803"/>
      <c r="D2334" s="1804"/>
      <c r="E2334" s="1813"/>
      <c r="F2334" s="1811"/>
      <c r="G2334" s="1811"/>
      <c r="H2334" s="1811"/>
      <c r="I2334" s="1811"/>
      <c r="J2334" s="1811"/>
      <c r="K2334" s="1811"/>
      <c r="L2334" s="1811"/>
      <c r="M2334" s="1811"/>
      <c r="N2334" s="1811"/>
      <c r="O2334" s="1811"/>
      <c r="P2334" s="1811"/>
      <c r="Q2334" s="1814"/>
      <c r="R2334" s="1811"/>
      <c r="S2334" s="1811"/>
      <c r="T2334" s="1814"/>
      <c r="U2334" s="1816"/>
      <c r="V2334" s="1812"/>
      <c r="W2334" s="1812"/>
      <c r="X2334" s="1812"/>
      <c r="Y2334" s="1816"/>
      <c r="Z2334" s="1812"/>
      <c r="AA2334" s="1812"/>
      <c r="AB2334" s="1812"/>
      <c r="AC2334" s="1812"/>
      <c r="AD2334" s="1601">
        <f t="shared" si="178"/>
        <v>0</v>
      </c>
      <c r="AE2334" s="1790">
        <v>0</v>
      </c>
      <c r="AF2334" s="1792"/>
    </row>
    <row r="2335" spans="1:32" ht="27.75" customHeight="1">
      <c r="A2335" s="2899" t="s">
        <v>1307</v>
      </c>
      <c r="B2335" s="2901" t="s">
        <v>1806</v>
      </c>
      <c r="C2335" s="2903" t="s">
        <v>52</v>
      </c>
      <c r="D2335" s="2905">
        <v>11106.25</v>
      </c>
      <c r="E2335" s="1810" t="s">
        <v>2496</v>
      </c>
      <c r="F2335" s="1811"/>
      <c r="G2335" s="1811"/>
      <c r="H2335" s="1811"/>
      <c r="I2335" s="1811"/>
      <c r="J2335" s="1811"/>
      <c r="K2335" s="1811"/>
      <c r="L2335" s="1811"/>
      <c r="M2335" s="1811"/>
      <c r="N2335" s="1811"/>
      <c r="O2335" s="1811"/>
      <c r="P2335" s="1811"/>
      <c r="Q2335" s="1812"/>
      <c r="R2335" s="1811"/>
      <c r="S2335" s="1811"/>
      <c r="T2335" s="1812"/>
      <c r="U2335" s="1812"/>
      <c r="V2335" s="1812"/>
      <c r="W2335" s="1812"/>
      <c r="X2335" s="1812"/>
      <c r="Y2335" s="1812"/>
      <c r="Z2335" s="1585">
        <f>D2335</f>
        <v>11106.25</v>
      </c>
      <c r="AA2335" s="1812"/>
      <c r="AB2335" s="1812"/>
      <c r="AC2335" s="1812"/>
      <c r="AD2335" s="1601">
        <f t="shared" si="178"/>
        <v>11106.25</v>
      </c>
      <c r="AE2335" s="1790">
        <v>0</v>
      </c>
      <c r="AF2335" s="1792"/>
    </row>
    <row r="2336" spans="1:32" ht="27.75" customHeight="1">
      <c r="A2336" s="2900" t="s">
        <v>1307</v>
      </c>
      <c r="B2336" s="2902" t="s">
        <v>1806</v>
      </c>
      <c r="C2336" s="2904" t="s">
        <v>52</v>
      </c>
      <c r="D2336" s="2906">
        <v>11106.25</v>
      </c>
      <c r="E2336" s="1603" t="s">
        <v>2497</v>
      </c>
      <c r="F2336" s="1583"/>
      <c r="G2336" s="1583"/>
      <c r="H2336" s="1583"/>
      <c r="I2336" s="1583"/>
      <c r="J2336" s="1583"/>
      <c r="K2336" s="1583"/>
      <c r="L2336" s="1583"/>
      <c r="M2336" s="1583"/>
      <c r="N2336" s="1583"/>
      <c r="O2336" s="1583"/>
      <c r="P2336" s="1583"/>
      <c r="Q2336" s="1604"/>
      <c r="R2336" s="1583"/>
      <c r="S2336" s="1583"/>
      <c r="T2336" s="1604"/>
      <c r="U2336" s="1592"/>
      <c r="V2336" s="1585"/>
      <c r="W2336" s="1585"/>
      <c r="X2336" s="1585"/>
      <c r="Y2336" s="1592"/>
      <c r="Z2336" s="1585"/>
      <c r="AA2336" s="1585"/>
      <c r="AB2336" s="1585"/>
      <c r="AC2336" s="1585"/>
      <c r="AD2336" s="1601">
        <f t="shared" si="178"/>
        <v>0</v>
      </c>
      <c r="AE2336" s="1790">
        <v>0</v>
      </c>
      <c r="AF2336" s="1792"/>
    </row>
    <row r="2337" spans="1:32" ht="27.75" customHeight="1">
      <c r="A2337" s="2899" t="s">
        <v>1308</v>
      </c>
      <c r="B2337" s="2901" t="s">
        <v>1807</v>
      </c>
      <c r="C2337" s="2903" t="s">
        <v>52</v>
      </c>
      <c r="D2337" s="2905">
        <v>1251.25</v>
      </c>
      <c r="E2337" s="1598" t="s">
        <v>2496</v>
      </c>
      <c r="F2337" s="1583"/>
      <c r="G2337" s="1583"/>
      <c r="H2337" s="1583"/>
      <c r="I2337" s="1583"/>
      <c r="J2337" s="1583"/>
      <c r="K2337" s="1583"/>
      <c r="L2337" s="1583"/>
      <c r="M2337" s="1583"/>
      <c r="N2337" s="1583"/>
      <c r="O2337" s="1583"/>
      <c r="P2337" s="1583"/>
      <c r="Q2337" s="1585"/>
      <c r="R2337" s="1583"/>
      <c r="S2337" s="1583"/>
      <c r="T2337" s="1585"/>
      <c r="U2337" s="1585"/>
      <c r="V2337" s="1585"/>
      <c r="W2337" s="1585"/>
      <c r="X2337" s="1585"/>
      <c r="Y2337" s="1585"/>
      <c r="Z2337" s="1585">
        <f>D2337</f>
        <v>1251.25</v>
      </c>
      <c r="AA2337" s="1585"/>
      <c r="AB2337" s="1585"/>
      <c r="AC2337" s="1585"/>
      <c r="AD2337" s="1601">
        <f t="shared" si="178"/>
        <v>1251.25</v>
      </c>
      <c r="AE2337" s="1790">
        <v>0</v>
      </c>
      <c r="AF2337" s="1792"/>
    </row>
    <row r="2338" spans="1:32" ht="27.75" customHeight="1">
      <c r="A2338" s="2900" t="s">
        <v>1308</v>
      </c>
      <c r="B2338" s="2902" t="s">
        <v>1807</v>
      </c>
      <c r="C2338" s="2904" t="s">
        <v>52</v>
      </c>
      <c r="D2338" s="2906">
        <v>1251.25</v>
      </c>
      <c r="E2338" s="1603" t="s">
        <v>2497</v>
      </c>
      <c r="F2338" s="1583"/>
      <c r="G2338" s="1583"/>
      <c r="H2338" s="1583"/>
      <c r="I2338" s="1583"/>
      <c r="J2338" s="1583"/>
      <c r="K2338" s="1583"/>
      <c r="L2338" s="1583"/>
      <c r="M2338" s="1583"/>
      <c r="N2338" s="1583"/>
      <c r="O2338" s="1583"/>
      <c r="P2338" s="1583"/>
      <c r="Q2338" s="1604"/>
      <c r="R2338" s="1583"/>
      <c r="S2338" s="1583"/>
      <c r="T2338" s="1604"/>
      <c r="U2338" s="1585"/>
      <c r="V2338" s="1585"/>
      <c r="W2338" s="1585"/>
      <c r="X2338" s="1585"/>
      <c r="Y2338" s="1585"/>
      <c r="Z2338" s="1585"/>
      <c r="AA2338" s="1585"/>
      <c r="AB2338" s="1585"/>
      <c r="AC2338" s="1585"/>
      <c r="AD2338" s="1601">
        <f t="shared" si="178"/>
        <v>0</v>
      </c>
      <c r="AE2338" s="1790">
        <v>0</v>
      </c>
      <c r="AF2338" s="1792"/>
    </row>
    <row r="2339" spans="1:32" ht="27.75" customHeight="1">
      <c r="A2339" s="2899" t="s">
        <v>1309</v>
      </c>
      <c r="B2339" s="2901" t="s">
        <v>1808</v>
      </c>
      <c r="C2339" s="2903" t="s">
        <v>52</v>
      </c>
      <c r="D2339" s="2905">
        <v>3432.3</v>
      </c>
      <c r="E2339" s="1810" t="s">
        <v>2496</v>
      </c>
      <c r="F2339" s="1811"/>
      <c r="G2339" s="1811"/>
      <c r="H2339" s="1811"/>
      <c r="I2339" s="1811"/>
      <c r="J2339" s="1811"/>
      <c r="K2339" s="1811"/>
      <c r="L2339" s="1811"/>
      <c r="M2339" s="1811"/>
      <c r="N2339" s="1811"/>
      <c r="O2339" s="1811"/>
      <c r="P2339" s="1811"/>
      <c r="Q2339" s="1812"/>
      <c r="R2339" s="1811"/>
      <c r="S2339" s="1811"/>
      <c r="T2339" s="1812"/>
      <c r="U2339" s="1812"/>
      <c r="V2339" s="1812"/>
      <c r="W2339" s="1812"/>
      <c r="X2339" s="1812"/>
      <c r="Y2339" s="1812"/>
      <c r="Z2339" s="1585">
        <f>D2339</f>
        <v>3432.3</v>
      </c>
      <c r="AA2339" s="1812"/>
      <c r="AB2339" s="1812"/>
      <c r="AC2339" s="1812"/>
      <c r="AD2339" s="1601">
        <f t="shared" si="178"/>
        <v>3432.3</v>
      </c>
      <c r="AE2339" s="1790">
        <v>0</v>
      </c>
      <c r="AF2339" s="1792"/>
    </row>
    <row r="2340" spans="1:32" ht="27.75" customHeight="1">
      <c r="A2340" s="2900" t="s">
        <v>1309</v>
      </c>
      <c r="B2340" s="2902" t="s">
        <v>1808</v>
      </c>
      <c r="C2340" s="2904" t="s">
        <v>52</v>
      </c>
      <c r="D2340" s="2906">
        <v>3432.3</v>
      </c>
      <c r="E2340" s="1603" t="s">
        <v>2497</v>
      </c>
      <c r="F2340" s="1583"/>
      <c r="G2340" s="1583"/>
      <c r="H2340" s="1583"/>
      <c r="I2340" s="1583"/>
      <c r="J2340" s="1583"/>
      <c r="K2340" s="1583"/>
      <c r="L2340" s="1583"/>
      <c r="M2340" s="1583"/>
      <c r="N2340" s="1583"/>
      <c r="O2340" s="1583"/>
      <c r="P2340" s="1583"/>
      <c r="Q2340" s="1604"/>
      <c r="R2340" s="1583"/>
      <c r="S2340" s="1583"/>
      <c r="T2340" s="1604"/>
      <c r="U2340" s="1592"/>
      <c r="V2340" s="1585"/>
      <c r="W2340" s="1585"/>
      <c r="X2340" s="1585"/>
      <c r="Y2340" s="1592"/>
      <c r="Z2340" s="1585"/>
      <c r="AA2340" s="1585"/>
      <c r="AB2340" s="1585"/>
      <c r="AC2340" s="1585"/>
      <c r="AD2340" s="1601">
        <f t="shared" si="178"/>
        <v>0</v>
      </c>
      <c r="AE2340" s="1790">
        <v>0</v>
      </c>
      <c r="AF2340" s="1792"/>
    </row>
    <row r="2341" spans="1:32" ht="27.75" customHeight="1">
      <c r="A2341" s="2899" t="s">
        <v>1310</v>
      </c>
      <c r="B2341" s="2901" t="s">
        <v>1809</v>
      </c>
      <c r="C2341" s="2903" t="s">
        <v>52</v>
      </c>
      <c r="D2341" s="2905">
        <v>3336.7</v>
      </c>
      <c r="E2341" s="1810" t="s">
        <v>2496</v>
      </c>
      <c r="F2341" s="1811"/>
      <c r="G2341" s="1811"/>
      <c r="H2341" s="1811"/>
      <c r="I2341" s="1811"/>
      <c r="J2341" s="1811"/>
      <c r="K2341" s="1811"/>
      <c r="L2341" s="1811"/>
      <c r="M2341" s="1811"/>
      <c r="N2341" s="1811"/>
      <c r="O2341" s="1811"/>
      <c r="P2341" s="1811"/>
      <c r="Q2341" s="1812"/>
      <c r="R2341" s="1811"/>
      <c r="S2341" s="1811"/>
      <c r="T2341" s="1812"/>
      <c r="U2341" s="1812"/>
      <c r="V2341" s="1812"/>
      <c r="W2341" s="1812"/>
      <c r="X2341" s="1812"/>
      <c r="Y2341" s="1812"/>
      <c r="Z2341" s="1585">
        <f>D2341</f>
        <v>3336.7</v>
      </c>
      <c r="AA2341" s="1812"/>
      <c r="AB2341" s="1812"/>
      <c r="AC2341" s="1812"/>
      <c r="AD2341" s="1601">
        <f t="shared" si="178"/>
        <v>3336.7</v>
      </c>
      <c r="AE2341" s="1790">
        <v>0</v>
      </c>
      <c r="AF2341" s="1792"/>
    </row>
    <row r="2342" spans="1:32" ht="27.75" customHeight="1">
      <c r="A2342" s="2900" t="s">
        <v>1310</v>
      </c>
      <c r="B2342" s="2902" t="s">
        <v>1809</v>
      </c>
      <c r="C2342" s="2904" t="s">
        <v>52</v>
      </c>
      <c r="D2342" s="2906">
        <v>3336.7</v>
      </c>
      <c r="E2342" s="1603" t="s">
        <v>2497</v>
      </c>
      <c r="F2342" s="1583"/>
      <c r="G2342" s="1583"/>
      <c r="H2342" s="1583"/>
      <c r="I2342" s="1583"/>
      <c r="J2342" s="1583"/>
      <c r="K2342" s="1583"/>
      <c r="L2342" s="1583"/>
      <c r="M2342" s="1583"/>
      <c r="N2342" s="1583"/>
      <c r="O2342" s="1583"/>
      <c r="P2342" s="1583"/>
      <c r="Q2342" s="1604"/>
      <c r="R2342" s="1583"/>
      <c r="S2342" s="1583"/>
      <c r="T2342" s="1604"/>
      <c r="U2342" s="1592"/>
      <c r="V2342" s="1585"/>
      <c r="W2342" s="1585"/>
      <c r="X2342" s="1585"/>
      <c r="Y2342" s="1592"/>
      <c r="Z2342" s="1585"/>
      <c r="AA2342" s="1585"/>
      <c r="AB2342" s="1585"/>
      <c r="AC2342" s="1585"/>
      <c r="AD2342" s="1601">
        <f t="shared" si="178"/>
        <v>0</v>
      </c>
      <c r="AE2342" s="1790">
        <v>0</v>
      </c>
      <c r="AF2342" s="1792"/>
    </row>
    <row r="2343" spans="1:32" ht="27.75" customHeight="1">
      <c r="A2343" s="2899" t="s">
        <v>1311</v>
      </c>
      <c r="B2343" s="2901" t="s">
        <v>1810</v>
      </c>
      <c r="C2343" s="2903" t="s">
        <v>52</v>
      </c>
      <c r="D2343" s="2905">
        <v>2146.8000000000002</v>
      </c>
      <c r="E2343" s="1810" t="s">
        <v>2496</v>
      </c>
      <c r="F2343" s="1811"/>
      <c r="G2343" s="1811"/>
      <c r="H2343" s="1811"/>
      <c r="I2343" s="1811"/>
      <c r="J2343" s="1811"/>
      <c r="K2343" s="1811"/>
      <c r="L2343" s="1811"/>
      <c r="M2343" s="1811"/>
      <c r="N2343" s="1811"/>
      <c r="O2343" s="1811"/>
      <c r="P2343" s="1811"/>
      <c r="Q2343" s="1812"/>
      <c r="R2343" s="1811"/>
      <c r="S2343" s="1811"/>
      <c r="T2343" s="1812"/>
      <c r="U2343" s="1812"/>
      <c r="V2343" s="1812"/>
      <c r="W2343" s="1812"/>
      <c r="X2343" s="1812"/>
      <c r="Y2343" s="1812"/>
      <c r="Z2343" s="1585">
        <f>D2343</f>
        <v>2146.8000000000002</v>
      </c>
      <c r="AA2343" s="1812"/>
      <c r="AB2343" s="1812"/>
      <c r="AC2343" s="1812"/>
      <c r="AD2343" s="1601">
        <f t="shared" si="178"/>
        <v>2146.8000000000002</v>
      </c>
      <c r="AE2343" s="1790">
        <v>0</v>
      </c>
      <c r="AF2343" s="1792"/>
    </row>
    <row r="2344" spans="1:32" ht="27.75" customHeight="1">
      <c r="A2344" s="2900" t="s">
        <v>1311</v>
      </c>
      <c r="B2344" s="2902" t="s">
        <v>1810</v>
      </c>
      <c r="C2344" s="2904" t="s">
        <v>52</v>
      </c>
      <c r="D2344" s="2906">
        <v>2146.8000000000002</v>
      </c>
      <c r="E2344" s="1603" t="s">
        <v>2497</v>
      </c>
      <c r="F2344" s="1583"/>
      <c r="G2344" s="1583"/>
      <c r="H2344" s="1583"/>
      <c r="I2344" s="1583"/>
      <c r="J2344" s="1583"/>
      <c r="K2344" s="1583"/>
      <c r="L2344" s="1583"/>
      <c r="M2344" s="1583"/>
      <c r="N2344" s="1583"/>
      <c r="O2344" s="1583"/>
      <c r="P2344" s="1583"/>
      <c r="Q2344" s="1604"/>
      <c r="R2344" s="1583"/>
      <c r="S2344" s="1583"/>
      <c r="T2344" s="1604"/>
      <c r="U2344" s="1592"/>
      <c r="V2344" s="1585"/>
      <c r="W2344" s="1585"/>
      <c r="X2344" s="1585"/>
      <c r="Y2344" s="1592"/>
      <c r="Z2344" s="1585"/>
      <c r="AA2344" s="1585"/>
      <c r="AB2344" s="1585"/>
      <c r="AC2344" s="1585"/>
      <c r="AD2344" s="1601">
        <f t="shared" si="178"/>
        <v>0</v>
      </c>
      <c r="AE2344" s="1790">
        <v>0</v>
      </c>
      <c r="AF2344" s="1792"/>
    </row>
    <row r="2345" spans="1:32" ht="27.75" customHeight="1">
      <c r="A2345" s="2899" t="s">
        <v>1312</v>
      </c>
      <c r="B2345" s="2901" t="s">
        <v>1811</v>
      </c>
      <c r="C2345" s="2903" t="s">
        <v>52</v>
      </c>
      <c r="D2345" s="2905">
        <v>781.77</v>
      </c>
      <c r="E2345" s="1598" t="s">
        <v>2496</v>
      </c>
      <c r="F2345" s="1583"/>
      <c r="G2345" s="1583"/>
      <c r="H2345" s="1583"/>
      <c r="I2345" s="1583"/>
      <c r="J2345" s="1583"/>
      <c r="K2345" s="1583"/>
      <c r="L2345" s="1583"/>
      <c r="M2345" s="1583"/>
      <c r="N2345" s="1583"/>
      <c r="O2345" s="1583"/>
      <c r="P2345" s="1583"/>
      <c r="Q2345" s="1585"/>
      <c r="R2345" s="1583"/>
      <c r="S2345" s="1583"/>
      <c r="T2345" s="1585"/>
      <c r="U2345" s="1585"/>
      <c r="V2345" s="1585"/>
      <c r="W2345" s="1585"/>
      <c r="X2345" s="1585"/>
      <c r="Y2345" s="1585"/>
      <c r="Z2345" s="1585">
        <f>D2345</f>
        <v>781.77</v>
      </c>
      <c r="AA2345" s="1585"/>
      <c r="AB2345" s="1585"/>
      <c r="AC2345" s="1585"/>
      <c r="AD2345" s="1601">
        <f t="shared" si="178"/>
        <v>781.77</v>
      </c>
      <c r="AE2345" s="1790">
        <v>0</v>
      </c>
      <c r="AF2345" s="1792"/>
    </row>
    <row r="2346" spans="1:32" ht="27.75" customHeight="1">
      <c r="A2346" s="2900" t="s">
        <v>1312</v>
      </c>
      <c r="B2346" s="2902" t="s">
        <v>1811</v>
      </c>
      <c r="C2346" s="2904" t="s">
        <v>52</v>
      </c>
      <c r="D2346" s="2906">
        <v>781.77</v>
      </c>
      <c r="E2346" s="1603" t="s">
        <v>2497</v>
      </c>
      <c r="F2346" s="1583"/>
      <c r="G2346" s="1583"/>
      <c r="H2346" s="1583"/>
      <c r="I2346" s="1583"/>
      <c r="J2346" s="1583"/>
      <c r="K2346" s="1583"/>
      <c r="L2346" s="1583"/>
      <c r="M2346" s="1583"/>
      <c r="N2346" s="1583"/>
      <c r="O2346" s="1583"/>
      <c r="P2346" s="1583"/>
      <c r="Q2346" s="1604"/>
      <c r="R2346" s="1583"/>
      <c r="S2346" s="1583"/>
      <c r="T2346" s="1604"/>
      <c r="U2346" s="1585"/>
      <c r="V2346" s="1585"/>
      <c r="W2346" s="1585"/>
      <c r="X2346" s="1585"/>
      <c r="Y2346" s="1585"/>
      <c r="Z2346" s="1585"/>
      <c r="AA2346" s="1585"/>
      <c r="AB2346" s="1585"/>
      <c r="AC2346" s="1585"/>
      <c r="AD2346" s="1601">
        <f t="shared" si="178"/>
        <v>0</v>
      </c>
      <c r="AE2346" s="1790">
        <v>0</v>
      </c>
      <c r="AF2346" s="1792"/>
    </row>
    <row r="2347" spans="1:32" ht="27.75" customHeight="1">
      <c r="A2347" s="1102">
        <v>4.3</v>
      </c>
      <c r="B2347" s="1102" t="s">
        <v>1829</v>
      </c>
      <c r="C2347" s="1625"/>
      <c r="D2347" s="1597"/>
      <c r="E2347" s="1813"/>
      <c r="F2347" s="1811"/>
      <c r="G2347" s="1811"/>
      <c r="H2347" s="1811"/>
      <c r="I2347" s="1811"/>
      <c r="J2347" s="1811"/>
      <c r="K2347" s="1811"/>
      <c r="L2347" s="1811"/>
      <c r="M2347" s="1811"/>
      <c r="N2347" s="1811"/>
      <c r="O2347" s="1811"/>
      <c r="P2347" s="1811"/>
      <c r="Q2347" s="1814"/>
      <c r="R2347" s="1811"/>
      <c r="S2347" s="1811"/>
      <c r="T2347" s="1814"/>
      <c r="U2347" s="1812"/>
      <c r="V2347" s="1812"/>
      <c r="W2347" s="1812"/>
      <c r="X2347" s="1812"/>
      <c r="Y2347" s="1812"/>
      <c r="Z2347" s="1812"/>
      <c r="AA2347" s="1812"/>
      <c r="AB2347" s="1812"/>
      <c r="AC2347" s="1812"/>
      <c r="AD2347" s="1601">
        <f t="shared" si="178"/>
        <v>0</v>
      </c>
      <c r="AE2347" s="1790">
        <v>0</v>
      </c>
      <c r="AF2347" s="1792"/>
    </row>
    <row r="2348" spans="1:32" ht="27.75" customHeight="1">
      <c r="A2348" s="1108" t="s">
        <v>1333</v>
      </c>
      <c r="B2348" s="1111" t="s">
        <v>1832</v>
      </c>
      <c r="C2348" s="1625"/>
      <c r="D2348" s="1597"/>
      <c r="E2348" s="1813"/>
      <c r="F2348" s="1811"/>
      <c r="G2348" s="1811"/>
      <c r="H2348" s="1811"/>
      <c r="I2348" s="1811"/>
      <c r="J2348" s="1811"/>
      <c r="K2348" s="1811"/>
      <c r="L2348" s="1811"/>
      <c r="M2348" s="1811"/>
      <c r="N2348" s="1811"/>
      <c r="O2348" s="1811"/>
      <c r="P2348" s="1811"/>
      <c r="Q2348" s="1814"/>
      <c r="R2348" s="1811"/>
      <c r="S2348" s="1811"/>
      <c r="T2348" s="1814"/>
      <c r="U2348" s="1812"/>
      <c r="V2348" s="1812"/>
      <c r="W2348" s="1812"/>
      <c r="X2348" s="1812"/>
      <c r="Y2348" s="1812"/>
      <c r="Z2348" s="1812"/>
      <c r="AA2348" s="1812"/>
      <c r="AB2348" s="1812"/>
      <c r="AC2348" s="1812"/>
      <c r="AD2348" s="1601">
        <f t="shared" si="178"/>
        <v>0</v>
      </c>
      <c r="AE2348" s="1790">
        <v>0</v>
      </c>
      <c r="AF2348" s="1792"/>
    </row>
    <row r="2349" spans="1:32" ht="27.75" customHeight="1">
      <c r="A2349" s="2899" t="s">
        <v>1334</v>
      </c>
      <c r="B2349" s="2901" t="s">
        <v>1833</v>
      </c>
      <c r="C2349" s="2903" t="s">
        <v>51</v>
      </c>
      <c r="D2349" s="2905">
        <v>3487.5</v>
      </c>
      <c r="E2349" s="1810" t="s">
        <v>2496</v>
      </c>
      <c r="F2349" s="1811"/>
      <c r="G2349" s="1811"/>
      <c r="H2349" s="1811"/>
      <c r="I2349" s="1811"/>
      <c r="J2349" s="1811"/>
      <c r="K2349" s="1811"/>
      <c r="L2349" s="1811"/>
      <c r="M2349" s="1811"/>
      <c r="N2349" s="1811"/>
      <c r="O2349" s="1811"/>
      <c r="P2349" s="1811"/>
      <c r="Q2349" s="1812"/>
      <c r="R2349" s="1811"/>
      <c r="S2349" s="1811"/>
      <c r="T2349" s="1812"/>
      <c r="U2349" s="1812"/>
      <c r="V2349" s="1812"/>
      <c r="W2349" s="1812"/>
      <c r="X2349" s="1812"/>
      <c r="Y2349" s="1812"/>
      <c r="Z2349" s="1585">
        <f>D2349</f>
        <v>3487.5</v>
      </c>
      <c r="AA2349" s="1812"/>
      <c r="AB2349" s="1812"/>
      <c r="AC2349" s="1812"/>
      <c r="AD2349" s="1601">
        <f t="shared" si="178"/>
        <v>3487.5</v>
      </c>
      <c r="AE2349" s="1790">
        <v>0</v>
      </c>
      <c r="AF2349" s="1792"/>
    </row>
    <row r="2350" spans="1:32" ht="27.75" customHeight="1">
      <c r="A2350" s="2900" t="s">
        <v>1334</v>
      </c>
      <c r="B2350" s="2902" t="s">
        <v>1833</v>
      </c>
      <c r="C2350" s="2904" t="s">
        <v>51</v>
      </c>
      <c r="D2350" s="2906">
        <v>3487.5</v>
      </c>
      <c r="E2350" s="1603" t="s">
        <v>2497</v>
      </c>
      <c r="F2350" s="1583"/>
      <c r="G2350" s="1583"/>
      <c r="H2350" s="1583"/>
      <c r="I2350" s="1583"/>
      <c r="J2350" s="1583"/>
      <c r="K2350" s="1583"/>
      <c r="L2350" s="1583"/>
      <c r="M2350" s="1583"/>
      <c r="N2350" s="1583"/>
      <c r="O2350" s="1583"/>
      <c r="P2350" s="1583"/>
      <c r="Q2350" s="1604"/>
      <c r="R2350" s="1583"/>
      <c r="S2350" s="1583"/>
      <c r="T2350" s="1604"/>
      <c r="U2350" s="1592"/>
      <c r="V2350" s="1585"/>
      <c r="W2350" s="1585"/>
      <c r="X2350" s="1585"/>
      <c r="Y2350" s="1592"/>
      <c r="Z2350" s="1585"/>
      <c r="AA2350" s="1585"/>
      <c r="AB2350" s="1585"/>
      <c r="AC2350" s="1585"/>
      <c r="AD2350" s="1601">
        <f t="shared" si="178"/>
        <v>0</v>
      </c>
      <c r="AE2350" s="1790">
        <v>0</v>
      </c>
      <c r="AF2350" s="1792"/>
    </row>
    <row r="2351" spans="1:32" ht="27.75" customHeight="1">
      <c r="A2351" s="2899" t="s">
        <v>1335</v>
      </c>
      <c r="B2351" s="2901" t="s">
        <v>1834</v>
      </c>
      <c r="C2351" s="2903" t="s">
        <v>51</v>
      </c>
      <c r="D2351" s="2905">
        <v>1211.25</v>
      </c>
      <c r="E2351" s="1598" t="s">
        <v>2496</v>
      </c>
      <c r="F2351" s="1583"/>
      <c r="G2351" s="1583"/>
      <c r="H2351" s="1583"/>
      <c r="I2351" s="1583"/>
      <c r="J2351" s="1583"/>
      <c r="K2351" s="1583"/>
      <c r="L2351" s="1583"/>
      <c r="M2351" s="1583"/>
      <c r="N2351" s="1583"/>
      <c r="O2351" s="1583"/>
      <c r="P2351" s="1583"/>
      <c r="Q2351" s="1585"/>
      <c r="R2351" s="1583"/>
      <c r="S2351" s="1583"/>
      <c r="T2351" s="1585"/>
      <c r="U2351" s="1585"/>
      <c r="V2351" s="1585"/>
      <c r="W2351" s="1585"/>
      <c r="X2351" s="1585"/>
      <c r="Y2351" s="1585"/>
      <c r="Z2351" s="1585">
        <f>D2351</f>
        <v>1211.25</v>
      </c>
      <c r="AA2351" s="1585"/>
      <c r="AB2351" s="1585"/>
      <c r="AC2351" s="1585"/>
      <c r="AD2351" s="1601">
        <f t="shared" si="178"/>
        <v>1211.25</v>
      </c>
      <c r="AE2351" s="1790">
        <v>0</v>
      </c>
      <c r="AF2351" s="1792"/>
    </row>
    <row r="2352" spans="1:32" ht="27.75" customHeight="1">
      <c r="A2352" s="2900" t="s">
        <v>1335</v>
      </c>
      <c r="B2352" s="2902" t="s">
        <v>1834</v>
      </c>
      <c r="C2352" s="2904" t="s">
        <v>51</v>
      </c>
      <c r="D2352" s="2906">
        <v>1211.25</v>
      </c>
      <c r="E2352" s="1603" t="s">
        <v>2497</v>
      </c>
      <c r="F2352" s="1583"/>
      <c r="G2352" s="1583"/>
      <c r="H2352" s="1583"/>
      <c r="I2352" s="1583"/>
      <c r="J2352" s="1583"/>
      <c r="K2352" s="1583"/>
      <c r="L2352" s="1583"/>
      <c r="M2352" s="1583"/>
      <c r="N2352" s="1583"/>
      <c r="O2352" s="1583"/>
      <c r="P2352" s="1583"/>
      <c r="Q2352" s="1604"/>
      <c r="R2352" s="1583"/>
      <c r="S2352" s="1583"/>
      <c r="T2352" s="1604"/>
      <c r="U2352" s="1585"/>
      <c r="V2352" s="1585"/>
      <c r="W2352" s="1585"/>
      <c r="X2352" s="1585"/>
      <c r="Y2352" s="1585"/>
      <c r="Z2352" s="1585"/>
      <c r="AA2352" s="1585"/>
      <c r="AB2352" s="1585"/>
      <c r="AC2352" s="1585"/>
      <c r="AD2352" s="1601">
        <f t="shared" si="178"/>
        <v>0</v>
      </c>
      <c r="AE2352" s="1790">
        <v>0</v>
      </c>
      <c r="AF2352" s="1792"/>
    </row>
    <row r="2353" spans="1:32" ht="27.75" customHeight="1">
      <c r="A2353" s="2899" t="s">
        <v>1337</v>
      </c>
      <c r="B2353" s="2901" t="s">
        <v>1836</v>
      </c>
      <c r="C2353" s="2903" t="s">
        <v>52</v>
      </c>
      <c r="D2353" s="2905">
        <v>145.36000000000001</v>
      </c>
      <c r="E2353" s="1810" t="s">
        <v>2496</v>
      </c>
      <c r="F2353" s="1811"/>
      <c r="G2353" s="1811"/>
      <c r="H2353" s="1811"/>
      <c r="I2353" s="1811"/>
      <c r="J2353" s="1811"/>
      <c r="K2353" s="1811"/>
      <c r="L2353" s="1811"/>
      <c r="M2353" s="1811"/>
      <c r="N2353" s="1811"/>
      <c r="O2353" s="1811"/>
      <c r="P2353" s="1811"/>
      <c r="Q2353" s="1812"/>
      <c r="R2353" s="1811"/>
      <c r="S2353" s="1811"/>
      <c r="T2353" s="1812"/>
      <c r="U2353" s="1812"/>
      <c r="V2353" s="1812"/>
      <c r="W2353" s="1812"/>
      <c r="X2353" s="1812"/>
      <c r="Y2353" s="1812"/>
      <c r="Z2353" s="1585">
        <f>D2353</f>
        <v>145.36000000000001</v>
      </c>
      <c r="AA2353" s="1812"/>
      <c r="AB2353" s="1812"/>
      <c r="AC2353" s="1812"/>
      <c r="AD2353" s="1601">
        <f t="shared" si="178"/>
        <v>145.36000000000001</v>
      </c>
      <c r="AE2353" s="1790">
        <v>0</v>
      </c>
      <c r="AF2353" s="1792"/>
    </row>
    <row r="2354" spans="1:32" ht="27.75" customHeight="1">
      <c r="A2354" s="2900" t="s">
        <v>1337</v>
      </c>
      <c r="B2354" s="2902" t="s">
        <v>1836</v>
      </c>
      <c r="C2354" s="2904" t="s">
        <v>52</v>
      </c>
      <c r="D2354" s="2906">
        <v>145.36000000000001</v>
      </c>
      <c r="E2354" s="1603" t="s">
        <v>2497</v>
      </c>
      <c r="F2354" s="1583"/>
      <c r="G2354" s="1583"/>
      <c r="H2354" s="1583"/>
      <c r="I2354" s="1583"/>
      <c r="J2354" s="1583"/>
      <c r="K2354" s="1583"/>
      <c r="L2354" s="1583"/>
      <c r="M2354" s="1583"/>
      <c r="N2354" s="1583"/>
      <c r="O2354" s="1583"/>
      <c r="P2354" s="1583"/>
      <c r="Q2354" s="1604"/>
      <c r="R2354" s="1583"/>
      <c r="S2354" s="1583"/>
      <c r="T2354" s="1604"/>
      <c r="U2354" s="1592"/>
      <c r="V2354" s="1585"/>
      <c r="W2354" s="1585"/>
      <c r="X2354" s="1585"/>
      <c r="Y2354" s="1592"/>
      <c r="Z2354" s="1585"/>
      <c r="AA2354" s="1585"/>
      <c r="AB2354" s="1585"/>
      <c r="AC2354" s="1585"/>
      <c r="AD2354" s="1601">
        <f t="shared" si="178"/>
        <v>0</v>
      </c>
      <c r="AE2354" s="1790">
        <v>0</v>
      </c>
      <c r="AF2354" s="1792"/>
    </row>
    <row r="2355" spans="1:32" ht="27.75" customHeight="1">
      <c r="A2355" s="2899" t="s">
        <v>1338</v>
      </c>
      <c r="B2355" s="2901" t="s">
        <v>1837</v>
      </c>
      <c r="C2355" s="2903" t="s">
        <v>52</v>
      </c>
      <c r="D2355" s="2905">
        <v>290.60000000000002</v>
      </c>
      <c r="E2355" s="1810" t="s">
        <v>2496</v>
      </c>
      <c r="F2355" s="1811"/>
      <c r="G2355" s="1811"/>
      <c r="H2355" s="1811"/>
      <c r="I2355" s="1811"/>
      <c r="J2355" s="1811"/>
      <c r="K2355" s="1811"/>
      <c r="L2355" s="1811"/>
      <c r="M2355" s="1811"/>
      <c r="N2355" s="1811"/>
      <c r="O2355" s="1811"/>
      <c r="P2355" s="1811"/>
      <c r="Q2355" s="1812"/>
      <c r="R2355" s="1811"/>
      <c r="S2355" s="1811"/>
      <c r="T2355" s="1812"/>
      <c r="U2355" s="1812"/>
      <c r="V2355" s="1812"/>
      <c r="W2355" s="1812"/>
      <c r="X2355" s="1812"/>
      <c r="Y2355" s="1812"/>
      <c r="Z2355" s="1585">
        <f>D2355</f>
        <v>290.60000000000002</v>
      </c>
      <c r="AA2355" s="1812"/>
      <c r="AB2355" s="1812"/>
      <c r="AC2355" s="1812"/>
      <c r="AD2355" s="1601">
        <f t="shared" si="178"/>
        <v>290.60000000000002</v>
      </c>
      <c r="AE2355" s="1790">
        <v>0</v>
      </c>
      <c r="AF2355" s="1792"/>
    </row>
    <row r="2356" spans="1:32" ht="27.75" customHeight="1">
      <c r="A2356" s="2900" t="s">
        <v>1338</v>
      </c>
      <c r="B2356" s="2902" t="s">
        <v>1837</v>
      </c>
      <c r="C2356" s="2904" t="s">
        <v>52</v>
      </c>
      <c r="D2356" s="2906">
        <v>290.60000000000002</v>
      </c>
      <c r="E2356" s="1603" t="s">
        <v>2497</v>
      </c>
      <c r="F2356" s="1583"/>
      <c r="G2356" s="1583"/>
      <c r="H2356" s="1583"/>
      <c r="I2356" s="1583"/>
      <c r="J2356" s="1583"/>
      <c r="K2356" s="1583"/>
      <c r="L2356" s="1583"/>
      <c r="M2356" s="1583"/>
      <c r="N2356" s="1583"/>
      <c r="O2356" s="1583"/>
      <c r="P2356" s="1583"/>
      <c r="Q2356" s="1604"/>
      <c r="R2356" s="1583"/>
      <c r="S2356" s="1583"/>
      <c r="T2356" s="1604"/>
      <c r="U2356" s="1592"/>
      <c r="V2356" s="1585"/>
      <c r="W2356" s="1585"/>
      <c r="X2356" s="1585"/>
      <c r="Y2356" s="1592"/>
      <c r="Z2356" s="1585"/>
      <c r="AA2356" s="1585"/>
      <c r="AB2356" s="1585"/>
      <c r="AC2356" s="1585"/>
      <c r="AD2356" s="1601">
        <f t="shared" si="178"/>
        <v>0</v>
      </c>
      <c r="AE2356" s="1790">
        <v>0</v>
      </c>
      <c r="AF2356" s="1792"/>
    </row>
    <row r="2357" spans="1:32" ht="27.75" customHeight="1">
      <c r="A2357" s="2899" t="s">
        <v>1341</v>
      </c>
      <c r="B2357" s="2901" t="s">
        <v>1840</v>
      </c>
      <c r="C2357" s="2903" t="s">
        <v>52</v>
      </c>
      <c r="D2357" s="2905">
        <v>278.54000000000002</v>
      </c>
      <c r="E2357" s="1810" t="s">
        <v>2496</v>
      </c>
      <c r="F2357" s="1811"/>
      <c r="G2357" s="1811"/>
      <c r="H2357" s="1811"/>
      <c r="I2357" s="1811"/>
      <c r="J2357" s="1811"/>
      <c r="K2357" s="1811"/>
      <c r="L2357" s="1811"/>
      <c r="M2357" s="1811"/>
      <c r="N2357" s="1811"/>
      <c r="O2357" s="1811"/>
      <c r="P2357" s="1811"/>
      <c r="Q2357" s="1812"/>
      <c r="R2357" s="1811"/>
      <c r="S2357" s="1811"/>
      <c r="T2357" s="1812"/>
      <c r="U2357" s="1812"/>
      <c r="V2357" s="1812"/>
      <c r="W2357" s="1812"/>
      <c r="X2357" s="1812"/>
      <c r="Y2357" s="1812"/>
      <c r="Z2357" s="1585">
        <f>D2357</f>
        <v>278.54000000000002</v>
      </c>
      <c r="AA2357" s="1812"/>
      <c r="AB2357" s="1812"/>
      <c r="AC2357" s="1812"/>
      <c r="AD2357" s="1601">
        <f t="shared" si="178"/>
        <v>278.54000000000002</v>
      </c>
      <c r="AE2357" s="1790">
        <v>0</v>
      </c>
      <c r="AF2357" s="1792"/>
    </row>
    <row r="2358" spans="1:32" ht="27.75" customHeight="1">
      <c r="A2358" s="2900" t="s">
        <v>1341</v>
      </c>
      <c r="B2358" s="2902" t="s">
        <v>1840</v>
      </c>
      <c r="C2358" s="2904" t="s">
        <v>52</v>
      </c>
      <c r="D2358" s="2906">
        <v>278.54000000000002</v>
      </c>
      <c r="E2358" s="1603" t="s">
        <v>2497</v>
      </c>
      <c r="F2358" s="1583"/>
      <c r="G2358" s="1583"/>
      <c r="H2358" s="1583"/>
      <c r="I2358" s="1583"/>
      <c r="J2358" s="1583"/>
      <c r="K2358" s="1583"/>
      <c r="L2358" s="1583"/>
      <c r="M2358" s="1583"/>
      <c r="N2358" s="1583"/>
      <c r="O2358" s="1583"/>
      <c r="P2358" s="1583"/>
      <c r="Q2358" s="1604"/>
      <c r="R2358" s="1583"/>
      <c r="S2358" s="1583"/>
      <c r="T2358" s="1604"/>
      <c r="U2358" s="1592"/>
      <c r="V2358" s="1585"/>
      <c r="W2358" s="1585"/>
      <c r="X2358" s="1585"/>
      <c r="Y2358" s="1592"/>
      <c r="Z2358" s="1585"/>
      <c r="AA2358" s="1585"/>
      <c r="AB2358" s="1585"/>
      <c r="AC2358" s="1585"/>
      <c r="AD2358" s="1601">
        <f t="shared" si="178"/>
        <v>0</v>
      </c>
      <c r="AE2358" s="1790">
        <v>0</v>
      </c>
      <c r="AF2358" s="1792"/>
    </row>
    <row r="2359" spans="1:32" ht="27.75" customHeight="1">
      <c r="A2359" s="2899" t="s">
        <v>1343</v>
      </c>
      <c r="B2359" s="2901" t="s">
        <v>1842</v>
      </c>
      <c r="C2359" s="2903" t="s">
        <v>52</v>
      </c>
      <c r="D2359" s="2905">
        <v>84.36</v>
      </c>
      <c r="E2359" s="1598" t="s">
        <v>2496</v>
      </c>
      <c r="F2359" s="1583"/>
      <c r="G2359" s="1583"/>
      <c r="H2359" s="1583"/>
      <c r="I2359" s="1583"/>
      <c r="J2359" s="1583"/>
      <c r="K2359" s="1583"/>
      <c r="L2359" s="1583"/>
      <c r="M2359" s="1583"/>
      <c r="N2359" s="1583"/>
      <c r="O2359" s="1583"/>
      <c r="P2359" s="1583"/>
      <c r="Q2359" s="1585"/>
      <c r="R2359" s="1583"/>
      <c r="S2359" s="1583"/>
      <c r="T2359" s="1585"/>
      <c r="U2359" s="1585"/>
      <c r="V2359" s="1585"/>
      <c r="W2359" s="1585"/>
      <c r="X2359" s="1585"/>
      <c r="Y2359" s="1585"/>
      <c r="Z2359" s="1585">
        <f>D2359</f>
        <v>84.36</v>
      </c>
      <c r="AA2359" s="1585"/>
      <c r="AB2359" s="1585"/>
      <c r="AC2359" s="1585"/>
      <c r="AD2359" s="1601">
        <f t="shared" si="178"/>
        <v>84.36</v>
      </c>
      <c r="AE2359" s="1790">
        <v>0</v>
      </c>
      <c r="AF2359" s="1792"/>
    </row>
    <row r="2360" spans="1:32" ht="27.75" customHeight="1">
      <c r="A2360" s="2900" t="s">
        <v>1343</v>
      </c>
      <c r="B2360" s="2902" t="s">
        <v>1842</v>
      </c>
      <c r="C2360" s="2904" t="s">
        <v>52</v>
      </c>
      <c r="D2360" s="2906">
        <v>84.36</v>
      </c>
      <c r="E2360" s="1603" t="s">
        <v>2497</v>
      </c>
      <c r="F2360" s="1583"/>
      <c r="G2360" s="1583"/>
      <c r="H2360" s="1583"/>
      <c r="I2360" s="1583"/>
      <c r="J2360" s="1583"/>
      <c r="K2360" s="1583"/>
      <c r="L2360" s="1583"/>
      <c r="M2360" s="1583"/>
      <c r="N2360" s="1583"/>
      <c r="O2360" s="1583"/>
      <c r="P2360" s="1583"/>
      <c r="Q2360" s="1604"/>
      <c r="R2360" s="1583"/>
      <c r="S2360" s="1583"/>
      <c r="T2360" s="1604"/>
      <c r="U2360" s="1585"/>
      <c r="V2360" s="1585"/>
      <c r="W2360" s="1585"/>
      <c r="X2360" s="1585"/>
      <c r="Y2360" s="1585"/>
      <c r="Z2360" s="1585"/>
      <c r="AA2360" s="1585"/>
      <c r="AB2360" s="1585"/>
      <c r="AC2360" s="1585"/>
      <c r="AD2360" s="1601">
        <f t="shared" si="178"/>
        <v>0</v>
      </c>
      <c r="AE2360" s="1790">
        <v>0</v>
      </c>
      <c r="AF2360" s="1792"/>
    </row>
    <row r="2361" spans="1:32" ht="27.75" customHeight="1">
      <c r="A2361" s="1108" t="s">
        <v>1351</v>
      </c>
      <c r="B2361" s="1111" t="s">
        <v>3789</v>
      </c>
      <c r="C2361" s="1625"/>
      <c r="D2361" s="1597"/>
      <c r="E2361" s="1813"/>
      <c r="F2361" s="1811"/>
      <c r="G2361" s="1811"/>
      <c r="H2361" s="1811"/>
      <c r="I2361" s="1811"/>
      <c r="J2361" s="1811"/>
      <c r="K2361" s="1811"/>
      <c r="L2361" s="1811"/>
      <c r="M2361" s="1811"/>
      <c r="N2361" s="1811"/>
      <c r="O2361" s="1811"/>
      <c r="P2361" s="1811"/>
      <c r="Q2361" s="1814"/>
      <c r="R2361" s="1811"/>
      <c r="S2361" s="1811"/>
      <c r="T2361" s="1814"/>
      <c r="U2361" s="1812"/>
      <c r="V2361" s="1812"/>
      <c r="W2361" s="1812"/>
      <c r="X2361" s="1812"/>
      <c r="Y2361" s="1812"/>
      <c r="Z2361" s="1812"/>
      <c r="AA2361" s="1812"/>
      <c r="AB2361" s="1812"/>
      <c r="AC2361" s="1812"/>
      <c r="AD2361" s="1601">
        <f t="shared" si="178"/>
        <v>0</v>
      </c>
      <c r="AE2361" s="1790">
        <v>0</v>
      </c>
      <c r="AF2361" s="1792"/>
    </row>
    <row r="2362" spans="1:32" ht="27.75" customHeight="1">
      <c r="A2362" s="2899" t="s">
        <v>1354</v>
      </c>
      <c r="B2362" s="2901" t="s">
        <v>1853</v>
      </c>
      <c r="C2362" s="2903" t="s">
        <v>52</v>
      </c>
      <c r="D2362" s="2905">
        <v>4206.54</v>
      </c>
      <c r="E2362" s="1598" t="s">
        <v>2496</v>
      </c>
      <c r="F2362" s="1583"/>
      <c r="G2362" s="1583"/>
      <c r="H2362" s="1583"/>
      <c r="I2362" s="1583"/>
      <c r="J2362" s="1583"/>
      <c r="K2362" s="1583"/>
      <c r="L2362" s="1583"/>
      <c r="M2362" s="1583"/>
      <c r="N2362" s="1583"/>
      <c r="O2362" s="1583"/>
      <c r="P2362" s="1583"/>
      <c r="Q2362" s="1585"/>
      <c r="R2362" s="1583"/>
      <c r="S2362" s="1583"/>
      <c r="T2362" s="1585"/>
      <c r="U2362" s="1585"/>
      <c r="V2362" s="1585"/>
      <c r="W2362" s="1585"/>
      <c r="X2362" s="1585"/>
      <c r="Y2362" s="1585"/>
      <c r="Z2362" s="1585">
        <f>D2362</f>
        <v>4206.54</v>
      </c>
      <c r="AA2362" s="1585"/>
      <c r="AB2362" s="1585"/>
      <c r="AC2362" s="1585"/>
      <c r="AD2362" s="1601">
        <f t="shared" si="178"/>
        <v>4206.54</v>
      </c>
      <c r="AE2362" s="1790">
        <v>0</v>
      </c>
      <c r="AF2362" s="1792"/>
    </row>
    <row r="2363" spans="1:32" ht="27.75" customHeight="1">
      <c r="A2363" s="2900" t="s">
        <v>1343</v>
      </c>
      <c r="B2363" s="2902" t="s">
        <v>1842</v>
      </c>
      <c r="C2363" s="2904" t="s">
        <v>52</v>
      </c>
      <c r="D2363" s="2906">
        <v>84.36</v>
      </c>
      <c r="E2363" s="1603" t="s">
        <v>2497</v>
      </c>
      <c r="F2363" s="1583"/>
      <c r="G2363" s="1583"/>
      <c r="H2363" s="1583"/>
      <c r="I2363" s="1583"/>
      <c r="J2363" s="1583"/>
      <c r="K2363" s="1583"/>
      <c r="L2363" s="1583"/>
      <c r="M2363" s="1583"/>
      <c r="N2363" s="1583"/>
      <c r="O2363" s="1583"/>
      <c r="P2363" s="1583"/>
      <c r="Q2363" s="1604"/>
      <c r="R2363" s="1583"/>
      <c r="S2363" s="1583"/>
      <c r="T2363" s="1604"/>
      <c r="U2363" s="1585"/>
      <c r="V2363" s="1585"/>
      <c r="W2363" s="1585"/>
      <c r="X2363" s="1585"/>
      <c r="Y2363" s="1585"/>
      <c r="Z2363" s="1585"/>
      <c r="AA2363" s="1585"/>
      <c r="AB2363" s="1585"/>
      <c r="AC2363" s="1585"/>
      <c r="AD2363" s="1601">
        <f t="shared" si="178"/>
        <v>0</v>
      </c>
      <c r="AE2363" s="1790">
        <v>0</v>
      </c>
      <c r="AF2363" s="1792"/>
    </row>
    <row r="2364" spans="1:32" ht="27.75" customHeight="1">
      <c r="A2364" s="1742">
        <v>4.0599999999999996</v>
      </c>
      <c r="B2364" s="1743" t="s">
        <v>2399</v>
      </c>
      <c r="C2364" s="1625"/>
      <c r="D2364" s="1597"/>
      <c r="E2364" s="1813"/>
      <c r="F2364" s="1811"/>
      <c r="G2364" s="1811"/>
      <c r="H2364" s="1811"/>
      <c r="I2364" s="1811"/>
      <c r="J2364" s="1811"/>
      <c r="K2364" s="1811"/>
      <c r="L2364" s="1811"/>
      <c r="M2364" s="1811"/>
      <c r="N2364" s="1811"/>
      <c r="O2364" s="1811"/>
      <c r="P2364" s="1811"/>
      <c r="Q2364" s="1814"/>
      <c r="R2364" s="1811"/>
      <c r="S2364" s="1811"/>
      <c r="T2364" s="1814"/>
      <c r="U2364" s="1812"/>
      <c r="V2364" s="1812"/>
      <c r="W2364" s="1812"/>
      <c r="X2364" s="1812"/>
      <c r="Y2364" s="1812"/>
      <c r="Z2364" s="1812"/>
      <c r="AA2364" s="1812"/>
      <c r="AB2364" s="1812"/>
      <c r="AC2364" s="1812"/>
      <c r="AD2364" s="1601">
        <f t="shared" si="178"/>
        <v>0</v>
      </c>
      <c r="AE2364" s="1790">
        <v>0</v>
      </c>
      <c r="AF2364" s="1792"/>
    </row>
    <row r="2365" spans="1:32" ht="27.75" customHeight="1">
      <c r="A2365" s="1745" t="s">
        <v>2400</v>
      </c>
      <c r="B2365" s="1746" t="s">
        <v>2401</v>
      </c>
      <c r="C2365" s="1625"/>
      <c r="D2365" s="1597"/>
      <c r="E2365" s="1813"/>
      <c r="F2365" s="1811"/>
      <c r="G2365" s="1811"/>
      <c r="H2365" s="1811"/>
      <c r="I2365" s="1811"/>
      <c r="J2365" s="1811"/>
      <c r="K2365" s="1811"/>
      <c r="L2365" s="1811"/>
      <c r="M2365" s="1811"/>
      <c r="N2365" s="1811"/>
      <c r="O2365" s="1811"/>
      <c r="P2365" s="1811"/>
      <c r="Q2365" s="1814"/>
      <c r="R2365" s="1811"/>
      <c r="S2365" s="1811"/>
      <c r="T2365" s="1814"/>
      <c r="U2365" s="1812"/>
      <c r="V2365" s="1812"/>
      <c r="W2365" s="1812"/>
      <c r="X2365" s="1812"/>
      <c r="Y2365" s="1812"/>
      <c r="Z2365" s="1812"/>
      <c r="AA2365" s="1812"/>
      <c r="AB2365" s="1812"/>
      <c r="AC2365" s="1812"/>
      <c r="AD2365" s="1601">
        <f t="shared" si="178"/>
        <v>0</v>
      </c>
      <c r="AE2365" s="1790">
        <v>0</v>
      </c>
      <c r="AF2365" s="1792"/>
    </row>
    <row r="2366" spans="1:32" ht="27.75" customHeight="1">
      <c r="A2366" s="2899"/>
      <c r="B2366" s="2901" t="s">
        <v>2402</v>
      </c>
      <c r="C2366" s="2903" t="s">
        <v>52</v>
      </c>
      <c r="D2366" s="2905">
        <v>15596.29</v>
      </c>
      <c r="E2366" s="1810" t="s">
        <v>2496</v>
      </c>
      <c r="F2366" s="1811"/>
      <c r="G2366" s="1811"/>
      <c r="H2366" s="1811"/>
      <c r="I2366" s="1811"/>
      <c r="J2366" s="1811"/>
      <c r="K2366" s="1811"/>
      <c r="L2366" s="1811"/>
      <c r="M2366" s="1811"/>
      <c r="N2366" s="1811"/>
      <c r="O2366" s="1811"/>
      <c r="P2366" s="1811"/>
      <c r="Q2366" s="1812"/>
      <c r="R2366" s="1811"/>
      <c r="S2366" s="1811"/>
      <c r="T2366" s="1812"/>
      <c r="U2366" s="1812"/>
      <c r="V2366" s="1812"/>
      <c r="W2366" s="1812"/>
      <c r="X2366" s="1812"/>
      <c r="Y2366" s="1812"/>
      <c r="Z2366" s="1585">
        <f>D2366</f>
        <v>15596.29</v>
      </c>
      <c r="AA2366" s="1812"/>
      <c r="AB2366" s="1812"/>
      <c r="AC2366" s="1812"/>
      <c r="AD2366" s="1601">
        <f t="shared" si="178"/>
        <v>15596.29</v>
      </c>
      <c r="AE2366" s="1790">
        <v>0</v>
      </c>
      <c r="AF2366" s="1792"/>
    </row>
    <row r="2367" spans="1:32" ht="27.75" customHeight="1">
      <c r="A2367" s="2900"/>
      <c r="B2367" s="2902" t="s">
        <v>2402</v>
      </c>
      <c r="C2367" s="2904" t="s">
        <v>52</v>
      </c>
      <c r="D2367" s="2906">
        <v>15596.29</v>
      </c>
      <c r="E2367" s="1603" t="s">
        <v>2497</v>
      </c>
      <c r="F2367" s="1583"/>
      <c r="G2367" s="1583"/>
      <c r="H2367" s="1583"/>
      <c r="I2367" s="1583"/>
      <c r="J2367" s="1583"/>
      <c r="K2367" s="1583"/>
      <c r="L2367" s="1583"/>
      <c r="M2367" s="1583"/>
      <c r="N2367" s="1583"/>
      <c r="O2367" s="1583"/>
      <c r="P2367" s="1583"/>
      <c r="Q2367" s="1604"/>
      <c r="R2367" s="1583"/>
      <c r="S2367" s="1583"/>
      <c r="T2367" s="1604"/>
      <c r="U2367" s="1592"/>
      <c r="V2367" s="1585"/>
      <c r="W2367" s="1585"/>
      <c r="X2367" s="1585"/>
      <c r="Y2367" s="1592"/>
      <c r="Z2367" s="1585"/>
      <c r="AA2367" s="1585"/>
      <c r="AB2367" s="1585"/>
      <c r="AC2367" s="1585"/>
      <c r="AD2367" s="1601">
        <f t="shared" si="178"/>
        <v>0</v>
      </c>
      <c r="AE2367" s="1790">
        <v>0</v>
      </c>
      <c r="AF2367" s="1792"/>
    </row>
    <row r="2368" spans="1:32" ht="27.75" customHeight="1">
      <c r="A2368" s="2899"/>
      <c r="B2368" s="2901" t="s">
        <v>2403</v>
      </c>
      <c r="C2368" s="2903" t="s">
        <v>52</v>
      </c>
      <c r="D2368" s="2905">
        <v>4510.3500000000004</v>
      </c>
      <c r="E2368" s="1810" t="s">
        <v>2496</v>
      </c>
      <c r="F2368" s="1811"/>
      <c r="G2368" s="1811"/>
      <c r="H2368" s="1811"/>
      <c r="I2368" s="1811"/>
      <c r="J2368" s="1811"/>
      <c r="K2368" s="1811"/>
      <c r="L2368" s="1811"/>
      <c r="M2368" s="1811"/>
      <c r="N2368" s="1811"/>
      <c r="O2368" s="1811"/>
      <c r="P2368" s="1811"/>
      <c r="Q2368" s="1812"/>
      <c r="R2368" s="1811"/>
      <c r="S2368" s="1811"/>
      <c r="T2368" s="1812"/>
      <c r="U2368" s="1812"/>
      <c r="V2368" s="1812"/>
      <c r="W2368" s="1812"/>
      <c r="X2368" s="1812"/>
      <c r="Y2368" s="1812"/>
      <c r="Z2368" s="1585">
        <f>D2368</f>
        <v>4510.3500000000004</v>
      </c>
      <c r="AA2368" s="1812"/>
      <c r="AB2368" s="1812"/>
      <c r="AC2368" s="1812"/>
      <c r="AD2368" s="1601">
        <f t="shared" si="178"/>
        <v>4510.3500000000004</v>
      </c>
      <c r="AE2368" s="1790">
        <v>0</v>
      </c>
      <c r="AF2368" s="1792"/>
    </row>
    <row r="2369" spans="1:32" ht="27.75" customHeight="1">
      <c r="A2369" s="2900"/>
      <c r="B2369" s="2902" t="s">
        <v>2403</v>
      </c>
      <c r="C2369" s="2904" t="s">
        <v>52</v>
      </c>
      <c r="D2369" s="2906">
        <v>4510.3500000000004</v>
      </c>
      <c r="E2369" s="1603" t="s">
        <v>2497</v>
      </c>
      <c r="F2369" s="1583"/>
      <c r="G2369" s="1583"/>
      <c r="H2369" s="1583"/>
      <c r="I2369" s="1583"/>
      <c r="J2369" s="1583"/>
      <c r="K2369" s="1583"/>
      <c r="L2369" s="1583"/>
      <c r="M2369" s="1583"/>
      <c r="N2369" s="1583"/>
      <c r="O2369" s="1583"/>
      <c r="P2369" s="1583"/>
      <c r="Q2369" s="1604"/>
      <c r="R2369" s="1583"/>
      <c r="S2369" s="1583"/>
      <c r="T2369" s="1604"/>
      <c r="U2369" s="1592"/>
      <c r="V2369" s="1585"/>
      <c r="W2369" s="1585"/>
      <c r="X2369" s="1585"/>
      <c r="Y2369" s="1592"/>
      <c r="Z2369" s="1585"/>
      <c r="AA2369" s="1585"/>
      <c r="AB2369" s="1585"/>
      <c r="AC2369" s="1585"/>
      <c r="AD2369" s="1601">
        <f t="shared" si="178"/>
        <v>0</v>
      </c>
      <c r="AE2369" s="1790">
        <v>0</v>
      </c>
      <c r="AF2369" s="1792"/>
    </row>
    <row r="2370" spans="1:32" ht="27.75" customHeight="1">
      <c r="A2370" s="2899"/>
      <c r="B2370" s="2901" t="s">
        <v>2406</v>
      </c>
      <c r="C2370" s="2903" t="s">
        <v>52</v>
      </c>
      <c r="D2370" s="2905">
        <v>2620.5</v>
      </c>
      <c r="E2370" s="1810" t="s">
        <v>2496</v>
      </c>
      <c r="F2370" s="1811"/>
      <c r="G2370" s="1811"/>
      <c r="H2370" s="1811"/>
      <c r="I2370" s="1811"/>
      <c r="J2370" s="1811"/>
      <c r="K2370" s="1811"/>
      <c r="L2370" s="1811"/>
      <c r="M2370" s="1811"/>
      <c r="N2370" s="1811"/>
      <c r="O2370" s="1811"/>
      <c r="P2370" s="1811"/>
      <c r="Q2370" s="1812"/>
      <c r="R2370" s="1811"/>
      <c r="S2370" s="1811"/>
      <c r="T2370" s="1812"/>
      <c r="U2370" s="1812"/>
      <c r="V2370" s="1812"/>
      <c r="W2370" s="1812"/>
      <c r="X2370" s="1812"/>
      <c r="Y2370" s="1812"/>
      <c r="Z2370" s="1585">
        <f>D2370</f>
        <v>2620.5</v>
      </c>
      <c r="AA2370" s="1812"/>
      <c r="AB2370" s="1812"/>
      <c r="AC2370" s="1812"/>
      <c r="AD2370" s="1601">
        <f t="shared" si="178"/>
        <v>2620.5</v>
      </c>
      <c r="AE2370" s="1790">
        <v>0</v>
      </c>
      <c r="AF2370" s="1792"/>
    </row>
    <row r="2371" spans="1:32" ht="27.75" customHeight="1">
      <c r="A2371" s="2900"/>
      <c r="B2371" s="2902" t="s">
        <v>2406</v>
      </c>
      <c r="C2371" s="2904" t="s">
        <v>52</v>
      </c>
      <c r="D2371" s="2906">
        <v>2620.5</v>
      </c>
      <c r="E2371" s="1603" t="s">
        <v>2497</v>
      </c>
      <c r="F2371" s="1583"/>
      <c r="G2371" s="1583"/>
      <c r="H2371" s="1583"/>
      <c r="I2371" s="1583"/>
      <c r="J2371" s="1583"/>
      <c r="K2371" s="1583"/>
      <c r="L2371" s="1583"/>
      <c r="M2371" s="1583"/>
      <c r="N2371" s="1583"/>
      <c r="O2371" s="1583"/>
      <c r="P2371" s="1583"/>
      <c r="Q2371" s="1604"/>
      <c r="R2371" s="1583"/>
      <c r="S2371" s="1583"/>
      <c r="T2371" s="1604"/>
      <c r="U2371" s="1592"/>
      <c r="V2371" s="1585"/>
      <c r="W2371" s="1585"/>
      <c r="X2371" s="1585"/>
      <c r="Y2371" s="1592"/>
      <c r="Z2371" s="1585"/>
      <c r="AA2371" s="1585"/>
      <c r="AB2371" s="1585"/>
      <c r="AC2371" s="1585"/>
      <c r="AD2371" s="1601">
        <f t="shared" si="178"/>
        <v>0</v>
      </c>
      <c r="AE2371" s="1790">
        <v>0</v>
      </c>
      <c r="AF2371" s="1792"/>
    </row>
    <row r="2372" spans="1:32" ht="27.75" customHeight="1">
      <c r="A2372" s="2899"/>
      <c r="B2372" s="2901" t="s">
        <v>2407</v>
      </c>
      <c r="C2372" s="2903" t="s">
        <v>52</v>
      </c>
      <c r="D2372" s="2905">
        <v>1108.2</v>
      </c>
      <c r="E2372" s="1598" t="s">
        <v>2496</v>
      </c>
      <c r="F2372" s="1583"/>
      <c r="G2372" s="1583"/>
      <c r="H2372" s="1583"/>
      <c r="I2372" s="1583"/>
      <c r="J2372" s="1583"/>
      <c r="K2372" s="1583"/>
      <c r="L2372" s="1583"/>
      <c r="M2372" s="1583"/>
      <c r="N2372" s="1583"/>
      <c r="O2372" s="1583"/>
      <c r="P2372" s="1583"/>
      <c r="Q2372" s="1585"/>
      <c r="R2372" s="1583"/>
      <c r="S2372" s="1583"/>
      <c r="T2372" s="1585"/>
      <c r="U2372" s="1585"/>
      <c r="V2372" s="1585"/>
      <c r="W2372" s="1585"/>
      <c r="X2372" s="1585"/>
      <c r="Y2372" s="1585"/>
      <c r="Z2372" s="1585">
        <f>D2372</f>
        <v>1108.2</v>
      </c>
      <c r="AA2372" s="1585"/>
      <c r="AB2372" s="1585"/>
      <c r="AC2372" s="1585"/>
      <c r="AD2372" s="1601">
        <f t="shared" si="178"/>
        <v>1108.2</v>
      </c>
      <c r="AE2372" s="1790">
        <v>0</v>
      </c>
      <c r="AF2372" s="1792"/>
    </row>
    <row r="2373" spans="1:32" ht="27.75" customHeight="1">
      <c r="A2373" s="2900"/>
      <c r="B2373" s="2902" t="s">
        <v>2407</v>
      </c>
      <c r="C2373" s="2904" t="s">
        <v>52</v>
      </c>
      <c r="D2373" s="2906">
        <v>1108.2</v>
      </c>
      <c r="E2373" s="1603" t="s">
        <v>2497</v>
      </c>
      <c r="F2373" s="1583"/>
      <c r="G2373" s="1583"/>
      <c r="H2373" s="1583"/>
      <c r="I2373" s="1583"/>
      <c r="J2373" s="1583"/>
      <c r="K2373" s="1583"/>
      <c r="L2373" s="1583"/>
      <c r="M2373" s="1583"/>
      <c r="N2373" s="1583"/>
      <c r="O2373" s="1583"/>
      <c r="P2373" s="1583"/>
      <c r="Q2373" s="1604"/>
      <c r="R2373" s="1583"/>
      <c r="S2373" s="1583"/>
      <c r="T2373" s="1604"/>
      <c r="U2373" s="1585"/>
      <c r="V2373" s="1585"/>
      <c r="W2373" s="1585"/>
      <c r="X2373" s="1585"/>
      <c r="Y2373" s="1585"/>
      <c r="Z2373" s="1585"/>
      <c r="AA2373" s="1585"/>
      <c r="AB2373" s="1585"/>
      <c r="AC2373" s="1585"/>
      <c r="AD2373" s="1601">
        <f t="shared" si="178"/>
        <v>0</v>
      </c>
      <c r="AE2373" s="1790">
        <v>0</v>
      </c>
      <c r="AF2373" s="1792"/>
    </row>
    <row r="2374" spans="1:32" ht="27.75" customHeight="1">
      <c r="A2374" s="1742">
        <v>4.4000000000000004</v>
      </c>
      <c r="B2374" s="1743" t="s">
        <v>1854</v>
      </c>
      <c r="C2374" s="1625"/>
      <c r="D2374" s="1597"/>
      <c r="E2374" s="1813"/>
      <c r="F2374" s="1811"/>
      <c r="G2374" s="1811"/>
      <c r="H2374" s="1811"/>
      <c r="I2374" s="1811"/>
      <c r="J2374" s="1811"/>
      <c r="K2374" s="1811"/>
      <c r="L2374" s="1811"/>
      <c r="M2374" s="1811"/>
      <c r="N2374" s="1811"/>
      <c r="O2374" s="1811"/>
      <c r="P2374" s="1811"/>
      <c r="Q2374" s="1814"/>
      <c r="R2374" s="1811"/>
      <c r="S2374" s="1811"/>
      <c r="T2374" s="1814"/>
      <c r="U2374" s="1812"/>
      <c r="V2374" s="1812"/>
      <c r="W2374" s="1812"/>
      <c r="X2374" s="1812"/>
      <c r="Y2374" s="1812"/>
      <c r="Z2374" s="1812"/>
      <c r="AA2374" s="1812"/>
      <c r="AB2374" s="1812"/>
      <c r="AC2374" s="1812"/>
      <c r="AD2374" s="1601">
        <f t="shared" si="178"/>
        <v>0</v>
      </c>
      <c r="AE2374" s="1790">
        <v>0</v>
      </c>
      <c r="AF2374" s="1792"/>
    </row>
    <row r="2375" spans="1:32" ht="27.75" customHeight="1">
      <c r="A2375" s="1108" t="s">
        <v>1355</v>
      </c>
      <c r="B2375" s="1111" t="s">
        <v>1855</v>
      </c>
      <c r="C2375" s="1625"/>
      <c r="D2375" s="1597"/>
      <c r="E2375" s="1813"/>
      <c r="F2375" s="1811"/>
      <c r="G2375" s="1811"/>
      <c r="H2375" s="1811"/>
      <c r="I2375" s="1811"/>
      <c r="J2375" s="1811"/>
      <c r="K2375" s="1811"/>
      <c r="L2375" s="1811"/>
      <c r="M2375" s="1811"/>
      <c r="N2375" s="1811"/>
      <c r="O2375" s="1811"/>
      <c r="P2375" s="1811"/>
      <c r="Q2375" s="1814"/>
      <c r="R2375" s="1811"/>
      <c r="S2375" s="1811"/>
      <c r="T2375" s="1814"/>
      <c r="U2375" s="1812"/>
      <c r="V2375" s="1812"/>
      <c r="W2375" s="1812"/>
      <c r="X2375" s="1812"/>
      <c r="Y2375" s="1812"/>
      <c r="Z2375" s="1812"/>
      <c r="AA2375" s="1812"/>
      <c r="AB2375" s="1812"/>
      <c r="AC2375" s="1812"/>
      <c r="AD2375" s="1601">
        <f t="shared" si="178"/>
        <v>0</v>
      </c>
      <c r="AE2375" s="1790">
        <v>0</v>
      </c>
      <c r="AF2375" s="1792"/>
    </row>
    <row r="2376" spans="1:32" ht="27.75" customHeight="1">
      <c r="A2376" s="2899" t="s">
        <v>1356</v>
      </c>
      <c r="B2376" s="2901" t="s">
        <v>3790</v>
      </c>
      <c r="C2376" s="2903" t="s">
        <v>51</v>
      </c>
      <c r="D2376" s="2905">
        <v>5397.48</v>
      </c>
      <c r="E2376" s="1810" t="s">
        <v>2496</v>
      </c>
      <c r="F2376" s="1811"/>
      <c r="G2376" s="1811"/>
      <c r="H2376" s="1811"/>
      <c r="I2376" s="1811"/>
      <c r="J2376" s="1811"/>
      <c r="K2376" s="1811"/>
      <c r="L2376" s="1811"/>
      <c r="M2376" s="1811"/>
      <c r="N2376" s="1811"/>
      <c r="O2376" s="1811"/>
      <c r="P2376" s="1811"/>
      <c r="Q2376" s="1812"/>
      <c r="R2376" s="1811"/>
      <c r="S2376" s="1811"/>
      <c r="T2376" s="1812"/>
      <c r="U2376" s="1812"/>
      <c r="V2376" s="1812"/>
      <c r="W2376" s="1812"/>
      <c r="X2376" s="1812"/>
      <c r="Y2376" s="1812"/>
      <c r="Z2376" s="1585">
        <f>D2376</f>
        <v>5397.48</v>
      </c>
      <c r="AA2376" s="1812"/>
      <c r="AB2376" s="1812"/>
      <c r="AC2376" s="1812"/>
      <c r="AD2376" s="1601">
        <f t="shared" si="178"/>
        <v>5397.48</v>
      </c>
      <c r="AE2376" s="1790">
        <v>0</v>
      </c>
      <c r="AF2376" s="1792"/>
    </row>
    <row r="2377" spans="1:32" ht="27.75" customHeight="1">
      <c r="A2377" s="2900" t="s">
        <v>1356</v>
      </c>
      <c r="B2377" s="2902" t="s">
        <v>3790</v>
      </c>
      <c r="C2377" s="2904" t="s">
        <v>51</v>
      </c>
      <c r="D2377" s="2906">
        <v>5397.48</v>
      </c>
      <c r="E2377" s="1603" t="s">
        <v>2497</v>
      </c>
      <c r="F2377" s="1583"/>
      <c r="G2377" s="1583"/>
      <c r="H2377" s="1583"/>
      <c r="I2377" s="1583"/>
      <c r="J2377" s="1583"/>
      <c r="K2377" s="1583"/>
      <c r="L2377" s="1583"/>
      <c r="M2377" s="1583"/>
      <c r="N2377" s="1583"/>
      <c r="O2377" s="1583"/>
      <c r="P2377" s="1583"/>
      <c r="Q2377" s="1604"/>
      <c r="R2377" s="1583"/>
      <c r="S2377" s="1583"/>
      <c r="T2377" s="1604"/>
      <c r="U2377" s="1592"/>
      <c r="V2377" s="1585"/>
      <c r="W2377" s="1585"/>
      <c r="X2377" s="1585"/>
      <c r="Y2377" s="1592"/>
      <c r="Z2377" s="1585"/>
      <c r="AA2377" s="1585"/>
      <c r="AB2377" s="1585"/>
      <c r="AC2377" s="1585"/>
      <c r="AD2377" s="1601">
        <f t="shared" si="178"/>
        <v>0</v>
      </c>
      <c r="AE2377" s="1790">
        <v>0</v>
      </c>
      <c r="AF2377" s="1792"/>
    </row>
    <row r="2378" spans="1:32" ht="27.75" customHeight="1">
      <c r="A2378" s="2899" t="s">
        <v>1358</v>
      </c>
      <c r="B2378" s="2901" t="s">
        <v>3791</v>
      </c>
      <c r="C2378" s="2903" t="s">
        <v>51</v>
      </c>
      <c r="D2378" s="2905">
        <v>23254.63</v>
      </c>
      <c r="E2378" s="1598" t="s">
        <v>2496</v>
      </c>
      <c r="F2378" s="1583"/>
      <c r="G2378" s="1583"/>
      <c r="H2378" s="1583"/>
      <c r="I2378" s="1583"/>
      <c r="J2378" s="1583"/>
      <c r="K2378" s="1583"/>
      <c r="L2378" s="1583"/>
      <c r="M2378" s="1583"/>
      <c r="N2378" s="1583"/>
      <c r="O2378" s="1583"/>
      <c r="P2378" s="1583"/>
      <c r="Q2378" s="1585"/>
      <c r="R2378" s="1583"/>
      <c r="S2378" s="1583"/>
      <c r="T2378" s="1585"/>
      <c r="U2378" s="1585"/>
      <c r="V2378" s="1585"/>
      <c r="W2378" s="1585"/>
      <c r="X2378" s="1585"/>
      <c r="Y2378" s="1585"/>
      <c r="Z2378" s="1585">
        <f>D2378</f>
        <v>23254.63</v>
      </c>
      <c r="AA2378" s="1585"/>
      <c r="AB2378" s="1585"/>
      <c r="AC2378" s="1585"/>
      <c r="AD2378" s="1601">
        <f t="shared" si="178"/>
        <v>23254.63</v>
      </c>
      <c r="AE2378" s="1790">
        <v>0</v>
      </c>
      <c r="AF2378" s="1792"/>
    </row>
    <row r="2379" spans="1:32" ht="27.75" customHeight="1">
      <c r="A2379" s="2900" t="s">
        <v>1358</v>
      </c>
      <c r="B2379" s="2902" t="s">
        <v>3791</v>
      </c>
      <c r="C2379" s="2904" t="s">
        <v>51</v>
      </c>
      <c r="D2379" s="2906">
        <v>23254.63</v>
      </c>
      <c r="E2379" s="1603" t="s">
        <v>2497</v>
      </c>
      <c r="F2379" s="1583"/>
      <c r="G2379" s="1583"/>
      <c r="H2379" s="1583"/>
      <c r="I2379" s="1583"/>
      <c r="J2379" s="1583"/>
      <c r="K2379" s="1583"/>
      <c r="L2379" s="1583"/>
      <c r="M2379" s="1583"/>
      <c r="N2379" s="1583"/>
      <c r="O2379" s="1583"/>
      <c r="P2379" s="1583"/>
      <c r="Q2379" s="1604"/>
      <c r="R2379" s="1583"/>
      <c r="S2379" s="1583"/>
      <c r="T2379" s="1604"/>
      <c r="U2379" s="1585"/>
      <c r="V2379" s="1585"/>
      <c r="W2379" s="1585"/>
      <c r="X2379" s="1585"/>
      <c r="Y2379" s="1585"/>
      <c r="Z2379" s="1585"/>
      <c r="AA2379" s="1585"/>
      <c r="AB2379" s="1585"/>
      <c r="AC2379" s="1585"/>
      <c r="AD2379" s="1601">
        <f t="shared" si="178"/>
        <v>0</v>
      </c>
      <c r="AE2379" s="1790">
        <v>0</v>
      </c>
      <c r="AF2379" s="1792"/>
    </row>
    <row r="2380" spans="1:32" ht="27.75" customHeight="1">
      <c r="A2380" s="1108" t="s">
        <v>1359</v>
      </c>
      <c r="B2380" s="1111" t="s">
        <v>1859</v>
      </c>
      <c r="C2380" s="1803"/>
      <c r="D2380" s="1804"/>
      <c r="E2380" s="1813"/>
      <c r="F2380" s="1811"/>
      <c r="G2380" s="1811"/>
      <c r="H2380" s="1811"/>
      <c r="I2380" s="1811"/>
      <c r="J2380" s="1811"/>
      <c r="K2380" s="1811"/>
      <c r="L2380" s="1811"/>
      <c r="M2380" s="1811"/>
      <c r="N2380" s="1811"/>
      <c r="O2380" s="1811"/>
      <c r="P2380" s="1811"/>
      <c r="Q2380" s="1814"/>
      <c r="R2380" s="1811"/>
      <c r="S2380" s="1811"/>
      <c r="T2380" s="1814"/>
      <c r="U2380" s="1812"/>
      <c r="V2380" s="1812"/>
      <c r="W2380" s="1812"/>
      <c r="X2380" s="1812"/>
      <c r="Y2380" s="1812"/>
      <c r="Z2380" s="1812"/>
      <c r="AA2380" s="1812"/>
      <c r="AB2380" s="1812"/>
      <c r="AC2380" s="1812"/>
      <c r="AD2380" s="1601">
        <f t="shared" si="178"/>
        <v>0</v>
      </c>
      <c r="AE2380" s="1790">
        <v>0</v>
      </c>
      <c r="AF2380" s="1792"/>
    </row>
    <row r="2381" spans="1:32" ht="27.75" customHeight="1">
      <c r="A2381" s="2899" t="s">
        <v>1360</v>
      </c>
      <c r="B2381" s="2901" t="s">
        <v>1860</v>
      </c>
      <c r="C2381" s="2903" t="s">
        <v>52</v>
      </c>
      <c r="D2381" s="2905">
        <v>3101.45</v>
      </c>
      <c r="E2381" s="1810" t="s">
        <v>2496</v>
      </c>
      <c r="F2381" s="1811"/>
      <c r="G2381" s="1811"/>
      <c r="H2381" s="1811"/>
      <c r="I2381" s="1811"/>
      <c r="J2381" s="1811"/>
      <c r="K2381" s="1811"/>
      <c r="L2381" s="1811"/>
      <c r="M2381" s="1811"/>
      <c r="N2381" s="1811"/>
      <c r="O2381" s="1811"/>
      <c r="P2381" s="1811"/>
      <c r="Q2381" s="1812"/>
      <c r="R2381" s="1811"/>
      <c r="S2381" s="1811"/>
      <c r="T2381" s="1812"/>
      <c r="U2381" s="1812"/>
      <c r="V2381" s="1812"/>
      <c r="W2381" s="1812"/>
      <c r="X2381" s="1812"/>
      <c r="Y2381" s="1812"/>
      <c r="Z2381" s="1585">
        <f>D2381</f>
        <v>3101.45</v>
      </c>
      <c r="AA2381" s="1812"/>
      <c r="AB2381" s="1812"/>
      <c r="AC2381" s="1812"/>
      <c r="AD2381" s="1601">
        <f t="shared" si="178"/>
        <v>3101.45</v>
      </c>
      <c r="AE2381" s="1790">
        <v>0</v>
      </c>
      <c r="AF2381" s="1792"/>
    </row>
    <row r="2382" spans="1:32" ht="27.75" customHeight="1">
      <c r="A2382" s="2900" t="s">
        <v>1360</v>
      </c>
      <c r="B2382" s="2902" t="s">
        <v>1860</v>
      </c>
      <c r="C2382" s="2904" t="s">
        <v>52</v>
      </c>
      <c r="D2382" s="2906">
        <v>3101.45</v>
      </c>
      <c r="E2382" s="1603" t="s">
        <v>2497</v>
      </c>
      <c r="F2382" s="1583"/>
      <c r="G2382" s="1583"/>
      <c r="H2382" s="1583"/>
      <c r="I2382" s="1583"/>
      <c r="J2382" s="1583"/>
      <c r="K2382" s="1583"/>
      <c r="L2382" s="1583"/>
      <c r="M2382" s="1583"/>
      <c r="N2382" s="1583"/>
      <c r="O2382" s="1583"/>
      <c r="P2382" s="1583"/>
      <c r="Q2382" s="1604"/>
      <c r="R2382" s="1583"/>
      <c r="S2382" s="1583"/>
      <c r="T2382" s="1604"/>
      <c r="U2382" s="1592"/>
      <c r="V2382" s="1585"/>
      <c r="W2382" s="1585"/>
      <c r="X2382" s="1585"/>
      <c r="Y2382" s="1592"/>
      <c r="Z2382" s="1585"/>
      <c r="AA2382" s="1585"/>
      <c r="AB2382" s="1585"/>
      <c r="AC2382" s="1585"/>
      <c r="AD2382" s="1601">
        <f t="shared" si="178"/>
        <v>0</v>
      </c>
      <c r="AE2382" s="1790">
        <v>0</v>
      </c>
      <c r="AF2382" s="1792"/>
    </row>
    <row r="2383" spans="1:32" ht="27.75" customHeight="1">
      <c r="A2383" s="2899" t="s">
        <v>1363</v>
      </c>
      <c r="B2383" s="2901" t="s">
        <v>1863</v>
      </c>
      <c r="C2383" s="2903" t="s">
        <v>52</v>
      </c>
      <c r="D2383" s="2905">
        <v>251.5</v>
      </c>
      <c r="E2383" s="1810" t="s">
        <v>2496</v>
      </c>
      <c r="F2383" s="1811"/>
      <c r="G2383" s="1811"/>
      <c r="H2383" s="1811"/>
      <c r="I2383" s="1811"/>
      <c r="J2383" s="1811"/>
      <c r="K2383" s="1811"/>
      <c r="L2383" s="1811"/>
      <c r="M2383" s="1811"/>
      <c r="N2383" s="1811"/>
      <c r="O2383" s="1811"/>
      <c r="P2383" s="1811"/>
      <c r="Q2383" s="1812"/>
      <c r="R2383" s="1811"/>
      <c r="S2383" s="1811"/>
      <c r="T2383" s="1812"/>
      <c r="U2383" s="1812"/>
      <c r="V2383" s="1812"/>
      <c r="W2383" s="1812"/>
      <c r="X2383" s="1812"/>
      <c r="Y2383" s="1812"/>
      <c r="Z2383" s="1585">
        <f>D2383</f>
        <v>251.5</v>
      </c>
      <c r="AA2383" s="1812"/>
      <c r="AB2383" s="1812"/>
      <c r="AC2383" s="1812"/>
      <c r="AD2383" s="1601">
        <f t="shared" si="178"/>
        <v>251.5</v>
      </c>
      <c r="AE2383" s="1790">
        <v>0</v>
      </c>
      <c r="AF2383" s="1792"/>
    </row>
    <row r="2384" spans="1:32" ht="27.75" customHeight="1">
      <c r="A2384" s="2900" t="s">
        <v>1363</v>
      </c>
      <c r="B2384" s="2902" t="s">
        <v>1863</v>
      </c>
      <c r="C2384" s="2904" t="s">
        <v>52</v>
      </c>
      <c r="D2384" s="2906">
        <v>251.5</v>
      </c>
      <c r="E2384" s="1603" t="s">
        <v>2497</v>
      </c>
      <c r="F2384" s="1583"/>
      <c r="G2384" s="1583"/>
      <c r="H2384" s="1583"/>
      <c r="I2384" s="1583"/>
      <c r="J2384" s="1583"/>
      <c r="K2384" s="1583"/>
      <c r="L2384" s="1583"/>
      <c r="M2384" s="1583"/>
      <c r="N2384" s="1583"/>
      <c r="O2384" s="1583"/>
      <c r="P2384" s="1583"/>
      <c r="Q2384" s="1604"/>
      <c r="R2384" s="1583"/>
      <c r="S2384" s="1583"/>
      <c r="T2384" s="1604"/>
      <c r="U2384" s="1592"/>
      <c r="V2384" s="1585"/>
      <c r="W2384" s="1585"/>
      <c r="X2384" s="1585"/>
      <c r="Y2384" s="1592"/>
      <c r="Z2384" s="1585"/>
      <c r="AA2384" s="1585"/>
      <c r="AB2384" s="1585"/>
      <c r="AC2384" s="1585"/>
      <c r="AD2384" s="1601">
        <f t="shared" si="178"/>
        <v>0</v>
      </c>
      <c r="AE2384" s="1790">
        <v>0</v>
      </c>
      <c r="AF2384" s="1792"/>
    </row>
    <row r="2385" spans="1:32" ht="27.75" customHeight="1">
      <c r="A2385" s="2899" t="s">
        <v>1364</v>
      </c>
      <c r="B2385" s="2901" t="s">
        <v>1864</v>
      </c>
      <c r="C2385" s="2903" t="s">
        <v>52</v>
      </c>
      <c r="D2385" s="2905">
        <v>1108.7</v>
      </c>
      <c r="E2385" s="1810" t="s">
        <v>2496</v>
      </c>
      <c r="F2385" s="1811"/>
      <c r="G2385" s="1811"/>
      <c r="H2385" s="1811"/>
      <c r="I2385" s="1811"/>
      <c r="J2385" s="1811"/>
      <c r="K2385" s="1811"/>
      <c r="L2385" s="1811"/>
      <c r="M2385" s="1811"/>
      <c r="N2385" s="1811"/>
      <c r="O2385" s="1811"/>
      <c r="P2385" s="1811"/>
      <c r="Q2385" s="1812"/>
      <c r="R2385" s="1811"/>
      <c r="S2385" s="1811"/>
      <c r="T2385" s="1812"/>
      <c r="U2385" s="1812"/>
      <c r="V2385" s="1812"/>
      <c r="W2385" s="1812"/>
      <c r="X2385" s="1812"/>
      <c r="Y2385" s="1812"/>
      <c r="Z2385" s="1585">
        <f>D2385</f>
        <v>1108.7</v>
      </c>
      <c r="AA2385" s="1812"/>
      <c r="AB2385" s="1812"/>
      <c r="AC2385" s="1812"/>
      <c r="AD2385" s="1601">
        <f t="shared" ref="AD2385:AD2448" si="179">SUM(F2385:AC2385)</f>
        <v>1108.7</v>
      </c>
      <c r="AE2385" s="1790">
        <v>0</v>
      </c>
      <c r="AF2385" s="1792"/>
    </row>
    <row r="2386" spans="1:32" ht="27.75" customHeight="1">
      <c r="A2386" s="2900" t="s">
        <v>1364</v>
      </c>
      <c r="B2386" s="2902" t="s">
        <v>1864</v>
      </c>
      <c r="C2386" s="2904" t="s">
        <v>52</v>
      </c>
      <c r="D2386" s="2906">
        <v>1108.7</v>
      </c>
      <c r="E2386" s="1603" t="s">
        <v>2497</v>
      </c>
      <c r="F2386" s="1583"/>
      <c r="G2386" s="1583"/>
      <c r="H2386" s="1583"/>
      <c r="I2386" s="1583"/>
      <c r="J2386" s="1583"/>
      <c r="K2386" s="1583"/>
      <c r="L2386" s="1583"/>
      <c r="M2386" s="1583"/>
      <c r="N2386" s="1583"/>
      <c r="O2386" s="1583"/>
      <c r="P2386" s="1583"/>
      <c r="Q2386" s="1604"/>
      <c r="R2386" s="1583"/>
      <c r="S2386" s="1583"/>
      <c r="T2386" s="1604"/>
      <c r="U2386" s="1592"/>
      <c r="V2386" s="1585"/>
      <c r="W2386" s="1585"/>
      <c r="X2386" s="1585"/>
      <c r="Y2386" s="1592"/>
      <c r="Z2386" s="1585"/>
      <c r="AA2386" s="1585"/>
      <c r="AB2386" s="1585"/>
      <c r="AC2386" s="1585"/>
      <c r="AD2386" s="1601">
        <f t="shared" si="179"/>
        <v>0</v>
      </c>
      <c r="AE2386" s="1790">
        <v>0</v>
      </c>
      <c r="AF2386" s="1792"/>
    </row>
    <row r="2387" spans="1:32" ht="27.75" customHeight="1">
      <c r="A2387" s="2899" t="s">
        <v>1365</v>
      </c>
      <c r="B2387" s="2901" t="s">
        <v>1865</v>
      </c>
      <c r="C2387" s="2903" t="s">
        <v>52</v>
      </c>
      <c r="D2387" s="2905">
        <v>249</v>
      </c>
      <c r="E2387" s="1598" t="s">
        <v>2496</v>
      </c>
      <c r="F2387" s="1583"/>
      <c r="G2387" s="1583"/>
      <c r="H2387" s="1583"/>
      <c r="I2387" s="1583"/>
      <c r="J2387" s="1583"/>
      <c r="K2387" s="1583"/>
      <c r="L2387" s="1583"/>
      <c r="M2387" s="1583"/>
      <c r="N2387" s="1583"/>
      <c r="O2387" s="1583"/>
      <c r="P2387" s="1583"/>
      <c r="Q2387" s="1585"/>
      <c r="R2387" s="1583"/>
      <c r="S2387" s="1583"/>
      <c r="T2387" s="1585"/>
      <c r="U2387" s="1585"/>
      <c r="V2387" s="1585"/>
      <c r="W2387" s="1585"/>
      <c r="X2387" s="1585"/>
      <c r="Y2387" s="1585"/>
      <c r="Z2387" s="1585">
        <f>D2387</f>
        <v>249</v>
      </c>
      <c r="AA2387" s="1585"/>
      <c r="AB2387" s="1585"/>
      <c r="AC2387" s="1585"/>
      <c r="AD2387" s="1601">
        <f t="shared" si="179"/>
        <v>249</v>
      </c>
      <c r="AE2387" s="1790">
        <v>0</v>
      </c>
      <c r="AF2387" s="1792"/>
    </row>
    <row r="2388" spans="1:32" ht="27.75" customHeight="1">
      <c r="A2388" s="2900" t="s">
        <v>1365</v>
      </c>
      <c r="B2388" s="2902" t="s">
        <v>1865</v>
      </c>
      <c r="C2388" s="2904" t="s">
        <v>52</v>
      </c>
      <c r="D2388" s="2906">
        <v>249</v>
      </c>
      <c r="E2388" s="1603" t="s">
        <v>2497</v>
      </c>
      <c r="F2388" s="1583"/>
      <c r="G2388" s="1583"/>
      <c r="H2388" s="1583"/>
      <c r="I2388" s="1583"/>
      <c r="J2388" s="1583"/>
      <c r="K2388" s="1583"/>
      <c r="L2388" s="1583"/>
      <c r="M2388" s="1583"/>
      <c r="N2388" s="1583"/>
      <c r="O2388" s="1583"/>
      <c r="P2388" s="1583"/>
      <c r="Q2388" s="1604"/>
      <c r="R2388" s="1583"/>
      <c r="S2388" s="1583"/>
      <c r="T2388" s="1604"/>
      <c r="U2388" s="1585"/>
      <c r="V2388" s="1585"/>
      <c r="W2388" s="1585"/>
      <c r="X2388" s="1585"/>
      <c r="Y2388" s="1585"/>
      <c r="Z2388" s="1585"/>
      <c r="AA2388" s="1585"/>
      <c r="AB2388" s="1585"/>
      <c r="AC2388" s="1585"/>
      <c r="AD2388" s="1601">
        <f t="shared" si="179"/>
        <v>0</v>
      </c>
      <c r="AE2388" s="1790">
        <v>0</v>
      </c>
      <c r="AF2388" s="1792"/>
    </row>
    <row r="2389" spans="1:32" ht="27.75" customHeight="1">
      <c r="A2389" s="2899" t="s">
        <v>1366</v>
      </c>
      <c r="B2389" s="2901" t="s">
        <v>1866</v>
      </c>
      <c r="C2389" s="2903" t="s">
        <v>52</v>
      </c>
      <c r="D2389" s="2905">
        <v>934.83</v>
      </c>
      <c r="E2389" s="1810" t="s">
        <v>2496</v>
      </c>
      <c r="F2389" s="1811"/>
      <c r="G2389" s="1811"/>
      <c r="H2389" s="1811"/>
      <c r="I2389" s="1811"/>
      <c r="J2389" s="1811"/>
      <c r="K2389" s="1811"/>
      <c r="L2389" s="1811"/>
      <c r="M2389" s="1811"/>
      <c r="N2389" s="1811"/>
      <c r="O2389" s="1811"/>
      <c r="P2389" s="1811"/>
      <c r="Q2389" s="1812"/>
      <c r="R2389" s="1811"/>
      <c r="S2389" s="1811"/>
      <c r="T2389" s="1812"/>
      <c r="U2389" s="1812"/>
      <c r="V2389" s="1812"/>
      <c r="W2389" s="1812"/>
      <c r="X2389" s="1812"/>
      <c r="Y2389" s="1812"/>
      <c r="Z2389" s="1585">
        <f>D2389</f>
        <v>934.83</v>
      </c>
      <c r="AA2389" s="1812"/>
      <c r="AB2389" s="1812"/>
      <c r="AC2389" s="1812"/>
      <c r="AD2389" s="1601">
        <f t="shared" si="179"/>
        <v>934.83</v>
      </c>
      <c r="AE2389" s="1790">
        <v>0</v>
      </c>
      <c r="AF2389" s="1792"/>
    </row>
    <row r="2390" spans="1:32" ht="27.75" customHeight="1">
      <c r="A2390" s="2900" t="s">
        <v>1366</v>
      </c>
      <c r="B2390" s="2902" t="s">
        <v>1866</v>
      </c>
      <c r="C2390" s="2904" t="s">
        <v>52</v>
      </c>
      <c r="D2390" s="2906">
        <v>934.83</v>
      </c>
      <c r="E2390" s="1603" t="s">
        <v>2497</v>
      </c>
      <c r="F2390" s="1583"/>
      <c r="G2390" s="1583"/>
      <c r="H2390" s="1583"/>
      <c r="I2390" s="1583"/>
      <c r="J2390" s="1583"/>
      <c r="K2390" s="1583"/>
      <c r="L2390" s="1583"/>
      <c r="M2390" s="1583"/>
      <c r="N2390" s="1583"/>
      <c r="O2390" s="1583"/>
      <c r="P2390" s="1583"/>
      <c r="Q2390" s="1604"/>
      <c r="R2390" s="1583"/>
      <c r="S2390" s="1583"/>
      <c r="T2390" s="1604"/>
      <c r="U2390" s="1592"/>
      <c r="V2390" s="1585"/>
      <c r="W2390" s="1585"/>
      <c r="X2390" s="1585"/>
      <c r="Y2390" s="1592"/>
      <c r="Z2390" s="1585"/>
      <c r="AA2390" s="1585"/>
      <c r="AB2390" s="1585"/>
      <c r="AC2390" s="1585"/>
      <c r="AD2390" s="1601">
        <f t="shared" si="179"/>
        <v>0</v>
      </c>
      <c r="AE2390" s="1790">
        <v>0</v>
      </c>
      <c r="AF2390" s="1792"/>
    </row>
    <row r="2391" spans="1:32" ht="27.75" customHeight="1">
      <c r="A2391" s="2899" t="s">
        <v>1367</v>
      </c>
      <c r="B2391" s="2901" t="s">
        <v>1867</v>
      </c>
      <c r="C2391" s="2903" t="s">
        <v>52</v>
      </c>
      <c r="D2391" s="2905">
        <v>336.78</v>
      </c>
      <c r="E2391" s="1810" t="s">
        <v>2496</v>
      </c>
      <c r="F2391" s="1811"/>
      <c r="G2391" s="1811"/>
      <c r="H2391" s="1811"/>
      <c r="I2391" s="1811"/>
      <c r="J2391" s="1811"/>
      <c r="K2391" s="1811"/>
      <c r="L2391" s="1811"/>
      <c r="M2391" s="1811"/>
      <c r="N2391" s="1811"/>
      <c r="O2391" s="1811"/>
      <c r="P2391" s="1811"/>
      <c r="Q2391" s="1812"/>
      <c r="R2391" s="1811"/>
      <c r="S2391" s="1811"/>
      <c r="T2391" s="1812"/>
      <c r="U2391" s="1812"/>
      <c r="V2391" s="1812"/>
      <c r="W2391" s="1812"/>
      <c r="X2391" s="1812"/>
      <c r="Y2391" s="1812"/>
      <c r="Z2391" s="1585">
        <f>D2391</f>
        <v>336.78</v>
      </c>
      <c r="AA2391" s="1812"/>
      <c r="AB2391" s="1812"/>
      <c r="AC2391" s="1812"/>
      <c r="AD2391" s="1601">
        <f t="shared" si="179"/>
        <v>336.78</v>
      </c>
      <c r="AE2391" s="1790">
        <v>0</v>
      </c>
      <c r="AF2391" s="1792"/>
    </row>
    <row r="2392" spans="1:32" ht="27.75" customHeight="1">
      <c r="A2392" s="2900" t="s">
        <v>1367</v>
      </c>
      <c r="B2392" s="2902" t="s">
        <v>1867</v>
      </c>
      <c r="C2392" s="2904" t="s">
        <v>52</v>
      </c>
      <c r="D2392" s="2906">
        <v>336.78</v>
      </c>
      <c r="E2392" s="1603" t="s">
        <v>2497</v>
      </c>
      <c r="F2392" s="1583"/>
      <c r="G2392" s="1583"/>
      <c r="H2392" s="1583"/>
      <c r="I2392" s="1583"/>
      <c r="J2392" s="1583"/>
      <c r="K2392" s="1583"/>
      <c r="L2392" s="1583"/>
      <c r="M2392" s="1583"/>
      <c r="N2392" s="1583"/>
      <c r="O2392" s="1583"/>
      <c r="P2392" s="1583"/>
      <c r="Q2392" s="1604"/>
      <c r="R2392" s="1583"/>
      <c r="S2392" s="1583"/>
      <c r="T2392" s="1604"/>
      <c r="U2392" s="1592"/>
      <c r="V2392" s="1585"/>
      <c r="W2392" s="1585"/>
      <c r="X2392" s="1585"/>
      <c r="Y2392" s="1592"/>
      <c r="Z2392" s="1585"/>
      <c r="AA2392" s="1585"/>
      <c r="AB2392" s="1585"/>
      <c r="AC2392" s="1585"/>
      <c r="AD2392" s="1601">
        <f t="shared" si="179"/>
        <v>0</v>
      </c>
      <c r="AE2392" s="1790">
        <v>0</v>
      </c>
      <c r="AF2392" s="1792"/>
    </row>
    <row r="2393" spans="1:32" ht="27.75" customHeight="1">
      <c r="A2393" s="1108" t="s">
        <v>1371</v>
      </c>
      <c r="B2393" s="1111" t="s">
        <v>1871</v>
      </c>
      <c r="C2393" s="1805"/>
      <c r="D2393" s="1804"/>
      <c r="E2393" s="1820"/>
      <c r="F2393" s="1811"/>
      <c r="G2393" s="1811"/>
      <c r="H2393" s="1811"/>
      <c r="I2393" s="1811"/>
      <c r="J2393" s="1811"/>
      <c r="K2393" s="1811"/>
      <c r="L2393" s="1811"/>
      <c r="M2393" s="1811"/>
      <c r="N2393" s="1811"/>
      <c r="O2393" s="1811"/>
      <c r="P2393" s="1811"/>
      <c r="Q2393" s="1814"/>
      <c r="R2393" s="1811"/>
      <c r="S2393" s="1811"/>
      <c r="T2393" s="1814"/>
      <c r="U2393" s="1816"/>
      <c r="V2393" s="1812"/>
      <c r="W2393" s="1812"/>
      <c r="X2393" s="1812"/>
      <c r="Y2393" s="1816"/>
      <c r="Z2393" s="1812"/>
      <c r="AA2393" s="1812"/>
      <c r="AB2393" s="1812"/>
      <c r="AC2393" s="1812"/>
      <c r="AD2393" s="1601">
        <f t="shared" si="179"/>
        <v>0</v>
      </c>
      <c r="AE2393" s="1790">
        <v>0</v>
      </c>
      <c r="AF2393" s="1792"/>
    </row>
    <row r="2394" spans="1:32" ht="27.75" customHeight="1">
      <c r="A2394" s="2899" t="s">
        <v>1372</v>
      </c>
      <c r="B2394" s="2901" t="s">
        <v>1872</v>
      </c>
      <c r="C2394" s="2903" t="s">
        <v>52</v>
      </c>
      <c r="D2394" s="2905">
        <v>2116.2199999999998</v>
      </c>
      <c r="E2394" s="1810" t="s">
        <v>2496</v>
      </c>
      <c r="F2394" s="1811"/>
      <c r="G2394" s="1811"/>
      <c r="H2394" s="1811"/>
      <c r="I2394" s="1811"/>
      <c r="J2394" s="1811"/>
      <c r="K2394" s="1811"/>
      <c r="L2394" s="1811"/>
      <c r="M2394" s="1811"/>
      <c r="N2394" s="1811"/>
      <c r="O2394" s="1811"/>
      <c r="P2394" s="1811"/>
      <c r="Q2394" s="1812"/>
      <c r="R2394" s="1811"/>
      <c r="S2394" s="1811"/>
      <c r="T2394" s="1812"/>
      <c r="U2394" s="1812"/>
      <c r="V2394" s="1812"/>
      <c r="W2394" s="1812"/>
      <c r="X2394" s="1812"/>
      <c r="Y2394" s="1812"/>
      <c r="Z2394" s="1585">
        <f>D2394</f>
        <v>2116.2199999999998</v>
      </c>
      <c r="AA2394" s="1812"/>
      <c r="AB2394" s="1812"/>
      <c r="AC2394" s="1812"/>
      <c r="AD2394" s="1601">
        <f t="shared" si="179"/>
        <v>2116.2199999999998</v>
      </c>
      <c r="AE2394" s="1790">
        <v>0</v>
      </c>
      <c r="AF2394" s="1792"/>
    </row>
    <row r="2395" spans="1:32" ht="27.75" customHeight="1">
      <c r="A2395" s="2900" t="s">
        <v>1372</v>
      </c>
      <c r="B2395" s="2902" t="s">
        <v>1872</v>
      </c>
      <c r="C2395" s="2904" t="s">
        <v>52</v>
      </c>
      <c r="D2395" s="2906">
        <v>2116.2199999999998</v>
      </c>
      <c r="E2395" s="1603" t="s">
        <v>2497</v>
      </c>
      <c r="F2395" s="1583"/>
      <c r="G2395" s="1583"/>
      <c r="H2395" s="1583"/>
      <c r="I2395" s="1583"/>
      <c r="J2395" s="1583"/>
      <c r="K2395" s="1583"/>
      <c r="L2395" s="1583"/>
      <c r="M2395" s="1583"/>
      <c r="N2395" s="1583"/>
      <c r="O2395" s="1583"/>
      <c r="P2395" s="1583"/>
      <c r="Q2395" s="1604"/>
      <c r="R2395" s="1583"/>
      <c r="S2395" s="1583"/>
      <c r="T2395" s="1604"/>
      <c r="U2395" s="1592"/>
      <c r="V2395" s="1585"/>
      <c r="W2395" s="1585"/>
      <c r="X2395" s="1585"/>
      <c r="Y2395" s="1592"/>
      <c r="Z2395" s="1585"/>
      <c r="AA2395" s="1585"/>
      <c r="AB2395" s="1585"/>
      <c r="AC2395" s="1585"/>
      <c r="AD2395" s="1601">
        <f t="shared" si="179"/>
        <v>0</v>
      </c>
      <c r="AE2395" s="1790">
        <v>0</v>
      </c>
      <c r="AF2395" s="1792"/>
    </row>
    <row r="2396" spans="1:32" ht="27.75" customHeight="1">
      <c r="A2396" s="1447">
        <v>5</v>
      </c>
      <c r="B2396" s="1402" t="s">
        <v>1885</v>
      </c>
      <c r="C2396" s="1625"/>
      <c r="D2396" s="1597"/>
      <c r="E2396" s="1599"/>
      <c r="F2396" s="1583"/>
      <c r="G2396" s="1583"/>
      <c r="H2396" s="1583"/>
      <c r="I2396" s="1583"/>
      <c r="J2396" s="1583"/>
      <c r="K2396" s="1583"/>
      <c r="L2396" s="1583"/>
      <c r="M2396" s="1583"/>
      <c r="N2396" s="1583"/>
      <c r="O2396" s="1583"/>
      <c r="P2396" s="1583"/>
      <c r="Q2396" s="1604"/>
      <c r="R2396" s="1583"/>
      <c r="S2396" s="1583"/>
      <c r="T2396" s="1604"/>
      <c r="U2396" s="1592"/>
      <c r="V2396" s="1585"/>
      <c r="W2396" s="1585"/>
      <c r="X2396" s="1585"/>
      <c r="Y2396" s="1592"/>
      <c r="Z2396" s="1585"/>
      <c r="AA2396" s="1585"/>
      <c r="AB2396" s="1585"/>
      <c r="AC2396" s="1585"/>
      <c r="AD2396" s="1601">
        <f t="shared" si="179"/>
        <v>0</v>
      </c>
      <c r="AE2396" s="1790">
        <v>0</v>
      </c>
      <c r="AF2396" s="1792"/>
    </row>
    <row r="2397" spans="1:32" ht="27.75" customHeight="1">
      <c r="A2397" s="1101">
        <v>5.5</v>
      </c>
      <c r="B2397" s="1102" t="s">
        <v>1945</v>
      </c>
      <c r="C2397" s="1625"/>
      <c r="D2397" s="1597"/>
      <c r="E2397" s="1599"/>
      <c r="F2397" s="1583"/>
      <c r="G2397" s="1583"/>
      <c r="H2397" s="1583"/>
      <c r="I2397" s="1583"/>
      <c r="J2397" s="1583"/>
      <c r="K2397" s="1583"/>
      <c r="L2397" s="1583"/>
      <c r="M2397" s="1583"/>
      <c r="N2397" s="1583"/>
      <c r="O2397" s="1583"/>
      <c r="P2397" s="1583"/>
      <c r="Q2397" s="1604"/>
      <c r="R2397" s="1583"/>
      <c r="S2397" s="1583"/>
      <c r="T2397" s="1604"/>
      <c r="U2397" s="1592"/>
      <c r="V2397" s="1585"/>
      <c r="W2397" s="1585"/>
      <c r="X2397" s="1585"/>
      <c r="Y2397" s="1592"/>
      <c r="Z2397" s="1585"/>
      <c r="AA2397" s="1585"/>
      <c r="AB2397" s="1585"/>
      <c r="AC2397" s="1585"/>
      <c r="AD2397" s="1601">
        <f t="shared" si="179"/>
        <v>0</v>
      </c>
      <c r="AE2397" s="1790">
        <v>0</v>
      </c>
      <c r="AF2397" s="1792"/>
    </row>
    <row r="2398" spans="1:32" ht="27.75" customHeight="1">
      <c r="A2398" s="1101" t="s">
        <v>1445</v>
      </c>
      <c r="B2398" s="1103" t="s">
        <v>1950</v>
      </c>
      <c r="C2398" s="1802"/>
      <c r="D2398" s="1788"/>
      <c r="E2398" s="1599"/>
      <c r="F2398" s="1583"/>
      <c r="G2398" s="1583"/>
      <c r="H2398" s="1583"/>
      <c r="I2398" s="1583"/>
      <c r="J2398" s="1583"/>
      <c r="K2398" s="1583"/>
      <c r="L2398" s="1583"/>
      <c r="M2398" s="1583"/>
      <c r="N2398" s="1583"/>
      <c r="O2398" s="1583"/>
      <c r="P2398" s="1583"/>
      <c r="Q2398" s="1604"/>
      <c r="R2398" s="1583"/>
      <c r="S2398" s="1583"/>
      <c r="T2398" s="1604"/>
      <c r="U2398" s="1592"/>
      <c r="V2398" s="1585"/>
      <c r="W2398" s="1585"/>
      <c r="X2398" s="1585"/>
      <c r="Y2398" s="1592"/>
      <c r="Z2398" s="1585"/>
      <c r="AA2398" s="1585"/>
      <c r="AB2398" s="1585"/>
      <c r="AC2398" s="1585"/>
      <c r="AD2398" s="1601">
        <f t="shared" si="179"/>
        <v>0</v>
      </c>
      <c r="AE2398" s="1790">
        <v>0</v>
      </c>
      <c r="AF2398" s="1792"/>
    </row>
    <row r="2399" spans="1:32" ht="27.75" customHeight="1">
      <c r="A2399" s="2899" t="s">
        <v>1447</v>
      </c>
      <c r="B2399" s="2901" t="s">
        <v>1952</v>
      </c>
      <c r="C2399" s="2903" t="s">
        <v>52</v>
      </c>
      <c r="D2399" s="2905">
        <v>1208.76</v>
      </c>
      <c r="E2399" s="1598" t="s">
        <v>2496</v>
      </c>
      <c r="F2399" s="1583"/>
      <c r="G2399" s="1583"/>
      <c r="H2399" s="1583"/>
      <c r="I2399" s="1583"/>
      <c r="J2399" s="1583"/>
      <c r="K2399" s="1583"/>
      <c r="L2399" s="1583"/>
      <c r="M2399" s="1583"/>
      <c r="N2399" s="1583"/>
      <c r="O2399" s="1583"/>
      <c r="P2399" s="1583"/>
      <c r="Q2399" s="1585"/>
      <c r="R2399" s="1583"/>
      <c r="S2399" s="1583"/>
      <c r="T2399" s="1585"/>
      <c r="U2399" s="1585"/>
      <c r="V2399" s="1585"/>
      <c r="W2399" s="1585"/>
      <c r="X2399" s="1585"/>
      <c r="Y2399" s="1585"/>
      <c r="Z2399" s="1585">
        <f>D2399</f>
        <v>1208.76</v>
      </c>
      <c r="AA2399" s="1585"/>
      <c r="AB2399" s="1585"/>
      <c r="AC2399" s="1585"/>
      <c r="AD2399" s="1601">
        <f t="shared" si="179"/>
        <v>1208.76</v>
      </c>
      <c r="AE2399" s="1790">
        <v>0</v>
      </c>
      <c r="AF2399" s="1792"/>
    </row>
    <row r="2400" spans="1:32" ht="27.75" customHeight="1">
      <c r="A2400" s="2900" t="s">
        <v>1447</v>
      </c>
      <c r="B2400" s="2902" t="s">
        <v>1952</v>
      </c>
      <c r="C2400" s="2904" t="s">
        <v>52</v>
      </c>
      <c r="D2400" s="2906">
        <v>1208.76</v>
      </c>
      <c r="E2400" s="1603" t="s">
        <v>2497</v>
      </c>
      <c r="F2400" s="1583"/>
      <c r="G2400" s="1583"/>
      <c r="H2400" s="1583"/>
      <c r="I2400" s="1583"/>
      <c r="J2400" s="1583"/>
      <c r="K2400" s="1583"/>
      <c r="L2400" s="1583"/>
      <c r="M2400" s="1583"/>
      <c r="N2400" s="1583"/>
      <c r="O2400" s="1583"/>
      <c r="P2400" s="1583"/>
      <c r="Q2400" s="1604"/>
      <c r="R2400" s="1583"/>
      <c r="S2400" s="1583"/>
      <c r="T2400" s="1604"/>
      <c r="U2400" s="1585"/>
      <c r="V2400" s="1585"/>
      <c r="W2400" s="1585"/>
      <c r="X2400" s="1585"/>
      <c r="Y2400" s="1585"/>
      <c r="Z2400" s="1585"/>
      <c r="AA2400" s="1585"/>
      <c r="AB2400" s="1585"/>
      <c r="AC2400" s="1585"/>
      <c r="AD2400" s="1601">
        <f t="shared" si="179"/>
        <v>0</v>
      </c>
      <c r="AE2400" s="1790">
        <v>0</v>
      </c>
      <c r="AF2400" s="1792"/>
    </row>
    <row r="2401" spans="1:32" ht="27.75" customHeight="1">
      <c r="A2401" s="2899" t="s">
        <v>1448</v>
      </c>
      <c r="B2401" s="2901" t="s">
        <v>1953</v>
      </c>
      <c r="C2401" s="2903" t="s">
        <v>52</v>
      </c>
      <c r="D2401" s="2905">
        <v>550.08000000000004</v>
      </c>
      <c r="E2401" s="1810" t="s">
        <v>2496</v>
      </c>
      <c r="F2401" s="1811"/>
      <c r="G2401" s="1811"/>
      <c r="H2401" s="1811"/>
      <c r="I2401" s="1811"/>
      <c r="J2401" s="1811"/>
      <c r="K2401" s="1811"/>
      <c r="L2401" s="1811"/>
      <c r="M2401" s="1811"/>
      <c r="N2401" s="1811"/>
      <c r="O2401" s="1811"/>
      <c r="P2401" s="1811"/>
      <c r="Q2401" s="1812"/>
      <c r="R2401" s="1811"/>
      <c r="S2401" s="1811"/>
      <c r="T2401" s="1812"/>
      <c r="U2401" s="1812"/>
      <c r="V2401" s="1812"/>
      <c r="W2401" s="1812"/>
      <c r="X2401" s="1812"/>
      <c r="Y2401" s="1812"/>
      <c r="Z2401" s="1585">
        <f>D2401</f>
        <v>550.08000000000004</v>
      </c>
      <c r="AA2401" s="1812"/>
      <c r="AB2401" s="1812"/>
      <c r="AC2401" s="1812"/>
      <c r="AD2401" s="1601">
        <f t="shared" si="179"/>
        <v>550.08000000000004</v>
      </c>
      <c r="AE2401" s="1790">
        <v>0</v>
      </c>
      <c r="AF2401" s="1792"/>
    </row>
    <row r="2402" spans="1:32" ht="27.75" customHeight="1">
      <c r="A2402" s="2900" t="s">
        <v>1448</v>
      </c>
      <c r="B2402" s="2902" t="s">
        <v>1953</v>
      </c>
      <c r="C2402" s="2904" t="s">
        <v>52</v>
      </c>
      <c r="D2402" s="2906">
        <v>550.08000000000004</v>
      </c>
      <c r="E2402" s="1603" t="s">
        <v>2497</v>
      </c>
      <c r="F2402" s="1583"/>
      <c r="G2402" s="1583"/>
      <c r="H2402" s="1583"/>
      <c r="I2402" s="1583"/>
      <c r="J2402" s="1583"/>
      <c r="K2402" s="1583"/>
      <c r="L2402" s="1583"/>
      <c r="M2402" s="1583"/>
      <c r="N2402" s="1583"/>
      <c r="O2402" s="1583"/>
      <c r="P2402" s="1583"/>
      <c r="Q2402" s="1604"/>
      <c r="R2402" s="1583"/>
      <c r="S2402" s="1583"/>
      <c r="T2402" s="1604"/>
      <c r="U2402" s="1592"/>
      <c r="V2402" s="1585"/>
      <c r="W2402" s="1585"/>
      <c r="X2402" s="1585"/>
      <c r="Y2402" s="1592"/>
      <c r="Z2402" s="1585"/>
      <c r="AA2402" s="1585"/>
      <c r="AB2402" s="1585"/>
      <c r="AC2402" s="1585"/>
      <c r="AD2402" s="1601">
        <f t="shared" si="179"/>
        <v>0</v>
      </c>
      <c r="AE2402" s="1790">
        <v>0</v>
      </c>
      <c r="AF2402" s="1792"/>
    </row>
    <row r="2403" spans="1:32" ht="27.75" customHeight="1">
      <c r="A2403" s="1102">
        <v>5.5</v>
      </c>
      <c r="B2403" s="1752" t="s">
        <v>1945</v>
      </c>
      <c r="C2403" s="1625"/>
      <c r="D2403" s="1597"/>
      <c r="E2403" s="1599"/>
      <c r="F2403" s="1583"/>
      <c r="G2403" s="1583"/>
      <c r="H2403" s="1583"/>
      <c r="I2403" s="1583"/>
      <c r="J2403" s="1583"/>
      <c r="K2403" s="1583"/>
      <c r="L2403" s="1583"/>
      <c r="M2403" s="1583"/>
      <c r="N2403" s="1583"/>
      <c r="O2403" s="1583"/>
      <c r="P2403" s="1583"/>
      <c r="Q2403" s="1604"/>
      <c r="R2403" s="1583"/>
      <c r="S2403" s="1583"/>
      <c r="T2403" s="1604"/>
      <c r="U2403" s="1592"/>
      <c r="V2403" s="1585"/>
      <c r="W2403" s="1585"/>
      <c r="X2403" s="1585"/>
      <c r="Y2403" s="1592"/>
      <c r="Z2403" s="1585"/>
      <c r="AA2403" s="1585"/>
      <c r="AB2403" s="1585"/>
      <c r="AC2403" s="1585"/>
      <c r="AD2403" s="1601">
        <f t="shared" si="179"/>
        <v>0</v>
      </c>
      <c r="AE2403" s="1790">
        <v>0</v>
      </c>
      <c r="AF2403" s="1792"/>
    </row>
    <row r="2404" spans="1:32" ht="27.75" customHeight="1">
      <c r="A2404" s="1108" t="s">
        <v>1442</v>
      </c>
      <c r="B2404" s="1753" t="s">
        <v>1947</v>
      </c>
      <c r="C2404" s="1625"/>
      <c r="D2404" s="1597"/>
      <c r="E2404" s="1599"/>
      <c r="F2404" s="1583"/>
      <c r="G2404" s="1583"/>
      <c r="H2404" s="1583"/>
      <c r="I2404" s="1583"/>
      <c r="J2404" s="1583"/>
      <c r="K2404" s="1583"/>
      <c r="L2404" s="1583"/>
      <c r="M2404" s="1583"/>
      <c r="N2404" s="1583"/>
      <c r="O2404" s="1583"/>
      <c r="P2404" s="1583"/>
      <c r="Q2404" s="1604"/>
      <c r="R2404" s="1583"/>
      <c r="S2404" s="1583"/>
      <c r="T2404" s="1604"/>
      <c r="U2404" s="1592"/>
      <c r="V2404" s="1585"/>
      <c r="W2404" s="1585"/>
      <c r="X2404" s="1585"/>
      <c r="Y2404" s="1592"/>
      <c r="Z2404" s="1585"/>
      <c r="AA2404" s="1585"/>
      <c r="AB2404" s="1585"/>
      <c r="AC2404" s="1585"/>
      <c r="AD2404" s="1601">
        <f t="shared" si="179"/>
        <v>0</v>
      </c>
      <c r="AE2404" s="1790">
        <v>0</v>
      </c>
      <c r="AF2404" s="1792"/>
    </row>
    <row r="2405" spans="1:32" ht="27.75" customHeight="1">
      <c r="A2405" s="2899"/>
      <c r="B2405" s="2901" t="s">
        <v>2418</v>
      </c>
      <c r="C2405" s="2903" t="s">
        <v>51</v>
      </c>
      <c r="D2405" s="2905">
        <v>16002</v>
      </c>
      <c r="E2405" s="1598" t="s">
        <v>2496</v>
      </c>
      <c r="F2405" s="1583"/>
      <c r="G2405" s="1583"/>
      <c r="H2405" s="1583"/>
      <c r="I2405" s="1583"/>
      <c r="J2405" s="1583"/>
      <c r="K2405" s="1583"/>
      <c r="L2405" s="1583"/>
      <c r="M2405" s="1583"/>
      <c r="N2405" s="1583"/>
      <c r="O2405" s="1583"/>
      <c r="P2405" s="1583"/>
      <c r="Q2405" s="1585"/>
      <c r="R2405" s="1583"/>
      <c r="S2405" s="1583"/>
      <c r="T2405" s="1585"/>
      <c r="U2405" s="1585"/>
      <c r="V2405" s="1585"/>
      <c r="W2405" s="1585"/>
      <c r="X2405" s="1585"/>
      <c r="Y2405" s="1585"/>
      <c r="Z2405" s="1585">
        <f>D2405</f>
        <v>16002</v>
      </c>
      <c r="AA2405" s="1585"/>
      <c r="AB2405" s="1585"/>
      <c r="AC2405" s="1585"/>
      <c r="AD2405" s="1601">
        <f t="shared" si="179"/>
        <v>16002</v>
      </c>
      <c r="AE2405" s="1790">
        <v>0</v>
      </c>
      <c r="AF2405" s="1792"/>
    </row>
    <row r="2406" spans="1:32" ht="27.75" customHeight="1">
      <c r="A2406" s="2900"/>
      <c r="B2406" s="2902" t="s">
        <v>2418</v>
      </c>
      <c r="C2406" s="2904" t="s">
        <v>51</v>
      </c>
      <c r="D2406" s="2906">
        <v>16002</v>
      </c>
      <c r="E2406" s="1603" t="s">
        <v>2497</v>
      </c>
      <c r="F2406" s="1583"/>
      <c r="G2406" s="1583"/>
      <c r="H2406" s="1583"/>
      <c r="I2406" s="1583"/>
      <c r="J2406" s="1583"/>
      <c r="K2406" s="1583"/>
      <c r="L2406" s="1583"/>
      <c r="M2406" s="1583"/>
      <c r="N2406" s="1583"/>
      <c r="O2406" s="1583"/>
      <c r="P2406" s="1583"/>
      <c r="Q2406" s="1604"/>
      <c r="R2406" s="1583"/>
      <c r="S2406" s="1583"/>
      <c r="T2406" s="1604"/>
      <c r="U2406" s="1585"/>
      <c r="V2406" s="1585"/>
      <c r="W2406" s="1585"/>
      <c r="X2406" s="1585"/>
      <c r="Y2406" s="1585"/>
      <c r="Z2406" s="1585"/>
      <c r="AA2406" s="1585"/>
      <c r="AB2406" s="1585"/>
      <c r="AC2406" s="1585"/>
      <c r="AD2406" s="1601">
        <f t="shared" si="179"/>
        <v>0</v>
      </c>
      <c r="AE2406" s="1790">
        <v>0</v>
      </c>
      <c r="AF2406" s="1792"/>
    </row>
    <row r="2407" spans="1:32" ht="27.75" customHeight="1">
      <c r="A2407" s="2899"/>
      <c r="B2407" s="2901" t="s">
        <v>1949</v>
      </c>
      <c r="C2407" s="2903" t="s">
        <v>51</v>
      </c>
      <c r="D2407" s="2905">
        <v>3060</v>
      </c>
      <c r="E2407" s="1810" t="s">
        <v>2496</v>
      </c>
      <c r="F2407" s="1811"/>
      <c r="G2407" s="1811"/>
      <c r="H2407" s="1811"/>
      <c r="I2407" s="1811"/>
      <c r="J2407" s="1811"/>
      <c r="K2407" s="1811"/>
      <c r="L2407" s="1811"/>
      <c r="M2407" s="1811"/>
      <c r="N2407" s="1811"/>
      <c r="O2407" s="1811"/>
      <c r="P2407" s="1811"/>
      <c r="Q2407" s="1812"/>
      <c r="R2407" s="1811"/>
      <c r="S2407" s="1811"/>
      <c r="T2407" s="1812"/>
      <c r="U2407" s="1812"/>
      <c r="V2407" s="1812"/>
      <c r="W2407" s="1812"/>
      <c r="X2407" s="1812"/>
      <c r="Y2407" s="1812"/>
      <c r="Z2407" s="1585">
        <f>D2407</f>
        <v>3060</v>
      </c>
      <c r="AA2407" s="1812"/>
      <c r="AB2407" s="1812"/>
      <c r="AC2407" s="1812"/>
      <c r="AD2407" s="1601">
        <f t="shared" si="179"/>
        <v>3060</v>
      </c>
      <c r="AE2407" s="1790">
        <v>0</v>
      </c>
      <c r="AF2407" s="1792"/>
    </row>
    <row r="2408" spans="1:32" ht="27.75" customHeight="1">
      <c r="A2408" s="2900"/>
      <c r="B2408" s="2902" t="s">
        <v>1949</v>
      </c>
      <c r="C2408" s="2904" t="s">
        <v>51</v>
      </c>
      <c r="D2408" s="2906">
        <v>3060</v>
      </c>
      <c r="E2408" s="1603" t="s">
        <v>2497</v>
      </c>
      <c r="F2408" s="1583"/>
      <c r="G2408" s="1583"/>
      <c r="H2408" s="1583"/>
      <c r="I2408" s="1583"/>
      <c r="J2408" s="1583"/>
      <c r="K2408" s="1583"/>
      <c r="L2408" s="1583"/>
      <c r="M2408" s="1583"/>
      <c r="N2408" s="1583"/>
      <c r="O2408" s="1583"/>
      <c r="P2408" s="1583"/>
      <c r="Q2408" s="1604"/>
      <c r="R2408" s="1583"/>
      <c r="S2408" s="1583"/>
      <c r="T2408" s="1604"/>
      <c r="U2408" s="1592"/>
      <c r="V2408" s="1585"/>
      <c r="W2408" s="1585"/>
      <c r="X2408" s="1585"/>
      <c r="Y2408" s="1592"/>
      <c r="Z2408" s="1585"/>
      <c r="AA2408" s="1585"/>
      <c r="AB2408" s="1585"/>
      <c r="AC2408" s="1585"/>
      <c r="AD2408" s="1601">
        <f t="shared" si="179"/>
        <v>0</v>
      </c>
      <c r="AE2408" s="1790">
        <v>0</v>
      </c>
      <c r="AF2408" s="1792"/>
    </row>
    <row r="2409" spans="1:32" ht="27.75" customHeight="1">
      <c r="A2409" s="1706">
        <v>6</v>
      </c>
      <c r="B2409" s="1707" t="s">
        <v>1969</v>
      </c>
      <c r="C2409" s="1625"/>
      <c r="D2409" s="1597"/>
      <c r="E2409" s="1599"/>
      <c r="F2409" s="1811"/>
      <c r="G2409" s="1811"/>
      <c r="H2409" s="1811"/>
      <c r="I2409" s="1811"/>
      <c r="J2409" s="1811"/>
      <c r="K2409" s="1811"/>
      <c r="L2409" s="1811"/>
      <c r="M2409" s="1811"/>
      <c r="N2409" s="1811"/>
      <c r="O2409" s="1811"/>
      <c r="P2409" s="1811"/>
      <c r="Q2409" s="1814"/>
      <c r="R2409" s="1811"/>
      <c r="S2409" s="1811"/>
      <c r="T2409" s="1814"/>
      <c r="U2409" s="1816"/>
      <c r="V2409" s="1812"/>
      <c r="W2409" s="1812"/>
      <c r="X2409" s="1812"/>
      <c r="Y2409" s="1816"/>
      <c r="Z2409" s="1812"/>
      <c r="AA2409" s="1812"/>
      <c r="AB2409" s="1812"/>
      <c r="AC2409" s="1812"/>
      <c r="AD2409" s="1601">
        <f t="shared" si="179"/>
        <v>0</v>
      </c>
      <c r="AE2409" s="1790">
        <v>0</v>
      </c>
      <c r="AF2409" s="1792"/>
    </row>
    <row r="2410" spans="1:32" ht="27.75" customHeight="1">
      <c r="A2410" s="1102">
        <v>6.1</v>
      </c>
      <c r="B2410" s="1752" t="s">
        <v>1970</v>
      </c>
      <c r="C2410" s="1625"/>
      <c r="D2410" s="1597"/>
      <c r="E2410" s="1599"/>
      <c r="F2410" s="1811"/>
      <c r="G2410" s="1811"/>
      <c r="H2410" s="1811"/>
      <c r="I2410" s="1811"/>
      <c r="J2410" s="1811"/>
      <c r="K2410" s="1811"/>
      <c r="L2410" s="1811"/>
      <c r="M2410" s="1811"/>
      <c r="N2410" s="1811"/>
      <c r="O2410" s="1811"/>
      <c r="P2410" s="1811"/>
      <c r="Q2410" s="1814"/>
      <c r="R2410" s="1811"/>
      <c r="S2410" s="1811"/>
      <c r="T2410" s="1814"/>
      <c r="U2410" s="1816"/>
      <c r="V2410" s="1812"/>
      <c r="W2410" s="1812"/>
      <c r="X2410" s="1812"/>
      <c r="Y2410" s="1816"/>
      <c r="Z2410" s="1812"/>
      <c r="AA2410" s="1812"/>
      <c r="AB2410" s="1812"/>
      <c r="AC2410" s="1812"/>
      <c r="AD2410" s="1601">
        <f t="shared" si="179"/>
        <v>0</v>
      </c>
      <c r="AE2410" s="1790">
        <v>0</v>
      </c>
      <c r="AF2410" s="1792"/>
    </row>
    <row r="2411" spans="1:32" ht="27.75" customHeight="1">
      <c r="A2411" s="2899" t="s">
        <v>1465</v>
      </c>
      <c r="B2411" s="2901" t="s">
        <v>1974</v>
      </c>
      <c r="C2411" s="2903" t="s">
        <v>52</v>
      </c>
      <c r="D2411" s="2905">
        <v>7089.84</v>
      </c>
      <c r="E2411" s="1810" t="s">
        <v>2496</v>
      </c>
      <c r="F2411" s="1811"/>
      <c r="G2411" s="1811"/>
      <c r="H2411" s="1811"/>
      <c r="I2411" s="1811"/>
      <c r="J2411" s="1811"/>
      <c r="K2411" s="1811"/>
      <c r="L2411" s="1811"/>
      <c r="M2411" s="1811"/>
      <c r="N2411" s="1811"/>
      <c r="O2411" s="1811"/>
      <c r="P2411" s="1811"/>
      <c r="Q2411" s="1812"/>
      <c r="R2411" s="1811"/>
      <c r="S2411" s="1811"/>
      <c r="T2411" s="1812"/>
      <c r="U2411" s="1812"/>
      <c r="V2411" s="1812"/>
      <c r="W2411" s="1812"/>
      <c r="X2411" s="1812"/>
      <c r="Y2411" s="1812"/>
      <c r="Z2411" s="1585"/>
      <c r="AA2411" s="1812"/>
      <c r="AB2411" s="1812"/>
      <c r="AC2411" s="1812">
        <v>7089.84</v>
      </c>
      <c r="AD2411" s="1601">
        <f t="shared" si="179"/>
        <v>7089.84</v>
      </c>
      <c r="AE2411" s="1790">
        <v>0</v>
      </c>
      <c r="AF2411" s="1792"/>
    </row>
    <row r="2412" spans="1:32" ht="27.75" customHeight="1">
      <c r="A2412" s="2900" t="s">
        <v>1465</v>
      </c>
      <c r="B2412" s="2902" t="s">
        <v>1974</v>
      </c>
      <c r="C2412" s="2904" t="s">
        <v>52</v>
      </c>
      <c r="D2412" s="2906">
        <v>7089.84</v>
      </c>
      <c r="E2412" s="1603" t="s">
        <v>2497</v>
      </c>
      <c r="F2412" s="1583"/>
      <c r="G2412" s="1583"/>
      <c r="H2412" s="1583"/>
      <c r="I2412" s="1583"/>
      <c r="J2412" s="1583"/>
      <c r="K2412" s="1583"/>
      <c r="L2412" s="1583"/>
      <c r="M2412" s="1583"/>
      <c r="N2412" s="1583"/>
      <c r="O2412" s="1583"/>
      <c r="P2412" s="1583"/>
      <c r="Q2412" s="1604"/>
      <c r="R2412" s="1583"/>
      <c r="S2412" s="1583"/>
      <c r="T2412" s="1604"/>
      <c r="U2412" s="1592"/>
      <c r="V2412" s="1585"/>
      <c r="W2412" s="1585"/>
      <c r="X2412" s="1585"/>
      <c r="Y2412" s="1592"/>
      <c r="Z2412" s="1585"/>
      <c r="AA2412" s="1585"/>
      <c r="AB2412" s="1585"/>
      <c r="AC2412" s="1585"/>
      <c r="AD2412" s="1601">
        <f t="shared" si="179"/>
        <v>0</v>
      </c>
      <c r="AE2412" s="1790">
        <v>0</v>
      </c>
      <c r="AF2412" s="1792"/>
    </row>
    <row r="2413" spans="1:32" ht="27.75" customHeight="1">
      <c r="A2413" s="1102">
        <v>6.2</v>
      </c>
      <c r="B2413" s="1752" t="s">
        <v>1976</v>
      </c>
      <c r="C2413" s="1625"/>
      <c r="D2413" s="1597"/>
      <c r="E2413" s="1813"/>
      <c r="F2413" s="1811"/>
      <c r="G2413" s="1811"/>
      <c r="H2413" s="1811"/>
      <c r="I2413" s="1811"/>
      <c r="J2413" s="1811"/>
      <c r="K2413" s="1811"/>
      <c r="L2413" s="1811"/>
      <c r="M2413" s="1811"/>
      <c r="N2413" s="1811"/>
      <c r="O2413" s="1811"/>
      <c r="P2413" s="1811"/>
      <c r="Q2413" s="1814"/>
      <c r="R2413" s="1811"/>
      <c r="S2413" s="1811"/>
      <c r="T2413" s="1814"/>
      <c r="U2413" s="1816"/>
      <c r="V2413" s="1812"/>
      <c r="W2413" s="1812"/>
      <c r="X2413" s="1812"/>
      <c r="Y2413" s="1816"/>
      <c r="Z2413" s="1812"/>
      <c r="AA2413" s="1812"/>
      <c r="AB2413" s="1812"/>
      <c r="AC2413" s="1812"/>
      <c r="AD2413" s="1601">
        <f t="shared" si="179"/>
        <v>0</v>
      </c>
      <c r="AE2413" s="1790">
        <v>0</v>
      </c>
      <c r="AF2413" s="1792"/>
    </row>
    <row r="2414" spans="1:32" ht="27.75" customHeight="1">
      <c r="A2414" s="1745" t="s">
        <v>1480</v>
      </c>
      <c r="B2414" s="1746" t="s">
        <v>1990</v>
      </c>
      <c r="C2414" s="1625"/>
      <c r="D2414" s="1597"/>
      <c r="E2414" s="1813"/>
      <c r="F2414" s="1811"/>
      <c r="G2414" s="1811"/>
      <c r="H2414" s="1811"/>
      <c r="I2414" s="1811"/>
      <c r="J2414" s="1811"/>
      <c r="K2414" s="1811"/>
      <c r="L2414" s="1811"/>
      <c r="M2414" s="1811"/>
      <c r="N2414" s="1811"/>
      <c r="O2414" s="1811"/>
      <c r="P2414" s="1811"/>
      <c r="Q2414" s="1814"/>
      <c r="R2414" s="1811"/>
      <c r="S2414" s="1811"/>
      <c r="T2414" s="1814"/>
      <c r="U2414" s="1816"/>
      <c r="V2414" s="1812"/>
      <c r="W2414" s="1812"/>
      <c r="X2414" s="1812"/>
      <c r="Y2414" s="1816"/>
      <c r="Z2414" s="1812"/>
      <c r="AA2414" s="1812"/>
      <c r="AB2414" s="1812"/>
      <c r="AC2414" s="1812"/>
      <c r="AD2414" s="1601">
        <f t="shared" si="179"/>
        <v>0</v>
      </c>
      <c r="AE2414" s="1790">
        <v>0</v>
      </c>
      <c r="AF2414" s="1792"/>
    </row>
    <row r="2415" spans="1:32" ht="27.75" customHeight="1">
      <c r="A2415" s="2899" t="s">
        <v>1483</v>
      </c>
      <c r="B2415" s="2901" t="s">
        <v>1993</v>
      </c>
      <c r="C2415" s="2903" t="s">
        <v>1145</v>
      </c>
      <c r="D2415" s="2905">
        <v>39.369999999999997</v>
      </c>
      <c r="E2415" s="1810" t="s">
        <v>2496</v>
      </c>
      <c r="F2415" s="1811"/>
      <c r="G2415" s="1811"/>
      <c r="H2415" s="1811"/>
      <c r="I2415" s="1811"/>
      <c r="J2415" s="1811"/>
      <c r="K2415" s="1811"/>
      <c r="L2415" s="1811"/>
      <c r="M2415" s="1811"/>
      <c r="N2415" s="1811"/>
      <c r="O2415" s="1811"/>
      <c r="P2415" s="1811"/>
      <c r="Q2415" s="1812"/>
      <c r="R2415" s="1811"/>
      <c r="S2415" s="1811"/>
      <c r="T2415" s="1812"/>
      <c r="U2415" s="1812"/>
      <c r="V2415" s="1812"/>
      <c r="W2415" s="1812"/>
      <c r="X2415" s="1812"/>
      <c r="Y2415" s="1812"/>
      <c r="Z2415" s="1585"/>
      <c r="AA2415" s="1812"/>
      <c r="AB2415" s="1812"/>
      <c r="AC2415" s="1812">
        <v>39.369999999999997</v>
      </c>
      <c r="AD2415" s="1601">
        <f t="shared" si="179"/>
        <v>39.369999999999997</v>
      </c>
      <c r="AE2415" s="1790">
        <v>0</v>
      </c>
      <c r="AF2415" s="1792"/>
    </row>
    <row r="2416" spans="1:32" ht="27.75" customHeight="1">
      <c r="A2416" s="2900" t="s">
        <v>1483</v>
      </c>
      <c r="B2416" s="2902" t="s">
        <v>1993</v>
      </c>
      <c r="C2416" s="2904" t="s">
        <v>1145</v>
      </c>
      <c r="D2416" s="2906">
        <v>39.369999999999997</v>
      </c>
      <c r="E2416" s="1603" t="s">
        <v>2497</v>
      </c>
      <c r="F2416" s="1583"/>
      <c r="G2416" s="1583"/>
      <c r="H2416" s="1583"/>
      <c r="I2416" s="1583"/>
      <c r="J2416" s="1583"/>
      <c r="K2416" s="1583"/>
      <c r="L2416" s="1583"/>
      <c r="M2416" s="1583"/>
      <c r="N2416" s="1583"/>
      <c r="O2416" s="1583"/>
      <c r="P2416" s="1583"/>
      <c r="Q2416" s="1604"/>
      <c r="R2416" s="1583"/>
      <c r="S2416" s="1583"/>
      <c r="T2416" s="1604"/>
      <c r="U2416" s="1592"/>
      <c r="V2416" s="1585"/>
      <c r="W2416" s="1585"/>
      <c r="X2416" s="1585"/>
      <c r="Y2416" s="1592"/>
      <c r="Z2416" s="1585"/>
      <c r="AA2416" s="1585"/>
      <c r="AB2416" s="1585"/>
      <c r="AC2416" s="1585"/>
      <c r="AD2416" s="1601">
        <f t="shared" si="179"/>
        <v>0</v>
      </c>
      <c r="AE2416" s="1790">
        <v>0</v>
      </c>
      <c r="AF2416" s="1792"/>
    </row>
    <row r="2417" spans="1:32" ht="27.75" customHeight="1">
      <c r="A2417" s="1745" t="s">
        <v>1491</v>
      </c>
      <c r="B2417" s="1746" t="s">
        <v>2001</v>
      </c>
      <c r="C2417" s="1803"/>
      <c r="D2417" s="1804"/>
      <c r="E2417" s="1599"/>
      <c r="F2417" s="1583"/>
      <c r="G2417" s="1583"/>
      <c r="H2417" s="1583"/>
      <c r="I2417" s="1583"/>
      <c r="J2417" s="1583"/>
      <c r="K2417" s="1583"/>
      <c r="L2417" s="1583"/>
      <c r="M2417" s="1583"/>
      <c r="N2417" s="1583"/>
      <c r="O2417" s="1583"/>
      <c r="P2417" s="1583"/>
      <c r="Q2417" s="1604"/>
      <c r="R2417" s="1583"/>
      <c r="S2417" s="1583"/>
      <c r="T2417" s="1604"/>
      <c r="U2417" s="1592"/>
      <c r="V2417" s="1585"/>
      <c r="W2417" s="1585"/>
      <c r="X2417" s="1585"/>
      <c r="Y2417" s="1592"/>
      <c r="Z2417" s="1585"/>
      <c r="AA2417" s="1585"/>
      <c r="AB2417" s="1585"/>
      <c r="AC2417" s="1585"/>
      <c r="AD2417" s="1601">
        <f t="shared" si="179"/>
        <v>0</v>
      </c>
      <c r="AE2417" s="1790">
        <v>0</v>
      </c>
      <c r="AF2417" s="1792"/>
    </row>
    <row r="2418" spans="1:32" ht="27.75" customHeight="1">
      <c r="A2418" s="2899" t="s">
        <v>1492</v>
      </c>
      <c r="B2418" s="2901" t="s">
        <v>2002</v>
      </c>
      <c r="C2418" s="2903" t="s">
        <v>52</v>
      </c>
      <c r="D2418" s="2905">
        <v>3250</v>
      </c>
      <c r="E2418" s="1598" t="s">
        <v>2496</v>
      </c>
      <c r="F2418" s="1583"/>
      <c r="G2418" s="1583"/>
      <c r="H2418" s="1583"/>
      <c r="I2418" s="1583"/>
      <c r="J2418" s="1583"/>
      <c r="K2418" s="1583"/>
      <c r="L2418" s="1583"/>
      <c r="M2418" s="1583"/>
      <c r="N2418" s="1583"/>
      <c r="O2418" s="1583"/>
      <c r="P2418" s="1583"/>
      <c r="Q2418" s="1585"/>
      <c r="R2418" s="1583"/>
      <c r="S2418" s="1583"/>
      <c r="T2418" s="1585"/>
      <c r="U2418" s="1585"/>
      <c r="V2418" s="1585"/>
      <c r="W2418" s="1585"/>
      <c r="X2418" s="1585"/>
      <c r="Y2418" s="1585"/>
      <c r="Z2418" s="1585"/>
      <c r="AA2418" s="1585"/>
      <c r="AB2418" s="1812"/>
      <c r="AC2418" s="1585">
        <v>3250</v>
      </c>
      <c r="AD2418" s="1601">
        <f t="shared" si="179"/>
        <v>3250</v>
      </c>
      <c r="AE2418" s="1790">
        <v>0</v>
      </c>
      <c r="AF2418" s="1792"/>
    </row>
    <row r="2419" spans="1:32" ht="27.75" customHeight="1">
      <c r="A2419" s="2900" t="s">
        <v>1492</v>
      </c>
      <c r="B2419" s="2902" t="s">
        <v>2002</v>
      </c>
      <c r="C2419" s="2904" t="s">
        <v>52</v>
      </c>
      <c r="D2419" s="2906">
        <v>3250</v>
      </c>
      <c r="E2419" s="1603" t="s">
        <v>2497</v>
      </c>
      <c r="F2419" s="1583"/>
      <c r="G2419" s="1583"/>
      <c r="H2419" s="1583"/>
      <c r="I2419" s="1583"/>
      <c r="J2419" s="1583"/>
      <c r="K2419" s="1583"/>
      <c r="L2419" s="1583"/>
      <c r="M2419" s="1583"/>
      <c r="N2419" s="1583"/>
      <c r="O2419" s="1583"/>
      <c r="P2419" s="1583"/>
      <c r="Q2419" s="1604"/>
      <c r="R2419" s="1583"/>
      <c r="S2419" s="1583"/>
      <c r="T2419" s="1604"/>
      <c r="U2419" s="1585"/>
      <c r="V2419" s="1585"/>
      <c r="W2419" s="1585"/>
      <c r="X2419" s="1585"/>
      <c r="Y2419" s="1585"/>
      <c r="Z2419" s="1585"/>
      <c r="AA2419" s="1585"/>
      <c r="AB2419" s="1585"/>
      <c r="AC2419" s="1585"/>
      <c r="AD2419" s="1601">
        <f t="shared" si="179"/>
        <v>0</v>
      </c>
      <c r="AE2419" s="1790">
        <v>0</v>
      </c>
      <c r="AF2419" s="1792"/>
    </row>
    <row r="2420" spans="1:32" ht="27.75" customHeight="1">
      <c r="A2420" s="2899" t="s">
        <v>1493</v>
      </c>
      <c r="B2420" s="2901" t="s">
        <v>2003</v>
      </c>
      <c r="C2420" s="2903" t="s">
        <v>52</v>
      </c>
      <c r="D2420" s="2905">
        <v>1950.5</v>
      </c>
      <c r="E2420" s="1810" t="s">
        <v>2496</v>
      </c>
      <c r="F2420" s="1811"/>
      <c r="G2420" s="1811"/>
      <c r="H2420" s="1811"/>
      <c r="I2420" s="1811"/>
      <c r="J2420" s="1811"/>
      <c r="K2420" s="1811"/>
      <c r="L2420" s="1811"/>
      <c r="M2420" s="1811"/>
      <c r="N2420" s="1811"/>
      <c r="O2420" s="1811"/>
      <c r="P2420" s="1811"/>
      <c r="Q2420" s="1812"/>
      <c r="R2420" s="1811"/>
      <c r="S2420" s="1811"/>
      <c r="T2420" s="1812"/>
      <c r="U2420" s="1812"/>
      <c r="V2420" s="1812"/>
      <c r="W2420" s="1812"/>
      <c r="X2420" s="1812"/>
      <c r="Y2420" s="1812"/>
      <c r="Z2420" s="1812"/>
      <c r="AA2420" s="1812"/>
      <c r="AB2420" s="1812"/>
      <c r="AC2420" s="1812">
        <v>1950.5</v>
      </c>
      <c r="AD2420" s="1601">
        <f t="shared" si="179"/>
        <v>1950.5</v>
      </c>
      <c r="AE2420" s="1790">
        <v>0</v>
      </c>
      <c r="AF2420" s="1792"/>
    </row>
    <row r="2421" spans="1:32" ht="27.75" customHeight="1">
      <c r="A2421" s="2900" t="s">
        <v>1493</v>
      </c>
      <c r="B2421" s="2902" t="s">
        <v>2003</v>
      </c>
      <c r="C2421" s="2904" t="s">
        <v>52</v>
      </c>
      <c r="D2421" s="2906">
        <v>1950.5</v>
      </c>
      <c r="E2421" s="1603" t="s">
        <v>2497</v>
      </c>
      <c r="F2421" s="1583"/>
      <c r="G2421" s="1583"/>
      <c r="H2421" s="1583"/>
      <c r="I2421" s="1583"/>
      <c r="J2421" s="1583"/>
      <c r="K2421" s="1583"/>
      <c r="L2421" s="1583"/>
      <c r="M2421" s="1583"/>
      <c r="N2421" s="1583"/>
      <c r="O2421" s="1583"/>
      <c r="P2421" s="1583"/>
      <c r="Q2421" s="1604"/>
      <c r="R2421" s="1583"/>
      <c r="S2421" s="1583"/>
      <c r="T2421" s="1604"/>
      <c r="U2421" s="1592"/>
      <c r="V2421" s="1585"/>
      <c r="W2421" s="1585"/>
      <c r="X2421" s="1585"/>
      <c r="Y2421" s="1592"/>
      <c r="Z2421" s="1585"/>
      <c r="AA2421" s="1585"/>
      <c r="AB2421" s="1585"/>
      <c r="AC2421" s="1585"/>
      <c r="AD2421" s="1601">
        <f t="shared" si="179"/>
        <v>0</v>
      </c>
      <c r="AE2421" s="1790">
        <v>0</v>
      </c>
      <c r="AF2421" s="1792"/>
    </row>
    <row r="2422" spans="1:32" ht="27.75" customHeight="1">
      <c r="A2422" s="2899" t="s">
        <v>1494</v>
      </c>
      <c r="B2422" s="2901" t="s">
        <v>2004</v>
      </c>
      <c r="C2422" s="2903" t="s">
        <v>52</v>
      </c>
      <c r="D2422" s="2905">
        <v>14500</v>
      </c>
      <c r="E2422" s="1810" t="s">
        <v>2496</v>
      </c>
      <c r="F2422" s="1811"/>
      <c r="G2422" s="1811"/>
      <c r="H2422" s="1811"/>
      <c r="I2422" s="1811"/>
      <c r="J2422" s="1811"/>
      <c r="K2422" s="1811"/>
      <c r="L2422" s="1811"/>
      <c r="M2422" s="1811"/>
      <c r="N2422" s="1811"/>
      <c r="O2422" s="1811"/>
      <c r="P2422" s="1811"/>
      <c r="Q2422" s="1812"/>
      <c r="R2422" s="1811"/>
      <c r="S2422" s="1811"/>
      <c r="T2422" s="1812"/>
      <c r="U2422" s="1812"/>
      <c r="V2422" s="1812"/>
      <c r="W2422" s="1812"/>
      <c r="X2422" s="1812"/>
      <c r="Y2422" s="1812"/>
      <c r="Z2422" s="1812"/>
      <c r="AA2422" s="1812"/>
      <c r="AB2422" s="1812"/>
      <c r="AC2422" s="1812">
        <v>14500</v>
      </c>
      <c r="AD2422" s="1601">
        <f t="shared" si="179"/>
        <v>14500</v>
      </c>
      <c r="AE2422" s="1790">
        <v>0</v>
      </c>
      <c r="AF2422" s="1792"/>
    </row>
    <row r="2423" spans="1:32" ht="27.75" customHeight="1">
      <c r="A2423" s="2900" t="s">
        <v>1494</v>
      </c>
      <c r="B2423" s="2902" t="s">
        <v>2004</v>
      </c>
      <c r="C2423" s="2904" t="s">
        <v>52</v>
      </c>
      <c r="D2423" s="2906">
        <v>14500</v>
      </c>
      <c r="E2423" s="1603" t="s">
        <v>2497</v>
      </c>
      <c r="F2423" s="1583"/>
      <c r="G2423" s="1583"/>
      <c r="H2423" s="1583"/>
      <c r="I2423" s="1583"/>
      <c r="J2423" s="1583"/>
      <c r="K2423" s="1583"/>
      <c r="L2423" s="1583"/>
      <c r="M2423" s="1583"/>
      <c r="N2423" s="1583"/>
      <c r="O2423" s="1583"/>
      <c r="P2423" s="1583"/>
      <c r="Q2423" s="1604"/>
      <c r="R2423" s="1583"/>
      <c r="S2423" s="1583"/>
      <c r="T2423" s="1604"/>
      <c r="U2423" s="1592"/>
      <c r="V2423" s="1585"/>
      <c r="W2423" s="1585"/>
      <c r="X2423" s="1585"/>
      <c r="Y2423" s="1592"/>
      <c r="Z2423" s="1585"/>
      <c r="AA2423" s="1585"/>
      <c r="AB2423" s="1585"/>
      <c r="AC2423" s="1585"/>
      <c r="AD2423" s="1601">
        <f t="shared" si="179"/>
        <v>0</v>
      </c>
      <c r="AE2423" s="1790">
        <v>0</v>
      </c>
      <c r="AF2423" s="1792"/>
    </row>
    <row r="2424" spans="1:32" ht="27.75" customHeight="1">
      <c r="A2424" s="2899" t="s">
        <v>1495</v>
      </c>
      <c r="B2424" s="2901" t="s">
        <v>2005</v>
      </c>
      <c r="C2424" s="2903" t="s">
        <v>52</v>
      </c>
      <c r="D2424" s="2905">
        <v>2150</v>
      </c>
      <c r="E2424" s="1810" t="s">
        <v>2496</v>
      </c>
      <c r="F2424" s="1811"/>
      <c r="G2424" s="1811"/>
      <c r="H2424" s="1811"/>
      <c r="I2424" s="1811"/>
      <c r="J2424" s="1811"/>
      <c r="K2424" s="1811"/>
      <c r="L2424" s="1811"/>
      <c r="M2424" s="1811"/>
      <c r="N2424" s="1811"/>
      <c r="O2424" s="1811"/>
      <c r="P2424" s="1811"/>
      <c r="Q2424" s="1812"/>
      <c r="R2424" s="1811"/>
      <c r="S2424" s="1811"/>
      <c r="T2424" s="1812"/>
      <c r="U2424" s="1812"/>
      <c r="V2424" s="1812"/>
      <c r="W2424" s="1812"/>
      <c r="X2424" s="1812"/>
      <c r="Y2424" s="1812"/>
      <c r="Z2424" s="1812"/>
      <c r="AA2424" s="1812"/>
      <c r="AB2424" s="1812"/>
      <c r="AC2424" s="1812">
        <v>2150</v>
      </c>
      <c r="AD2424" s="1601">
        <f t="shared" si="179"/>
        <v>2150</v>
      </c>
      <c r="AE2424" s="1790">
        <v>0</v>
      </c>
      <c r="AF2424" s="1792"/>
    </row>
    <row r="2425" spans="1:32" ht="27.75" customHeight="1">
      <c r="A2425" s="2900" t="s">
        <v>1495</v>
      </c>
      <c r="B2425" s="2902" t="s">
        <v>2005</v>
      </c>
      <c r="C2425" s="2904" t="s">
        <v>52</v>
      </c>
      <c r="D2425" s="2906">
        <v>2150</v>
      </c>
      <c r="E2425" s="1603" t="s">
        <v>2497</v>
      </c>
      <c r="F2425" s="1583"/>
      <c r="G2425" s="1583"/>
      <c r="H2425" s="1583"/>
      <c r="I2425" s="1583"/>
      <c r="J2425" s="1583"/>
      <c r="K2425" s="1583"/>
      <c r="L2425" s="1583"/>
      <c r="M2425" s="1583"/>
      <c r="N2425" s="1583"/>
      <c r="O2425" s="1583"/>
      <c r="P2425" s="1583"/>
      <c r="Q2425" s="1604"/>
      <c r="R2425" s="1583"/>
      <c r="S2425" s="1583"/>
      <c r="T2425" s="1604"/>
      <c r="U2425" s="1592"/>
      <c r="V2425" s="1585"/>
      <c r="W2425" s="1585"/>
      <c r="X2425" s="1585"/>
      <c r="Y2425" s="1592"/>
      <c r="Z2425" s="1585"/>
      <c r="AA2425" s="1585"/>
      <c r="AB2425" s="1585"/>
      <c r="AC2425" s="1585"/>
      <c r="AD2425" s="1601">
        <f t="shared" si="179"/>
        <v>0</v>
      </c>
      <c r="AE2425" s="1790">
        <v>0</v>
      </c>
      <c r="AF2425" s="1792"/>
    </row>
    <row r="2426" spans="1:32" ht="27.75" customHeight="1">
      <c r="A2426" s="2899" t="s">
        <v>1496</v>
      </c>
      <c r="B2426" s="2901" t="s">
        <v>2006</v>
      </c>
      <c r="C2426" s="2903" t="s">
        <v>52</v>
      </c>
      <c r="D2426" s="2905">
        <v>1120</v>
      </c>
      <c r="E2426" s="1598" t="s">
        <v>2496</v>
      </c>
      <c r="F2426" s="1583"/>
      <c r="G2426" s="1583"/>
      <c r="H2426" s="1583"/>
      <c r="I2426" s="1583"/>
      <c r="J2426" s="1583"/>
      <c r="K2426" s="1583"/>
      <c r="L2426" s="1583"/>
      <c r="M2426" s="1583"/>
      <c r="N2426" s="1583"/>
      <c r="O2426" s="1583"/>
      <c r="P2426" s="1583"/>
      <c r="Q2426" s="1585"/>
      <c r="R2426" s="1583"/>
      <c r="S2426" s="1583"/>
      <c r="T2426" s="1585"/>
      <c r="U2426" s="1585"/>
      <c r="V2426" s="1585"/>
      <c r="W2426" s="1585"/>
      <c r="X2426" s="1585"/>
      <c r="Y2426" s="1585"/>
      <c r="Z2426" s="1585"/>
      <c r="AA2426" s="1585"/>
      <c r="AB2426" s="1812"/>
      <c r="AC2426" s="1585">
        <v>1120</v>
      </c>
      <c r="AD2426" s="1601">
        <f t="shared" si="179"/>
        <v>1120</v>
      </c>
      <c r="AE2426" s="1790">
        <v>0</v>
      </c>
      <c r="AF2426" s="1792"/>
    </row>
    <row r="2427" spans="1:32" ht="27.75" customHeight="1">
      <c r="A2427" s="2900" t="s">
        <v>1496</v>
      </c>
      <c r="B2427" s="2902" t="s">
        <v>2006</v>
      </c>
      <c r="C2427" s="2904" t="s">
        <v>52</v>
      </c>
      <c r="D2427" s="2906">
        <v>1120</v>
      </c>
      <c r="E2427" s="1603" t="s">
        <v>2497</v>
      </c>
      <c r="F2427" s="1583"/>
      <c r="G2427" s="1583"/>
      <c r="H2427" s="1583"/>
      <c r="I2427" s="1583"/>
      <c r="J2427" s="1583"/>
      <c r="K2427" s="1583"/>
      <c r="L2427" s="1583"/>
      <c r="M2427" s="1583"/>
      <c r="N2427" s="1583"/>
      <c r="O2427" s="1583"/>
      <c r="P2427" s="1583"/>
      <c r="Q2427" s="1604"/>
      <c r="R2427" s="1583"/>
      <c r="S2427" s="1583"/>
      <c r="T2427" s="1604"/>
      <c r="U2427" s="1585"/>
      <c r="V2427" s="1585"/>
      <c r="W2427" s="1585"/>
      <c r="X2427" s="1585"/>
      <c r="Y2427" s="1585"/>
      <c r="Z2427" s="1585"/>
      <c r="AA2427" s="1585"/>
      <c r="AB2427" s="1585"/>
      <c r="AC2427" s="1585"/>
      <c r="AD2427" s="1601">
        <f t="shared" si="179"/>
        <v>0</v>
      </c>
      <c r="AE2427" s="1790">
        <v>0</v>
      </c>
      <c r="AF2427" s="1792"/>
    </row>
    <row r="2428" spans="1:32" ht="27.75" customHeight="1">
      <c r="A2428" s="2899" t="s">
        <v>1497</v>
      </c>
      <c r="B2428" s="2901" t="s">
        <v>2007</v>
      </c>
      <c r="C2428" s="2903" t="s">
        <v>52</v>
      </c>
      <c r="D2428" s="2905">
        <v>658</v>
      </c>
      <c r="E2428" s="1810" t="s">
        <v>2496</v>
      </c>
      <c r="F2428" s="1811"/>
      <c r="G2428" s="1811"/>
      <c r="H2428" s="1811"/>
      <c r="I2428" s="1811"/>
      <c r="J2428" s="1811"/>
      <c r="K2428" s="1811"/>
      <c r="L2428" s="1811"/>
      <c r="M2428" s="1811"/>
      <c r="N2428" s="1811"/>
      <c r="O2428" s="1811"/>
      <c r="P2428" s="1811"/>
      <c r="Q2428" s="1812"/>
      <c r="R2428" s="1811"/>
      <c r="S2428" s="1811"/>
      <c r="T2428" s="1812"/>
      <c r="U2428" s="1812"/>
      <c r="V2428" s="1812"/>
      <c r="W2428" s="1812"/>
      <c r="X2428" s="1812"/>
      <c r="Y2428" s="1812"/>
      <c r="Z2428" s="1812"/>
      <c r="AA2428" s="1812"/>
      <c r="AB2428" s="1812"/>
      <c r="AC2428" s="1812">
        <v>658</v>
      </c>
      <c r="AD2428" s="1601">
        <f t="shared" si="179"/>
        <v>658</v>
      </c>
      <c r="AE2428" s="1790">
        <v>0</v>
      </c>
      <c r="AF2428" s="1792"/>
    </row>
    <row r="2429" spans="1:32" ht="27.75" customHeight="1">
      <c r="A2429" s="2900" t="s">
        <v>1497</v>
      </c>
      <c r="B2429" s="2902" t="s">
        <v>2007</v>
      </c>
      <c r="C2429" s="2904" t="s">
        <v>52</v>
      </c>
      <c r="D2429" s="2906">
        <v>658</v>
      </c>
      <c r="E2429" s="1603" t="s">
        <v>2497</v>
      </c>
      <c r="F2429" s="1583"/>
      <c r="G2429" s="1583"/>
      <c r="H2429" s="1583"/>
      <c r="I2429" s="1583"/>
      <c r="J2429" s="1583"/>
      <c r="K2429" s="1583"/>
      <c r="L2429" s="1583"/>
      <c r="M2429" s="1583"/>
      <c r="N2429" s="1583"/>
      <c r="O2429" s="1583"/>
      <c r="P2429" s="1583"/>
      <c r="Q2429" s="1604"/>
      <c r="R2429" s="1583"/>
      <c r="S2429" s="1583"/>
      <c r="T2429" s="1604"/>
      <c r="U2429" s="1592"/>
      <c r="V2429" s="1585"/>
      <c r="W2429" s="1585"/>
      <c r="X2429" s="1585"/>
      <c r="Y2429" s="1592"/>
      <c r="Z2429" s="1585"/>
      <c r="AA2429" s="1585"/>
      <c r="AB2429" s="1585"/>
      <c r="AC2429" s="1585"/>
      <c r="AD2429" s="1601">
        <f t="shared" si="179"/>
        <v>0</v>
      </c>
      <c r="AE2429" s="1790">
        <v>0</v>
      </c>
      <c r="AF2429" s="1792"/>
    </row>
    <row r="2430" spans="1:32" ht="27.75" customHeight="1">
      <c r="A2430" s="2899" t="s">
        <v>1498</v>
      </c>
      <c r="B2430" s="2901" t="s">
        <v>2008</v>
      </c>
      <c r="C2430" s="2903" t="s">
        <v>52</v>
      </c>
      <c r="D2430" s="2905">
        <v>440</v>
      </c>
      <c r="E2430" s="1598" t="s">
        <v>2496</v>
      </c>
      <c r="F2430" s="1583"/>
      <c r="G2430" s="1583"/>
      <c r="H2430" s="1583"/>
      <c r="I2430" s="1583"/>
      <c r="J2430" s="1583"/>
      <c r="K2430" s="1583"/>
      <c r="L2430" s="1583"/>
      <c r="M2430" s="1583"/>
      <c r="N2430" s="1583"/>
      <c r="O2430" s="1583"/>
      <c r="P2430" s="1583"/>
      <c r="Q2430" s="1585"/>
      <c r="R2430" s="1583"/>
      <c r="S2430" s="1583"/>
      <c r="T2430" s="1585"/>
      <c r="U2430" s="1585"/>
      <c r="V2430" s="1585"/>
      <c r="W2430" s="1585"/>
      <c r="X2430" s="1585"/>
      <c r="Y2430" s="1585"/>
      <c r="Z2430" s="1585"/>
      <c r="AA2430" s="1585"/>
      <c r="AB2430" s="1812"/>
      <c r="AC2430" s="1585">
        <v>440</v>
      </c>
      <c r="AD2430" s="1601">
        <f t="shared" si="179"/>
        <v>440</v>
      </c>
      <c r="AE2430" s="1790">
        <v>0</v>
      </c>
      <c r="AF2430" s="1792"/>
    </row>
    <row r="2431" spans="1:32" ht="27.75" customHeight="1">
      <c r="A2431" s="2900" t="s">
        <v>1498</v>
      </c>
      <c r="B2431" s="2902" t="s">
        <v>2008</v>
      </c>
      <c r="C2431" s="2904" t="s">
        <v>52</v>
      </c>
      <c r="D2431" s="2906">
        <v>440</v>
      </c>
      <c r="E2431" s="1603" t="s">
        <v>2497</v>
      </c>
      <c r="F2431" s="1583"/>
      <c r="G2431" s="1583"/>
      <c r="H2431" s="1583"/>
      <c r="I2431" s="1583"/>
      <c r="J2431" s="1583"/>
      <c r="K2431" s="1583"/>
      <c r="L2431" s="1583"/>
      <c r="M2431" s="1583"/>
      <c r="N2431" s="1583"/>
      <c r="O2431" s="1583"/>
      <c r="P2431" s="1583"/>
      <c r="Q2431" s="1604"/>
      <c r="R2431" s="1583"/>
      <c r="S2431" s="1583"/>
      <c r="T2431" s="1604"/>
      <c r="U2431" s="1585"/>
      <c r="V2431" s="1585"/>
      <c r="W2431" s="1585"/>
      <c r="X2431" s="1585"/>
      <c r="Y2431" s="1585"/>
      <c r="Z2431" s="1585"/>
      <c r="AA2431" s="1585"/>
      <c r="AB2431" s="1585"/>
      <c r="AC2431" s="1585"/>
      <c r="AD2431" s="1601">
        <f t="shared" si="179"/>
        <v>0</v>
      </c>
      <c r="AE2431" s="1790">
        <v>0</v>
      </c>
      <c r="AF2431" s="1792"/>
    </row>
    <row r="2432" spans="1:32" ht="27.75" customHeight="1">
      <c r="A2432" s="2899" t="s">
        <v>1499</v>
      </c>
      <c r="B2432" s="2901" t="s">
        <v>2009</v>
      </c>
      <c r="C2432" s="2903" t="s">
        <v>52</v>
      </c>
      <c r="D2432" s="2905">
        <v>2461.11</v>
      </c>
      <c r="E2432" s="1810" t="s">
        <v>2496</v>
      </c>
      <c r="F2432" s="1811"/>
      <c r="G2432" s="1811"/>
      <c r="H2432" s="1811"/>
      <c r="I2432" s="1811"/>
      <c r="J2432" s="1811"/>
      <c r="K2432" s="1811"/>
      <c r="L2432" s="1811"/>
      <c r="M2432" s="1811"/>
      <c r="N2432" s="1811"/>
      <c r="O2432" s="1811"/>
      <c r="P2432" s="1811"/>
      <c r="Q2432" s="1812"/>
      <c r="R2432" s="1811"/>
      <c r="S2432" s="1811"/>
      <c r="T2432" s="1812"/>
      <c r="U2432" s="1812"/>
      <c r="V2432" s="1812"/>
      <c r="W2432" s="1812"/>
      <c r="X2432" s="1812"/>
      <c r="Y2432" s="1812"/>
      <c r="Z2432" s="1812"/>
      <c r="AA2432" s="1812"/>
      <c r="AB2432" s="1812"/>
      <c r="AC2432" s="1812">
        <f>D2432</f>
        <v>2461.11</v>
      </c>
      <c r="AD2432" s="1601">
        <f t="shared" si="179"/>
        <v>2461.11</v>
      </c>
      <c r="AE2432" s="1790">
        <v>0</v>
      </c>
      <c r="AF2432" s="1792"/>
    </row>
    <row r="2433" spans="1:32" ht="27.75" customHeight="1">
      <c r="A2433" s="2900" t="s">
        <v>1499</v>
      </c>
      <c r="B2433" s="2902" t="s">
        <v>2009</v>
      </c>
      <c r="C2433" s="2904" t="s">
        <v>52</v>
      </c>
      <c r="D2433" s="2906">
        <v>2461.11</v>
      </c>
      <c r="E2433" s="1603" t="s">
        <v>2497</v>
      </c>
      <c r="F2433" s="1583"/>
      <c r="G2433" s="1583"/>
      <c r="H2433" s="1583"/>
      <c r="I2433" s="1583"/>
      <c r="J2433" s="1583"/>
      <c r="K2433" s="1583"/>
      <c r="L2433" s="1583"/>
      <c r="M2433" s="1583"/>
      <c r="N2433" s="1583"/>
      <c r="O2433" s="1583"/>
      <c r="P2433" s="1583"/>
      <c r="Q2433" s="1604"/>
      <c r="R2433" s="1583"/>
      <c r="S2433" s="1583"/>
      <c r="T2433" s="1604"/>
      <c r="U2433" s="1592"/>
      <c r="V2433" s="1585"/>
      <c r="W2433" s="1585"/>
      <c r="X2433" s="1585"/>
      <c r="Y2433" s="1592"/>
      <c r="Z2433" s="1585"/>
      <c r="AA2433" s="1585"/>
      <c r="AB2433" s="1585"/>
      <c r="AC2433" s="1585"/>
      <c r="AD2433" s="1601">
        <f t="shared" si="179"/>
        <v>0</v>
      </c>
      <c r="AE2433" s="1790">
        <v>0</v>
      </c>
      <c r="AF2433" s="1792"/>
    </row>
    <row r="2434" spans="1:32" ht="27.75" customHeight="1">
      <c r="A2434" s="2899" t="s">
        <v>1500</v>
      </c>
      <c r="B2434" s="2901" t="s">
        <v>2010</v>
      </c>
      <c r="C2434" s="2903" t="s">
        <v>52</v>
      </c>
      <c r="D2434" s="2905">
        <v>716.1</v>
      </c>
      <c r="E2434" s="1810" t="s">
        <v>2496</v>
      </c>
      <c r="F2434" s="1811"/>
      <c r="G2434" s="1811"/>
      <c r="H2434" s="1811"/>
      <c r="I2434" s="1811"/>
      <c r="J2434" s="1811"/>
      <c r="K2434" s="1811"/>
      <c r="L2434" s="1811"/>
      <c r="M2434" s="1811"/>
      <c r="N2434" s="1811"/>
      <c r="O2434" s="1811"/>
      <c r="P2434" s="1811"/>
      <c r="Q2434" s="1812"/>
      <c r="R2434" s="1811"/>
      <c r="S2434" s="1811"/>
      <c r="T2434" s="1812"/>
      <c r="U2434" s="1812"/>
      <c r="V2434" s="1812"/>
      <c r="W2434" s="1812"/>
      <c r="X2434" s="1812"/>
      <c r="Y2434" s="1812"/>
      <c r="Z2434" s="1812"/>
      <c r="AA2434" s="1812"/>
      <c r="AB2434" s="1812"/>
      <c r="AC2434" s="1812">
        <f>D2434</f>
        <v>716.1</v>
      </c>
      <c r="AD2434" s="1601">
        <f t="shared" si="179"/>
        <v>716.1</v>
      </c>
      <c r="AE2434" s="1790">
        <v>0</v>
      </c>
      <c r="AF2434" s="1792"/>
    </row>
    <row r="2435" spans="1:32" ht="27.75" customHeight="1">
      <c r="A2435" s="2900" t="s">
        <v>1500</v>
      </c>
      <c r="B2435" s="2902" t="s">
        <v>2010</v>
      </c>
      <c r="C2435" s="2904" t="s">
        <v>52</v>
      </c>
      <c r="D2435" s="2906">
        <v>716.1</v>
      </c>
      <c r="E2435" s="1603" t="s">
        <v>2497</v>
      </c>
      <c r="F2435" s="1583"/>
      <c r="G2435" s="1583"/>
      <c r="H2435" s="1583"/>
      <c r="I2435" s="1583"/>
      <c r="J2435" s="1583"/>
      <c r="K2435" s="1583"/>
      <c r="L2435" s="1583"/>
      <c r="M2435" s="1583"/>
      <c r="N2435" s="1583"/>
      <c r="O2435" s="1583"/>
      <c r="P2435" s="1583"/>
      <c r="Q2435" s="1604"/>
      <c r="R2435" s="1583"/>
      <c r="S2435" s="1583"/>
      <c r="T2435" s="1604"/>
      <c r="U2435" s="1592"/>
      <c r="V2435" s="1585"/>
      <c r="W2435" s="1585"/>
      <c r="X2435" s="1585"/>
      <c r="Y2435" s="1592"/>
      <c r="Z2435" s="1585"/>
      <c r="AA2435" s="1585"/>
      <c r="AB2435" s="1585"/>
      <c r="AC2435" s="1585"/>
      <c r="AD2435" s="1601">
        <f t="shared" si="179"/>
        <v>0</v>
      </c>
      <c r="AE2435" s="1790">
        <v>0</v>
      </c>
      <c r="AF2435" s="1792"/>
    </row>
    <row r="2436" spans="1:32" ht="27.75" customHeight="1">
      <c r="A2436" s="1102">
        <v>6.3</v>
      </c>
      <c r="B2436" s="1752" t="s">
        <v>3792</v>
      </c>
      <c r="C2436" s="1803"/>
      <c r="D2436" s="1804"/>
      <c r="E2436" s="1813"/>
      <c r="F2436" s="1811"/>
      <c r="G2436" s="1811"/>
      <c r="H2436" s="1811"/>
      <c r="I2436" s="1811"/>
      <c r="J2436" s="1811"/>
      <c r="K2436" s="1811"/>
      <c r="L2436" s="1811"/>
      <c r="M2436" s="1811"/>
      <c r="N2436" s="1811"/>
      <c r="O2436" s="1811"/>
      <c r="P2436" s="1811"/>
      <c r="Q2436" s="1814"/>
      <c r="R2436" s="1811"/>
      <c r="S2436" s="1811"/>
      <c r="T2436" s="1814"/>
      <c r="U2436" s="1816"/>
      <c r="V2436" s="1812"/>
      <c r="W2436" s="1812"/>
      <c r="X2436" s="1812"/>
      <c r="Y2436" s="1816"/>
      <c r="Z2436" s="1812"/>
      <c r="AA2436" s="1812"/>
      <c r="AB2436" s="1812"/>
      <c r="AC2436" s="1812"/>
      <c r="AD2436" s="1601">
        <f t="shared" si="179"/>
        <v>0</v>
      </c>
      <c r="AE2436" s="1790">
        <v>0</v>
      </c>
      <c r="AF2436" s="1792"/>
    </row>
    <row r="2437" spans="1:32" ht="27.75" customHeight="1">
      <c r="A2437" s="2899" t="s">
        <v>1518</v>
      </c>
      <c r="B2437" s="2901" t="s">
        <v>2017</v>
      </c>
      <c r="C2437" s="2903" t="s">
        <v>52</v>
      </c>
      <c r="D2437" s="2905">
        <v>30.55</v>
      </c>
      <c r="E2437" s="1810" t="s">
        <v>2496</v>
      </c>
      <c r="F2437" s="1811"/>
      <c r="G2437" s="1811"/>
      <c r="H2437" s="1811"/>
      <c r="I2437" s="1811"/>
      <c r="J2437" s="1811"/>
      <c r="K2437" s="1811"/>
      <c r="L2437" s="1811"/>
      <c r="M2437" s="1811"/>
      <c r="N2437" s="1811"/>
      <c r="O2437" s="1811"/>
      <c r="P2437" s="1811"/>
      <c r="Q2437" s="1812"/>
      <c r="R2437" s="1811"/>
      <c r="S2437" s="1811"/>
      <c r="T2437" s="1812"/>
      <c r="U2437" s="1812"/>
      <c r="V2437" s="1812"/>
      <c r="W2437" s="1812"/>
      <c r="X2437" s="1812"/>
      <c r="Y2437" s="1812"/>
      <c r="Z2437" s="1812"/>
      <c r="AA2437" s="1812"/>
      <c r="AB2437" s="1812"/>
      <c r="AC2437" s="1812">
        <v>30.55</v>
      </c>
      <c r="AD2437" s="1601">
        <f t="shared" si="179"/>
        <v>30.55</v>
      </c>
      <c r="AE2437" s="1790">
        <v>0</v>
      </c>
      <c r="AF2437" s="1792"/>
    </row>
    <row r="2438" spans="1:32" ht="27.75" customHeight="1">
      <c r="A2438" s="2900" t="s">
        <v>1518</v>
      </c>
      <c r="B2438" s="2902" t="s">
        <v>2017</v>
      </c>
      <c r="C2438" s="2904" t="s">
        <v>52</v>
      </c>
      <c r="D2438" s="2906">
        <v>30.55</v>
      </c>
      <c r="E2438" s="1603" t="s">
        <v>2497</v>
      </c>
      <c r="F2438" s="1583"/>
      <c r="G2438" s="1583"/>
      <c r="H2438" s="1583"/>
      <c r="I2438" s="1583"/>
      <c r="J2438" s="1583"/>
      <c r="K2438" s="1583"/>
      <c r="L2438" s="1583"/>
      <c r="M2438" s="1583"/>
      <c r="N2438" s="1583"/>
      <c r="O2438" s="1583"/>
      <c r="P2438" s="1583"/>
      <c r="Q2438" s="1604"/>
      <c r="R2438" s="1583"/>
      <c r="S2438" s="1583"/>
      <c r="T2438" s="1604"/>
      <c r="U2438" s="1592"/>
      <c r="V2438" s="1585"/>
      <c r="W2438" s="1585"/>
      <c r="X2438" s="1585"/>
      <c r="Y2438" s="1592"/>
      <c r="Z2438" s="1585"/>
      <c r="AA2438" s="1585"/>
      <c r="AB2438" s="1585"/>
      <c r="AC2438" s="1812">
        <f>D2438</f>
        <v>30.55</v>
      </c>
      <c r="AD2438" s="1601">
        <f t="shared" si="179"/>
        <v>30.55</v>
      </c>
      <c r="AE2438" s="1790">
        <v>0</v>
      </c>
      <c r="AF2438" s="1792"/>
    </row>
    <row r="2439" spans="1:32" ht="27.75" customHeight="1">
      <c r="A2439" s="1102">
        <v>6.4</v>
      </c>
      <c r="B2439" s="1752" t="s">
        <v>2031</v>
      </c>
      <c r="C2439" s="1625"/>
      <c r="D2439" s="1597"/>
      <c r="E2439" s="1599"/>
      <c r="F2439" s="1583"/>
      <c r="G2439" s="1583"/>
      <c r="H2439" s="1583"/>
      <c r="I2439" s="1583"/>
      <c r="J2439" s="1583"/>
      <c r="K2439" s="1583"/>
      <c r="L2439" s="1583"/>
      <c r="M2439" s="1583"/>
      <c r="N2439" s="1583"/>
      <c r="O2439" s="1583"/>
      <c r="P2439" s="1583"/>
      <c r="Q2439" s="1604"/>
      <c r="R2439" s="1583"/>
      <c r="S2439" s="1583"/>
      <c r="T2439" s="1604"/>
      <c r="U2439" s="1592"/>
      <c r="V2439" s="1585"/>
      <c r="W2439" s="1585"/>
      <c r="X2439" s="1585"/>
      <c r="Y2439" s="1592"/>
      <c r="Z2439" s="1585"/>
      <c r="AA2439" s="1585"/>
      <c r="AB2439" s="1585"/>
      <c r="AC2439" s="1585"/>
      <c r="AD2439" s="1601">
        <f t="shared" si="179"/>
        <v>0</v>
      </c>
      <c r="AE2439" s="1790">
        <v>0</v>
      </c>
      <c r="AF2439" s="1792"/>
    </row>
    <row r="2440" spans="1:32" ht="27.75" customHeight="1">
      <c r="A2440" s="1745" t="s">
        <v>1535</v>
      </c>
      <c r="B2440" s="1746" t="s">
        <v>1980</v>
      </c>
      <c r="C2440" s="1625"/>
      <c r="D2440" s="1597"/>
      <c r="E2440" s="1599"/>
      <c r="F2440" s="1583"/>
      <c r="G2440" s="1583"/>
      <c r="H2440" s="1583"/>
      <c r="I2440" s="1583"/>
      <c r="J2440" s="1583"/>
      <c r="K2440" s="1583"/>
      <c r="L2440" s="1583"/>
      <c r="M2440" s="1583"/>
      <c r="N2440" s="1583"/>
      <c r="O2440" s="1583"/>
      <c r="P2440" s="1583"/>
      <c r="Q2440" s="1604"/>
      <c r="R2440" s="1583"/>
      <c r="S2440" s="1583"/>
      <c r="T2440" s="1604"/>
      <c r="U2440" s="1592"/>
      <c r="V2440" s="1585"/>
      <c r="W2440" s="1585"/>
      <c r="X2440" s="1585"/>
      <c r="Y2440" s="1592"/>
      <c r="Z2440" s="1585"/>
      <c r="AA2440" s="1585"/>
      <c r="AB2440" s="1585"/>
      <c r="AC2440" s="1585"/>
      <c r="AD2440" s="1601">
        <f t="shared" si="179"/>
        <v>0</v>
      </c>
      <c r="AE2440" s="1790">
        <v>0</v>
      </c>
      <c r="AF2440" s="1792"/>
    </row>
    <row r="2441" spans="1:32" ht="27.75" customHeight="1">
      <c r="A2441" s="2899" t="s">
        <v>1539</v>
      </c>
      <c r="B2441" s="2901" t="s">
        <v>2034</v>
      </c>
      <c r="C2441" s="2903" t="s">
        <v>51</v>
      </c>
      <c r="D2441" s="2905">
        <v>4768.9799999999996</v>
      </c>
      <c r="E2441" s="1598" t="s">
        <v>2496</v>
      </c>
      <c r="F2441" s="1583"/>
      <c r="G2441" s="1583"/>
      <c r="H2441" s="1583"/>
      <c r="I2441" s="1583"/>
      <c r="J2441" s="1583"/>
      <c r="K2441" s="1583"/>
      <c r="L2441" s="1583"/>
      <c r="M2441" s="1583"/>
      <c r="N2441" s="1583"/>
      <c r="O2441" s="1583"/>
      <c r="P2441" s="1583"/>
      <c r="Q2441" s="1585"/>
      <c r="R2441" s="1583"/>
      <c r="S2441" s="1583"/>
      <c r="T2441" s="1585"/>
      <c r="U2441" s="1585"/>
      <c r="V2441" s="1585"/>
      <c r="W2441" s="1585"/>
      <c r="X2441" s="1585"/>
      <c r="Y2441" s="1585"/>
      <c r="Z2441" s="1585"/>
      <c r="AA2441" s="1585">
        <f>D2441</f>
        <v>4768.9799999999996</v>
      </c>
      <c r="AB2441" s="1585"/>
      <c r="AC2441" s="1812"/>
      <c r="AD2441" s="1601">
        <f t="shared" si="179"/>
        <v>4768.9799999999996</v>
      </c>
      <c r="AE2441" s="1790">
        <v>0</v>
      </c>
      <c r="AF2441" s="1792"/>
    </row>
    <row r="2442" spans="1:32" ht="27.75" customHeight="1">
      <c r="A2442" s="2900" t="s">
        <v>1539</v>
      </c>
      <c r="B2442" s="2902" t="s">
        <v>2034</v>
      </c>
      <c r="C2442" s="2904" t="s">
        <v>51</v>
      </c>
      <c r="D2442" s="2906">
        <v>4768.9799999999996</v>
      </c>
      <c r="E2442" s="1603" t="s">
        <v>2497</v>
      </c>
      <c r="F2442" s="1583"/>
      <c r="G2442" s="1583"/>
      <c r="H2442" s="1583"/>
      <c r="I2442" s="1583"/>
      <c r="J2442" s="1583"/>
      <c r="K2442" s="1583"/>
      <c r="L2442" s="1583"/>
      <c r="M2442" s="1583"/>
      <c r="N2442" s="1583"/>
      <c r="O2442" s="1583"/>
      <c r="P2442" s="1583"/>
      <c r="Q2442" s="1604"/>
      <c r="R2442" s="1583"/>
      <c r="S2442" s="1583"/>
      <c r="T2442" s="1604"/>
      <c r="U2442" s="1585"/>
      <c r="V2442" s="1585"/>
      <c r="W2442" s="1585"/>
      <c r="X2442" s="1585"/>
      <c r="Y2442" s="1585"/>
      <c r="Z2442" s="1585"/>
      <c r="AA2442" s="1585"/>
      <c r="AB2442" s="1585"/>
      <c r="AC2442" s="1585"/>
      <c r="AD2442" s="1601">
        <f t="shared" si="179"/>
        <v>0</v>
      </c>
      <c r="AE2442" s="1790">
        <v>0</v>
      </c>
      <c r="AF2442" s="1792"/>
    </row>
    <row r="2443" spans="1:32" ht="27.75" customHeight="1">
      <c r="A2443" s="1745" t="s">
        <v>1548</v>
      </c>
      <c r="B2443" s="1746" t="s">
        <v>2037</v>
      </c>
      <c r="C2443" s="1803"/>
      <c r="D2443" s="1804"/>
      <c r="E2443" s="1813"/>
      <c r="F2443" s="1811"/>
      <c r="G2443" s="1811"/>
      <c r="H2443" s="1811"/>
      <c r="I2443" s="1811"/>
      <c r="J2443" s="1811"/>
      <c r="K2443" s="1811"/>
      <c r="L2443" s="1811"/>
      <c r="M2443" s="1811"/>
      <c r="N2443" s="1811"/>
      <c r="O2443" s="1811"/>
      <c r="P2443" s="1811"/>
      <c r="Q2443" s="1814"/>
      <c r="R2443" s="1811"/>
      <c r="S2443" s="1811"/>
      <c r="T2443" s="1814"/>
      <c r="U2443" s="1812"/>
      <c r="V2443" s="1812"/>
      <c r="W2443" s="1812"/>
      <c r="X2443" s="1812"/>
      <c r="Y2443" s="1812"/>
      <c r="Z2443" s="1812"/>
      <c r="AA2443" s="1812"/>
      <c r="AB2443" s="1812"/>
      <c r="AC2443" s="1812"/>
      <c r="AD2443" s="1601">
        <f t="shared" si="179"/>
        <v>0</v>
      </c>
      <c r="AE2443" s="1790">
        <v>0</v>
      </c>
      <c r="AF2443" s="1792"/>
    </row>
    <row r="2444" spans="1:32" ht="27.75" customHeight="1">
      <c r="A2444" s="2899" t="s">
        <v>1550</v>
      </c>
      <c r="B2444" s="2901" t="s">
        <v>2039</v>
      </c>
      <c r="C2444" s="2903" t="s">
        <v>1145</v>
      </c>
      <c r="D2444" s="2905">
        <v>336</v>
      </c>
      <c r="E2444" s="1810" t="s">
        <v>2496</v>
      </c>
      <c r="F2444" s="1811"/>
      <c r="G2444" s="1811"/>
      <c r="H2444" s="1811"/>
      <c r="I2444" s="1811"/>
      <c r="J2444" s="1811"/>
      <c r="K2444" s="1811"/>
      <c r="L2444" s="1811"/>
      <c r="M2444" s="1811"/>
      <c r="N2444" s="1811"/>
      <c r="O2444" s="1811"/>
      <c r="P2444" s="1811"/>
      <c r="Q2444" s="1812"/>
      <c r="R2444" s="1811"/>
      <c r="S2444" s="1811"/>
      <c r="T2444" s="1812"/>
      <c r="U2444" s="1812"/>
      <c r="V2444" s="1812"/>
      <c r="W2444" s="1812"/>
      <c r="X2444" s="1812"/>
      <c r="Y2444" s="1812"/>
      <c r="Z2444" s="1812"/>
      <c r="AA2444" s="1585">
        <f>D2444</f>
        <v>336</v>
      </c>
      <c r="AB2444" s="1812"/>
      <c r="AC2444" s="1812"/>
      <c r="AD2444" s="1601">
        <f t="shared" si="179"/>
        <v>336</v>
      </c>
      <c r="AE2444" s="1790">
        <v>0</v>
      </c>
      <c r="AF2444" s="1792"/>
    </row>
    <row r="2445" spans="1:32" ht="27.75" customHeight="1">
      <c r="A2445" s="2900" t="s">
        <v>1550</v>
      </c>
      <c r="B2445" s="2902" t="s">
        <v>2039</v>
      </c>
      <c r="C2445" s="2904" t="s">
        <v>1145</v>
      </c>
      <c r="D2445" s="2906">
        <v>336</v>
      </c>
      <c r="E2445" s="1603" t="s">
        <v>2497</v>
      </c>
      <c r="F2445" s="1583"/>
      <c r="G2445" s="1583"/>
      <c r="H2445" s="1583"/>
      <c r="I2445" s="1583"/>
      <c r="J2445" s="1583"/>
      <c r="K2445" s="1583"/>
      <c r="L2445" s="1583"/>
      <c r="M2445" s="1583"/>
      <c r="N2445" s="1583"/>
      <c r="O2445" s="1583"/>
      <c r="P2445" s="1583"/>
      <c r="Q2445" s="1604"/>
      <c r="R2445" s="1583"/>
      <c r="S2445" s="1583"/>
      <c r="T2445" s="1604"/>
      <c r="U2445" s="1592"/>
      <c r="V2445" s="1585"/>
      <c r="W2445" s="1585"/>
      <c r="X2445" s="1585"/>
      <c r="Y2445" s="1592"/>
      <c r="Z2445" s="1585"/>
      <c r="AA2445" s="1585"/>
      <c r="AB2445" s="1585"/>
      <c r="AC2445" s="1585"/>
      <c r="AD2445" s="1601">
        <f t="shared" si="179"/>
        <v>0</v>
      </c>
      <c r="AE2445" s="1790">
        <v>0</v>
      </c>
      <c r="AF2445" s="1792"/>
    </row>
    <row r="2446" spans="1:32" ht="27.75" customHeight="1">
      <c r="A2446" s="2899" t="s">
        <v>1552</v>
      </c>
      <c r="B2446" s="2901" t="s">
        <v>2041</v>
      </c>
      <c r="C2446" s="2903" t="s">
        <v>1145</v>
      </c>
      <c r="D2446" s="2905">
        <v>267.20999999999998</v>
      </c>
      <c r="E2446" s="1810" t="s">
        <v>2496</v>
      </c>
      <c r="F2446" s="1811"/>
      <c r="G2446" s="1811"/>
      <c r="H2446" s="1811"/>
      <c r="I2446" s="1811"/>
      <c r="J2446" s="1811"/>
      <c r="K2446" s="1811"/>
      <c r="L2446" s="1811"/>
      <c r="M2446" s="1811"/>
      <c r="N2446" s="1811"/>
      <c r="O2446" s="1811"/>
      <c r="P2446" s="1811"/>
      <c r="Q2446" s="1812"/>
      <c r="R2446" s="1811"/>
      <c r="S2446" s="1811"/>
      <c r="T2446" s="1812"/>
      <c r="U2446" s="1812"/>
      <c r="V2446" s="1812"/>
      <c r="W2446" s="1812"/>
      <c r="X2446" s="1812"/>
      <c r="Y2446" s="1812"/>
      <c r="Z2446" s="1812"/>
      <c r="AA2446" s="1585">
        <f>D2446</f>
        <v>267.20999999999998</v>
      </c>
      <c r="AB2446" s="1812"/>
      <c r="AC2446" s="1812"/>
      <c r="AD2446" s="1601">
        <f t="shared" si="179"/>
        <v>267.20999999999998</v>
      </c>
      <c r="AE2446" s="1790">
        <v>0</v>
      </c>
      <c r="AF2446" s="1792"/>
    </row>
    <row r="2447" spans="1:32" ht="27.75" customHeight="1">
      <c r="A2447" s="2900" t="s">
        <v>1552</v>
      </c>
      <c r="B2447" s="2902" t="s">
        <v>2041</v>
      </c>
      <c r="C2447" s="2904" t="s">
        <v>1145</v>
      </c>
      <c r="D2447" s="2906">
        <v>267.20999999999998</v>
      </c>
      <c r="E2447" s="1603" t="s">
        <v>2497</v>
      </c>
      <c r="F2447" s="1583"/>
      <c r="G2447" s="1583"/>
      <c r="H2447" s="1583"/>
      <c r="I2447" s="1583"/>
      <c r="J2447" s="1583"/>
      <c r="K2447" s="1583"/>
      <c r="L2447" s="1583"/>
      <c r="M2447" s="1583"/>
      <c r="N2447" s="1583"/>
      <c r="O2447" s="1583"/>
      <c r="P2447" s="1583"/>
      <c r="Q2447" s="1604"/>
      <c r="R2447" s="1583"/>
      <c r="S2447" s="1583"/>
      <c r="T2447" s="1604"/>
      <c r="U2447" s="1592"/>
      <c r="V2447" s="1585"/>
      <c r="W2447" s="1585"/>
      <c r="X2447" s="1585"/>
      <c r="Y2447" s="1592"/>
      <c r="Z2447" s="1585"/>
      <c r="AA2447" s="1585"/>
      <c r="AB2447" s="1585"/>
      <c r="AC2447" s="1585"/>
      <c r="AD2447" s="1601">
        <f t="shared" si="179"/>
        <v>0</v>
      </c>
      <c r="AE2447" s="1790">
        <v>0</v>
      </c>
      <c r="AF2447" s="1792"/>
    </row>
    <row r="2448" spans="1:32" ht="27.75" customHeight="1">
      <c r="A2448" s="1745" t="s">
        <v>1559</v>
      </c>
      <c r="B2448" s="1746" t="s">
        <v>2048</v>
      </c>
      <c r="C2448" s="1803"/>
      <c r="D2448" s="1804"/>
      <c r="E2448" s="1813"/>
      <c r="F2448" s="1811"/>
      <c r="G2448" s="1811"/>
      <c r="H2448" s="1811"/>
      <c r="I2448" s="1811"/>
      <c r="J2448" s="1811"/>
      <c r="K2448" s="1811"/>
      <c r="L2448" s="1811"/>
      <c r="M2448" s="1811"/>
      <c r="N2448" s="1811"/>
      <c r="O2448" s="1811"/>
      <c r="P2448" s="1811"/>
      <c r="Q2448" s="1814"/>
      <c r="R2448" s="1811"/>
      <c r="S2448" s="1811"/>
      <c r="T2448" s="1814"/>
      <c r="U2448" s="1816"/>
      <c r="V2448" s="1812"/>
      <c r="W2448" s="1812"/>
      <c r="X2448" s="1812"/>
      <c r="Y2448" s="1816"/>
      <c r="Z2448" s="1812"/>
      <c r="AA2448" s="1812"/>
      <c r="AB2448" s="1812"/>
      <c r="AC2448" s="1812"/>
      <c r="AD2448" s="1601">
        <f t="shared" si="179"/>
        <v>0</v>
      </c>
      <c r="AE2448" s="1790">
        <v>0</v>
      </c>
      <c r="AF2448" s="1792"/>
    </row>
    <row r="2449" spans="1:32" ht="27.75" customHeight="1">
      <c r="A2449" s="2899" t="s">
        <v>1565</v>
      </c>
      <c r="B2449" s="2901" t="s">
        <v>2054</v>
      </c>
      <c r="C2449" s="2903" t="s">
        <v>52</v>
      </c>
      <c r="D2449" s="2905">
        <v>391.74</v>
      </c>
      <c r="E2449" s="1810" t="s">
        <v>2496</v>
      </c>
      <c r="F2449" s="1811"/>
      <c r="G2449" s="1811"/>
      <c r="H2449" s="1811"/>
      <c r="I2449" s="1811"/>
      <c r="J2449" s="1811"/>
      <c r="K2449" s="1811"/>
      <c r="L2449" s="1811"/>
      <c r="M2449" s="1811"/>
      <c r="N2449" s="1811"/>
      <c r="O2449" s="1811"/>
      <c r="P2449" s="1811"/>
      <c r="Q2449" s="1812"/>
      <c r="R2449" s="1811"/>
      <c r="S2449" s="1811"/>
      <c r="T2449" s="1812"/>
      <c r="U2449" s="1812"/>
      <c r="V2449" s="1812"/>
      <c r="W2449" s="1812"/>
      <c r="X2449" s="1812"/>
      <c r="Y2449" s="1812"/>
      <c r="Z2449" s="1812"/>
      <c r="AA2449" s="1585">
        <f>D2449</f>
        <v>391.74</v>
      </c>
      <c r="AB2449" s="1812"/>
      <c r="AC2449" s="1812"/>
      <c r="AD2449" s="1601">
        <f t="shared" ref="AD2449:AD2491" si="180">SUM(F2449:AC2449)</f>
        <v>391.74</v>
      </c>
      <c r="AE2449" s="1790">
        <v>0</v>
      </c>
      <c r="AF2449" s="1792"/>
    </row>
    <row r="2450" spans="1:32" ht="27.75" customHeight="1">
      <c r="A2450" s="2900" t="s">
        <v>1565</v>
      </c>
      <c r="B2450" s="2902" t="s">
        <v>2054</v>
      </c>
      <c r="C2450" s="2904" t="s">
        <v>52</v>
      </c>
      <c r="D2450" s="2906">
        <v>391.74</v>
      </c>
      <c r="E2450" s="1603" t="s">
        <v>2497</v>
      </c>
      <c r="F2450" s="1583"/>
      <c r="G2450" s="1583"/>
      <c r="H2450" s="1583"/>
      <c r="I2450" s="1583"/>
      <c r="J2450" s="1583"/>
      <c r="K2450" s="1583"/>
      <c r="L2450" s="1583"/>
      <c r="M2450" s="1583"/>
      <c r="N2450" s="1583"/>
      <c r="O2450" s="1583"/>
      <c r="P2450" s="1583"/>
      <c r="Q2450" s="1604"/>
      <c r="R2450" s="1583"/>
      <c r="S2450" s="1583"/>
      <c r="T2450" s="1604"/>
      <c r="U2450" s="1592"/>
      <c r="V2450" s="1585"/>
      <c r="W2450" s="1585"/>
      <c r="X2450" s="1585"/>
      <c r="Y2450" s="1592"/>
      <c r="Z2450" s="1585"/>
      <c r="AA2450" s="1585"/>
      <c r="AB2450" s="1585"/>
      <c r="AC2450" s="1585"/>
      <c r="AD2450" s="1601">
        <f t="shared" si="180"/>
        <v>0</v>
      </c>
      <c r="AE2450" s="1790">
        <v>0</v>
      </c>
      <c r="AF2450" s="1792"/>
    </row>
    <row r="2451" spans="1:32" ht="27.75" customHeight="1">
      <c r="A2451" s="2899" t="s">
        <v>1566</v>
      </c>
      <c r="B2451" s="2901" t="s">
        <v>2055</v>
      </c>
      <c r="C2451" s="2903" t="s">
        <v>52</v>
      </c>
      <c r="D2451" s="2905">
        <v>1155.1600000000001</v>
      </c>
      <c r="E2451" s="1598" t="s">
        <v>2496</v>
      </c>
      <c r="F2451" s="1583"/>
      <c r="G2451" s="1583"/>
      <c r="H2451" s="1583"/>
      <c r="I2451" s="1583"/>
      <c r="J2451" s="1583"/>
      <c r="K2451" s="1583"/>
      <c r="L2451" s="1583"/>
      <c r="M2451" s="1583"/>
      <c r="N2451" s="1583"/>
      <c r="O2451" s="1583"/>
      <c r="P2451" s="1583"/>
      <c r="Q2451" s="1585"/>
      <c r="R2451" s="1583"/>
      <c r="S2451" s="1583"/>
      <c r="T2451" s="1585"/>
      <c r="U2451" s="1585"/>
      <c r="V2451" s="1585"/>
      <c r="W2451" s="1585"/>
      <c r="X2451" s="1585"/>
      <c r="Y2451" s="1585"/>
      <c r="Z2451" s="1585"/>
      <c r="AA2451" s="1585">
        <f>D2451</f>
        <v>1155.1600000000001</v>
      </c>
      <c r="AB2451" s="1585"/>
      <c r="AC2451" s="1585"/>
      <c r="AD2451" s="1601">
        <f t="shared" si="180"/>
        <v>1155.1600000000001</v>
      </c>
      <c r="AE2451" s="1790">
        <v>0</v>
      </c>
      <c r="AF2451" s="1792"/>
    </row>
    <row r="2452" spans="1:32" ht="27.75" customHeight="1">
      <c r="A2452" s="2900" t="s">
        <v>1566</v>
      </c>
      <c r="B2452" s="2902" t="s">
        <v>2055</v>
      </c>
      <c r="C2452" s="2904" t="s">
        <v>52</v>
      </c>
      <c r="D2452" s="2906">
        <v>1155.1600000000001</v>
      </c>
      <c r="E2452" s="1603" t="s">
        <v>2497</v>
      </c>
      <c r="F2452" s="1583"/>
      <c r="G2452" s="1583"/>
      <c r="H2452" s="1583"/>
      <c r="I2452" s="1583"/>
      <c r="J2452" s="1583"/>
      <c r="K2452" s="1583"/>
      <c r="L2452" s="1583"/>
      <c r="M2452" s="1583"/>
      <c r="N2452" s="1583"/>
      <c r="O2452" s="1583"/>
      <c r="P2452" s="1583"/>
      <c r="Q2452" s="1604"/>
      <c r="R2452" s="1583"/>
      <c r="S2452" s="1583"/>
      <c r="T2452" s="1604"/>
      <c r="U2452" s="1585"/>
      <c r="V2452" s="1585"/>
      <c r="W2452" s="1585"/>
      <c r="X2452" s="1585"/>
      <c r="Y2452" s="1585"/>
      <c r="Z2452" s="1585"/>
      <c r="AA2452" s="1585"/>
      <c r="AB2452" s="1585"/>
      <c r="AC2452" s="1585"/>
      <c r="AD2452" s="1601">
        <f t="shared" si="180"/>
        <v>0</v>
      </c>
      <c r="AE2452" s="1790">
        <v>0</v>
      </c>
      <c r="AF2452" s="1792"/>
    </row>
    <row r="2453" spans="1:32" ht="27.75" customHeight="1">
      <c r="A2453" s="2899" t="s">
        <v>1567</v>
      </c>
      <c r="B2453" s="2901" t="s">
        <v>2056</v>
      </c>
      <c r="C2453" s="2903" t="s">
        <v>52</v>
      </c>
      <c r="D2453" s="2905">
        <v>2479.6799999999998</v>
      </c>
      <c r="E2453" s="1810" t="s">
        <v>2496</v>
      </c>
      <c r="F2453" s="1811"/>
      <c r="G2453" s="1811"/>
      <c r="H2453" s="1811"/>
      <c r="I2453" s="1811"/>
      <c r="J2453" s="1811"/>
      <c r="K2453" s="1811"/>
      <c r="L2453" s="1811"/>
      <c r="M2453" s="1811"/>
      <c r="N2453" s="1811"/>
      <c r="O2453" s="1811"/>
      <c r="P2453" s="1811"/>
      <c r="Q2453" s="1812"/>
      <c r="R2453" s="1811"/>
      <c r="S2453" s="1811"/>
      <c r="T2453" s="1812"/>
      <c r="U2453" s="1812"/>
      <c r="V2453" s="1812"/>
      <c r="W2453" s="1812"/>
      <c r="X2453" s="1812"/>
      <c r="Y2453" s="1812"/>
      <c r="Z2453" s="1812"/>
      <c r="AA2453" s="1585">
        <f>D2453</f>
        <v>2479.6799999999998</v>
      </c>
      <c r="AB2453" s="1812"/>
      <c r="AC2453" s="1812"/>
      <c r="AD2453" s="1601">
        <f t="shared" si="180"/>
        <v>2479.6799999999998</v>
      </c>
      <c r="AE2453" s="1790">
        <v>0</v>
      </c>
      <c r="AF2453" s="1792"/>
    </row>
    <row r="2454" spans="1:32" ht="27.75" customHeight="1">
      <c r="A2454" s="2900" t="s">
        <v>1567</v>
      </c>
      <c r="B2454" s="2902" t="s">
        <v>2056</v>
      </c>
      <c r="C2454" s="2904" t="s">
        <v>52</v>
      </c>
      <c r="D2454" s="2906">
        <v>2479.6799999999998</v>
      </c>
      <c r="E2454" s="1603" t="s">
        <v>2497</v>
      </c>
      <c r="F2454" s="1583"/>
      <c r="G2454" s="1583"/>
      <c r="H2454" s="1583"/>
      <c r="I2454" s="1583"/>
      <c r="J2454" s="1583"/>
      <c r="K2454" s="1583"/>
      <c r="L2454" s="1583"/>
      <c r="M2454" s="1583"/>
      <c r="N2454" s="1583"/>
      <c r="O2454" s="1583"/>
      <c r="P2454" s="1583"/>
      <c r="Q2454" s="1604"/>
      <c r="R2454" s="1583"/>
      <c r="S2454" s="1583"/>
      <c r="T2454" s="1604"/>
      <c r="U2454" s="1592"/>
      <c r="V2454" s="1585"/>
      <c r="W2454" s="1585"/>
      <c r="X2454" s="1585"/>
      <c r="Y2454" s="1592"/>
      <c r="Z2454" s="1585"/>
      <c r="AA2454" s="1585"/>
      <c r="AB2454" s="1585"/>
      <c r="AC2454" s="1585"/>
      <c r="AD2454" s="1601">
        <f t="shared" si="180"/>
        <v>0</v>
      </c>
      <c r="AE2454" s="1790">
        <v>0</v>
      </c>
      <c r="AF2454" s="1792"/>
    </row>
    <row r="2455" spans="1:32" ht="27.75" customHeight="1">
      <c r="A2455" s="1102">
        <v>6.9</v>
      </c>
      <c r="B2455" s="1752" t="s">
        <v>2083</v>
      </c>
      <c r="C2455" s="1625"/>
      <c r="D2455" s="1597"/>
      <c r="E2455" s="1599"/>
      <c r="F2455" s="1583"/>
      <c r="G2455" s="1583"/>
      <c r="H2455" s="1583"/>
      <c r="I2455" s="1583"/>
      <c r="J2455" s="1583"/>
      <c r="K2455" s="1583"/>
      <c r="L2455" s="1583"/>
      <c r="M2455" s="1583"/>
      <c r="N2455" s="1583"/>
      <c r="O2455" s="1583"/>
      <c r="P2455" s="1583"/>
      <c r="Q2455" s="1604"/>
      <c r="R2455" s="1583"/>
      <c r="S2455" s="1583"/>
      <c r="T2455" s="1604"/>
      <c r="U2455" s="1592"/>
      <c r="V2455" s="1585"/>
      <c r="W2455" s="1585"/>
      <c r="X2455" s="1585"/>
      <c r="Y2455" s="1592"/>
      <c r="Z2455" s="1585"/>
      <c r="AA2455" s="1585"/>
      <c r="AB2455" s="1585"/>
      <c r="AC2455" s="1585"/>
      <c r="AD2455" s="1601">
        <f t="shared" si="180"/>
        <v>0</v>
      </c>
      <c r="AE2455" s="1790">
        <v>0</v>
      </c>
      <c r="AF2455" s="1792"/>
    </row>
    <row r="2456" spans="1:32" ht="27.75" customHeight="1">
      <c r="A2456" s="1745" t="s">
        <v>1607</v>
      </c>
      <c r="B2456" s="1746" t="s">
        <v>2086</v>
      </c>
      <c r="C2456" s="1625"/>
      <c r="D2456" s="1597"/>
      <c r="E2456" s="1599"/>
      <c r="F2456" s="1583"/>
      <c r="G2456" s="1583"/>
      <c r="H2456" s="1583"/>
      <c r="I2456" s="1583"/>
      <c r="J2456" s="1583"/>
      <c r="K2456" s="1583"/>
      <c r="L2456" s="1583"/>
      <c r="M2456" s="1583"/>
      <c r="N2456" s="1583"/>
      <c r="O2456" s="1583"/>
      <c r="P2456" s="1583"/>
      <c r="Q2456" s="1604"/>
      <c r="R2456" s="1583"/>
      <c r="S2456" s="1583"/>
      <c r="T2456" s="1604"/>
      <c r="U2456" s="1592"/>
      <c r="V2456" s="1585"/>
      <c r="W2456" s="1585"/>
      <c r="X2456" s="1585"/>
      <c r="Y2456" s="1592"/>
      <c r="Z2456" s="1585"/>
      <c r="AA2456" s="1585"/>
      <c r="AB2456" s="1585"/>
      <c r="AC2456" s="1585"/>
      <c r="AD2456" s="1601">
        <f t="shared" si="180"/>
        <v>0</v>
      </c>
      <c r="AE2456" s="1790">
        <v>0</v>
      </c>
      <c r="AF2456" s="1792"/>
    </row>
    <row r="2457" spans="1:32" ht="27.75" customHeight="1">
      <c r="A2457" s="2899" t="s">
        <v>1608</v>
      </c>
      <c r="B2457" s="2901" t="s">
        <v>2087</v>
      </c>
      <c r="C2457" s="2903" t="s">
        <v>51</v>
      </c>
      <c r="D2457" s="2905">
        <v>4157.7299999999996</v>
      </c>
      <c r="E2457" s="1598" t="s">
        <v>2496</v>
      </c>
      <c r="F2457" s="1583"/>
      <c r="G2457" s="1583"/>
      <c r="H2457" s="1583"/>
      <c r="I2457" s="1583"/>
      <c r="J2457" s="1583"/>
      <c r="K2457" s="1583"/>
      <c r="L2457" s="1583"/>
      <c r="M2457" s="1583"/>
      <c r="N2457" s="1583"/>
      <c r="O2457" s="1583"/>
      <c r="P2457" s="1583"/>
      <c r="Q2457" s="1585"/>
      <c r="R2457" s="1583"/>
      <c r="S2457" s="1583"/>
      <c r="T2457" s="1585"/>
      <c r="U2457" s="1585"/>
      <c r="V2457" s="1585"/>
      <c r="W2457" s="1585"/>
      <c r="X2457" s="1585"/>
      <c r="Y2457" s="1585"/>
      <c r="Z2457" s="1585">
        <f>D2457</f>
        <v>4157.7299999999996</v>
      </c>
      <c r="AA2457" s="1585"/>
      <c r="AB2457" s="1585"/>
      <c r="AC2457" s="1585"/>
      <c r="AD2457" s="1601">
        <f t="shared" si="180"/>
        <v>4157.7299999999996</v>
      </c>
      <c r="AE2457" s="1790">
        <v>0</v>
      </c>
      <c r="AF2457" s="1792"/>
    </row>
    <row r="2458" spans="1:32" ht="27.75" customHeight="1">
      <c r="A2458" s="2900" t="s">
        <v>1608</v>
      </c>
      <c r="B2458" s="2902" t="s">
        <v>2087</v>
      </c>
      <c r="C2458" s="2904" t="s">
        <v>51</v>
      </c>
      <c r="D2458" s="2906">
        <v>4157.7299999999996</v>
      </c>
      <c r="E2458" s="1603" t="s">
        <v>2497</v>
      </c>
      <c r="F2458" s="1583"/>
      <c r="G2458" s="1583"/>
      <c r="H2458" s="1583"/>
      <c r="I2458" s="1583"/>
      <c r="J2458" s="1583"/>
      <c r="K2458" s="1583"/>
      <c r="L2458" s="1583"/>
      <c r="M2458" s="1583"/>
      <c r="N2458" s="1583"/>
      <c r="O2458" s="1583"/>
      <c r="P2458" s="1583"/>
      <c r="Q2458" s="1604"/>
      <c r="R2458" s="1583"/>
      <c r="S2458" s="1583"/>
      <c r="T2458" s="1604"/>
      <c r="U2458" s="1585"/>
      <c r="V2458" s="1585"/>
      <c r="W2458" s="1585"/>
      <c r="X2458" s="1585"/>
      <c r="Y2458" s="1585"/>
      <c r="Z2458" s="1585"/>
      <c r="AA2458" s="1585"/>
      <c r="AB2458" s="1585"/>
      <c r="AC2458" s="1585"/>
      <c r="AD2458" s="1601">
        <f t="shared" si="180"/>
        <v>0</v>
      </c>
      <c r="AE2458" s="1790">
        <v>0</v>
      </c>
      <c r="AF2458" s="1792"/>
    </row>
    <row r="2459" spans="1:32" ht="27.75" customHeight="1">
      <c r="A2459" s="2899" t="s">
        <v>1609</v>
      </c>
      <c r="B2459" s="2901" t="s">
        <v>2088</v>
      </c>
      <c r="C2459" s="2903" t="s">
        <v>52</v>
      </c>
      <c r="D2459" s="2905">
        <v>348.88</v>
      </c>
      <c r="E2459" s="1810" t="s">
        <v>2496</v>
      </c>
      <c r="F2459" s="1811"/>
      <c r="G2459" s="1811"/>
      <c r="H2459" s="1811"/>
      <c r="I2459" s="1811"/>
      <c r="J2459" s="1811"/>
      <c r="K2459" s="1811"/>
      <c r="L2459" s="1811"/>
      <c r="M2459" s="1811"/>
      <c r="N2459" s="1811"/>
      <c r="O2459" s="1811"/>
      <c r="P2459" s="1811"/>
      <c r="Q2459" s="1812"/>
      <c r="R2459" s="1811"/>
      <c r="S2459" s="1811"/>
      <c r="T2459" s="1812"/>
      <c r="U2459" s="1812"/>
      <c r="V2459" s="1812"/>
      <c r="W2459" s="1812"/>
      <c r="X2459" s="1812"/>
      <c r="Y2459" s="1812"/>
      <c r="Z2459" s="1585">
        <f>D2459</f>
        <v>348.88</v>
      </c>
      <c r="AA2459" s="1812"/>
      <c r="AB2459" s="1812"/>
      <c r="AC2459" s="1812"/>
      <c r="AD2459" s="1601">
        <f t="shared" si="180"/>
        <v>348.88</v>
      </c>
      <c r="AE2459" s="1790">
        <v>0</v>
      </c>
      <c r="AF2459" s="1792"/>
    </row>
    <row r="2460" spans="1:32" ht="27.75" customHeight="1">
      <c r="A2460" s="2900" t="s">
        <v>1609</v>
      </c>
      <c r="B2460" s="2902" t="s">
        <v>2088</v>
      </c>
      <c r="C2460" s="2904" t="s">
        <v>52</v>
      </c>
      <c r="D2460" s="2906">
        <v>348.88</v>
      </c>
      <c r="E2460" s="1603" t="s">
        <v>2497</v>
      </c>
      <c r="F2460" s="1583"/>
      <c r="G2460" s="1583"/>
      <c r="H2460" s="1583"/>
      <c r="I2460" s="1583"/>
      <c r="J2460" s="1583"/>
      <c r="K2460" s="1583"/>
      <c r="L2460" s="1583"/>
      <c r="M2460" s="1583"/>
      <c r="N2460" s="1583"/>
      <c r="O2460" s="1583"/>
      <c r="P2460" s="1583"/>
      <c r="Q2460" s="1604"/>
      <c r="R2460" s="1583"/>
      <c r="S2460" s="1583"/>
      <c r="T2460" s="1604"/>
      <c r="U2460" s="1592"/>
      <c r="V2460" s="1585"/>
      <c r="W2460" s="1585"/>
      <c r="X2460" s="1585"/>
      <c r="Y2460" s="1592"/>
      <c r="Z2460" s="1585"/>
      <c r="AA2460" s="1585"/>
      <c r="AB2460" s="1585"/>
      <c r="AC2460" s="1585"/>
      <c r="AD2460" s="1601">
        <f t="shared" si="180"/>
        <v>0</v>
      </c>
      <c r="AE2460" s="1790">
        <v>0</v>
      </c>
      <c r="AF2460" s="1792"/>
    </row>
    <row r="2461" spans="1:32" ht="27.75" customHeight="1">
      <c r="A2461" s="2899" t="s">
        <v>1610</v>
      </c>
      <c r="B2461" s="2901" t="s">
        <v>2089</v>
      </c>
      <c r="C2461" s="2903" t="s">
        <v>52</v>
      </c>
      <c r="D2461" s="2905">
        <v>676.69</v>
      </c>
      <c r="E2461" s="1810" t="s">
        <v>2496</v>
      </c>
      <c r="F2461" s="1811"/>
      <c r="G2461" s="1811"/>
      <c r="H2461" s="1811"/>
      <c r="I2461" s="1811"/>
      <c r="J2461" s="1811"/>
      <c r="K2461" s="1811"/>
      <c r="L2461" s="1811"/>
      <c r="M2461" s="1811"/>
      <c r="N2461" s="1811"/>
      <c r="O2461" s="1811"/>
      <c r="P2461" s="1811"/>
      <c r="Q2461" s="1812"/>
      <c r="R2461" s="1811"/>
      <c r="S2461" s="1811"/>
      <c r="T2461" s="1812"/>
      <c r="U2461" s="1812"/>
      <c r="V2461" s="1812"/>
      <c r="W2461" s="1812"/>
      <c r="X2461" s="1812"/>
      <c r="Y2461" s="1812"/>
      <c r="Z2461" s="1585">
        <f>D2461</f>
        <v>676.69</v>
      </c>
      <c r="AA2461" s="1812"/>
      <c r="AB2461" s="1812"/>
      <c r="AC2461" s="1812"/>
      <c r="AD2461" s="1601">
        <f t="shared" si="180"/>
        <v>676.69</v>
      </c>
      <c r="AE2461" s="1790">
        <v>0</v>
      </c>
      <c r="AF2461" s="1792"/>
    </row>
    <row r="2462" spans="1:32" ht="27.75" customHeight="1">
      <c r="A2462" s="2900" t="s">
        <v>1610</v>
      </c>
      <c r="B2462" s="2902" t="s">
        <v>2089</v>
      </c>
      <c r="C2462" s="2904" t="s">
        <v>52</v>
      </c>
      <c r="D2462" s="2906">
        <v>676.69</v>
      </c>
      <c r="E2462" s="1603" t="s">
        <v>2497</v>
      </c>
      <c r="F2462" s="1583"/>
      <c r="G2462" s="1583"/>
      <c r="H2462" s="1583"/>
      <c r="I2462" s="1583"/>
      <c r="J2462" s="1583"/>
      <c r="K2462" s="1583"/>
      <c r="L2462" s="1583"/>
      <c r="M2462" s="1583"/>
      <c r="N2462" s="1583"/>
      <c r="O2462" s="1583"/>
      <c r="P2462" s="1583"/>
      <c r="Q2462" s="1604"/>
      <c r="R2462" s="1583"/>
      <c r="S2462" s="1583"/>
      <c r="T2462" s="1604"/>
      <c r="U2462" s="1592"/>
      <c r="V2462" s="1585"/>
      <c r="W2462" s="1585"/>
      <c r="X2462" s="1585"/>
      <c r="Y2462" s="1592"/>
      <c r="Z2462" s="1585"/>
      <c r="AA2462" s="1585"/>
      <c r="AB2462" s="1585"/>
      <c r="AC2462" s="1585"/>
      <c r="AD2462" s="1601">
        <f t="shared" si="180"/>
        <v>0</v>
      </c>
      <c r="AE2462" s="1790">
        <v>0</v>
      </c>
      <c r="AF2462" s="1792"/>
    </row>
    <row r="2463" spans="1:32" ht="27.75" customHeight="1">
      <c r="A2463" s="2899" t="s">
        <v>1611</v>
      </c>
      <c r="B2463" s="2901" t="s">
        <v>2090</v>
      </c>
      <c r="C2463" s="2903" t="s">
        <v>51</v>
      </c>
      <c r="D2463" s="2905">
        <v>17872.28</v>
      </c>
      <c r="E2463" s="1810" t="s">
        <v>2496</v>
      </c>
      <c r="F2463" s="1811"/>
      <c r="G2463" s="1811"/>
      <c r="H2463" s="1811"/>
      <c r="I2463" s="1811"/>
      <c r="J2463" s="1811"/>
      <c r="K2463" s="1811"/>
      <c r="L2463" s="1811"/>
      <c r="M2463" s="1811"/>
      <c r="N2463" s="1811"/>
      <c r="O2463" s="1811"/>
      <c r="P2463" s="1811"/>
      <c r="Q2463" s="1812"/>
      <c r="R2463" s="1811"/>
      <c r="S2463" s="1811"/>
      <c r="T2463" s="1812"/>
      <c r="U2463" s="1812"/>
      <c r="V2463" s="1812"/>
      <c r="W2463" s="1812"/>
      <c r="X2463" s="1812"/>
      <c r="Y2463" s="1812"/>
      <c r="Z2463" s="1585">
        <f>D2463</f>
        <v>17872.28</v>
      </c>
      <c r="AA2463" s="1812"/>
      <c r="AB2463" s="1812"/>
      <c r="AC2463" s="1812"/>
      <c r="AD2463" s="1601">
        <f t="shared" si="180"/>
        <v>17872.28</v>
      </c>
      <c r="AE2463" s="1790">
        <v>0</v>
      </c>
      <c r="AF2463" s="1792"/>
    </row>
    <row r="2464" spans="1:32" ht="27.75" customHeight="1">
      <c r="A2464" s="2900" t="s">
        <v>1611</v>
      </c>
      <c r="B2464" s="2902" t="s">
        <v>2090</v>
      </c>
      <c r="C2464" s="2904" t="s">
        <v>51</v>
      </c>
      <c r="D2464" s="2906">
        <v>17872.28</v>
      </c>
      <c r="E2464" s="1603" t="s">
        <v>2497</v>
      </c>
      <c r="F2464" s="1583"/>
      <c r="G2464" s="1583"/>
      <c r="H2464" s="1583"/>
      <c r="I2464" s="1583"/>
      <c r="J2464" s="1583"/>
      <c r="K2464" s="1583"/>
      <c r="L2464" s="1583"/>
      <c r="M2464" s="1583"/>
      <c r="N2464" s="1583"/>
      <c r="O2464" s="1583"/>
      <c r="P2464" s="1583"/>
      <c r="Q2464" s="1604"/>
      <c r="R2464" s="1583"/>
      <c r="S2464" s="1583"/>
      <c r="T2464" s="1604"/>
      <c r="U2464" s="1592"/>
      <c r="V2464" s="1585"/>
      <c r="W2464" s="1585"/>
      <c r="X2464" s="1585"/>
      <c r="Y2464" s="1592"/>
      <c r="Z2464" s="1585"/>
      <c r="AA2464" s="1585"/>
      <c r="AB2464" s="1585"/>
      <c r="AC2464" s="1585"/>
      <c r="AD2464" s="1601">
        <f t="shared" si="180"/>
        <v>0</v>
      </c>
      <c r="AE2464" s="1790">
        <v>0</v>
      </c>
      <c r="AF2464" s="1792"/>
    </row>
    <row r="2465" spans="1:32" ht="27.75" customHeight="1">
      <c r="A2465" s="2899" t="s">
        <v>1612</v>
      </c>
      <c r="B2465" s="2901" t="s">
        <v>2091</v>
      </c>
      <c r="C2465" s="2903" t="s">
        <v>52</v>
      </c>
      <c r="D2465" s="2905">
        <v>436.1</v>
      </c>
      <c r="E2465" s="1598" t="s">
        <v>2496</v>
      </c>
      <c r="F2465" s="1583"/>
      <c r="G2465" s="1583"/>
      <c r="H2465" s="1583"/>
      <c r="I2465" s="1583"/>
      <c r="J2465" s="1583"/>
      <c r="K2465" s="1583"/>
      <c r="L2465" s="1583"/>
      <c r="M2465" s="1583"/>
      <c r="N2465" s="1583"/>
      <c r="O2465" s="1583"/>
      <c r="P2465" s="1583"/>
      <c r="Q2465" s="1585"/>
      <c r="R2465" s="1583"/>
      <c r="S2465" s="1583"/>
      <c r="T2465" s="1585"/>
      <c r="U2465" s="1585"/>
      <c r="V2465" s="1585"/>
      <c r="W2465" s="1585"/>
      <c r="X2465" s="1585"/>
      <c r="Y2465" s="1585"/>
      <c r="Z2465" s="1585">
        <f>D2465</f>
        <v>436.1</v>
      </c>
      <c r="AA2465" s="1585"/>
      <c r="AB2465" s="1585"/>
      <c r="AC2465" s="1585"/>
      <c r="AD2465" s="1601">
        <f t="shared" si="180"/>
        <v>436.1</v>
      </c>
      <c r="AE2465" s="1790">
        <v>0</v>
      </c>
      <c r="AF2465" s="1792"/>
    </row>
    <row r="2466" spans="1:32" ht="27.75" customHeight="1">
      <c r="A2466" s="2900" t="s">
        <v>1612</v>
      </c>
      <c r="B2466" s="2902" t="s">
        <v>2091</v>
      </c>
      <c r="C2466" s="2904" t="s">
        <v>52</v>
      </c>
      <c r="D2466" s="2906">
        <v>436.1</v>
      </c>
      <c r="E2466" s="1603" t="s">
        <v>2497</v>
      </c>
      <c r="F2466" s="1583"/>
      <c r="G2466" s="1583"/>
      <c r="H2466" s="1583"/>
      <c r="I2466" s="1583"/>
      <c r="J2466" s="1583"/>
      <c r="K2466" s="1583"/>
      <c r="L2466" s="1583"/>
      <c r="M2466" s="1583"/>
      <c r="N2466" s="1583"/>
      <c r="O2466" s="1583"/>
      <c r="P2466" s="1583"/>
      <c r="Q2466" s="1604"/>
      <c r="R2466" s="1583"/>
      <c r="S2466" s="1583"/>
      <c r="T2466" s="1604"/>
      <c r="U2466" s="1585"/>
      <c r="V2466" s="1585"/>
      <c r="W2466" s="1585"/>
      <c r="X2466" s="1585"/>
      <c r="Y2466" s="1585"/>
      <c r="Z2466" s="1585"/>
      <c r="AA2466" s="1585"/>
      <c r="AB2466" s="1585"/>
      <c r="AC2466" s="1585"/>
      <c r="AD2466" s="1601">
        <f t="shared" si="180"/>
        <v>0</v>
      </c>
      <c r="AE2466" s="1790">
        <v>0</v>
      </c>
      <c r="AF2466" s="1792"/>
    </row>
    <row r="2467" spans="1:32" ht="27.75" customHeight="1">
      <c r="A2467" s="2899" t="s">
        <v>1614</v>
      </c>
      <c r="B2467" s="2901" t="s">
        <v>2073</v>
      </c>
      <c r="C2467" s="2903" t="s">
        <v>51</v>
      </c>
      <c r="D2467" s="2905">
        <v>1541.28</v>
      </c>
      <c r="E2467" s="1810" t="s">
        <v>2496</v>
      </c>
      <c r="F2467" s="1811"/>
      <c r="G2467" s="1811"/>
      <c r="H2467" s="1811"/>
      <c r="I2467" s="1811"/>
      <c r="J2467" s="1811"/>
      <c r="K2467" s="1811"/>
      <c r="L2467" s="1811"/>
      <c r="M2467" s="1811"/>
      <c r="N2467" s="1811"/>
      <c r="O2467" s="1811"/>
      <c r="P2467" s="1811"/>
      <c r="Q2467" s="1812"/>
      <c r="R2467" s="1811"/>
      <c r="S2467" s="1811"/>
      <c r="T2467" s="1812"/>
      <c r="U2467" s="1812"/>
      <c r="V2467" s="1812"/>
      <c r="W2467" s="1812"/>
      <c r="X2467" s="1812"/>
      <c r="Y2467" s="1812"/>
      <c r="Z2467" s="1585">
        <f>D2467</f>
        <v>1541.28</v>
      </c>
      <c r="AA2467" s="1812"/>
      <c r="AB2467" s="1812"/>
      <c r="AC2467" s="1812"/>
      <c r="AD2467" s="1601">
        <f t="shared" si="180"/>
        <v>1541.28</v>
      </c>
      <c r="AE2467" s="1790">
        <v>0</v>
      </c>
      <c r="AF2467" s="1792"/>
    </row>
    <row r="2468" spans="1:32" ht="27.75" customHeight="1">
      <c r="A2468" s="2900" t="s">
        <v>1614</v>
      </c>
      <c r="B2468" s="2902" t="s">
        <v>2073</v>
      </c>
      <c r="C2468" s="2904" t="s">
        <v>51</v>
      </c>
      <c r="D2468" s="2906">
        <v>1541.28</v>
      </c>
      <c r="E2468" s="1603" t="s">
        <v>2497</v>
      </c>
      <c r="F2468" s="1583"/>
      <c r="G2468" s="1583"/>
      <c r="H2468" s="1583"/>
      <c r="I2468" s="1583"/>
      <c r="J2468" s="1583"/>
      <c r="K2468" s="1583"/>
      <c r="L2468" s="1583"/>
      <c r="M2468" s="1583"/>
      <c r="N2468" s="1583"/>
      <c r="O2468" s="1583"/>
      <c r="P2468" s="1583"/>
      <c r="Q2468" s="1604"/>
      <c r="R2468" s="1583"/>
      <c r="S2468" s="1583"/>
      <c r="T2468" s="1604"/>
      <c r="U2468" s="1592"/>
      <c r="V2468" s="1585"/>
      <c r="W2468" s="1585"/>
      <c r="X2468" s="1585"/>
      <c r="Y2468" s="1592"/>
      <c r="Z2468" s="1585"/>
      <c r="AA2468" s="1585"/>
      <c r="AB2468" s="1585"/>
      <c r="AC2468" s="1585"/>
      <c r="AD2468" s="1601">
        <f t="shared" si="180"/>
        <v>0</v>
      </c>
      <c r="AE2468" s="1790">
        <v>0</v>
      </c>
      <c r="AF2468" s="1792"/>
    </row>
    <row r="2469" spans="1:32" ht="27.75" customHeight="1">
      <c r="A2469" s="1745" t="s">
        <v>1620</v>
      </c>
      <c r="B2469" s="1746" t="s">
        <v>2037</v>
      </c>
      <c r="C2469" s="1803"/>
      <c r="D2469" s="1804"/>
      <c r="E2469" s="1813"/>
      <c r="F2469" s="1811"/>
      <c r="G2469" s="1811"/>
      <c r="H2469" s="1811"/>
      <c r="I2469" s="1811"/>
      <c r="J2469" s="1811"/>
      <c r="K2469" s="1811"/>
      <c r="L2469" s="1811"/>
      <c r="M2469" s="1811"/>
      <c r="N2469" s="1811"/>
      <c r="O2469" s="1811"/>
      <c r="P2469" s="1811"/>
      <c r="Q2469" s="1814"/>
      <c r="R2469" s="1811"/>
      <c r="S2469" s="1811"/>
      <c r="T2469" s="1814"/>
      <c r="U2469" s="1816"/>
      <c r="V2469" s="1812"/>
      <c r="W2469" s="1812"/>
      <c r="X2469" s="1812"/>
      <c r="Y2469" s="1816"/>
      <c r="Z2469" s="1812"/>
      <c r="AA2469" s="1812"/>
      <c r="AB2469" s="1812"/>
      <c r="AC2469" s="1812"/>
      <c r="AD2469" s="1601">
        <f t="shared" si="180"/>
        <v>0</v>
      </c>
      <c r="AE2469" s="1790">
        <v>0</v>
      </c>
      <c r="AF2469" s="1792"/>
    </row>
    <row r="2470" spans="1:32" ht="27.75" customHeight="1">
      <c r="A2470" s="2899" t="s">
        <v>1622</v>
      </c>
      <c r="B2470" s="2901" t="s">
        <v>2095</v>
      </c>
      <c r="C2470" s="2903" t="s">
        <v>1145</v>
      </c>
      <c r="D2470" s="2905">
        <v>884.88</v>
      </c>
      <c r="E2470" s="1810" t="s">
        <v>2496</v>
      </c>
      <c r="F2470" s="1811"/>
      <c r="G2470" s="1811"/>
      <c r="H2470" s="1811"/>
      <c r="I2470" s="1811"/>
      <c r="J2470" s="1811"/>
      <c r="K2470" s="1811"/>
      <c r="L2470" s="1811"/>
      <c r="M2470" s="1811"/>
      <c r="N2470" s="1811"/>
      <c r="O2470" s="1811"/>
      <c r="P2470" s="1811"/>
      <c r="Q2470" s="1812"/>
      <c r="R2470" s="1811"/>
      <c r="S2470" s="1811"/>
      <c r="T2470" s="1812"/>
      <c r="U2470" s="1812"/>
      <c r="V2470" s="1812"/>
      <c r="W2470" s="1812"/>
      <c r="X2470" s="1812"/>
      <c r="Y2470" s="1812"/>
      <c r="Z2470" s="1585">
        <f>D2470</f>
        <v>884.88</v>
      </c>
      <c r="AA2470" s="1812"/>
      <c r="AB2470" s="1812"/>
      <c r="AC2470" s="1812"/>
      <c r="AD2470" s="1601">
        <f t="shared" si="180"/>
        <v>884.88</v>
      </c>
      <c r="AE2470" s="1790">
        <v>0</v>
      </c>
      <c r="AF2470" s="1792"/>
    </row>
    <row r="2471" spans="1:32" ht="27.75" customHeight="1">
      <c r="A2471" s="2900" t="s">
        <v>1622</v>
      </c>
      <c r="B2471" s="2902" t="s">
        <v>2095</v>
      </c>
      <c r="C2471" s="2904" t="s">
        <v>1145</v>
      </c>
      <c r="D2471" s="2906">
        <v>884.88</v>
      </c>
      <c r="E2471" s="1603" t="s">
        <v>2497</v>
      </c>
      <c r="F2471" s="1583"/>
      <c r="G2471" s="1583"/>
      <c r="H2471" s="1583"/>
      <c r="I2471" s="1583"/>
      <c r="J2471" s="1583"/>
      <c r="K2471" s="1583"/>
      <c r="L2471" s="1583"/>
      <c r="M2471" s="1583"/>
      <c r="N2471" s="1583"/>
      <c r="O2471" s="1583"/>
      <c r="P2471" s="1583"/>
      <c r="Q2471" s="1604"/>
      <c r="R2471" s="1583"/>
      <c r="S2471" s="1583"/>
      <c r="T2471" s="1604"/>
      <c r="U2471" s="1592"/>
      <c r="V2471" s="1585"/>
      <c r="W2471" s="1585"/>
      <c r="X2471" s="1585"/>
      <c r="Y2471" s="1592"/>
      <c r="Z2471" s="1585"/>
      <c r="AA2471" s="1585"/>
      <c r="AB2471" s="1585"/>
      <c r="AC2471" s="1585"/>
      <c r="AD2471" s="1601">
        <f t="shared" si="180"/>
        <v>0</v>
      </c>
      <c r="AE2471" s="1790">
        <v>0</v>
      </c>
      <c r="AF2471" s="1792"/>
    </row>
    <row r="2472" spans="1:32" ht="27.75" customHeight="1">
      <c r="A2472" s="2899" t="s">
        <v>1623</v>
      </c>
      <c r="B2472" s="2901" t="s">
        <v>2096</v>
      </c>
      <c r="C2472" s="2903" t="s">
        <v>1145</v>
      </c>
      <c r="D2472" s="2905">
        <v>1030.54</v>
      </c>
      <c r="E2472" s="1810" t="s">
        <v>2496</v>
      </c>
      <c r="F2472" s="1811"/>
      <c r="G2472" s="1811"/>
      <c r="H2472" s="1811"/>
      <c r="I2472" s="1811"/>
      <c r="J2472" s="1811"/>
      <c r="K2472" s="1811"/>
      <c r="L2472" s="1811"/>
      <c r="M2472" s="1811"/>
      <c r="N2472" s="1811"/>
      <c r="O2472" s="1811"/>
      <c r="P2472" s="1811"/>
      <c r="Q2472" s="1812"/>
      <c r="R2472" s="1811"/>
      <c r="S2472" s="1811"/>
      <c r="T2472" s="1812"/>
      <c r="U2472" s="1812"/>
      <c r="V2472" s="1812"/>
      <c r="W2472" s="1812"/>
      <c r="X2472" s="1812"/>
      <c r="Y2472" s="1812"/>
      <c r="Z2472" s="1585">
        <f>D2472</f>
        <v>1030.54</v>
      </c>
      <c r="AA2472" s="1812"/>
      <c r="AB2472" s="1812"/>
      <c r="AC2472" s="1812"/>
      <c r="AD2472" s="1601">
        <f t="shared" si="180"/>
        <v>1030.54</v>
      </c>
      <c r="AE2472" s="1790">
        <v>0</v>
      </c>
      <c r="AF2472" s="1792"/>
    </row>
    <row r="2473" spans="1:32" ht="27.75" customHeight="1">
      <c r="A2473" s="2900" t="s">
        <v>1623</v>
      </c>
      <c r="B2473" s="2902" t="s">
        <v>2096</v>
      </c>
      <c r="C2473" s="2904" t="s">
        <v>1145</v>
      </c>
      <c r="D2473" s="2906">
        <v>1030.54</v>
      </c>
      <c r="E2473" s="1603" t="s">
        <v>2497</v>
      </c>
      <c r="F2473" s="1583"/>
      <c r="G2473" s="1583"/>
      <c r="H2473" s="1583"/>
      <c r="I2473" s="1583"/>
      <c r="J2473" s="1583"/>
      <c r="K2473" s="1583"/>
      <c r="L2473" s="1583"/>
      <c r="M2473" s="1583"/>
      <c r="N2473" s="1583"/>
      <c r="O2473" s="1583"/>
      <c r="P2473" s="1583"/>
      <c r="Q2473" s="1604"/>
      <c r="R2473" s="1583"/>
      <c r="S2473" s="1583"/>
      <c r="T2473" s="1604"/>
      <c r="U2473" s="1592"/>
      <c r="V2473" s="1585"/>
      <c r="W2473" s="1585"/>
      <c r="X2473" s="1585"/>
      <c r="Y2473" s="1592"/>
      <c r="Z2473" s="1585"/>
      <c r="AA2473" s="1585"/>
      <c r="AB2473" s="1585"/>
      <c r="AC2473" s="1585"/>
      <c r="AD2473" s="1601">
        <f t="shared" si="180"/>
        <v>0</v>
      </c>
      <c r="AE2473" s="1790">
        <v>0</v>
      </c>
      <c r="AF2473" s="1792"/>
    </row>
    <row r="2474" spans="1:32" ht="27.75" customHeight="1">
      <c r="A2474" s="1745" t="s">
        <v>1632</v>
      </c>
      <c r="B2474" s="1746" t="s">
        <v>2027</v>
      </c>
      <c r="C2474" s="1803"/>
      <c r="D2474" s="1804"/>
      <c r="E2474" s="1599"/>
      <c r="F2474" s="1583"/>
      <c r="G2474" s="1583"/>
      <c r="H2474" s="1583"/>
      <c r="I2474" s="1583"/>
      <c r="J2474" s="1583"/>
      <c r="K2474" s="1583"/>
      <c r="L2474" s="1583"/>
      <c r="M2474" s="1583"/>
      <c r="N2474" s="1583"/>
      <c r="O2474" s="1583"/>
      <c r="P2474" s="1583"/>
      <c r="Q2474" s="1604"/>
      <c r="R2474" s="1583"/>
      <c r="S2474" s="1583"/>
      <c r="T2474" s="1604"/>
      <c r="U2474" s="1592"/>
      <c r="V2474" s="1585"/>
      <c r="W2474" s="1585"/>
      <c r="X2474" s="1585"/>
      <c r="Y2474" s="1592"/>
      <c r="Z2474" s="1585"/>
      <c r="AA2474" s="1585"/>
      <c r="AB2474" s="1585"/>
      <c r="AC2474" s="1585"/>
      <c r="AD2474" s="1601">
        <f t="shared" si="180"/>
        <v>0</v>
      </c>
      <c r="AE2474" s="1790">
        <v>0</v>
      </c>
      <c r="AF2474" s="1792"/>
    </row>
    <row r="2475" spans="1:32" ht="27.75" customHeight="1">
      <c r="A2475" s="2899" t="s">
        <v>1636</v>
      </c>
      <c r="B2475" s="2901" t="s">
        <v>2108</v>
      </c>
      <c r="C2475" s="2903" t="s">
        <v>52</v>
      </c>
      <c r="D2475" s="2905">
        <v>567.41</v>
      </c>
      <c r="E2475" s="1598" t="s">
        <v>2496</v>
      </c>
      <c r="F2475" s="1583"/>
      <c r="G2475" s="1583"/>
      <c r="H2475" s="1583"/>
      <c r="I2475" s="1583"/>
      <c r="J2475" s="1583"/>
      <c r="K2475" s="1583"/>
      <c r="L2475" s="1583"/>
      <c r="M2475" s="1583"/>
      <c r="N2475" s="1583"/>
      <c r="O2475" s="1583"/>
      <c r="P2475" s="1583"/>
      <c r="Q2475" s="1585"/>
      <c r="R2475" s="1583"/>
      <c r="S2475" s="1583"/>
      <c r="T2475" s="1585"/>
      <c r="U2475" s="1585"/>
      <c r="V2475" s="1585"/>
      <c r="W2475" s="1585"/>
      <c r="X2475" s="1585"/>
      <c r="Y2475" s="1585"/>
      <c r="Z2475" s="1585">
        <f>D2475</f>
        <v>567.41</v>
      </c>
      <c r="AA2475" s="1585"/>
      <c r="AB2475" s="1585"/>
      <c r="AC2475" s="1585"/>
      <c r="AD2475" s="1601">
        <f t="shared" si="180"/>
        <v>567.41</v>
      </c>
      <c r="AE2475" s="1790">
        <v>0</v>
      </c>
      <c r="AF2475" s="1792"/>
    </row>
    <row r="2476" spans="1:32" ht="27.75" customHeight="1">
      <c r="A2476" s="2900" t="s">
        <v>1636</v>
      </c>
      <c r="B2476" s="2902" t="s">
        <v>2108</v>
      </c>
      <c r="C2476" s="2904" t="s">
        <v>52</v>
      </c>
      <c r="D2476" s="2906">
        <v>567.41</v>
      </c>
      <c r="E2476" s="1603" t="s">
        <v>2497</v>
      </c>
      <c r="F2476" s="1583"/>
      <c r="G2476" s="1583"/>
      <c r="H2476" s="1583"/>
      <c r="I2476" s="1583"/>
      <c r="J2476" s="1583"/>
      <c r="K2476" s="1583"/>
      <c r="L2476" s="1583"/>
      <c r="M2476" s="1583"/>
      <c r="N2476" s="1583"/>
      <c r="O2476" s="1583"/>
      <c r="P2476" s="1583"/>
      <c r="Q2476" s="1604"/>
      <c r="R2476" s="1583"/>
      <c r="S2476" s="1583"/>
      <c r="T2476" s="1604"/>
      <c r="U2476" s="1585"/>
      <c r="V2476" s="1585"/>
      <c r="W2476" s="1585"/>
      <c r="X2476" s="1585"/>
      <c r="Y2476" s="1585"/>
      <c r="Z2476" s="1585"/>
      <c r="AA2476" s="1585"/>
      <c r="AB2476" s="1585"/>
      <c r="AC2476" s="1585"/>
      <c r="AD2476" s="1601">
        <f t="shared" si="180"/>
        <v>0</v>
      </c>
      <c r="AE2476" s="1790">
        <v>0</v>
      </c>
      <c r="AF2476" s="1792"/>
    </row>
    <row r="2477" spans="1:32" ht="27.75" customHeight="1">
      <c r="A2477" s="2899" t="s">
        <v>1637</v>
      </c>
      <c r="B2477" s="2901" t="s">
        <v>2109</v>
      </c>
      <c r="C2477" s="2903" t="s">
        <v>52</v>
      </c>
      <c r="D2477" s="2905">
        <v>1775</v>
      </c>
      <c r="E2477" s="1810" t="s">
        <v>2496</v>
      </c>
      <c r="F2477" s="1811"/>
      <c r="G2477" s="1811"/>
      <c r="H2477" s="1811"/>
      <c r="I2477" s="1811"/>
      <c r="J2477" s="1811"/>
      <c r="K2477" s="1811"/>
      <c r="L2477" s="1811"/>
      <c r="M2477" s="1811"/>
      <c r="N2477" s="1811"/>
      <c r="O2477" s="1811"/>
      <c r="P2477" s="1811"/>
      <c r="Q2477" s="1812"/>
      <c r="R2477" s="1811"/>
      <c r="S2477" s="1811"/>
      <c r="T2477" s="1812"/>
      <c r="U2477" s="1812"/>
      <c r="V2477" s="1812"/>
      <c r="W2477" s="1812"/>
      <c r="X2477" s="1812"/>
      <c r="Y2477" s="1812"/>
      <c r="Z2477" s="1585">
        <f>D2477</f>
        <v>1775</v>
      </c>
      <c r="AA2477" s="1812"/>
      <c r="AB2477" s="1812"/>
      <c r="AC2477" s="1812"/>
      <c r="AD2477" s="1601">
        <f t="shared" si="180"/>
        <v>1775</v>
      </c>
      <c r="AE2477" s="1790">
        <v>0</v>
      </c>
      <c r="AF2477" s="1792"/>
    </row>
    <row r="2478" spans="1:32" ht="27.75" customHeight="1">
      <c r="A2478" s="2900" t="s">
        <v>1637</v>
      </c>
      <c r="B2478" s="2902" t="s">
        <v>2109</v>
      </c>
      <c r="C2478" s="2904" t="s">
        <v>52</v>
      </c>
      <c r="D2478" s="2906">
        <v>1775</v>
      </c>
      <c r="E2478" s="1603" t="s">
        <v>2497</v>
      </c>
      <c r="F2478" s="1583"/>
      <c r="G2478" s="1583"/>
      <c r="H2478" s="1583"/>
      <c r="I2478" s="1583"/>
      <c r="J2478" s="1583"/>
      <c r="K2478" s="1583"/>
      <c r="L2478" s="1583"/>
      <c r="M2478" s="1583"/>
      <c r="N2478" s="1583"/>
      <c r="O2478" s="1583"/>
      <c r="P2478" s="1583"/>
      <c r="Q2478" s="1604"/>
      <c r="R2478" s="1583"/>
      <c r="S2478" s="1583"/>
      <c r="T2478" s="1604"/>
      <c r="U2478" s="1592"/>
      <c r="V2478" s="1585"/>
      <c r="W2478" s="1585"/>
      <c r="X2478" s="1585"/>
      <c r="Y2478" s="1592"/>
      <c r="Z2478" s="1585"/>
      <c r="AA2478" s="1585"/>
      <c r="AB2478" s="1585"/>
      <c r="AC2478" s="1585"/>
      <c r="AD2478" s="1601">
        <f t="shared" si="180"/>
        <v>0</v>
      </c>
      <c r="AE2478" s="1790">
        <v>0</v>
      </c>
      <c r="AF2478" s="1792"/>
    </row>
    <row r="2479" spans="1:32" ht="27.75" customHeight="1">
      <c r="A2479" s="2899" t="s">
        <v>1638</v>
      </c>
      <c r="B2479" s="2901" t="s">
        <v>2028</v>
      </c>
      <c r="C2479" s="2903" t="s">
        <v>52</v>
      </c>
      <c r="D2479" s="2905">
        <v>11121.5</v>
      </c>
      <c r="E2479" s="1598" t="s">
        <v>2496</v>
      </c>
      <c r="F2479" s="1583"/>
      <c r="G2479" s="1583"/>
      <c r="H2479" s="1583"/>
      <c r="I2479" s="1583"/>
      <c r="J2479" s="1583"/>
      <c r="K2479" s="1583"/>
      <c r="L2479" s="1583"/>
      <c r="M2479" s="1583"/>
      <c r="N2479" s="1583"/>
      <c r="O2479" s="1583"/>
      <c r="P2479" s="1583"/>
      <c r="Q2479" s="1585"/>
      <c r="R2479" s="1583"/>
      <c r="S2479" s="1583"/>
      <c r="T2479" s="1585"/>
      <c r="U2479" s="1585"/>
      <c r="V2479" s="1585"/>
      <c r="W2479" s="1585"/>
      <c r="X2479" s="1585"/>
      <c r="Y2479" s="1585"/>
      <c r="Z2479" s="1585">
        <f>D2479</f>
        <v>11121.5</v>
      </c>
      <c r="AA2479" s="1585"/>
      <c r="AB2479" s="1585"/>
      <c r="AC2479" s="1585"/>
      <c r="AD2479" s="1601">
        <f t="shared" si="180"/>
        <v>11121.5</v>
      </c>
      <c r="AE2479" s="1790">
        <v>0</v>
      </c>
      <c r="AF2479" s="1792"/>
    </row>
    <row r="2480" spans="1:32" ht="27.75" customHeight="1">
      <c r="A2480" s="2900" t="s">
        <v>1638</v>
      </c>
      <c r="B2480" s="2902" t="s">
        <v>2028</v>
      </c>
      <c r="C2480" s="2904" t="s">
        <v>52</v>
      </c>
      <c r="D2480" s="2906">
        <v>11121.5</v>
      </c>
      <c r="E2480" s="1603" t="s">
        <v>2497</v>
      </c>
      <c r="F2480" s="1583"/>
      <c r="G2480" s="1583"/>
      <c r="H2480" s="1583"/>
      <c r="I2480" s="1583"/>
      <c r="J2480" s="1583"/>
      <c r="K2480" s="1583"/>
      <c r="L2480" s="1583"/>
      <c r="M2480" s="1583"/>
      <c r="N2480" s="1583"/>
      <c r="O2480" s="1583"/>
      <c r="P2480" s="1583"/>
      <c r="Q2480" s="1604"/>
      <c r="R2480" s="1583"/>
      <c r="S2480" s="1583"/>
      <c r="T2480" s="1604"/>
      <c r="U2480" s="1585"/>
      <c r="V2480" s="1585"/>
      <c r="W2480" s="1585"/>
      <c r="X2480" s="1585"/>
      <c r="Y2480" s="1585"/>
      <c r="Z2480" s="1585"/>
      <c r="AA2480" s="1585"/>
      <c r="AB2480" s="1585"/>
      <c r="AC2480" s="1585"/>
      <c r="AD2480" s="1601">
        <f t="shared" si="180"/>
        <v>0</v>
      </c>
      <c r="AE2480" s="1790">
        <v>0</v>
      </c>
      <c r="AF2480" s="1792"/>
    </row>
    <row r="2481" spans="1:34" ht="27.75" customHeight="1">
      <c r="A2481" s="2899" t="s">
        <v>1639</v>
      </c>
      <c r="B2481" s="2901" t="s">
        <v>2110</v>
      </c>
      <c r="C2481" s="2903" t="s">
        <v>52</v>
      </c>
      <c r="D2481" s="2905">
        <v>4256</v>
      </c>
      <c r="E2481" s="1810" t="s">
        <v>2496</v>
      </c>
      <c r="F2481" s="1811"/>
      <c r="G2481" s="1811"/>
      <c r="H2481" s="1811"/>
      <c r="I2481" s="1811"/>
      <c r="J2481" s="1811"/>
      <c r="K2481" s="1811"/>
      <c r="L2481" s="1811"/>
      <c r="M2481" s="1811"/>
      <c r="N2481" s="1811"/>
      <c r="O2481" s="1811"/>
      <c r="P2481" s="1811"/>
      <c r="Q2481" s="1812"/>
      <c r="R2481" s="1811"/>
      <c r="S2481" s="1811"/>
      <c r="T2481" s="1812"/>
      <c r="U2481" s="1812"/>
      <c r="V2481" s="1812"/>
      <c r="W2481" s="1812"/>
      <c r="X2481" s="1812"/>
      <c r="Y2481" s="1812"/>
      <c r="Z2481" s="1585">
        <f>D2481</f>
        <v>4256</v>
      </c>
      <c r="AA2481" s="1812"/>
      <c r="AB2481" s="1812"/>
      <c r="AC2481" s="1812"/>
      <c r="AD2481" s="1601">
        <f t="shared" si="180"/>
        <v>4256</v>
      </c>
      <c r="AE2481" s="1790">
        <v>0</v>
      </c>
      <c r="AF2481" s="1792"/>
    </row>
    <row r="2482" spans="1:34" ht="27.75" customHeight="1">
      <c r="A2482" s="2900" t="s">
        <v>1639</v>
      </c>
      <c r="B2482" s="2902" t="s">
        <v>2110</v>
      </c>
      <c r="C2482" s="2904" t="s">
        <v>52</v>
      </c>
      <c r="D2482" s="2906">
        <v>4256</v>
      </c>
      <c r="E2482" s="1603" t="s">
        <v>2497</v>
      </c>
      <c r="F2482" s="1583"/>
      <c r="G2482" s="1583"/>
      <c r="H2482" s="1583"/>
      <c r="I2482" s="1583"/>
      <c r="J2482" s="1583"/>
      <c r="K2482" s="1583"/>
      <c r="L2482" s="1583"/>
      <c r="M2482" s="1583"/>
      <c r="N2482" s="1583"/>
      <c r="O2482" s="1583"/>
      <c r="P2482" s="1583"/>
      <c r="Q2482" s="1604"/>
      <c r="R2482" s="1583"/>
      <c r="S2482" s="1583"/>
      <c r="T2482" s="1604"/>
      <c r="U2482" s="1592"/>
      <c r="V2482" s="1585"/>
      <c r="W2482" s="1585"/>
      <c r="X2482" s="1585"/>
      <c r="Y2482" s="1592"/>
      <c r="Z2482" s="1585"/>
      <c r="AA2482" s="1585"/>
      <c r="AB2482" s="1585"/>
      <c r="AC2482" s="1585"/>
      <c r="AD2482" s="1601">
        <f t="shared" si="180"/>
        <v>0</v>
      </c>
      <c r="AE2482" s="1790">
        <v>0</v>
      </c>
      <c r="AF2482" s="1792"/>
    </row>
    <row r="2483" spans="1:34" ht="27.75" customHeight="1">
      <c r="A2483" s="2899" t="s">
        <v>1641</v>
      </c>
      <c r="B2483" s="2901" t="s">
        <v>2112</v>
      </c>
      <c r="C2483" s="2903" t="s">
        <v>52</v>
      </c>
      <c r="D2483" s="2905">
        <v>1326.37</v>
      </c>
      <c r="E2483" s="1810" t="s">
        <v>2496</v>
      </c>
      <c r="F2483" s="1811"/>
      <c r="G2483" s="1811"/>
      <c r="H2483" s="1811"/>
      <c r="I2483" s="1811"/>
      <c r="J2483" s="1811"/>
      <c r="K2483" s="1811"/>
      <c r="L2483" s="1811"/>
      <c r="M2483" s="1811"/>
      <c r="N2483" s="1811"/>
      <c r="O2483" s="1811"/>
      <c r="P2483" s="1811"/>
      <c r="Q2483" s="1812"/>
      <c r="R2483" s="1811"/>
      <c r="S2483" s="1811"/>
      <c r="T2483" s="1812"/>
      <c r="U2483" s="1812"/>
      <c r="V2483" s="1812"/>
      <c r="W2483" s="1812"/>
      <c r="X2483" s="1812"/>
      <c r="Y2483" s="1812"/>
      <c r="Z2483" s="1585">
        <f>D2483</f>
        <v>1326.37</v>
      </c>
      <c r="AA2483" s="1812"/>
      <c r="AB2483" s="1812"/>
      <c r="AC2483" s="1812"/>
      <c r="AD2483" s="1601">
        <f t="shared" si="180"/>
        <v>1326.37</v>
      </c>
      <c r="AE2483" s="1790">
        <v>0</v>
      </c>
      <c r="AF2483" s="1792"/>
    </row>
    <row r="2484" spans="1:34" ht="27.75" customHeight="1">
      <c r="A2484" s="2900" t="s">
        <v>1641</v>
      </c>
      <c r="B2484" s="2902" t="s">
        <v>2112</v>
      </c>
      <c r="C2484" s="2904" t="s">
        <v>52</v>
      </c>
      <c r="D2484" s="2906">
        <v>1326.37</v>
      </c>
      <c r="E2484" s="1603" t="s">
        <v>2497</v>
      </c>
      <c r="F2484" s="1583"/>
      <c r="G2484" s="1583"/>
      <c r="H2484" s="1583"/>
      <c r="I2484" s="1583"/>
      <c r="J2484" s="1583"/>
      <c r="K2484" s="1583"/>
      <c r="L2484" s="1583"/>
      <c r="M2484" s="1583"/>
      <c r="N2484" s="1583"/>
      <c r="O2484" s="1583"/>
      <c r="P2484" s="1583"/>
      <c r="Q2484" s="1604"/>
      <c r="R2484" s="1583"/>
      <c r="S2484" s="1583"/>
      <c r="T2484" s="1604"/>
      <c r="U2484" s="1592"/>
      <c r="V2484" s="1585"/>
      <c r="W2484" s="1585"/>
      <c r="X2484" s="1585"/>
      <c r="Y2484" s="1592"/>
      <c r="Z2484" s="1585"/>
      <c r="AA2484" s="1585"/>
      <c r="AB2484" s="1585"/>
      <c r="AC2484" s="1585"/>
      <c r="AD2484" s="1601">
        <f t="shared" si="180"/>
        <v>0</v>
      </c>
      <c r="AE2484" s="1790">
        <v>0</v>
      </c>
      <c r="AF2484" s="1792"/>
    </row>
    <row r="2485" spans="1:34" ht="27.75" customHeight="1">
      <c r="A2485" s="2899" t="s">
        <v>1642</v>
      </c>
      <c r="B2485" s="2901" t="s">
        <v>2113</v>
      </c>
      <c r="C2485" s="2903" t="s">
        <v>52</v>
      </c>
      <c r="D2485" s="2905">
        <v>1454.95</v>
      </c>
      <c r="E2485" s="1810" t="s">
        <v>2496</v>
      </c>
      <c r="F2485" s="1811"/>
      <c r="G2485" s="1811"/>
      <c r="H2485" s="1811"/>
      <c r="I2485" s="1811"/>
      <c r="J2485" s="1811"/>
      <c r="K2485" s="1811"/>
      <c r="L2485" s="1811"/>
      <c r="M2485" s="1811"/>
      <c r="N2485" s="1811"/>
      <c r="O2485" s="1811"/>
      <c r="P2485" s="1811"/>
      <c r="Q2485" s="1812"/>
      <c r="R2485" s="1811"/>
      <c r="S2485" s="1811"/>
      <c r="T2485" s="1812"/>
      <c r="U2485" s="1812"/>
      <c r="V2485" s="1812"/>
      <c r="W2485" s="1812"/>
      <c r="X2485" s="1812"/>
      <c r="Y2485" s="1812"/>
      <c r="Z2485" s="1585">
        <f>D2485</f>
        <v>1454.95</v>
      </c>
      <c r="AA2485" s="1812"/>
      <c r="AB2485" s="1812"/>
      <c r="AC2485" s="1812"/>
      <c r="AD2485" s="1601">
        <f t="shared" si="180"/>
        <v>1454.95</v>
      </c>
      <c r="AE2485" s="1790">
        <v>0</v>
      </c>
      <c r="AF2485" s="1792"/>
    </row>
    <row r="2486" spans="1:34" ht="27.75" customHeight="1">
      <c r="A2486" s="2900" t="s">
        <v>1642</v>
      </c>
      <c r="B2486" s="2902" t="s">
        <v>2113</v>
      </c>
      <c r="C2486" s="2904" t="s">
        <v>52</v>
      </c>
      <c r="D2486" s="2906">
        <v>1454.95</v>
      </c>
      <c r="E2486" s="1603" t="s">
        <v>2497</v>
      </c>
      <c r="F2486" s="1583"/>
      <c r="G2486" s="1583"/>
      <c r="H2486" s="1583"/>
      <c r="I2486" s="1583"/>
      <c r="J2486" s="1583"/>
      <c r="K2486" s="1583"/>
      <c r="L2486" s="1583"/>
      <c r="M2486" s="1583"/>
      <c r="N2486" s="1583"/>
      <c r="O2486" s="1583"/>
      <c r="P2486" s="1583"/>
      <c r="Q2486" s="1604"/>
      <c r="R2486" s="1583"/>
      <c r="S2486" s="1583"/>
      <c r="T2486" s="1604"/>
      <c r="U2486" s="1592"/>
      <c r="V2486" s="1585"/>
      <c r="W2486" s="1585"/>
      <c r="X2486" s="1585"/>
      <c r="Y2486" s="1592"/>
      <c r="Z2486" s="1585"/>
      <c r="AA2486" s="1585"/>
      <c r="AB2486" s="1585"/>
      <c r="AC2486" s="1585"/>
      <c r="AD2486" s="1601">
        <f t="shared" si="180"/>
        <v>0</v>
      </c>
      <c r="AE2486" s="1790">
        <v>0</v>
      </c>
      <c r="AF2486" s="1792"/>
    </row>
    <row r="2487" spans="1:34" ht="27.75" customHeight="1">
      <c r="A2487" s="1745" t="s">
        <v>1645</v>
      </c>
      <c r="B2487" s="1746" t="s">
        <v>2116</v>
      </c>
      <c r="C2487" s="1803"/>
      <c r="D2487" s="1804"/>
      <c r="E2487" s="1599"/>
      <c r="F2487" s="1583"/>
      <c r="G2487" s="1583"/>
      <c r="H2487" s="1583"/>
      <c r="I2487" s="1583"/>
      <c r="J2487" s="1583"/>
      <c r="K2487" s="1583"/>
      <c r="L2487" s="1583"/>
      <c r="M2487" s="1583"/>
      <c r="N2487" s="1583"/>
      <c r="O2487" s="1583"/>
      <c r="P2487" s="1583"/>
      <c r="Q2487" s="1604"/>
      <c r="R2487" s="1583"/>
      <c r="S2487" s="1583"/>
      <c r="T2487" s="1604"/>
      <c r="U2487" s="1592"/>
      <c r="V2487" s="1585"/>
      <c r="W2487" s="1585"/>
      <c r="X2487" s="1585"/>
      <c r="Y2487" s="1592"/>
      <c r="Z2487" s="1585"/>
      <c r="AA2487" s="1585"/>
      <c r="AB2487" s="1585"/>
      <c r="AC2487" s="1585"/>
      <c r="AD2487" s="1601">
        <f t="shared" si="180"/>
        <v>0</v>
      </c>
      <c r="AE2487" s="1790">
        <v>0</v>
      </c>
      <c r="AF2487" s="1792"/>
    </row>
    <row r="2488" spans="1:34" ht="27.75" customHeight="1">
      <c r="A2488" s="2899" t="s">
        <v>1646</v>
      </c>
      <c r="B2488" s="2901" t="s">
        <v>2117</v>
      </c>
      <c r="C2488" s="2903" t="s">
        <v>268</v>
      </c>
      <c r="D2488" s="2905">
        <v>3936.18</v>
      </c>
      <c r="E2488" s="1598" t="s">
        <v>2496</v>
      </c>
      <c r="F2488" s="1583"/>
      <c r="G2488" s="1583"/>
      <c r="H2488" s="1583"/>
      <c r="I2488" s="1583"/>
      <c r="J2488" s="1583"/>
      <c r="K2488" s="1583"/>
      <c r="L2488" s="1583"/>
      <c r="M2488" s="1583"/>
      <c r="N2488" s="1583"/>
      <c r="O2488" s="1583"/>
      <c r="P2488" s="1583"/>
      <c r="Q2488" s="1585"/>
      <c r="R2488" s="1583"/>
      <c r="S2488" s="1583"/>
      <c r="T2488" s="1585"/>
      <c r="U2488" s="1585"/>
      <c r="V2488" s="1585"/>
      <c r="W2488" s="1585"/>
      <c r="X2488" s="1585"/>
      <c r="Y2488" s="1585"/>
      <c r="Z2488" s="1585"/>
      <c r="AA2488" s="1585">
        <f>D2488</f>
        <v>3936.18</v>
      </c>
      <c r="AB2488" s="1585"/>
      <c r="AC2488" s="1585"/>
      <c r="AD2488" s="1601">
        <f t="shared" si="180"/>
        <v>3936.18</v>
      </c>
      <c r="AE2488" s="1790">
        <v>0</v>
      </c>
      <c r="AF2488" s="1792"/>
    </row>
    <row r="2489" spans="1:34" ht="27.75" customHeight="1">
      <c r="A2489" s="2900" t="s">
        <v>1646</v>
      </c>
      <c r="B2489" s="2902" t="s">
        <v>2117</v>
      </c>
      <c r="C2489" s="2904" t="s">
        <v>268</v>
      </c>
      <c r="D2489" s="2906">
        <v>3936.18</v>
      </c>
      <c r="E2489" s="1603" t="s">
        <v>2497</v>
      </c>
      <c r="F2489" s="1583"/>
      <c r="G2489" s="1583"/>
      <c r="H2489" s="1583"/>
      <c r="I2489" s="1583"/>
      <c r="J2489" s="1583"/>
      <c r="K2489" s="1583"/>
      <c r="L2489" s="1583"/>
      <c r="M2489" s="1583"/>
      <c r="N2489" s="1583"/>
      <c r="O2489" s="1583"/>
      <c r="P2489" s="1583"/>
      <c r="Q2489" s="1604"/>
      <c r="R2489" s="1583"/>
      <c r="S2489" s="1583"/>
      <c r="T2489" s="1604"/>
      <c r="U2489" s="1585"/>
      <c r="V2489" s="1585"/>
      <c r="W2489" s="1585"/>
      <c r="X2489" s="1585"/>
      <c r="Y2489" s="1585"/>
      <c r="Z2489" s="1585"/>
      <c r="AA2489" s="1585"/>
      <c r="AB2489" s="1585"/>
      <c r="AC2489" s="1585"/>
      <c r="AD2489" s="1601">
        <f t="shared" si="180"/>
        <v>0</v>
      </c>
      <c r="AE2489" s="1790">
        <v>0</v>
      </c>
      <c r="AF2489" s="1792"/>
    </row>
    <row r="2490" spans="1:34" ht="27.75" customHeight="1">
      <c r="A2490" s="2899" t="s">
        <v>1647</v>
      </c>
      <c r="B2490" s="2901" t="s">
        <v>2118</v>
      </c>
      <c r="C2490" s="2903" t="s">
        <v>52</v>
      </c>
      <c r="D2490" s="2905">
        <v>3936.18</v>
      </c>
      <c r="E2490" s="1810" t="s">
        <v>2496</v>
      </c>
      <c r="F2490" s="1811"/>
      <c r="G2490" s="1811"/>
      <c r="H2490" s="1811"/>
      <c r="I2490" s="1811"/>
      <c r="J2490" s="1811"/>
      <c r="K2490" s="1811"/>
      <c r="L2490" s="1811"/>
      <c r="M2490" s="1811"/>
      <c r="N2490" s="1811"/>
      <c r="O2490" s="1811"/>
      <c r="P2490" s="1811"/>
      <c r="Q2490" s="1812"/>
      <c r="R2490" s="1811"/>
      <c r="S2490" s="1811"/>
      <c r="T2490" s="1812"/>
      <c r="U2490" s="1812"/>
      <c r="V2490" s="1812"/>
      <c r="W2490" s="1812"/>
      <c r="X2490" s="1812"/>
      <c r="Y2490" s="1812"/>
      <c r="Z2490" s="1812"/>
      <c r="AA2490" s="1585">
        <f>D2490</f>
        <v>3936.18</v>
      </c>
      <c r="AB2490" s="1812"/>
      <c r="AC2490" s="1812"/>
      <c r="AD2490" s="1601">
        <f t="shared" si="180"/>
        <v>3936.18</v>
      </c>
      <c r="AE2490" s="1790">
        <v>0</v>
      </c>
      <c r="AF2490" s="1792"/>
    </row>
    <row r="2491" spans="1:34" ht="27.75" customHeight="1">
      <c r="A2491" s="2900" t="s">
        <v>1647</v>
      </c>
      <c r="B2491" s="2902" t="s">
        <v>2118</v>
      </c>
      <c r="C2491" s="2904" t="s">
        <v>52</v>
      </c>
      <c r="D2491" s="2906">
        <v>3936.18</v>
      </c>
      <c r="E2491" s="1603" t="s">
        <v>2497</v>
      </c>
      <c r="F2491" s="1583"/>
      <c r="G2491" s="1583"/>
      <c r="H2491" s="1583"/>
      <c r="I2491" s="1583"/>
      <c r="J2491" s="1583"/>
      <c r="K2491" s="1583"/>
      <c r="L2491" s="1583"/>
      <c r="M2491" s="1583"/>
      <c r="N2491" s="1583"/>
      <c r="O2491" s="1583"/>
      <c r="P2491" s="1583"/>
      <c r="Q2491" s="1604"/>
      <c r="R2491" s="1583"/>
      <c r="S2491" s="1583"/>
      <c r="T2491" s="1604"/>
      <c r="U2491" s="1592"/>
      <c r="V2491" s="1585"/>
      <c r="W2491" s="1585"/>
      <c r="X2491" s="1585"/>
      <c r="Y2491" s="1592"/>
      <c r="Z2491" s="1585"/>
      <c r="AA2491" s="1585"/>
      <c r="AB2491" s="1585"/>
      <c r="AC2491" s="1585"/>
      <c r="AD2491" s="1601">
        <f t="shared" si="180"/>
        <v>0</v>
      </c>
      <c r="AE2491" s="1790">
        <v>0</v>
      </c>
      <c r="AF2491" s="1792"/>
    </row>
    <row r="2492" spans="1:34" ht="27.75" hidden="1" customHeight="1">
      <c r="A2492" s="1822"/>
      <c r="B2492" s="1823"/>
      <c r="C2492" s="1797"/>
      <c r="D2492" s="1789">
        <f>SUM(D1278:D2491)/2</f>
        <v>4585354.433049988</v>
      </c>
      <c r="E2492" s="1599"/>
      <c r="F2492" s="1583"/>
      <c r="G2492" s="1583"/>
      <c r="H2492" s="1583"/>
      <c r="I2492" s="1583"/>
      <c r="J2492" s="1583"/>
      <c r="K2492" s="1583"/>
      <c r="L2492" s="1583"/>
      <c r="M2492" s="1583"/>
      <c r="N2492" s="1583"/>
      <c r="O2492" s="1583"/>
      <c r="P2492" s="1583"/>
      <c r="Q2492" s="1604"/>
      <c r="R2492" s="1583"/>
      <c r="S2492" s="1583"/>
      <c r="T2492" s="1604"/>
      <c r="U2492" s="1585"/>
      <c r="V2492" s="1585"/>
      <c r="W2492" s="1585"/>
      <c r="X2492" s="1585"/>
      <c r="Y2492" s="1585"/>
      <c r="Z2492" s="1585"/>
      <c r="AA2492" s="1585"/>
      <c r="AB2492" s="1824">
        <f>-7077.3</f>
        <v>-7077.3</v>
      </c>
      <c r="AC2492" s="1585"/>
      <c r="AD2492" s="1825"/>
      <c r="AE2492" s="1826"/>
    </row>
    <row r="2493" spans="1:34" ht="27.75" customHeight="1">
      <c r="A2493" s="1822"/>
      <c r="B2493" s="1654">
        <v>19229736.5</v>
      </c>
      <c r="C2493" s="1797"/>
      <c r="E2493" s="1599"/>
      <c r="F2493" s="1583"/>
      <c r="G2493" s="1583"/>
      <c r="H2493" s="1583"/>
      <c r="I2493" s="1583"/>
      <c r="J2493" s="1583"/>
      <c r="K2493" s="1583"/>
      <c r="L2493" s="1583"/>
      <c r="M2493" s="1583"/>
      <c r="N2493" s="1583"/>
      <c r="O2493" s="1583"/>
      <c r="P2493" s="1583"/>
      <c r="Q2493" s="1604"/>
      <c r="R2493" s="1583"/>
      <c r="S2493" s="1583"/>
      <c r="T2493" s="1604"/>
      <c r="U2493" s="1585"/>
      <c r="V2493" s="1585"/>
      <c r="W2493" s="1585"/>
      <c r="X2493" s="1585"/>
      <c r="Y2493" s="1585"/>
      <c r="Z2493" s="1585"/>
      <c r="AA2493" s="1585"/>
      <c r="AC2493" s="1585"/>
      <c r="AD2493" s="1825"/>
      <c r="AE2493" s="1826"/>
      <c r="AH2493" s="1791"/>
    </row>
    <row r="2494" spans="1:34" ht="24" hidden="1" customHeight="1">
      <c r="A2494" s="1653"/>
      <c r="B2494" s="1630"/>
      <c r="C2494" s="1653"/>
      <c r="D2494" s="1655">
        <f>SUM(D16:D1272,D2492)</f>
        <v>19220493.509999998</v>
      </c>
      <c r="E2494" s="1599"/>
      <c r="F2494" s="1655"/>
      <c r="G2494" s="1655"/>
      <c r="H2494" s="1655">
        <v>1000</v>
      </c>
      <c r="I2494" s="1655"/>
      <c r="J2494" s="1655">
        <v>2242.4497799999081</v>
      </c>
      <c r="K2494" s="1655"/>
      <c r="L2494" s="1655"/>
      <c r="M2494" s="1655"/>
      <c r="N2494" s="1655">
        <v>-0.02</v>
      </c>
      <c r="O2494" s="1655">
        <v>-0.02</v>
      </c>
      <c r="P2494" s="1655">
        <v>-0.04</v>
      </c>
      <c r="Q2494" s="1655"/>
      <c r="R2494" s="1655">
        <v>0</v>
      </c>
      <c r="S2494" s="1655">
        <v>-0.02</v>
      </c>
      <c r="T2494" s="1655"/>
      <c r="U2494" s="1655">
        <v>0.05</v>
      </c>
      <c r="V2494" s="1655">
        <v>-0.02</v>
      </c>
      <c r="W2494" s="1655">
        <v>-0.05</v>
      </c>
      <c r="X2494" s="1655"/>
      <c r="Y2494" s="1655"/>
      <c r="Z2494" s="1655"/>
      <c r="AA2494" s="1655"/>
      <c r="AB2494" s="1655"/>
      <c r="AC2494" s="1655"/>
      <c r="AD2494" s="1655"/>
    </row>
    <row r="2495" spans="1:34">
      <c r="A2495" s="1561"/>
      <c r="B2495" s="2887" t="s">
        <v>20</v>
      </c>
      <c r="C2495" s="2889" t="s">
        <v>2498</v>
      </c>
      <c r="D2495" s="2890"/>
      <c r="E2495" s="2891"/>
      <c r="F2495" s="1657">
        <v>53407.59</v>
      </c>
      <c r="G2495" s="1657">
        <v>111320.735</v>
      </c>
      <c r="H2495" s="1657">
        <v>602565.47966399998</v>
      </c>
      <c r="I2495" s="1657">
        <v>475142.56469999999</v>
      </c>
      <c r="J2495" s="1657">
        <v>770146.7504100001</v>
      </c>
      <c r="K2495" s="1657">
        <v>781839.06169999996</v>
      </c>
      <c r="L2495" s="1657">
        <v>764380.52</v>
      </c>
      <c r="M2495" s="1657">
        <v>890331.56450227846</v>
      </c>
      <c r="N2495" s="1657">
        <v>535322.8769578943</v>
      </c>
      <c r="O2495" s="1657">
        <v>126918.10130000002</v>
      </c>
      <c r="P2495" s="1657">
        <v>282926.96000000002</v>
      </c>
      <c r="Q2495" s="1657">
        <v>1689197.9122799998</v>
      </c>
      <c r="R2495" s="1657">
        <v>0</v>
      </c>
      <c r="S2495" s="1657">
        <v>187191.96</v>
      </c>
      <c r="T2495" s="1657">
        <v>529264.90829999978</v>
      </c>
      <c r="U2495" s="1657">
        <v>402591.79</v>
      </c>
      <c r="V2495" s="1657">
        <v>490350.66999999993</v>
      </c>
      <c r="W2495" s="1657">
        <v>503062.95</v>
      </c>
      <c r="X2495" s="1657">
        <v>387540.08</v>
      </c>
      <c r="Y2495" s="1657">
        <v>300133.5393</v>
      </c>
      <c r="Z2495" s="1657">
        <v>1674595.675230332</v>
      </c>
      <c r="AA2495" s="1657">
        <v>2273531.7999999998</v>
      </c>
      <c r="AB2495" s="1657">
        <v>550208.32449999987</v>
      </c>
      <c r="AC2495" s="1657">
        <f>4847764.92-0.22</f>
        <v>4847764.7</v>
      </c>
      <c r="AD2495" s="1658">
        <f>B2493</f>
        <v>19229736.5</v>
      </c>
      <c r="AE2495" s="1790">
        <f>SUM(F2495:AC2495)</f>
        <v>19229736.513844505</v>
      </c>
      <c r="AF2495" s="1997">
        <f>AD2495-AE2495</f>
        <v>-1.3844504952430725E-2</v>
      </c>
    </row>
    <row r="2496" spans="1:34">
      <c r="A2496" s="1561"/>
      <c r="B2496" s="2887"/>
      <c r="C2496" s="2889" t="s">
        <v>2499</v>
      </c>
      <c r="D2496" s="2890"/>
      <c r="E2496" s="2891"/>
      <c r="F2496" s="1659">
        <f t="shared" ref="F2496:V2496" si="181">F2495/$B2493</f>
        <v>2.7773438289183006E-3</v>
      </c>
      <c r="G2496" s="1660">
        <f t="shared" si="181"/>
        <v>5.7889891002926635E-3</v>
      </c>
      <c r="H2496" s="1660">
        <f t="shared" si="181"/>
        <v>3.1335087699407634E-2</v>
      </c>
      <c r="I2496" s="1661">
        <f t="shared" si="181"/>
        <v>2.470874027317015E-2</v>
      </c>
      <c r="J2496" s="1660">
        <f t="shared" si="181"/>
        <v>4.0049781774700872E-2</v>
      </c>
      <c r="K2496" s="1660">
        <f t="shared" si="181"/>
        <v>4.0657814614360417E-2</v>
      </c>
      <c r="L2496" s="1660">
        <f t="shared" si="181"/>
        <v>3.9749921690294614E-2</v>
      </c>
      <c r="M2496" s="1660">
        <f t="shared" si="181"/>
        <v>4.6299727742097688E-2</v>
      </c>
      <c r="N2496" s="1662">
        <f t="shared" si="181"/>
        <v>2.7838284573368663E-2</v>
      </c>
      <c r="O2496" s="1660">
        <f t="shared" si="181"/>
        <v>6.6000957059396013E-3</v>
      </c>
      <c r="P2496" s="1662">
        <f t="shared" si="181"/>
        <v>1.4712992037098378E-2</v>
      </c>
      <c r="Q2496" s="1660">
        <f t="shared" si="181"/>
        <v>8.7843008783817705E-2</v>
      </c>
      <c r="R2496" s="1660">
        <f t="shared" si="181"/>
        <v>0</v>
      </c>
      <c r="S2496" s="1662">
        <f t="shared" si="181"/>
        <v>9.7345046823704515E-3</v>
      </c>
      <c r="T2496" s="1663">
        <f t="shared" si="181"/>
        <v>2.752325328534792E-2</v>
      </c>
      <c r="U2496" s="1664">
        <f t="shared" si="181"/>
        <v>2.0935897379561075E-2</v>
      </c>
      <c r="V2496" s="1663">
        <f t="shared" si="181"/>
        <v>2.5499604219745804E-2</v>
      </c>
      <c r="W2496" s="1663">
        <f>(W2495/$B2493)/2</f>
        <v>1.3080339140372517E-2</v>
      </c>
      <c r="X2496" s="1663">
        <f t="shared" ref="X2496:AD2496" si="182">X2495/$B2493</f>
        <v>2.0153166425343375E-2</v>
      </c>
      <c r="Y2496" s="1663">
        <f t="shared" si="182"/>
        <v>1.5607782212720387E-2</v>
      </c>
      <c r="Z2496" s="1659">
        <f t="shared" si="182"/>
        <v>8.7083651678239685E-2</v>
      </c>
      <c r="AA2496" s="1663">
        <f t="shared" si="182"/>
        <v>0.11823000278760969</v>
      </c>
      <c r="AB2496" s="1659">
        <f t="shared" si="182"/>
        <v>2.8612369415462344E-2</v>
      </c>
      <c r="AC2496" s="1663">
        <f t="shared" si="182"/>
        <v>0.25209730252934043</v>
      </c>
      <c r="AD2496" s="1663">
        <f t="shared" si="182"/>
        <v>1</v>
      </c>
      <c r="AE2496" s="1790">
        <f>AC2497-AE2495</f>
        <v>-1.0000001639127731E-2</v>
      </c>
    </row>
    <row r="2497" spans="1:35">
      <c r="A2497" s="1561"/>
      <c r="B2497" s="2887"/>
      <c r="C2497" s="2889" t="s">
        <v>2500</v>
      </c>
      <c r="D2497" s="2890"/>
      <c r="E2497" s="2891"/>
      <c r="F2497" s="1665">
        <v>53407.59</v>
      </c>
      <c r="G2497" s="1666">
        <f>G2495+F2497</f>
        <v>164728.32500000001</v>
      </c>
      <c r="H2497" s="1666">
        <f>H2495+G2497</f>
        <v>767293.80466399994</v>
      </c>
      <c r="I2497" s="1666">
        <f t="shared" ref="I2497:T2497" si="183">I2495+H2497</f>
        <v>1242436.3693639999</v>
      </c>
      <c r="J2497" s="1666">
        <f t="shared" si="183"/>
        <v>2012583.119774</v>
      </c>
      <c r="K2497" s="1666">
        <f t="shared" si="183"/>
        <v>2794422.1814740002</v>
      </c>
      <c r="L2497" s="1666">
        <f t="shared" si="183"/>
        <v>3558802.7014740002</v>
      </c>
      <c r="M2497" s="1666">
        <f t="shared" si="183"/>
        <v>4449134.265976279</v>
      </c>
      <c r="N2497" s="1666">
        <f t="shared" si="183"/>
        <v>4984457.1429341733</v>
      </c>
      <c r="O2497" s="1666">
        <f t="shared" si="183"/>
        <v>5111375.2442341736</v>
      </c>
      <c r="P2497" s="1666">
        <f t="shared" si="183"/>
        <v>5394302.2042341735</v>
      </c>
      <c r="Q2497" s="1666">
        <f t="shared" si="183"/>
        <v>7083500.1165141733</v>
      </c>
      <c r="R2497" s="1666">
        <f t="shared" si="183"/>
        <v>7083500.1165141733</v>
      </c>
      <c r="S2497" s="1666">
        <f>R2497+S2495</f>
        <v>7270692.0765141733</v>
      </c>
      <c r="T2497" s="1667">
        <f t="shared" si="183"/>
        <v>7799956.9848141726</v>
      </c>
      <c r="U2497" s="1668">
        <f>T2497+U2495</f>
        <v>8202548.7748141726</v>
      </c>
      <c r="V2497" s="1667">
        <f t="shared" ref="V2497:Z2497" si="184">U2497+V2495</f>
        <v>8692899.4448141716</v>
      </c>
      <c r="W2497" s="1667">
        <f>V2497+W2495-0.01</f>
        <v>9195962.3848141711</v>
      </c>
      <c r="X2497" s="1667">
        <f t="shared" si="184"/>
        <v>9583502.4648141712</v>
      </c>
      <c r="Y2497" s="1667">
        <f t="shared" si="184"/>
        <v>9883636.0041141715</v>
      </c>
      <c r="Z2497" s="1665">
        <f t="shared" si="184"/>
        <v>11558231.679344503</v>
      </c>
      <c r="AA2497" s="1667">
        <f>Z2497+AA2495</f>
        <v>13831763.479344502</v>
      </c>
      <c r="AB2497" s="1665">
        <f>AA2497+AB2495</f>
        <v>14381971.803844502</v>
      </c>
      <c r="AC2497" s="1667">
        <f>AB2497+AC2495</f>
        <v>19229736.503844503</v>
      </c>
      <c r="AD2497" s="1666"/>
    </row>
    <row r="2498" spans="1:35" ht="16.5" thickBot="1">
      <c r="A2498" s="1561"/>
      <c r="B2498" s="2888"/>
      <c r="C2498" s="2892" t="s">
        <v>2501</v>
      </c>
      <c r="D2498" s="2893"/>
      <c r="E2498" s="2894"/>
      <c r="F2498" s="1669">
        <f t="shared" ref="F2498:AC2498" si="185">F2497/$B2493</f>
        <v>2.7773438289183006E-3</v>
      </c>
      <c r="G2498" s="1670">
        <f t="shared" si="185"/>
        <v>8.5663329292109645E-3</v>
      </c>
      <c r="H2498" s="1670">
        <f t="shared" si="185"/>
        <v>3.9901420628618595E-2</v>
      </c>
      <c r="I2498" s="1671">
        <f t="shared" si="185"/>
        <v>6.4610160901788741E-2</v>
      </c>
      <c r="J2498" s="1670">
        <f t="shared" si="185"/>
        <v>0.10465994267648962</v>
      </c>
      <c r="K2498" s="1670">
        <f t="shared" si="185"/>
        <v>0.14531775729085006</v>
      </c>
      <c r="L2498" s="1670">
        <f t="shared" si="185"/>
        <v>0.18506767898114465</v>
      </c>
      <c r="M2498" s="1670">
        <f t="shared" si="185"/>
        <v>0.23136740672324235</v>
      </c>
      <c r="N2498" s="1670">
        <f t="shared" si="185"/>
        <v>0.25920569129661103</v>
      </c>
      <c r="O2498" s="1670">
        <f t="shared" si="185"/>
        <v>0.26580578700255064</v>
      </c>
      <c r="P2498" s="1670">
        <f t="shared" si="185"/>
        <v>0.280518779039649</v>
      </c>
      <c r="Q2498" s="1670">
        <f t="shared" si="185"/>
        <v>0.36836178782346674</v>
      </c>
      <c r="R2498" s="1670">
        <f t="shared" si="185"/>
        <v>0.36836178782346674</v>
      </c>
      <c r="S2498" s="1670">
        <f t="shared" si="185"/>
        <v>0.37809629250583715</v>
      </c>
      <c r="T2498" s="1672">
        <f t="shared" si="185"/>
        <v>0.40561954579118503</v>
      </c>
      <c r="U2498" s="1673">
        <f t="shared" si="185"/>
        <v>0.42655544317074612</v>
      </c>
      <c r="V2498" s="1672">
        <f t="shared" si="185"/>
        <v>0.4520550473904919</v>
      </c>
      <c r="W2498" s="1672">
        <f t="shared" si="185"/>
        <v>0.47821572515120897</v>
      </c>
      <c r="X2498" s="1672">
        <f t="shared" si="185"/>
        <v>0.49836889157655234</v>
      </c>
      <c r="Y2498" s="1672">
        <f t="shared" si="185"/>
        <v>0.5139766737892727</v>
      </c>
      <c r="Z2498" s="1674">
        <f t="shared" si="185"/>
        <v>0.60106032546751242</v>
      </c>
      <c r="AA2498" s="1682">
        <f t="shared" si="185"/>
        <v>0.71929032825512207</v>
      </c>
      <c r="AB2498" s="1669">
        <f t="shared" si="185"/>
        <v>0.74790269767058437</v>
      </c>
      <c r="AC2498" s="1682">
        <f t="shared" si="185"/>
        <v>1.000000000199925</v>
      </c>
      <c r="AD2498" s="1666"/>
      <c r="AI2498" s="1835"/>
    </row>
    <row r="2499" spans="1:35">
      <c r="B2499" s="2895" t="s">
        <v>21</v>
      </c>
      <c r="C2499" s="2896" t="s">
        <v>2502</v>
      </c>
      <c r="D2499" s="2897" t="s">
        <v>2498</v>
      </c>
      <c r="E2499" s="2898"/>
      <c r="F2499" s="1676">
        <v>53407.59</v>
      </c>
      <c r="G2499" s="1677">
        <v>111320.74</v>
      </c>
      <c r="H2499" s="1677">
        <v>602565.48</v>
      </c>
      <c r="I2499" s="1678">
        <v>475142.56</v>
      </c>
      <c r="J2499" s="1677">
        <v>770146.75</v>
      </c>
      <c r="K2499" s="1677">
        <v>781839.06</v>
      </c>
      <c r="L2499" s="1677">
        <v>769761.18</v>
      </c>
      <c r="M2499" s="1677">
        <f t="shared" ref="M2499:T2499" si="186">M2495</f>
        <v>890331.56450227846</v>
      </c>
      <c r="N2499" s="1677">
        <f t="shared" si="186"/>
        <v>535322.8769578943</v>
      </c>
      <c r="O2499" s="1677">
        <f t="shared" si="186"/>
        <v>126918.10130000002</v>
      </c>
      <c r="P2499" s="1956">
        <v>287143.52</v>
      </c>
      <c r="Q2499" s="1956">
        <f>1689753.2-2512.21</f>
        <v>1687240.99</v>
      </c>
      <c r="R2499" s="1677">
        <f t="shared" si="186"/>
        <v>0</v>
      </c>
      <c r="S2499" s="1677">
        <v>187379.56</v>
      </c>
      <c r="T2499" s="1679">
        <f t="shared" si="186"/>
        <v>529264.90829999978</v>
      </c>
      <c r="U2499" s="1679">
        <v>403927.93</v>
      </c>
      <c r="V2499" s="1679">
        <v>490350.6703</v>
      </c>
      <c r="W2499" s="1679">
        <v>503062.91</v>
      </c>
      <c r="X2499" s="1679">
        <v>387914.16</v>
      </c>
      <c r="Y2499" s="1679">
        <f>'[17]R- FE-1'!F79</f>
        <v>300133.5393</v>
      </c>
      <c r="Z2499" s="1679">
        <v>1817618.37</v>
      </c>
      <c r="AA2499" s="1679">
        <v>507933.04</v>
      </c>
      <c r="AB2499" s="1679">
        <v>458699.57770000002</v>
      </c>
      <c r="AC2499" s="1679">
        <v>353700.67</v>
      </c>
      <c r="AD2499" s="1677"/>
      <c r="AE2499" s="1790">
        <f>SUM(F2499:AC2499)</f>
        <v>13031125.748360174</v>
      </c>
      <c r="AG2499" s="1560">
        <f>AB2499/AB2495</f>
        <v>0.83368345638325603</v>
      </c>
      <c r="AH2499" s="1998"/>
    </row>
    <row r="2500" spans="1:35">
      <c r="B2500" s="2887"/>
      <c r="C2500" s="2889" t="s">
        <v>2499</v>
      </c>
      <c r="D2500" s="2890"/>
      <c r="E2500" s="2891"/>
      <c r="F2500" s="1659">
        <f t="shared" ref="F2500:AB2500" si="187">F2499/$B2493</f>
        <v>2.7773438289183006E-3</v>
      </c>
      <c r="G2500" s="1660">
        <f t="shared" si="187"/>
        <v>5.7889893603066279E-3</v>
      </c>
      <c r="H2500" s="1660">
        <f t="shared" si="187"/>
        <v>3.1335087716880573E-2</v>
      </c>
      <c r="I2500" s="1660">
        <f t="shared" si="187"/>
        <v>2.4708740028757024E-2</v>
      </c>
      <c r="J2500" s="1660">
        <f t="shared" si="187"/>
        <v>4.0049781753379719E-2</v>
      </c>
      <c r="K2500" s="1660">
        <f t="shared" si="187"/>
        <v>4.0657814525955675E-2</v>
      </c>
      <c r="L2500" s="1660">
        <f t="shared" si="187"/>
        <v>4.0029731036616133E-2</v>
      </c>
      <c r="M2500" s="1660">
        <f t="shared" si="187"/>
        <v>4.6299727742097688E-2</v>
      </c>
      <c r="N2500" s="1660">
        <f t="shared" si="187"/>
        <v>2.7838284573368663E-2</v>
      </c>
      <c r="O2500" s="1660">
        <f t="shared" si="187"/>
        <v>6.6000957059396013E-3</v>
      </c>
      <c r="P2500" s="1660">
        <f t="shared" si="187"/>
        <v>1.4932264932491406E-2</v>
      </c>
      <c r="Q2500" s="1660">
        <f t="shared" si="187"/>
        <v>8.7741243360250937E-2</v>
      </c>
      <c r="R2500" s="1660">
        <f t="shared" si="187"/>
        <v>0</v>
      </c>
      <c r="S2500" s="1660">
        <f t="shared" si="187"/>
        <v>9.7442604062723381E-3</v>
      </c>
      <c r="T2500" s="1663">
        <f t="shared" si="187"/>
        <v>2.752325328534792E-2</v>
      </c>
      <c r="U2500" s="1663">
        <f t="shared" si="187"/>
        <v>2.1005380390937755E-2</v>
      </c>
      <c r="V2500" s="1663">
        <f t="shared" si="187"/>
        <v>2.5499604235346647E-2</v>
      </c>
      <c r="W2500" s="1663">
        <f t="shared" si="187"/>
        <v>2.6160676200633327E-2</v>
      </c>
      <c r="X2500" s="1663">
        <f t="shared" si="187"/>
        <v>2.0172619630019369E-2</v>
      </c>
      <c r="Y2500" s="1663">
        <f t="shared" si="187"/>
        <v>1.5607782212720387E-2</v>
      </c>
      <c r="Z2500" s="1663">
        <f t="shared" si="187"/>
        <v>9.4521231219158938E-2</v>
      </c>
      <c r="AA2500" s="1663">
        <f t="shared" si="187"/>
        <v>2.6413936561221211E-2</v>
      </c>
      <c r="AB2500" s="1663">
        <f t="shared" si="187"/>
        <v>2.3853659029597209E-2</v>
      </c>
      <c r="AC2500" s="1663">
        <f t="shared" ref="AC2500" si="188">AC2499/$B2493</f>
        <v>1.8393422603580657E-2</v>
      </c>
      <c r="AD2500" s="1660">
        <f>SUM(F2500:AC2500)</f>
        <v>0.67765493033979829</v>
      </c>
    </row>
    <row r="2501" spans="1:35">
      <c r="B2501" s="2887"/>
      <c r="C2501" s="2889" t="s">
        <v>2503</v>
      </c>
      <c r="D2501" s="2890" t="s">
        <v>2500</v>
      </c>
      <c r="E2501" s="2891"/>
      <c r="F2501" s="1665">
        <f>F2499</f>
        <v>53407.59</v>
      </c>
      <c r="G2501" s="1666">
        <f t="shared" ref="G2501:T2502" si="189">F2501+G2499</f>
        <v>164728.33000000002</v>
      </c>
      <c r="H2501" s="1666">
        <f t="shared" si="189"/>
        <v>767293.81</v>
      </c>
      <c r="I2501" s="1680">
        <f t="shared" si="189"/>
        <v>1242436.3700000001</v>
      </c>
      <c r="J2501" s="1680">
        <f t="shared" si="189"/>
        <v>2012583.12</v>
      </c>
      <c r="K2501" s="1680">
        <f t="shared" si="189"/>
        <v>2794422.18</v>
      </c>
      <c r="L2501" s="1680">
        <f t="shared" si="189"/>
        <v>3564183.3600000003</v>
      </c>
      <c r="M2501" s="1680">
        <f t="shared" si="189"/>
        <v>4454514.9245022787</v>
      </c>
      <c r="N2501" s="1680">
        <f t="shared" si="189"/>
        <v>4989837.801460173</v>
      </c>
      <c r="O2501" s="1680">
        <f t="shared" si="189"/>
        <v>5116755.9027601732</v>
      </c>
      <c r="P2501" s="1680">
        <f t="shared" si="189"/>
        <v>5403899.4227601737</v>
      </c>
      <c r="Q2501" s="1680">
        <f t="shared" si="189"/>
        <v>7091140.4127601739</v>
      </c>
      <c r="R2501" s="1680">
        <f t="shared" si="189"/>
        <v>7091140.4127601739</v>
      </c>
      <c r="S2501" s="1666">
        <f>R2501+S2499</f>
        <v>7278519.9727601735</v>
      </c>
      <c r="T2501" s="1681">
        <f t="shared" si="189"/>
        <v>7807784.8810601737</v>
      </c>
      <c r="U2501" s="1681">
        <f>T2501+U2499</f>
        <v>8211712.8110601734</v>
      </c>
      <c r="V2501" s="1681">
        <f>U2501+V2499</f>
        <v>8702063.4813601729</v>
      </c>
      <c r="W2501" s="1681">
        <f>V2501+W2499</f>
        <v>9205126.391360173</v>
      </c>
      <c r="X2501" s="1681">
        <f>W2501+X2499</f>
        <v>9593040.5513601732</v>
      </c>
      <c r="Y2501" s="1681">
        <f>X2501+Y2499</f>
        <v>9893174.0906601734</v>
      </c>
      <c r="Z2501" s="1681">
        <f t="shared" ref="Z2501:AB2501" si="190">Y2501+Z2499</f>
        <v>11710792.460660174</v>
      </c>
      <c r="AA2501" s="1681">
        <f t="shared" si="190"/>
        <v>12218725.500660174</v>
      </c>
      <c r="AB2501" s="1681">
        <f t="shared" si="190"/>
        <v>12677425.078360174</v>
      </c>
      <c r="AC2501" s="1681">
        <f>AB2501+AC2499-0.01</f>
        <v>13031125.738360174</v>
      </c>
      <c r="AD2501" s="1667"/>
      <c r="AE2501" s="1790">
        <f>AB2501-AE2499</f>
        <v>-353700.66999999993</v>
      </c>
    </row>
    <row r="2502" spans="1:35" s="1683" customFormat="1" ht="39.75" customHeight="1" thickBot="1">
      <c r="A2502" s="1602"/>
      <c r="B2502" s="2888"/>
      <c r="C2502" s="2892" t="s">
        <v>2504</v>
      </c>
      <c r="D2502" s="2893" t="s">
        <v>2501</v>
      </c>
      <c r="E2502" s="2894"/>
      <c r="F2502" s="1669">
        <f>F2500</f>
        <v>2.7773438289183006E-3</v>
      </c>
      <c r="G2502" s="1670">
        <f t="shared" si="189"/>
        <v>8.566333189224928E-3</v>
      </c>
      <c r="H2502" s="1670">
        <f t="shared" si="189"/>
        <v>3.9901420906105503E-2</v>
      </c>
      <c r="I2502" s="1670">
        <f t="shared" si="189"/>
        <v>6.4610160934862521E-2</v>
      </c>
      <c r="J2502" s="1670">
        <f t="shared" si="189"/>
        <v>0.10465994268824225</v>
      </c>
      <c r="K2502" s="1670">
        <f t="shared" si="189"/>
        <v>0.14531775721419793</v>
      </c>
      <c r="L2502" s="1670">
        <f t="shared" si="189"/>
        <v>0.18534748825081407</v>
      </c>
      <c r="M2502" s="1670">
        <f t="shared" si="189"/>
        <v>0.23164721599291177</v>
      </c>
      <c r="N2502" s="1670">
        <f t="shared" si="189"/>
        <v>0.25948550056628045</v>
      </c>
      <c r="O2502" s="1670">
        <f t="shared" si="189"/>
        <v>0.26608559627222006</v>
      </c>
      <c r="P2502" s="1670">
        <f t="shared" si="189"/>
        <v>0.28101786120471145</v>
      </c>
      <c r="Q2502" s="1670">
        <f>Q2501/B2493</f>
        <v>0.36875910456496241</v>
      </c>
      <c r="R2502" s="1670">
        <f t="shared" si="189"/>
        <v>0.36875910456496241</v>
      </c>
      <c r="S2502" s="1670">
        <f>R2502+S2500</f>
        <v>0.37850336497123477</v>
      </c>
      <c r="T2502" s="1670">
        <f t="shared" ref="T2502:AB2502" si="191">S2502+T2500</f>
        <v>0.40602661825658271</v>
      </c>
      <c r="U2502" s="1670">
        <f t="shared" si="191"/>
        <v>0.42703199864752045</v>
      </c>
      <c r="V2502" s="1670">
        <f t="shared" si="191"/>
        <v>0.45253160288286709</v>
      </c>
      <c r="W2502" s="1670">
        <f t="shared" si="191"/>
        <v>0.47869227908350043</v>
      </c>
      <c r="X2502" s="1670">
        <f t="shared" si="191"/>
        <v>0.4988648987135198</v>
      </c>
      <c r="Y2502" s="1670">
        <f t="shared" si="191"/>
        <v>0.51447268092624021</v>
      </c>
      <c r="Z2502" s="1670">
        <f t="shared" si="191"/>
        <v>0.60899391214539911</v>
      </c>
      <c r="AA2502" s="1670">
        <f t="shared" si="191"/>
        <v>0.63540784870662037</v>
      </c>
      <c r="AB2502" s="1670">
        <f t="shared" si="191"/>
        <v>0.65926150773621761</v>
      </c>
      <c r="AC2502" s="1670">
        <f>AB2502+AC2500</f>
        <v>0.67765493033979829</v>
      </c>
      <c r="AD2502" s="1672"/>
      <c r="AE2502" s="1790"/>
      <c r="AF2502" s="1827"/>
    </row>
    <row r="2503" spans="1:35">
      <c r="B2503" s="1684"/>
      <c r="C2503" s="1685"/>
      <c r="D2503" s="1686"/>
      <c r="E2503" s="1656"/>
      <c r="F2503" s="1687"/>
      <c r="G2503" s="1687"/>
      <c r="H2503" s="1687"/>
      <c r="I2503" s="1688"/>
      <c r="J2503" s="1688"/>
      <c r="K2503" s="1688"/>
      <c r="L2503" s="1688"/>
      <c r="M2503" s="1688"/>
      <c r="N2503" s="1688"/>
      <c r="O2503" s="1688"/>
      <c r="P2503" s="1687"/>
      <c r="Q2503" s="1687"/>
      <c r="R2503" s="1687"/>
      <c r="S2503" s="1687"/>
      <c r="U2503" s="1687"/>
      <c r="V2503" s="1687"/>
      <c r="W2503" s="1689"/>
      <c r="X2503" s="1687"/>
      <c r="Y2503" s="1687"/>
      <c r="Z2503" s="1687"/>
      <c r="AA2503" s="1687"/>
      <c r="AB2503" s="1687"/>
      <c r="AC2503" s="1687"/>
      <c r="AD2503" s="1687"/>
    </row>
    <row r="2504" spans="1:35">
      <c r="H2504" s="1999"/>
      <c r="J2504" s="1690"/>
    </row>
    <row r="2505" spans="1:35">
      <c r="C2505" s="1693"/>
      <c r="H2505" s="1999"/>
      <c r="T2505" s="1694"/>
      <c r="U2505" s="1694"/>
      <c r="V2505" s="1694"/>
      <c r="W2505" s="1694"/>
      <c r="X2505" s="1694"/>
      <c r="Y2505" s="1694"/>
      <c r="Z2505" s="1694"/>
      <c r="AA2505" s="1694"/>
      <c r="AB2505" s="1694"/>
      <c r="AC2505" s="1694"/>
      <c r="AD2505" s="2886"/>
      <c r="AE2505" s="2886"/>
    </row>
    <row r="2506" spans="1:35">
      <c r="F2506" s="1999"/>
      <c r="H2506" s="1999"/>
      <c r="I2506" s="1690"/>
      <c r="U2506" s="1693"/>
      <c r="V2506" s="1693"/>
      <c r="X2506" s="1694">
        <f>X2495-X2499</f>
        <v>-374.07999999995809</v>
      </c>
    </row>
    <row r="2507" spans="1:35">
      <c r="F2507" s="1999"/>
      <c r="H2507" s="1999"/>
      <c r="J2507" s="1695"/>
      <c r="Q2507" s="1690"/>
      <c r="U2507" s="1693"/>
      <c r="V2507" s="1693"/>
      <c r="AC2507" s="2018">
        <f>AB2497+AC2495</f>
        <v>19229736.503844503</v>
      </c>
    </row>
    <row r="2508" spans="1:35">
      <c r="F2508" s="1999"/>
      <c r="H2508" s="1999"/>
    </row>
    <row r="2509" spans="1:35">
      <c r="F2509" s="1999"/>
      <c r="H2509" s="1999"/>
      <c r="Q2509" s="1690"/>
      <c r="Y2509" s="1696"/>
    </row>
    <row r="2510" spans="1:35">
      <c r="F2510" s="1999"/>
      <c r="H2510" s="1999"/>
      <c r="V2510" s="1693"/>
    </row>
    <row r="2511" spans="1:35">
      <c r="F2511" s="1999"/>
      <c r="H2511" s="1999"/>
    </row>
    <row r="2512" spans="1:35">
      <c r="F2512" s="1999"/>
      <c r="H2512" s="1999"/>
    </row>
    <row r="2513" spans="6:8">
      <c r="F2513" s="1999"/>
      <c r="H2513" s="1999"/>
    </row>
    <row r="2514" spans="6:8">
      <c r="F2514" s="1999"/>
      <c r="H2514" s="2000"/>
    </row>
    <row r="2515" spans="6:8">
      <c r="F2515" s="1999"/>
      <c r="H2515" s="1999"/>
    </row>
    <row r="2516" spans="6:8">
      <c r="F2516" s="1999"/>
      <c r="H2516" s="1999"/>
    </row>
    <row r="2517" spans="6:8">
      <c r="F2517" s="1999"/>
      <c r="H2517" s="1999"/>
    </row>
    <row r="2518" spans="6:8">
      <c r="F2518" s="1999"/>
      <c r="H2518" s="1999"/>
    </row>
    <row r="2519" spans="6:8">
      <c r="F2519" s="1999"/>
      <c r="H2519" s="1999"/>
    </row>
    <row r="2520" spans="6:8">
      <c r="F2520" s="1999"/>
      <c r="H2520" s="1999"/>
    </row>
    <row r="2521" spans="6:8">
      <c r="F2521" s="1999"/>
      <c r="H2521" s="1999"/>
    </row>
    <row r="2522" spans="6:8">
      <c r="F2522" s="1999"/>
      <c r="H2522" s="1999"/>
    </row>
    <row r="2523" spans="6:8">
      <c r="F2523" s="1999"/>
      <c r="H2523" s="1999"/>
    </row>
    <row r="2524" spans="6:8">
      <c r="F2524" s="1999"/>
      <c r="H2524" s="1999"/>
    </row>
    <row r="2525" spans="6:8">
      <c r="F2525" s="1999"/>
      <c r="H2525" s="1999"/>
    </row>
    <row r="2526" spans="6:8">
      <c r="F2526" s="1999"/>
      <c r="H2526" s="1999"/>
    </row>
    <row r="2527" spans="6:8">
      <c r="F2527" s="1999"/>
    </row>
    <row r="2528" spans="6:8">
      <c r="F2528" s="1999"/>
    </row>
    <row r="2529" spans="6:6">
      <c r="F2529" s="1999"/>
    </row>
  </sheetData>
  <mergeCells count="4176">
    <mergeCell ref="A2:AD2"/>
    <mergeCell ref="C4:AD4"/>
    <mergeCell ref="C5:AB5"/>
    <mergeCell ref="C6:AA6"/>
    <mergeCell ref="C8:D8"/>
    <mergeCell ref="F8:G8"/>
    <mergeCell ref="AD10:AD12"/>
    <mergeCell ref="F11:F12"/>
    <mergeCell ref="G11:G12"/>
    <mergeCell ref="H11:H12"/>
    <mergeCell ref="I11:I12"/>
    <mergeCell ref="J11:J12"/>
    <mergeCell ref="K11:K12"/>
    <mergeCell ref="L11:L12"/>
    <mergeCell ref="M11:M12"/>
    <mergeCell ref="N11:N12"/>
    <mergeCell ref="C9:D9"/>
    <mergeCell ref="F9:G9"/>
    <mergeCell ref="A10:A12"/>
    <mergeCell ref="B10:B12"/>
    <mergeCell ref="C10:C12"/>
    <mergeCell ref="D10:D12"/>
    <mergeCell ref="E10:E12"/>
    <mergeCell ref="A18:A19"/>
    <mergeCell ref="B18:B19"/>
    <mergeCell ref="C18:C19"/>
    <mergeCell ref="D18:D19"/>
    <mergeCell ref="A20:A21"/>
    <mergeCell ref="B20:B21"/>
    <mergeCell ref="C20:C21"/>
    <mergeCell ref="D20:D21"/>
    <mergeCell ref="AA11:AA12"/>
    <mergeCell ref="AB11:AB12"/>
    <mergeCell ref="AC11:AC12"/>
    <mergeCell ref="A16:A17"/>
    <mergeCell ref="B16:B17"/>
    <mergeCell ref="C16:C17"/>
    <mergeCell ref="D16:D17"/>
    <mergeCell ref="U11:U12"/>
    <mergeCell ref="V11:V12"/>
    <mergeCell ref="W11:W12"/>
    <mergeCell ref="X11:X12"/>
    <mergeCell ref="Y11:Y12"/>
    <mergeCell ref="Z11:Z12"/>
    <mergeCell ref="O11:O12"/>
    <mergeCell ref="P11:P12"/>
    <mergeCell ref="Q11:Q12"/>
    <mergeCell ref="R11:R12"/>
    <mergeCell ref="S11:S12"/>
    <mergeCell ref="T11:T12"/>
    <mergeCell ref="A33:A34"/>
    <mergeCell ref="B33:B34"/>
    <mergeCell ref="C33:C34"/>
    <mergeCell ref="D33:D34"/>
    <mergeCell ref="A36:A37"/>
    <mergeCell ref="B36:B37"/>
    <mergeCell ref="C36:C37"/>
    <mergeCell ref="D36:D37"/>
    <mergeCell ref="A27:A28"/>
    <mergeCell ref="B27:B28"/>
    <mergeCell ref="C27:C28"/>
    <mergeCell ref="D27:D28"/>
    <mergeCell ref="A30:A31"/>
    <mergeCell ref="B30:B31"/>
    <mergeCell ref="C30:C31"/>
    <mergeCell ref="D30:D31"/>
    <mergeCell ref="A22:A23"/>
    <mergeCell ref="B22:B23"/>
    <mergeCell ref="C22:C23"/>
    <mergeCell ref="D22:D23"/>
    <mergeCell ref="A25:A26"/>
    <mergeCell ref="B25:B26"/>
    <mergeCell ref="C25:C26"/>
    <mergeCell ref="D25:D26"/>
    <mergeCell ref="A47:A48"/>
    <mergeCell ref="B47:B48"/>
    <mergeCell ref="C47:C48"/>
    <mergeCell ref="D47:D48"/>
    <mergeCell ref="A49:A50"/>
    <mergeCell ref="B49:B50"/>
    <mergeCell ref="C49:C50"/>
    <mergeCell ref="D49:D50"/>
    <mergeCell ref="A43:A44"/>
    <mergeCell ref="B43:B44"/>
    <mergeCell ref="C43:C44"/>
    <mergeCell ref="D43:D44"/>
    <mergeCell ref="A45:A46"/>
    <mergeCell ref="B45:B46"/>
    <mergeCell ref="C45:C46"/>
    <mergeCell ref="D45:D46"/>
    <mergeCell ref="A38:A39"/>
    <mergeCell ref="B38:B39"/>
    <mergeCell ref="C38:C39"/>
    <mergeCell ref="D38:D39"/>
    <mergeCell ref="A41:A42"/>
    <mergeCell ref="B41:B42"/>
    <mergeCell ref="C41:C42"/>
    <mergeCell ref="D41:D42"/>
    <mergeCell ref="A65:A66"/>
    <mergeCell ref="B65:B66"/>
    <mergeCell ref="C65:C66"/>
    <mergeCell ref="D65:D66"/>
    <mergeCell ref="A68:A69"/>
    <mergeCell ref="B68:B69"/>
    <mergeCell ref="C68:C69"/>
    <mergeCell ref="D68:D69"/>
    <mergeCell ref="A59:A60"/>
    <mergeCell ref="B59:B60"/>
    <mergeCell ref="C59:C60"/>
    <mergeCell ref="D59:D60"/>
    <mergeCell ref="A63:A64"/>
    <mergeCell ref="B63:B64"/>
    <mergeCell ref="C63:C64"/>
    <mergeCell ref="D63:D64"/>
    <mergeCell ref="A51:A52"/>
    <mergeCell ref="B51:B52"/>
    <mergeCell ref="C51:C52"/>
    <mergeCell ref="D51:D52"/>
    <mergeCell ref="A56:A57"/>
    <mergeCell ref="B56:B57"/>
    <mergeCell ref="C56:C57"/>
    <mergeCell ref="D56:D57"/>
    <mergeCell ref="A79:A80"/>
    <mergeCell ref="B79:B80"/>
    <mergeCell ref="C79:C80"/>
    <mergeCell ref="D79:D80"/>
    <mergeCell ref="A82:A83"/>
    <mergeCell ref="B82:B83"/>
    <mergeCell ref="C82:C83"/>
    <mergeCell ref="D82:D83"/>
    <mergeCell ref="A75:A76"/>
    <mergeCell ref="B75:B76"/>
    <mergeCell ref="C75:C76"/>
    <mergeCell ref="D75:D76"/>
    <mergeCell ref="A77:A78"/>
    <mergeCell ref="B77:B78"/>
    <mergeCell ref="C77:C78"/>
    <mergeCell ref="D77:D78"/>
    <mergeCell ref="A70:A71"/>
    <mergeCell ref="B70:B71"/>
    <mergeCell ref="C70:C71"/>
    <mergeCell ref="D70:D71"/>
    <mergeCell ref="A72:A73"/>
    <mergeCell ref="B72:B73"/>
    <mergeCell ref="C72:C73"/>
    <mergeCell ref="D72:D73"/>
    <mergeCell ref="A93:A94"/>
    <mergeCell ref="B93:B94"/>
    <mergeCell ref="C93:C94"/>
    <mergeCell ref="D93:D94"/>
    <mergeCell ref="A96:A97"/>
    <mergeCell ref="B96:B97"/>
    <mergeCell ref="C96:C97"/>
    <mergeCell ref="D96:D97"/>
    <mergeCell ref="A89:A90"/>
    <mergeCell ref="B89:B90"/>
    <mergeCell ref="C89:C90"/>
    <mergeCell ref="D89:D90"/>
    <mergeCell ref="A91:A92"/>
    <mergeCell ref="B91:B92"/>
    <mergeCell ref="C91:C92"/>
    <mergeCell ref="D91:D92"/>
    <mergeCell ref="A84:A85"/>
    <mergeCell ref="B84:B85"/>
    <mergeCell ref="C84:C85"/>
    <mergeCell ref="D84:D85"/>
    <mergeCell ref="A86:A87"/>
    <mergeCell ref="B86:B87"/>
    <mergeCell ref="C86:C87"/>
    <mergeCell ref="D86:D87"/>
    <mergeCell ref="A107:A108"/>
    <mergeCell ref="B107:B108"/>
    <mergeCell ref="C107:C108"/>
    <mergeCell ref="D107:D108"/>
    <mergeCell ref="A109:A110"/>
    <mergeCell ref="B109:B110"/>
    <mergeCell ref="C109:C110"/>
    <mergeCell ref="D109:D110"/>
    <mergeCell ref="A103:A104"/>
    <mergeCell ref="B103:B104"/>
    <mergeCell ref="C103:C104"/>
    <mergeCell ref="D103:D104"/>
    <mergeCell ref="A105:A106"/>
    <mergeCell ref="B105:B106"/>
    <mergeCell ref="C105:C106"/>
    <mergeCell ref="D105:D106"/>
    <mergeCell ref="A98:A99"/>
    <mergeCell ref="B98:B99"/>
    <mergeCell ref="C98:C99"/>
    <mergeCell ref="D98:D99"/>
    <mergeCell ref="A100:A101"/>
    <mergeCell ref="B100:B101"/>
    <mergeCell ref="C100:C101"/>
    <mergeCell ref="D100:D101"/>
    <mergeCell ref="A122:A123"/>
    <mergeCell ref="B122:B123"/>
    <mergeCell ref="C122:C123"/>
    <mergeCell ref="D122:D123"/>
    <mergeCell ref="A125:A126"/>
    <mergeCell ref="B125:B126"/>
    <mergeCell ref="C125:C126"/>
    <mergeCell ref="D125:D126"/>
    <mergeCell ref="A116:A117"/>
    <mergeCell ref="B116:B117"/>
    <mergeCell ref="C116:C117"/>
    <mergeCell ref="D116:D117"/>
    <mergeCell ref="A120:A121"/>
    <mergeCell ref="B120:B121"/>
    <mergeCell ref="C120:C121"/>
    <mergeCell ref="D120:D121"/>
    <mergeCell ref="A112:A113"/>
    <mergeCell ref="B112:B113"/>
    <mergeCell ref="C112:C113"/>
    <mergeCell ref="D112:D113"/>
    <mergeCell ref="A114:A115"/>
    <mergeCell ref="B114:B115"/>
    <mergeCell ref="C114:C115"/>
    <mergeCell ref="D114:D115"/>
    <mergeCell ref="A135:A136"/>
    <mergeCell ref="B135:B136"/>
    <mergeCell ref="C135:C136"/>
    <mergeCell ref="D135:D136"/>
    <mergeCell ref="A137:A138"/>
    <mergeCell ref="B137:B138"/>
    <mergeCell ref="C137:C138"/>
    <mergeCell ref="D137:D138"/>
    <mergeCell ref="A131:A132"/>
    <mergeCell ref="B131:B132"/>
    <mergeCell ref="C131:C132"/>
    <mergeCell ref="D131:D132"/>
    <mergeCell ref="A133:A134"/>
    <mergeCell ref="B133:B134"/>
    <mergeCell ref="C133:C134"/>
    <mergeCell ref="D133:D134"/>
    <mergeCell ref="A127:A128"/>
    <mergeCell ref="B127:B128"/>
    <mergeCell ref="C127:C128"/>
    <mergeCell ref="D127:D128"/>
    <mergeCell ref="A129:A130"/>
    <mergeCell ref="B129:B130"/>
    <mergeCell ref="C129:C130"/>
    <mergeCell ref="D129:D130"/>
    <mergeCell ref="A149:A150"/>
    <mergeCell ref="B149:B150"/>
    <mergeCell ref="C149:C150"/>
    <mergeCell ref="D149:D150"/>
    <mergeCell ref="A151:A152"/>
    <mergeCell ref="B151:B152"/>
    <mergeCell ref="C151:C152"/>
    <mergeCell ref="D151:D152"/>
    <mergeCell ref="A143:A144"/>
    <mergeCell ref="B143:B144"/>
    <mergeCell ref="C143:C144"/>
    <mergeCell ref="D143:D144"/>
    <mergeCell ref="A146:A147"/>
    <mergeCell ref="B146:B147"/>
    <mergeCell ref="C146:C147"/>
    <mergeCell ref="D146:D147"/>
    <mergeCell ref="A139:A140"/>
    <mergeCell ref="B139:B140"/>
    <mergeCell ref="C139:C140"/>
    <mergeCell ref="D139:D140"/>
    <mergeCell ref="A141:A142"/>
    <mergeCell ref="B141:B142"/>
    <mergeCell ref="C141:C142"/>
    <mergeCell ref="D141:D142"/>
    <mergeCell ref="A165:A166"/>
    <mergeCell ref="B165:B166"/>
    <mergeCell ref="C165:C166"/>
    <mergeCell ref="D165:D166"/>
    <mergeCell ref="A167:A168"/>
    <mergeCell ref="B167:B168"/>
    <mergeCell ref="C167:C168"/>
    <mergeCell ref="D167:D168"/>
    <mergeCell ref="A158:A159"/>
    <mergeCell ref="B158:B159"/>
    <mergeCell ref="C158:C159"/>
    <mergeCell ref="D158:D159"/>
    <mergeCell ref="A163:A164"/>
    <mergeCell ref="B163:B164"/>
    <mergeCell ref="C163:C164"/>
    <mergeCell ref="D163:D164"/>
    <mergeCell ref="A153:A154"/>
    <mergeCell ref="B153:B154"/>
    <mergeCell ref="C153:C154"/>
    <mergeCell ref="D153:D154"/>
    <mergeCell ref="A155:A156"/>
    <mergeCell ref="B155:B156"/>
    <mergeCell ref="C155:C156"/>
    <mergeCell ref="D155:D156"/>
    <mergeCell ref="A180:A181"/>
    <mergeCell ref="B180:B181"/>
    <mergeCell ref="C180:C181"/>
    <mergeCell ref="D180:D181"/>
    <mergeCell ref="A183:A184"/>
    <mergeCell ref="B183:B184"/>
    <mergeCell ref="C183:C184"/>
    <mergeCell ref="D183:D184"/>
    <mergeCell ref="A175:A176"/>
    <mergeCell ref="B175:B176"/>
    <mergeCell ref="C175:C176"/>
    <mergeCell ref="D175:D176"/>
    <mergeCell ref="A178:A179"/>
    <mergeCell ref="B178:B179"/>
    <mergeCell ref="C178:C179"/>
    <mergeCell ref="D178:D179"/>
    <mergeCell ref="A169:A170"/>
    <mergeCell ref="B169:B170"/>
    <mergeCell ref="C169:C170"/>
    <mergeCell ref="D169:D170"/>
    <mergeCell ref="A173:A174"/>
    <mergeCell ref="B173:B174"/>
    <mergeCell ref="C173:C174"/>
    <mergeCell ref="D173:D174"/>
    <mergeCell ref="A193:A194"/>
    <mergeCell ref="B193:B194"/>
    <mergeCell ref="C193:C194"/>
    <mergeCell ref="D193:D194"/>
    <mergeCell ref="A196:A197"/>
    <mergeCell ref="B196:B197"/>
    <mergeCell ref="C196:C197"/>
    <mergeCell ref="D196:D197"/>
    <mergeCell ref="A189:A190"/>
    <mergeCell ref="B189:B190"/>
    <mergeCell ref="C189:C190"/>
    <mergeCell ref="D189:D190"/>
    <mergeCell ref="A191:A192"/>
    <mergeCell ref="B191:B192"/>
    <mergeCell ref="C191:C192"/>
    <mergeCell ref="D191:D192"/>
    <mergeCell ref="A185:A186"/>
    <mergeCell ref="B185:B186"/>
    <mergeCell ref="C185:C186"/>
    <mergeCell ref="D185:D186"/>
    <mergeCell ref="A187:A188"/>
    <mergeCell ref="B187:B188"/>
    <mergeCell ref="C187:C188"/>
    <mergeCell ref="D187:D188"/>
    <mergeCell ref="A208:A209"/>
    <mergeCell ref="B208:B209"/>
    <mergeCell ref="C208:C209"/>
    <mergeCell ref="D208:D209"/>
    <mergeCell ref="A211:A212"/>
    <mergeCell ref="B211:B212"/>
    <mergeCell ref="C211:C212"/>
    <mergeCell ref="D211:D212"/>
    <mergeCell ref="A204:A205"/>
    <mergeCell ref="B204:B205"/>
    <mergeCell ref="C204:C205"/>
    <mergeCell ref="D204:D205"/>
    <mergeCell ref="A206:A207"/>
    <mergeCell ref="B206:B207"/>
    <mergeCell ref="C206:C207"/>
    <mergeCell ref="D206:D207"/>
    <mergeCell ref="A198:A199"/>
    <mergeCell ref="B198:B199"/>
    <mergeCell ref="C198:C199"/>
    <mergeCell ref="D198:D199"/>
    <mergeCell ref="A202:A203"/>
    <mergeCell ref="B202:B203"/>
    <mergeCell ref="C202:C203"/>
    <mergeCell ref="D202:D203"/>
    <mergeCell ref="A221:A222"/>
    <mergeCell ref="B221:B222"/>
    <mergeCell ref="C221:C222"/>
    <mergeCell ref="D221:D222"/>
    <mergeCell ref="A225:A226"/>
    <mergeCell ref="B225:B226"/>
    <mergeCell ref="C225:C226"/>
    <mergeCell ref="D225:D226"/>
    <mergeCell ref="A217:A218"/>
    <mergeCell ref="B217:B218"/>
    <mergeCell ref="C217:C218"/>
    <mergeCell ref="D217:D218"/>
    <mergeCell ref="A219:A220"/>
    <mergeCell ref="B219:B220"/>
    <mergeCell ref="C219:C220"/>
    <mergeCell ref="D219:D220"/>
    <mergeCell ref="A213:A214"/>
    <mergeCell ref="B213:B214"/>
    <mergeCell ref="C213:C214"/>
    <mergeCell ref="D213:D214"/>
    <mergeCell ref="A215:A216"/>
    <mergeCell ref="B215:B216"/>
    <mergeCell ref="C215:C216"/>
    <mergeCell ref="D215:D216"/>
    <mergeCell ref="A235:A236"/>
    <mergeCell ref="B235:B236"/>
    <mergeCell ref="C235:C236"/>
    <mergeCell ref="D235:D236"/>
    <mergeCell ref="A237:A238"/>
    <mergeCell ref="B237:B238"/>
    <mergeCell ref="C237:C238"/>
    <mergeCell ref="D237:D238"/>
    <mergeCell ref="A231:A232"/>
    <mergeCell ref="B231:B232"/>
    <mergeCell ref="C231:C232"/>
    <mergeCell ref="D231:D232"/>
    <mergeCell ref="A233:A234"/>
    <mergeCell ref="B233:B234"/>
    <mergeCell ref="C233:C234"/>
    <mergeCell ref="D233:D234"/>
    <mergeCell ref="A227:A228"/>
    <mergeCell ref="B227:B228"/>
    <mergeCell ref="C227:C228"/>
    <mergeCell ref="D227:D228"/>
    <mergeCell ref="A229:A230"/>
    <mergeCell ref="B229:B230"/>
    <mergeCell ref="C229:C230"/>
    <mergeCell ref="D229:D230"/>
    <mergeCell ref="A247:A248"/>
    <mergeCell ref="B247:B248"/>
    <mergeCell ref="C247:C248"/>
    <mergeCell ref="D247:D248"/>
    <mergeCell ref="A250:A251"/>
    <mergeCell ref="B250:B251"/>
    <mergeCell ref="C250:C251"/>
    <mergeCell ref="D250:D251"/>
    <mergeCell ref="A243:A244"/>
    <mergeCell ref="B243:B244"/>
    <mergeCell ref="C243:C244"/>
    <mergeCell ref="D243:D244"/>
    <mergeCell ref="A245:A246"/>
    <mergeCell ref="B245:B246"/>
    <mergeCell ref="C245:C246"/>
    <mergeCell ref="D245:D246"/>
    <mergeCell ref="A239:A240"/>
    <mergeCell ref="B239:B240"/>
    <mergeCell ref="C239:C240"/>
    <mergeCell ref="D239:D240"/>
    <mergeCell ref="A241:A242"/>
    <mergeCell ref="B241:B242"/>
    <mergeCell ref="C241:C242"/>
    <mergeCell ref="D241:D242"/>
    <mergeCell ref="A264:A265"/>
    <mergeCell ref="B264:B265"/>
    <mergeCell ref="C264:C265"/>
    <mergeCell ref="D264:D265"/>
    <mergeCell ref="A266:A267"/>
    <mergeCell ref="B266:B267"/>
    <mergeCell ref="C266:C267"/>
    <mergeCell ref="D266:D267"/>
    <mergeCell ref="A259:A260"/>
    <mergeCell ref="B259:B260"/>
    <mergeCell ref="C259:C260"/>
    <mergeCell ref="D259:D260"/>
    <mergeCell ref="A262:A263"/>
    <mergeCell ref="B262:B263"/>
    <mergeCell ref="C262:C263"/>
    <mergeCell ref="D262:D263"/>
    <mergeCell ref="A253:A254"/>
    <mergeCell ref="B253:B254"/>
    <mergeCell ref="C253:C254"/>
    <mergeCell ref="D253:D254"/>
    <mergeCell ref="A257:A258"/>
    <mergeCell ref="B257:B258"/>
    <mergeCell ref="C257:C258"/>
    <mergeCell ref="D257:D258"/>
    <mergeCell ref="A276:A277"/>
    <mergeCell ref="B276:B277"/>
    <mergeCell ref="C276:C277"/>
    <mergeCell ref="D276:D277"/>
    <mergeCell ref="A278:A279"/>
    <mergeCell ref="B278:B279"/>
    <mergeCell ref="C278:C279"/>
    <mergeCell ref="D278:D279"/>
    <mergeCell ref="A272:A273"/>
    <mergeCell ref="B272:B273"/>
    <mergeCell ref="C272:C273"/>
    <mergeCell ref="D272:D273"/>
    <mergeCell ref="A274:A275"/>
    <mergeCell ref="B274:B275"/>
    <mergeCell ref="C274:C275"/>
    <mergeCell ref="D274:D275"/>
    <mergeCell ref="A268:A269"/>
    <mergeCell ref="B268:B269"/>
    <mergeCell ref="C268:C269"/>
    <mergeCell ref="D268:D269"/>
    <mergeCell ref="A270:A271"/>
    <mergeCell ref="B270:B271"/>
    <mergeCell ref="C270:C271"/>
    <mergeCell ref="D270:D271"/>
    <mergeCell ref="A293:A294"/>
    <mergeCell ref="B293:B294"/>
    <mergeCell ref="C293:C294"/>
    <mergeCell ref="D293:D294"/>
    <mergeCell ref="A295:A296"/>
    <mergeCell ref="B295:B296"/>
    <mergeCell ref="C295:C296"/>
    <mergeCell ref="D295:D296"/>
    <mergeCell ref="A287:A288"/>
    <mergeCell ref="B287:B288"/>
    <mergeCell ref="C287:C288"/>
    <mergeCell ref="D287:D288"/>
    <mergeCell ref="A291:A292"/>
    <mergeCell ref="B291:B292"/>
    <mergeCell ref="C291:C292"/>
    <mergeCell ref="D291:D292"/>
    <mergeCell ref="A281:A282"/>
    <mergeCell ref="B281:B282"/>
    <mergeCell ref="C281:C282"/>
    <mergeCell ref="D281:D282"/>
    <mergeCell ref="A285:A286"/>
    <mergeCell ref="B285:B286"/>
    <mergeCell ref="C285:C286"/>
    <mergeCell ref="D285:D286"/>
    <mergeCell ref="A307:A308"/>
    <mergeCell ref="B307:B308"/>
    <mergeCell ref="C307:C308"/>
    <mergeCell ref="D307:D308"/>
    <mergeCell ref="A309:A310"/>
    <mergeCell ref="B309:B310"/>
    <mergeCell ref="C309:C310"/>
    <mergeCell ref="D309:D310"/>
    <mergeCell ref="A303:A304"/>
    <mergeCell ref="B303:B304"/>
    <mergeCell ref="C303:C304"/>
    <mergeCell ref="D303:D304"/>
    <mergeCell ref="A305:A306"/>
    <mergeCell ref="B305:B306"/>
    <mergeCell ref="C305:C306"/>
    <mergeCell ref="D305:D306"/>
    <mergeCell ref="A299:A300"/>
    <mergeCell ref="B299:B300"/>
    <mergeCell ref="C299:C300"/>
    <mergeCell ref="D299:D300"/>
    <mergeCell ref="A301:A302"/>
    <mergeCell ref="B301:B302"/>
    <mergeCell ref="C301:C302"/>
    <mergeCell ref="D301:D302"/>
    <mergeCell ref="A319:A320"/>
    <mergeCell ref="B319:B320"/>
    <mergeCell ref="C319:C320"/>
    <mergeCell ref="D319:D320"/>
    <mergeCell ref="A321:A322"/>
    <mergeCell ref="B321:B322"/>
    <mergeCell ref="C321:C322"/>
    <mergeCell ref="D321:D322"/>
    <mergeCell ref="A315:A316"/>
    <mergeCell ref="B315:B316"/>
    <mergeCell ref="C315:C316"/>
    <mergeCell ref="D315:D316"/>
    <mergeCell ref="A317:A318"/>
    <mergeCell ref="B317:B318"/>
    <mergeCell ref="C317:C318"/>
    <mergeCell ref="D317:D318"/>
    <mergeCell ref="A311:A312"/>
    <mergeCell ref="B311:B312"/>
    <mergeCell ref="C311:C312"/>
    <mergeCell ref="D311:D312"/>
    <mergeCell ref="A313:A314"/>
    <mergeCell ref="B313:B314"/>
    <mergeCell ref="C313:C314"/>
    <mergeCell ref="D313:D314"/>
    <mergeCell ref="A332:A333"/>
    <mergeCell ref="B332:B333"/>
    <mergeCell ref="C332:C333"/>
    <mergeCell ref="D332:D333"/>
    <mergeCell ref="A334:A335"/>
    <mergeCell ref="B334:B335"/>
    <mergeCell ref="C334:C335"/>
    <mergeCell ref="D334:D335"/>
    <mergeCell ref="A328:A329"/>
    <mergeCell ref="B328:B329"/>
    <mergeCell ref="C328:C329"/>
    <mergeCell ref="D328:D329"/>
    <mergeCell ref="A330:A331"/>
    <mergeCell ref="B330:B331"/>
    <mergeCell ref="C330:C331"/>
    <mergeCell ref="D330:D331"/>
    <mergeCell ref="A323:A324"/>
    <mergeCell ref="B323:B324"/>
    <mergeCell ref="C323:C324"/>
    <mergeCell ref="D323:D324"/>
    <mergeCell ref="A325:A326"/>
    <mergeCell ref="B325:B326"/>
    <mergeCell ref="C325:C326"/>
    <mergeCell ref="D325:D326"/>
    <mergeCell ref="A345:A346"/>
    <mergeCell ref="B345:B346"/>
    <mergeCell ref="C345:C346"/>
    <mergeCell ref="D345:D346"/>
    <mergeCell ref="A349:A350"/>
    <mergeCell ref="B349:B350"/>
    <mergeCell ref="C349:C350"/>
    <mergeCell ref="D349:D350"/>
    <mergeCell ref="A341:A342"/>
    <mergeCell ref="B341:B342"/>
    <mergeCell ref="C341:C342"/>
    <mergeCell ref="D341:D342"/>
    <mergeCell ref="A343:A344"/>
    <mergeCell ref="B343:B344"/>
    <mergeCell ref="C343:C344"/>
    <mergeCell ref="D343:D344"/>
    <mergeCell ref="A337:A338"/>
    <mergeCell ref="B337:B338"/>
    <mergeCell ref="C337:C338"/>
    <mergeCell ref="D337:D338"/>
    <mergeCell ref="A339:A340"/>
    <mergeCell ref="B339:B340"/>
    <mergeCell ref="C339:C340"/>
    <mergeCell ref="D339:D340"/>
    <mergeCell ref="A360:A361"/>
    <mergeCell ref="B360:B361"/>
    <mergeCell ref="C360:C361"/>
    <mergeCell ref="D360:D361"/>
    <mergeCell ref="A362:A363"/>
    <mergeCell ref="B362:B363"/>
    <mergeCell ref="C362:C363"/>
    <mergeCell ref="D362:D363"/>
    <mergeCell ref="A356:A357"/>
    <mergeCell ref="B356:B357"/>
    <mergeCell ref="C356:C357"/>
    <mergeCell ref="D356:D357"/>
    <mergeCell ref="A358:A359"/>
    <mergeCell ref="B358:B359"/>
    <mergeCell ref="C358:C359"/>
    <mergeCell ref="D358:D359"/>
    <mergeCell ref="A352:A353"/>
    <mergeCell ref="B352:B353"/>
    <mergeCell ref="C352:C353"/>
    <mergeCell ref="D352:D353"/>
    <mergeCell ref="A354:A355"/>
    <mergeCell ref="B354:B355"/>
    <mergeCell ref="C354:C355"/>
    <mergeCell ref="D354:D355"/>
    <mergeCell ref="A373:A374"/>
    <mergeCell ref="B373:B374"/>
    <mergeCell ref="C373:C374"/>
    <mergeCell ref="D373:D374"/>
    <mergeCell ref="A375:A376"/>
    <mergeCell ref="B375:B376"/>
    <mergeCell ref="C375:C376"/>
    <mergeCell ref="D375:D376"/>
    <mergeCell ref="A368:A369"/>
    <mergeCell ref="B368:B369"/>
    <mergeCell ref="C368:C369"/>
    <mergeCell ref="D368:D369"/>
    <mergeCell ref="A371:A372"/>
    <mergeCell ref="B371:B372"/>
    <mergeCell ref="C371:C372"/>
    <mergeCell ref="D371:D372"/>
    <mergeCell ref="A364:A365"/>
    <mergeCell ref="B364:B365"/>
    <mergeCell ref="C364:C365"/>
    <mergeCell ref="D364:D365"/>
    <mergeCell ref="A366:A367"/>
    <mergeCell ref="B366:B367"/>
    <mergeCell ref="C366:C367"/>
    <mergeCell ref="D366:D367"/>
    <mergeCell ref="A388:A389"/>
    <mergeCell ref="B388:B389"/>
    <mergeCell ref="C388:C389"/>
    <mergeCell ref="D388:D389"/>
    <mergeCell ref="A390:A391"/>
    <mergeCell ref="B390:B391"/>
    <mergeCell ref="C390:C391"/>
    <mergeCell ref="D390:D391"/>
    <mergeCell ref="A384:A385"/>
    <mergeCell ref="B384:B385"/>
    <mergeCell ref="C384:C385"/>
    <mergeCell ref="D384:D385"/>
    <mergeCell ref="A386:A387"/>
    <mergeCell ref="B386:B387"/>
    <mergeCell ref="C386:C387"/>
    <mergeCell ref="D386:D387"/>
    <mergeCell ref="A378:A379"/>
    <mergeCell ref="B378:B379"/>
    <mergeCell ref="C378:C379"/>
    <mergeCell ref="D378:D379"/>
    <mergeCell ref="A382:A383"/>
    <mergeCell ref="B382:B383"/>
    <mergeCell ref="C382:C383"/>
    <mergeCell ref="D382:D383"/>
    <mergeCell ref="A402:A403"/>
    <mergeCell ref="B402:B403"/>
    <mergeCell ref="C402:C403"/>
    <mergeCell ref="D402:D403"/>
    <mergeCell ref="A404:A405"/>
    <mergeCell ref="B404:B405"/>
    <mergeCell ref="C404:C405"/>
    <mergeCell ref="D404:D405"/>
    <mergeCell ref="A398:A399"/>
    <mergeCell ref="B398:B399"/>
    <mergeCell ref="C398:C399"/>
    <mergeCell ref="D398:D399"/>
    <mergeCell ref="A400:A401"/>
    <mergeCell ref="B400:B401"/>
    <mergeCell ref="C400:C401"/>
    <mergeCell ref="D400:D401"/>
    <mergeCell ref="A394:A395"/>
    <mergeCell ref="B394:B395"/>
    <mergeCell ref="C394:C395"/>
    <mergeCell ref="D394:D395"/>
    <mergeCell ref="A396:A397"/>
    <mergeCell ref="B396:B397"/>
    <mergeCell ref="C396:C397"/>
    <mergeCell ref="D396:D397"/>
    <mergeCell ref="A416:A417"/>
    <mergeCell ref="B416:B417"/>
    <mergeCell ref="C416:C417"/>
    <mergeCell ref="D416:D417"/>
    <mergeCell ref="A419:A420"/>
    <mergeCell ref="B419:B420"/>
    <mergeCell ref="C419:C420"/>
    <mergeCell ref="D419:D420"/>
    <mergeCell ref="A412:A413"/>
    <mergeCell ref="B412:B413"/>
    <mergeCell ref="C412:C413"/>
    <mergeCell ref="D412:D413"/>
    <mergeCell ref="A414:A415"/>
    <mergeCell ref="B414:B415"/>
    <mergeCell ref="C414:C415"/>
    <mergeCell ref="D414:D415"/>
    <mergeCell ref="A407:A408"/>
    <mergeCell ref="B407:B408"/>
    <mergeCell ref="C407:C408"/>
    <mergeCell ref="D407:D408"/>
    <mergeCell ref="A409:A410"/>
    <mergeCell ref="B409:B410"/>
    <mergeCell ref="C409:C410"/>
    <mergeCell ref="D409:D410"/>
    <mergeCell ref="A431:A432"/>
    <mergeCell ref="B431:B432"/>
    <mergeCell ref="C431:C432"/>
    <mergeCell ref="D431:D432"/>
    <mergeCell ref="A433:A434"/>
    <mergeCell ref="B433:B434"/>
    <mergeCell ref="C433:C434"/>
    <mergeCell ref="D433:D434"/>
    <mergeCell ref="A426:A427"/>
    <mergeCell ref="B426:B427"/>
    <mergeCell ref="C426:C427"/>
    <mergeCell ref="D426:D427"/>
    <mergeCell ref="A428:A429"/>
    <mergeCell ref="B428:B429"/>
    <mergeCell ref="C428:C429"/>
    <mergeCell ref="D428:D429"/>
    <mergeCell ref="A422:A423"/>
    <mergeCell ref="B422:B423"/>
    <mergeCell ref="C422:C423"/>
    <mergeCell ref="D422:D423"/>
    <mergeCell ref="A424:A425"/>
    <mergeCell ref="B424:B425"/>
    <mergeCell ref="C424:C425"/>
    <mergeCell ref="D424:D425"/>
    <mergeCell ref="A443:A444"/>
    <mergeCell ref="B443:B444"/>
    <mergeCell ref="C443:C444"/>
    <mergeCell ref="D443:D444"/>
    <mergeCell ref="A445:A446"/>
    <mergeCell ref="B445:B446"/>
    <mergeCell ref="C445:C446"/>
    <mergeCell ref="D445:D446"/>
    <mergeCell ref="A439:A440"/>
    <mergeCell ref="B439:B440"/>
    <mergeCell ref="C439:C440"/>
    <mergeCell ref="D439:D440"/>
    <mergeCell ref="A441:A442"/>
    <mergeCell ref="B441:B442"/>
    <mergeCell ref="C441:C442"/>
    <mergeCell ref="D441:D442"/>
    <mergeCell ref="A435:A436"/>
    <mergeCell ref="B435:B436"/>
    <mergeCell ref="C435:C436"/>
    <mergeCell ref="D435:D436"/>
    <mergeCell ref="A437:A438"/>
    <mergeCell ref="B437:B438"/>
    <mergeCell ref="C437:C438"/>
    <mergeCell ref="D437:D438"/>
    <mergeCell ref="A458:A459"/>
    <mergeCell ref="B458:B459"/>
    <mergeCell ref="C458:C459"/>
    <mergeCell ref="D458:D459"/>
    <mergeCell ref="A460:A461"/>
    <mergeCell ref="B460:B461"/>
    <mergeCell ref="C460:C461"/>
    <mergeCell ref="D460:D461"/>
    <mergeCell ref="A454:A455"/>
    <mergeCell ref="B454:B455"/>
    <mergeCell ref="C454:C455"/>
    <mergeCell ref="D454:D455"/>
    <mergeCell ref="A456:A457"/>
    <mergeCell ref="B456:B457"/>
    <mergeCell ref="C456:C457"/>
    <mergeCell ref="D456:D457"/>
    <mergeCell ref="A447:A448"/>
    <mergeCell ref="B447:B448"/>
    <mergeCell ref="C447:C448"/>
    <mergeCell ref="D447:D448"/>
    <mergeCell ref="A450:A451"/>
    <mergeCell ref="B450:B451"/>
    <mergeCell ref="C450:C451"/>
    <mergeCell ref="D450:D451"/>
    <mergeCell ref="A472:A473"/>
    <mergeCell ref="B472:B473"/>
    <mergeCell ref="C472:C473"/>
    <mergeCell ref="D472:D473"/>
    <mergeCell ref="A474:A475"/>
    <mergeCell ref="B474:B475"/>
    <mergeCell ref="C474:C475"/>
    <mergeCell ref="D474:D475"/>
    <mergeCell ref="A467:A468"/>
    <mergeCell ref="B467:B468"/>
    <mergeCell ref="C467:C468"/>
    <mergeCell ref="D467:D468"/>
    <mergeCell ref="A469:A470"/>
    <mergeCell ref="B469:B470"/>
    <mergeCell ref="C469:C470"/>
    <mergeCell ref="D469:D470"/>
    <mergeCell ref="A462:A463"/>
    <mergeCell ref="B462:B463"/>
    <mergeCell ref="C462:C463"/>
    <mergeCell ref="D462:D463"/>
    <mergeCell ref="A464:A465"/>
    <mergeCell ref="B464:B465"/>
    <mergeCell ref="C464:C465"/>
    <mergeCell ref="D464:D465"/>
    <mergeCell ref="A486:A487"/>
    <mergeCell ref="B486:B487"/>
    <mergeCell ref="C486:C487"/>
    <mergeCell ref="D486:D487"/>
    <mergeCell ref="A488:A489"/>
    <mergeCell ref="B488:B489"/>
    <mergeCell ref="C488:C489"/>
    <mergeCell ref="D488:D489"/>
    <mergeCell ref="A481:A482"/>
    <mergeCell ref="B481:B482"/>
    <mergeCell ref="C481:C482"/>
    <mergeCell ref="D481:D482"/>
    <mergeCell ref="A484:A485"/>
    <mergeCell ref="B484:B485"/>
    <mergeCell ref="C484:C485"/>
    <mergeCell ref="D484:D485"/>
    <mergeCell ref="A476:A477"/>
    <mergeCell ref="B476:B477"/>
    <mergeCell ref="C476:C477"/>
    <mergeCell ref="D476:D477"/>
    <mergeCell ref="A478:A479"/>
    <mergeCell ref="B478:B479"/>
    <mergeCell ref="C478:C479"/>
    <mergeCell ref="D478:D479"/>
    <mergeCell ref="A502:A503"/>
    <mergeCell ref="B502:B503"/>
    <mergeCell ref="C502:C503"/>
    <mergeCell ref="D502:D503"/>
    <mergeCell ref="A504:A505"/>
    <mergeCell ref="B504:B505"/>
    <mergeCell ref="C504:C505"/>
    <mergeCell ref="D504:D505"/>
    <mergeCell ref="A495:A496"/>
    <mergeCell ref="B495:B496"/>
    <mergeCell ref="C495:C496"/>
    <mergeCell ref="D495:D496"/>
    <mergeCell ref="A498:A499"/>
    <mergeCell ref="B498:B499"/>
    <mergeCell ref="C498:C499"/>
    <mergeCell ref="D498:D499"/>
    <mergeCell ref="A490:A491"/>
    <mergeCell ref="B490:B491"/>
    <mergeCell ref="C490:C491"/>
    <mergeCell ref="D490:D491"/>
    <mergeCell ref="A492:A493"/>
    <mergeCell ref="B492:B493"/>
    <mergeCell ref="C492:C493"/>
    <mergeCell ref="D492:D493"/>
    <mergeCell ref="A514:A515"/>
    <mergeCell ref="B514:B515"/>
    <mergeCell ref="C514:C515"/>
    <mergeCell ref="D514:D515"/>
    <mergeCell ref="A516:A517"/>
    <mergeCell ref="B516:B517"/>
    <mergeCell ref="C516:C517"/>
    <mergeCell ref="D516:D517"/>
    <mergeCell ref="A510:A511"/>
    <mergeCell ref="B510:B511"/>
    <mergeCell ref="C510:C511"/>
    <mergeCell ref="D510:D511"/>
    <mergeCell ref="A512:A513"/>
    <mergeCell ref="B512:B513"/>
    <mergeCell ref="C512:C513"/>
    <mergeCell ref="D512:D513"/>
    <mergeCell ref="A506:A507"/>
    <mergeCell ref="B506:B507"/>
    <mergeCell ref="C506:C507"/>
    <mergeCell ref="D506:D507"/>
    <mergeCell ref="A508:A509"/>
    <mergeCell ref="B508:B509"/>
    <mergeCell ref="C508:C509"/>
    <mergeCell ref="D508:D509"/>
    <mergeCell ref="A528:A529"/>
    <mergeCell ref="B528:B529"/>
    <mergeCell ref="C528:C529"/>
    <mergeCell ref="D528:D529"/>
    <mergeCell ref="A530:A531"/>
    <mergeCell ref="B530:B531"/>
    <mergeCell ref="C530:C531"/>
    <mergeCell ref="D530:D531"/>
    <mergeCell ref="A523:A524"/>
    <mergeCell ref="B523:B524"/>
    <mergeCell ref="C523:C524"/>
    <mergeCell ref="D523:D524"/>
    <mergeCell ref="A526:A527"/>
    <mergeCell ref="B526:B527"/>
    <mergeCell ref="C526:C527"/>
    <mergeCell ref="D526:D527"/>
    <mergeCell ref="A519:A520"/>
    <mergeCell ref="B519:B520"/>
    <mergeCell ref="C519:C520"/>
    <mergeCell ref="D519:D520"/>
    <mergeCell ref="A521:A522"/>
    <mergeCell ref="B521:B522"/>
    <mergeCell ref="C521:C522"/>
    <mergeCell ref="D521:D522"/>
    <mergeCell ref="A544:A545"/>
    <mergeCell ref="B544:B545"/>
    <mergeCell ref="C544:C545"/>
    <mergeCell ref="D544:D545"/>
    <mergeCell ref="A546:A547"/>
    <mergeCell ref="B546:B547"/>
    <mergeCell ref="C546:C547"/>
    <mergeCell ref="D546:D547"/>
    <mergeCell ref="A538:A539"/>
    <mergeCell ref="B538:B539"/>
    <mergeCell ref="C538:C539"/>
    <mergeCell ref="D538:D539"/>
    <mergeCell ref="A541:A542"/>
    <mergeCell ref="B541:B542"/>
    <mergeCell ref="C541:C542"/>
    <mergeCell ref="D541:D542"/>
    <mergeCell ref="A532:A533"/>
    <mergeCell ref="B532:B533"/>
    <mergeCell ref="C532:C533"/>
    <mergeCell ref="D532:D533"/>
    <mergeCell ref="A534:A535"/>
    <mergeCell ref="B534:B535"/>
    <mergeCell ref="C534:C535"/>
    <mergeCell ref="D534:D535"/>
    <mergeCell ref="A556:A557"/>
    <mergeCell ref="B556:B557"/>
    <mergeCell ref="C556:C557"/>
    <mergeCell ref="D556:D557"/>
    <mergeCell ref="A558:A559"/>
    <mergeCell ref="B558:B559"/>
    <mergeCell ref="C558:C559"/>
    <mergeCell ref="D558:D559"/>
    <mergeCell ref="A552:A553"/>
    <mergeCell ref="B552:B553"/>
    <mergeCell ref="C552:C553"/>
    <mergeCell ref="D552:D553"/>
    <mergeCell ref="A554:A555"/>
    <mergeCell ref="B554:B555"/>
    <mergeCell ref="C554:C555"/>
    <mergeCell ref="D554:D555"/>
    <mergeCell ref="A548:A549"/>
    <mergeCell ref="B548:B549"/>
    <mergeCell ref="C548:C549"/>
    <mergeCell ref="D548:D549"/>
    <mergeCell ref="A550:A551"/>
    <mergeCell ref="B550:B551"/>
    <mergeCell ref="C550:C551"/>
    <mergeCell ref="D550:D551"/>
    <mergeCell ref="A571:A572"/>
    <mergeCell ref="B571:B572"/>
    <mergeCell ref="C571:C572"/>
    <mergeCell ref="D571:D572"/>
    <mergeCell ref="A577:A578"/>
    <mergeCell ref="B577:B578"/>
    <mergeCell ref="C577:C578"/>
    <mergeCell ref="D577:D578"/>
    <mergeCell ref="A567:A568"/>
    <mergeCell ref="B567:B568"/>
    <mergeCell ref="C567:C568"/>
    <mergeCell ref="D567:D568"/>
    <mergeCell ref="A569:A570"/>
    <mergeCell ref="B569:B570"/>
    <mergeCell ref="C569:C570"/>
    <mergeCell ref="D569:D570"/>
    <mergeCell ref="A561:A562"/>
    <mergeCell ref="B561:B562"/>
    <mergeCell ref="C561:C562"/>
    <mergeCell ref="D561:D562"/>
    <mergeCell ref="A565:A566"/>
    <mergeCell ref="B565:B566"/>
    <mergeCell ref="C565:C566"/>
    <mergeCell ref="D565:D566"/>
    <mergeCell ref="A589:A590"/>
    <mergeCell ref="B589:B590"/>
    <mergeCell ref="C589:C590"/>
    <mergeCell ref="D589:D590"/>
    <mergeCell ref="A593:A594"/>
    <mergeCell ref="B593:B594"/>
    <mergeCell ref="C593:C594"/>
    <mergeCell ref="D593:D594"/>
    <mergeCell ref="A585:A586"/>
    <mergeCell ref="B585:B586"/>
    <mergeCell ref="C585:C586"/>
    <mergeCell ref="D585:D586"/>
    <mergeCell ref="A587:A588"/>
    <mergeCell ref="B587:B588"/>
    <mergeCell ref="C587:C588"/>
    <mergeCell ref="D587:D588"/>
    <mergeCell ref="A579:A580"/>
    <mergeCell ref="B579:B580"/>
    <mergeCell ref="C579:C580"/>
    <mergeCell ref="D579:D580"/>
    <mergeCell ref="A582:A583"/>
    <mergeCell ref="B582:B583"/>
    <mergeCell ref="C582:C583"/>
    <mergeCell ref="D582:D583"/>
    <mergeCell ref="A604:A605"/>
    <mergeCell ref="B604:B605"/>
    <mergeCell ref="C604:C605"/>
    <mergeCell ref="D604:D605"/>
    <mergeCell ref="A606:A607"/>
    <mergeCell ref="B606:B607"/>
    <mergeCell ref="C606:C607"/>
    <mergeCell ref="D606:D607"/>
    <mergeCell ref="A600:A601"/>
    <mergeCell ref="B600:B601"/>
    <mergeCell ref="C600:C601"/>
    <mergeCell ref="D600:D601"/>
    <mergeCell ref="A602:A603"/>
    <mergeCell ref="B602:B603"/>
    <mergeCell ref="C602:C603"/>
    <mergeCell ref="D602:D603"/>
    <mergeCell ref="A596:A597"/>
    <mergeCell ref="B596:B597"/>
    <mergeCell ref="C596:C597"/>
    <mergeCell ref="D596:D597"/>
    <mergeCell ref="A598:A599"/>
    <mergeCell ref="B598:B599"/>
    <mergeCell ref="C598:C599"/>
    <mergeCell ref="D598:D599"/>
    <mergeCell ref="A616:A617"/>
    <mergeCell ref="B616:B617"/>
    <mergeCell ref="C616:C617"/>
    <mergeCell ref="D616:D617"/>
    <mergeCell ref="A619:A620"/>
    <mergeCell ref="B619:B620"/>
    <mergeCell ref="C619:C620"/>
    <mergeCell ref="D619:D620"/>
    <mergeCell ref="A612:A613"/>
    <mergeCell ref="B612:B613"/>
    <mergeCell ref="C612:C613"/>
    <mergeCell ref="D612:D613"/>
    <mergeCell ref="A614:A615"/>
    <mergeCell ref="B614:B615"/>
    <mergeCell ref="C614:C615"/>
    <mergeCell ref="D614:D615"/>
    <mergeCell ref="A608:A609"/>
    <mergeCell ref="B608:B609"/>
    <mergeCell ref="C608:C609"/>
    <mergeCell ref="D608:D609"/>
    <mergeCell ref="A610:A611"/>
    <mergeCell ref="B610:B611"/>
    <mergeCell ref="C610:C611"/>
    <mergeCell ref="D610:D611"/>
    <mergeCell ref="A629:A630"/>
    <mergeCell ref="B629:B630"/>
    <mergeCell ref="C629:C630"/>
    <mergeCell ref="D629:D630"/>
    <mergeCell ref="A631:A632"/>
    <mergeCell ref="B631:B632"/>
    <mergeCell ref="C631:C632"/>
    <mergeCell ref="D631:D632"/>
    <mergeCell ref="A625:A626"/>
    <mergeCell ref="B625:B626"/>
    <mergeCell ref="C625:C626"/>
    <mergeCell ref="D625:D626"/>
    <mergeCell ref="A627:A628"/>
    <mergeCell ref="B627:B628"/>
    <mergeCell ref="C627:C628"/>
    <mergeCell ref="D627:D628"/>
    <mergeCell ref="A621:A622"/>
    <mergeCell ref="B621:B622"/>
    <mergeCell ref="C621:C622"/>
    <mergeCell ref="D621:D622"/>
    <mergeCell ref="A623:A624"/>
    <mergeCell ref="B623:B624"/>
    <mergeCell ref="C623:C624"/>
    <mergeCell ref="D623:D624"/>
    <mergeCell ref="A643:A644"/>
    <mergeCell ref="B643:B644"/>
    <mergeCell ref="C643:C644"/>
    <mergeCell ref="D643:D644"/>
    <mergeCell ref="A646:A647"/>
    <mergeCell ref="B646:B647"/>
    <mergeCell ref="C646:C647"/>
    <mergeCell ref="D646:D647"/>
    <mergeCell ref="A639:A640"/>
    <mergeCell ref="B639:B640"/>
    <mergeCell ref="C639:C640"/>
    <mergeCell ref="D639:D640"/>
    <mergeCell ref="A641:A642"/>
    <mergeCell ref="B641:B642"/>
    <mergeCell ref="C641:C642"/>
    <mergeCell ref="D641:D642"/>
    <mergeCell ref="A633:A634"/>
    <mergeCell ref="B633:B634"/>
    <mergeCell ref="C633:C634"/>
    <mergeCell ref="D633:D634"/>
    <mergeCell ref="A636:A637"/>
    <mergeCell ref="B636:B637"/>
    <mergeCell ref="C636:C637"/>
    <mergeCell ref="D636:D637"/>
    <mergeCell ref="A657:A658"/>
    <mergeCell ref="B657:B658"/>
    <mergeCell ref="C657:C658"/>
    <mergeCell ref="D657:D658"/>
    <mergeCell ref="A659:A660"/>
    <mergeCell ref="B659:B660"/>
    <mergeCell ref="C659:C660"/>
    <mergeCell ref="D659:D660"/>
    <mergeCell ref="A652:A653"/>
    <mergeCell ref="B652:B653"/>
    <mergeCell ref="C652:C653"/>
    <mergeCell ref="D652:D653"/>
    <mergeCell ref="A655:A656"/>
    <mergeCell ref="B655:B656"/>
    <mergeCell ref="C655:C656"/>
    <mergeCell ref="D655:D656"/>
    <mergeCell ref="A648:A649"/>
    <mergeCell ref="B648:B649"/>
    <mergeCell ref="C648:C649"/>
    <mergeCell ref="D648:D649"/>
    <mergeCell ref="A650:A651"/>
    <mergeCell ref="B650:B651"/>
    <mergeCell ref="C650:C651"/>
    <mergeCell ref="D650:D651"/>
    <mergeCell ref="A669:A670"/>
    <mergeCell ref="B669:B670"/>
    <mergeCell ref="C669:C670"/>
    <mergeCell ref="D669:D670"/>
    <mergeCell ref="A671:A672"/>
    <mergeCell ref="B671:B672"/>
    <mergeCell ref="C671:C672"/>
    <mergeCell ref="D671:D672"/>
    <mergeCell ref="A665:A666"/>
    <mergeCell ref="B665:B666"/>
    <mergeCell ref="C665:C666"/>
    <mergeCell ref="D665:D666"/>
    <mergeCell ref="A667:A668"/>
    <mergeCell ref="B667:B668"/>
    <mergeCell ref="C667:C668"/>
    <mergeCell ref="D667:D668"/>
    <mergeCell ref="A661:A662"/>
    <mergeCell ref="B661:B662"/>
    <mergeCell ref="C661:C662"/>
    <mergeCell ref="D661:D662"/>
    <mergeCell ref="A663:A664"/>
    <mergeCell ref="B663:B664"/>
    <mergeCell ref="C663:C664"/>
    <mergeCell ref="D663:D664"/>
    <mergeCell ref="A682:A683"/>
    <mergeCell ref="B682:B683"/>
    <mergeCell ref="C682:C683"/>
    <mergeCell ref="D682:D683"/>
    <mergeCell ref="A684:A685"/>
    <mergeCell ref="B684:B685"/>
    <mergeCell ref="C684:C685"/>
    <mergeCell ref="D684:D685"/>
    <mergeCell ref="A677:A678"/>
    <mergeCell ref="B677:B678"/>
    <mergeCell ref="C677:C678"/>
    <mergeCell ref="D677:D678"/>
    <mergeCell ref="A680:A681"/>
    <mergeCell ref="B680:B681"/>
    <mergeCell ref="C680:C681"/>
    <mergeCell ref="D680:D681"/>
    <mergeCell ref="A673:A674"/>
    <mergeCell ref="B673:B674"/>
    <mergeCell ref="C673:C674"/>
    <mergeCell ref="D673:D674"/>
    <mergeCell ref="A675:A676"/>
    <mergeCell ref="B675:B676"/>
    <mergeCell ref="C675:C676"/>
    <mergeCell ref="D675:D676"/>
    <mergeCell ref="A696:A697"/>
    <mergeCell ref="B696:B697"/>
    <mergeCell ref="C696:C697"/>
    <mergeCell ref="D696:D697"/>
    <mergeCell ref="A698:A699"/>
    <mergeCell ref="B698:B699"/>
    <mergeCell ref="C698:C699"/>
    <mergeCell ref="D698:D699"/>
    <mergeCell ref="A692:A693"/>
    <mergeCell ref="B692:B693"/>
    <mergeCell ref="C692:C693"/>
    <mergeCell ref="D692:D693"/>
    <mergeCell ref="A694:A695"/>
    <mergeCell ref="B694:B695"/>
    <mergeCell ref="C694:C695"/>
    <mergeCell ref="D694:D695"/>
    <mergeCell ref="A686:A687"/>
    <mergeCell ref="B686:B687"/>
    <mergeCell ref="C686:C687"/>
    <mergeCell ref="D686:D687"/>
    <mergeCell ref="A688:A689"/>
    <mergeCell ref="B688:B689"/>
    <mergeCell ref="C688:C689"/>
    <mergeCell ref="D688:D689"/>
    <mergeCell ref="A708:A709"/>
    <mergeCell ref="B708:B709"/>
    <mergeCell ref="C708:C709"/>
    <mergeCell ref="D708:D709"/>
    <mergeCell ref="A710:A711"/>
    <mergeCell ref="B710:B711"/>
    <mergeCell ref="C710:C711"/>
    <mergeCell ref="D710:D711"/>
    <mergeCell ref="A704:A705"/>
    <mergeCell ref="B704:B705"/>
    <mergeCell ref="C704:C705"/>
    <mergeCell ref="D704:D705"/>
    <mergeCell ref="A706:A707"/>
    <mergeCell ref="B706:B707"/>
    <mergeCell ref="C706:C707"/>
    <mergeCell ref="D706:D707"/>
    <mergeCell ref="A700:A701"/>
    <mergeCell ref="B700:B701"/>
    <mergeCell ref="C700:C701"/>
    <mergeCell ref="D700:D701"/>
    <mergeCell ref="A702:A703"/>
    <mergeCell ref="B702:B703"/>
    <mergeCell ref="C702:C703"/>
    <mergeCell ref="D702:D703"/>
    <mergeCell ref="A721:A722"/>
    <mergeCell ref="B721:B722"/>
    <mergeCell ref="C721:C722"/>
    <mergeCell ref="D721:D722"/>
    <mergeCell ref="A723:A724"/>
    <mergeCell ref="B723:B724"/>
    <mergeCell ref="C723:C724"/>
    <mergeCell ref="D723:D724"/>
    <mergeCell ref="A717:A718"/>
    <mergeCell ref="B717:B718"/>
    <mergeCell ref="C717:C718"/>
    <mergeCell ref="D717:D718"/>
    <mergeCell ref="A719:A720"/>
    <mergeCell ref="B719:B720"/>
    <mergeCell ref="C719:C720"/>
    <mergeCell ref="D719:D720"/>
    <mergeCell ref="A713:A714"/>
    <mergeCell ref="B713:B714"/>
    <mergeCell ref="C713:C714"/>
    <mergeCell ref="D713:D714"/>
    <mergeCell ref="A715:A716"/>
    <mergeCell ref="B715:B716"/>
    <mergeCell ref="C715:C716"/>
    <mergeCell ref="D715:D716"/>
    <mergeCell ref="A738:A739"/>
    <mergeCell ref="B738:B739"/>
    <mergeCell ref="C738:C739"/>
    <mergeCell ref="D738:D739"/>
    <mergeCell ref="A740:A741"/>
    <mergeCell ref="B740:B741"/>
    <mergeCell ref="C740:C741"/>
    <mergeCell ref="D740:D741"/>
    <mergeCell ref="A729:A730"/>
    <mergeCell ref="B729:B730"/>
    <mergeCell ref="C729:C730"/>
    <mergeCell ref="D729:D730"/>
    <mergeCell ref="A731:A732"/>
    <mergeCell ref="B731:B732"/>
    <mergeCell ref="C731:C732"/>
    <mergeCell ref="D731:D732"/>
    <mergeCell ref="A725:A726"/>
    <mergeCell ref="B725:B726"/>
    <mergeCell ref="C725:C726"/>
    <mergeCell ref="D725:D726"/>
    <mergeCell ref="A727:A728"/>
    <mergeCell ref="B727:B728"/>
    <mergeCell ref="C727:C728"/>
    <mergeCell ref="D727:D728"/>
    <mergeCell ref="A750:A751"/>
    <mergeCell ref="B750:B751"/>
    <mergeCell ref="C750:C751"/>
    <mergeCell ref="D750:D751"/>
    <mergeCell ref="A752:A753"/>
    <mergeCell ref="B752:B753"/>
    <mergeCell ref="C752:C753"/>
    <mergeCell ref="D752:D753"/>
    <mergeCell ref="A746:A747"/>
    <mergeCell ref="B746:B747"/>
    <mergeCell ref="C746:C747"/>
    <mergeCell ref="D746:D747"/>
    <mergeCell ref="A748:A749"/>
    <mergeCell ref="B748:B749"/>
    <mergeCell ref="C748:C749"/>
    <mergeCell ref="D748:D749"/>
    <mergeCell ref="A742:A743"/>
    <mergeCell ref="B742:B743"/>
    <mergeCell ref="C742:C743"/>
    <mergeCell ref="D742:D743"/>
    <mergeCell ref="A744:A745"/>
    <mergeCell ref="B744:B745"/>
    <mergeCell ref="C744:C745"/>
    <mergeCell ref="D744:D745"/>
    <mergeCell ref="A764:A765"/>
    <mergeCell ref="B764:B765"/>
    <mergeCell ref="C764:C765"/>
    <mergeCell ref="D764:D765"/>
    <mergeCell ref="A767:A768"/>
    <mergeCell ref="B767:B768"/>
    <mergeCell ref="C767:C768"/>
    <mergeCell ref="D767:D768"/>
    <mergeCell ref="A759:A760"/>
    <mergeCell ref="B759:B760"/>
    <mergeCell ref="C759:C760"/>
    <mergeCell ref="D759:D760"/>
    <mergeCell ref="A762:A763"/>
    <mergeCell ref="B762:B763"/>
    <mergeCell ref="C762:C763"/>
    <mergeCell ref="D762:D763"/>
    <mergeCell ref="A754:A755"/>
    <mergeCell ref="B754:B755"/>
    <mergeCell ref="C754:C755"/>
    <mergeCell ref="D754:D755"/>
    <mergeCell ref="A757:A758"/>
    <mergeCell ref="B757:B758"/>
    <mergeCell ref="C757:C758"/>
    <mergeCell ref="D757:D758"/>
    <mergeCell ref="A779:A780"/>
    <mergeCell ref="B779:B780"/>
    <mergeCell ref="C779:C780"/>
    <mergeCell ref="D779:D780"/>
    <mergeCell ref="A786:A787"/>
    <mergeCell ref="B786:B787"/>
    <mergeCell ref="C786:C787"/>
    <mergeCell ref="D786:D787"/>
    <mergeCell ref="A774:A775"/>
    <mergeCell ref="B774:B775"/>
    <mergeCell ref="C774:C775"/>
    <mergeCell ref="D774:D775"/>
    <mergeCell ref="A776:A777"/>
    <mergeCell ref="B776:B777"/>
    <mergeCell ref="C776:C777"/>
    <mergeCell ref="D776:D777"/>
    <mergeCell ref="A770:A771"/>
    <mergeCell ref="B770:B771"/>
    <mergeCell ref="C770:C771"/>
    <mergeCell ref="D770:D771"/>
    <mergeCell ref="A772:A773"/>
    <mergeCell ref="B772:B773"/>
    <mergeCell ref="C772:C773"/>
    <mergeCell ref="D772:D773"/>
    <mergeCell ref="A797:A798"/>
    <mergeCell ref="B797:B798"/>
    <mergeCell ref="C797:C798"/>
    <mergeCell ref="D797:D798"/>
    <mergeCell ref="A800:A801"/>
    <mergeCell ref="B800:B801"/>
    <mergeCell ref="C800:C801"/>
    <mergeCell ref="D800:D801"/>
    <mergeCell ref="A792:A793"/>
    <mergeCell ref="B792:B793"/>
    <mergeCell ref="C792:C793"/>
    <mergeCell ref="D792:D793"/>
    <mergeCell ref="A795:A796"/>
    <mergeCell ref="B795:B796"/>
    <mergeCell ref="C795:C796"/>
    <mergeCell ref="D795:D796"/>
    <mergeCell ref="A788:A789"/>
    <mergeCell ref="B788:B789"/>
    <mergeCell ref="C788:C789"/>
    <mergeCell ref="D788:D789"/>
    <mergeCell ref="A790:A791"/>
    <mergeCell ref="B790:B791"/>
    <mergeCell ref="C790:C791"/>
    <mergeCell ref="D790:D791"/>
    <mergeCell ref="A813:A814"/>
    <mergeCell ref="B813:B814"/>
    <mergeCell ref="C813:C814"/>
    <mergeCell ref="D813:D814"/>
    <mergeCell ref="A818:A819"/>
    <mergeCell ref="B818:B819"/>
    <mergeCell ref="C818:C819"/>
    <mergeCell ref="D818:D819"/>
    <mergeCell ref="A809:A810"/>
    <mergeCell ref="B809:B810"/>
    <mergeCell ref="C809:C810"/>
    <mergeCell ref="D809:D810"/>
    <mergeCell ref="A811:A812"/>
    <mergeCell ref="B811:B812"/>
    <mergeCell ref="C811:C812"/>
    <mergeCell ref="D811:D812"/>
    <mergeCell ref="A803:A804"/>
    <mergeCell ref="B803:B804"/>
    <mergeCell ref="C803:C804"/>
    <mergeCell ref="D803:D804"/>
    <mergeCell ref="A806:A807"/>
    <mergeCell ref="B806:B807"/>
    <mergeCell ref="C806:C807"/>
    <mergeCell ref="D806:D807"/>
    <mergeCell ref="A830:A831"/>
    <mergeCell ref="B830:B831"/>
    <mergeCell ref="C830:C831"/>
    <mergeCell ref="D830:D831"/>
    <mergeCell ref="A833:A834"/>
    <mergeCell ref="B833:B834"/>
    <mergeCell ref="C833:C834"/>
    <mergeCell ref="D833:D834"/>
    <mergeCell ref="A826:A827"/>
    <mergeCell ref="B826:B827"/>
    <mergeCell ref="C826:C827"/>
    <mergeCell ref="D826:D827"/>
    <mergeCell ref="A828:A829"/>
    <mergeCell ref="B828:B829"/>
    <mergeCell ref="C828:C829"/>
    <mergeCell ref="D828:D829"/>
    <mergeCell ref="A820:A821"/>
    <mergeCell ref="B820:B821"/>
    <mergeCell ref="C820:C821"/>
    <mergeCell ref="D820:D821"/>
    <mergeCell ref="A823:A824"/>
    <mergeCell ref="B823:B824"/>
    <mergeCell ref="C823:C824"/>
    <mergeCell ref="D823:D824"/>
    <mergeCell ref="A847:A848"/>
    <mergeCell ref="B847:B848"/>
    <mergeCell ref="C847:C848"/>
    <mergeCell ref="D847:D848"/>
    <mergeCell ref="A849:A850"/>
    <mergeCell ref="B849:B850"/>
    <mergeCell ref="C849:C850"/>
    <mergeCell ref="D849:D850"/>
    <mergeCell ref="A841:A842"/>
    <mergeCell ref="B841:B842"/>
    <mergeCell ref="C841:C842"/>
    <mergeCell ref="D841:D842"/>
    <mergeCell ref="A844:A845"/>
    <mergeCell ref="B844:B845"/>
    <mergeCell ref="C844:C845"/>
    <mergeCell ref="D844:D845"/>
    <mergeCell ref="A835:A836"/>
    <mergeCell ref="B835:B836"/>
    <mergeCell ref="C835:C836"/>
    <mergeCell ref="D835:D836"/>
    <mergeCell ref="A839:A840"/>
    <mergeCell ref="B839:B840"/>
    <mergeCell ref="C839:C840"/>
    <mergeCell ref="D839:D840"/>
    <mergeCell ref="A861:A862"/>
    <mergeCell ref="B861:B862"/>
    <mergeCell ref="C861:C862"/>
    <mergeCell ref="D861:D862"/>
    <mergeCell ref="A865:A866"/>
    <mergeCell ref="B865:B866"/>
    <mergeCell ref="C865:C866"/>
    <mergeCell ref="D865:D866"/>
    <mergeCell ref="A856:A857"/>
    <mergeCell ref="B856:B857"/>
    <mergeCell ref="C856:C857"/>
    <mergeCell ref="D856:D857"/>
    <mergeCell ref="A859:A860"/>
    <mergeCell ref="B859:B860"/>
    <mergeCell ref="C859:C860"/>
    <mergeCell ref="D859:D860"/>
    <mergeCell ref="A852:A853"/>
    <mergeCell ref="B852:B853"/>
    <mergeCell ref="C852:C853"/>
    <mergeCell ref="D852:D853"/>
    <mergeCell ref="A854:A855"/>
    <mergeCell ref="B854:B855"/>
    <mergeCell ref="C854:C855"/>
    <mergeCell ref="D854:D855"/>
    <mergeCell ref="A876:A877"/>
    <mergeCell ref="B876:B877"/>
    <mergeCell ref="C876:C877"/>
    <mergeCell ref="D876:D877"/>
    <mergeCell ref="A879:A880"/>
    <mergeCell ref="B879:B880"/>
    <mergeCell ref="C879:C880"/>
    <mergeCell ref="D879:D880"/>
    <mergeCell ref="A872:A873"/>
    <mergeCell ref="B872:B873"/>
    <mergeCell ref="C872:C873"/>
    <mergeCell ref="D872:D873"/>
    <mergeCell ref="A874:A875"/>
    <mergeCell ref="B874:B875"/>
    <mergeCell ref="C874:C875"/>
    <mergeCell ref="D874:D875"/>
    <mergeCell ref="A867:A868"/>
    <mergeCell ref="B867:B868"/>
    <mergeCell ref="C867:C868"/>
    <mergeCell ref="D867:D868"/>
    <mergeCell ref="A869:A870"/>
    <mergeCell ref="B869:B870"/>
    <mergeCell ref="C869:C870"/>
    <mergeCell ref="D869:D870"/>
    <mergeCell ref="A890:A891"/>
    <mergeCell ref="B890:B891"/>
    <mergeCell ref="C890:C891"/>
    <mergeCell ref="D890:D891"/>
    <mergeCell ref="A892:A893"/>
    <mergeCell ref="B892:B893"/>
    <mergeCell ref="C892:C893"/>
    <mergeCell ref="D892:D893"/>
    <mergeCell ref="A886:A887"/>
    <mergeCell ref="B886:B887"/>
    <mergeCell ref="C886:C887"/>
    <mergeCell ref="D886:D887"/>
    <mergeCell ref="A888:A889"/>
    <mergeCell ref="B888:B889"/>
    <mergeCell ref="C888:C889"/>
    <mergeCell ref="D888:D889"/>
    <mergeCell ref="A881:A882"/>
    <mergeCell ref="B881:B882"/>
    <mergeCell ref="C881:C882"/>
    <mergeCell ref="D881:D882"/>
    <mergeCell ref="A883:A884"/>
    <mergeCell ref="B883:B884"/>
    <mergeCell ref="C883:C884"/>
    <mergeCell ref="D883:D884"/>
    <mergeCell ref="A905:A906"/>
    <mergeCell ref="B905:B906"/>
    <mergeCell ref="C905:C906"/>
    <mergeCell ref="D905:D906"/>
    <mergeCell ref="A907:A908"/>
    <mergeCell ref="B907:B908"/>
    <mergeCell ref="C907:C908"/>
    <mergeCell ref="D907:D908"/>
    <mergeCell ref="A901:A902"/>
    <mergeCell ref="B901:B902"/>
    <mergeCell ref="C901:C902"/>
    <mergeCell ref="D901:D902"/>
    <mergeCell ref="A903:A904"/>
    <mergeCell ref="B903:B904"/>
    <mergeCell ref="C903:C904"/>
    <mergeCell ref="D903:D904"/>
    <mergeCell ref="A895:A896"/>
    <mergeCell ref="B895:B896"/>
    <mergeCell ref="C895:C896"/>
    <mergeCell ref="D895:D896"/>
    <mergeCell ref="A897:A898"/>
    <mergeCell ref="B897:B898"/>
    <mergeCell ref="C897:C898"/>
    <mergeCell ref="D897:D898"/>
    <mergeCell ref="A922:A923"/>
    <mergeCell ref="B922:B923"/>
    <mergeCell ref="C922:C923"/>
    <mergeCell ref="D922:D923"/>
    <mergeCell ref="A924:A925"/>
    <mergeCell ref="B924:B925"/>
    <mergeCell ref="C924:C925"/>
    <mergeCell ref="D924:D925"/>
    <mergeCell ref="A918:A919"/>
    <mergeCell ref="B918:B919"/>
    <mergeCell ref="C918:C919"/>
    <mergeCell ref="D918:D919"/>
    <mergeCell ref="A920:A921"/>
    <mergeCell ref="B920:B921"/>
    <mergeCell ref="C920:C921"/>
    <mergeCell ref="D920:D921"/>
    <mergeCell ref="A910:A911"/>
    <mergeCell ref="B910:B911"/>
    <mergeCell ref="C910:C911"/>
    <mergeCell ref="D910:D911"/>
    <mergeCell ref="A913:A914"/>
    <mergeCell ref="B913:B914"/>
    <mergeCell ref="C913:C914"/>
    <mergeCell ref="D913:D914"/>
    <mergeCell ref="A934:A935"/>
    <mergeCell ref="B934:B935"/>
    <mergeCell ref="C934:C935"/>
    <mergeCell ref="D934:D935"/>
    <mergeCell ref="A939:A940"/>
    <mergeCell ref="B939:B940"/>
    <mergeCell ref="C939:C940"/>
    <mergeCell ref="D939:D940"/>
    <mergeCell ref="A930:A931"/>
    <mergeCell ref="B930:B931"/>
    <mergeCell ref="C930:C931"/>
    <mergeCell ref="D930:D931"/>
    <mergeCell ref="A932:A933"/>
    <mergeCell ref="B932:B933"/>
    <mergeCell ref="C932:C933"/>
    <mergeCell ref="D932:D933"/>
    <mergeCell ref="A926:A927"/>
    <mergeCell ref="B926:B927"/>
    <mergeCell ref="C926:C927"/>
    <mergeCell ref="D926:D927"/>
    <mergeCell ref="A928:A929"/>
    <mergeCell ref="B928:B929"/>
    <mergeCell ref="C928:C929"/>
    <mergeCell ref="D928:D929"/>
    <mergeCell ref="A951:A952"/>
    <mergeCell ref="B951:B952"/>
    <mergeCell ref="C951:C952"/>
    <mergeCell ref="D951:D952"/>
    <mergeCell ref="A953:A954"/>
    <mergeCell ref="B953:B954"/>
    <mergeCell ref="C953:C954"/>
    <mergeCell ref="D953:D954"/>
    <mergeCell ref="A946:A947"/>
    <mergeCell ref="B946:B947"/>
    <mergeCell ref="C946:C947"/>
    <mergeCell ref="D946:D947"/>
    <mergeCell ref="A948:A949"/>
    <mergeCell ref="B948:B949"/>
    <mergeCell ref="C948:C949"/>
    <mergeCell ref="D948:D949"/>
    <mergeCell ref="A941:A942"/>
    <mergeCell ref="B941:B942"/>
    <mergeCell ref="C941:C942"/>
    <mergeCell ref="D941:D942"/>
    <mergeCell ref="A943:A944"/>
    <mergeCell ref="B943:B944"/>
    <mergeCell ref="C943:C944"/>
    <mergeCell ref="D943:D944"/>
    <mergeCell ref="A964:A965"/>
    <mergeCell ref="B964:B965"/>
    <mergeCell ref="C964:C965"/>
    <mergeCell ref="D964:D965"/>
    <mergeCell ref="A966:A967"/>
    <mergeCell ref="B966:B967"/>
    <mergeCell ref="C966:C967"/>
    <mergeCell ref="D966:D967"/>
    <mergeCell ref="A959:A960"/>
    <mergeCell ref="B959:B960"/>
    <mergeCell ref="C959:C960"/>
    <mergeCell ref="D959:D960"/>
    <mergeCell ref="A962:A963"/>
    <mergeCell ref="B962:B963"/>
    <mergeCell ref="C962:C963"/>
    <mergeCell ref="D962:D963"/>
    <mergeCell ref="A955:A956"/>
    <mergeCell ref="B955:B956"/>
    <mergeCell ref="C955:C956"/>
    <mergeCell ref="D955:D956"/>
    <mergeCell ref="A957:A958"/>
    <mergeCell ref="B957:B958"/>
    <mergeCell ref="C957:C958"/>
    <mergeCell ref="D957:D958"/>
    <mergeCell ref="A979:A980"/>
    <mergeCell ref="B979:B980"/>
    <mergeCell ref="C979:C980"/>
    <mergeCell ref="D979:D980"/>
    <mergeCell ref="A981:A982"/>
    <mergeCell ref="B981:B982"/>
    <mergeCell ref="C981:C982"/>
    <mergeCell ref="D981:D982"/>
    <mergeCell ref="A975:A976"/>
    <mergeCell ref="B975:B976"/>
    <mergeCell ref="C975:C976"/>
    <mergeCell ref="D975:D976"/>
    <mergeCell ref="A977:A978"/>
    <mergeCell ref="B977:B978"/>
    <mergeCell ref="C977:C978"/>
    <mergeCell ref="D977:D978"/>
    <mergeCell ref="A968:A969"/>
    <mergeCell ref="B968:B969"/>
    <mergeCell ref="C968:C969"/>
    <mergeCell ref="D968:D969"/>
    <mergeCell ref="A970:A971"/>
    <mergeCell ref="B970:B971"/>
    <mergeCell ref="C970:C971"/>
    <mergeCell ref="D970:D971"/>
    <mergeCell ref="A992:A993"/>
    <mergeCell ref="B992:B993"/>
    <mergeCell ref="C992:C993"/>
    <mergeCell ref="D992:D993"/>
    <mergeCell ref="A996:A997"/>
    <mergeCell ref="B996:B997"/>
    <mergeCell ref="C996:C997"/>
    <mergeCell ref="D996:D997"/>
    <mergeCell ref="A988:A989"/>
    <mergeCell ref="B988:B989"/>
    <mergeCell ref="C988:C989"/>
    <mergeCell ref="D988:D989"/>
    <mergeCell ref="A990:A991"/>
    <mergeCell ref="B990:B991"/>
    <mergeCell ref="C990:C991"/>
    <mergeCell ref="D990:D991"/>
    <mergeCell ref="A983:A984"/>
    <mergeCell ref="B983:B984"/>
    <mergeCell ref="C983:C984"/>
    <mergeCell ref="D983:D984"/>
    <mergeCell ref="A985:A986"/>
    <mergeCell ref="B985:B986"/>
    <mergeCell ref="C985:C986"/>
    <mergeCell ref="D985:D986"/>
    <mergeCell ref="A1011:A1012"/>
    <mergeCell ref="B1011:B1012"/>
    <mergeCell ref="C1011:C1012"/>
    <mergeCell ref="D1011:D1012"/>
    <mergeCell ref="A1014:A1015"/>
    <mergeCell ref="B1014:B1015"/>
    <mergeCell ref="C1014:C1015"/>
    <mergeCell ref="D1014:D1015"/>
    <mergeCell ref="A1005:A1006"/>
    <mergeCell ref="B1005:B1006"/>
    <mergeCell ref="C1005:C1006"/>
    <mergeCell ref="D1005:D1006"/>
    <mergeCell ref="A1009:A1010"/>
    <mergeCell ref="B1009:B1010"/>
    <mergeCell ref="C1009:C1010"/>
    <mergeCell ref="D1009:D1010"/>
    <mergeCell ref="A998:A999"/>
    <mergeCell ref="B998:B999"/>
    <mergeCell ref="C998:C999"/>
    <mergeCell ref="D998:D999"/>
    <mergeCell ref="A1000:A1001"/>
    <mergeCell ref="B1000:B1001"/>
    <mergeCell ref="C1000:C1001"/>
    <mergeCell ref="D1000:D1001"/>
    <mergeCell ref="A1030:A1031"/>
    <mergeCell ref="B1030:B1031"/>
    <mergeCell ref="C1030:C1031"/>
    <mergeCell ref="D1030:D1031"/>
    <mergeCell ref="A1033:A1034"/>
    <mergeCell ref="B1033:B1034"/>
    <mergeCell ref="C1033:C1034"/>
    <mergeCell ref="D1033:D1034"/>
    <mergeCell ref="A1023:A1024"/>
    <mergeCell ref="B1023:B1024"/>
    <mergeCell ref="C1023:C1024"/>
    <mergeCell ref="D1023:D1024"/>
    <mergeCell ref="A1027:A1028"/>
    <mergeCell ref="B1027:B1028"/>
    <mergeCell ref="C1027:C1028"/>
    <mergeCell ref="D1027:D1028"/>
    <mergeCell ref="A1016:A1017"/>
    <mergeCell ref="B1016:B1017"/>
    <mergeCell ref="C1016:C1017"/>
    <mergeCell ref="D1016:D1017"/>
    <mergeCell ref="A1018:A1019"/>
    <mergeCell ref="B1018:B1019"/>
    <mergeCell ref="C1018:C1019"/>
    <mergeCell ref="D1018:D1019"/>
    <mergeCell ref="A1045:A1046"/>
    <mergeCell ref="B1045:B1046"/>
    <mergeCell ref="C1045:C1046"/>
    <mergeCell ref="D1045:D1046"/>
    <mergeCell ref="A1047:A1048"/>
    <mergeCell ref="B1047:B1048"/>
    <mergeCell ref="C1047:C1048"/>
    <mergeCell ref="D1047:D1048"/>
    <mergeCell ref="A1040:A1041"/>
    <mergeCell ref="B1040:B1041"/>
    <mergeCell ref="C1040:C1041"/>
    <mergeCell ref="D1040:D1041"/>
    <mergeCell ref="A1042:A1043"/>
    <mergeCell ref="B1042:B1043"/>
    <mergeCell ref="C1042:C1043"/>
    <mergeCell ref="D1042:D1043"/>
    <mergeCell ref="A1035:A1036"/>
    <mergeCell ref="B1035:B1036"/>
    <mergeCell ref="C1035:C1036"/>
    <mergeCell ref="D1035:D1036"/>
    <mergeCell ref="A1037:A1038"/>
    <mergeCell ref="B1037:B1038"/>
    <mergeCell ref="C1037:C1038"/>
    <mergeCell ref="D1037:D1038"/>
    <mergeCell ref="A1067:A1068"/>
    <mergeCell ref="B1067:B1068"/>
    <mergeCell ref="C1067:C1068"/>
    <mergeCell ref="D1067:D1068"/>
    <mergeCell ref="A1071:A1072"/>
    <mergeCell ref="B1071:B1072"/>
    <mergeCell ref="C1071:C1072"/>
    <mergeCell ref="D1071:D1072"/>
    <mergeCell ref="A1058:A1059"/>
    <mergeCell ref="B1058:B1059"/>
    <mergeCell ref="C1058:C1059"/>
    <mergeCell ref="D1058:D1059"/>
    <mergeCell ref="A1060:A1061"/>
    <mergeCell ref="B1060:B1061"/>
    <mergeCell ref="C1060:C1061"/>
    <mergeCell ref="D1060:D1061"/>
    <mergeCell ref="A1051:A1052"/>
    <mergeCell ref="B1051:B1052"/>
    <mergeCell ref="C1051:C1052"/>
    <mergeCell ref="D1051:D1052"/>
    <mergeCell ref="A1053:A1054"/>
    <mergeCell ref="B1053:B1054"/>
    <mergeCell ref="C1053:C1054"/>
    <mergeCell ref="D1053:D1054"/>
    <mergeCell ref="A1082:A1083"/>
    <mergeCell ref="B1082:B1083"/>
    <mergeCell ref="C1082:C1083"/>
    <mergeCell ref="D1082:D1083"/>
    <mergeCell ref="A1084:A1085"/>
    <mergeCell ref="B1084:B1085"/>
    <mergeCell ref="C1084:C1085"/>
    <mergeCell ref="D1084:D1085"/>
    <mergeCell ref="A1078:A1079"/>
    <mergeCell ref="B1078:B1079"/>
    <mergeCell ref="C1078:C1079"/>
    <mergeCell ref="D1078:D1079"/>
    <mergeCell ref="A1080:A1081"/>
    <mergeCell ref="B1080:B1081"/>
    <mergeCell ref="C1080:C1081"/>
    <mergeCell ref="D1080:D1081"/>
    <mergeCell ref="A1074:A1075"/>
    <mergeCell ref="B1074:B1075"/>
    <mergeCell ref="C1074:C1075"/>
    <mergeCell ref="D1074:D1075"/>
    <mergeCell ref="A1076:A1077"/>
    <mergeCell ref="B1076:B1077"/>
    <mergeCell ref="C1076:C1077"/>
    <mergeCell ref="D1076:D1077"/>
    <mergeCell ref="A1095:A1096"/>
    <mergeCell ref="B1095:B1096"/>
    <mergeCell ref="C1095:C1096"/>
    <mergeCell ref="D1095:D1096"/>
    <mergeCell ref="A1097:A1098"/>
    <mergeCell ref="B1097:B1098"/>
    <mergeCell ref="C1097:C1098"/>
    <mergeCell ref="D1097:D1098"/>
    <mergeCell ref="A1091:A1092"/>
    <mergeCell ref="B1091:B1092"/>
    <mergeCell ref="C1091:C1092"/>
    <mergeCell ref="D1091:D1092"/>
    <mergeCell ref="A1093:A1094"/>
    <mergeCell ref="B1093:B1094"/>
    <mergeCell ref="C1093:C1094"/>
    <mergeCell ref="D1093:D1094"/>
    <mergeCell ref="A1086:A1087"/>
    <mergeCell ref="B1086:B1087"/>
    <mergeCell ref="C1086:C1087"/>
    <mergeCell ref="D1086:D1087"/>
    <mergeCell ref="A1088:A1089"/>
    <mergeCell ref="B1088:B1089"/>
    <mergeCell ref="C1088:C1089"/>
    <mergeCell ref="D1088:D1089"/>
    <mergeCell ref="A1109:A1110"/>
    <mergeCell ref="B1109:B1110"/>
    <mergeCell ref="C1109:C1110"/>
    <mergeCell ref="D1109:D1110"/>
    <mergeCell ref="A1112:A1113"/>
    <mergeCell ref="B1112:B1113"/>
    <mergeCell ref="C1112:C1113"/>
    <mergeCell ref="D1112:D1113"/>
    <mergeCell ref="A1105:A1106"/>
    <mergeCell ref="B1105:B1106"/>
    <mergeCell ref="C1105:C1106"/>
    <mergeCell ref="D1105:D1106"/>
    <mergeCell ref="A1107:A1108"/>
    <mergeCell ref="B1107:B1108"/>
    <mergeCell ref="C1107:C1108"/>
    <mergeCell ref="D1107:D1108"/>
    <mergeCell ref="A1099:A1100"/>
    <mergeCell ref="B1099:B1100"/>
    <mergeCell ref="C1099:C1100"/>
    <mergeCell ref="D1099:D1100"/>
    <mergeCell ref="A1102:A1103"/>
    <mergeCell ref="B1102:B1103"/>
    <mergeCell ref="C1102:C1103"/>
    <mergeCell ref="D1102:D1103"/>
    <mergeCell ref="A1125:A1126"/>
    <mergeCell ref="B1125:B1126"/>
    <mergeCell ref="C1125:C1126"/>
    <mergeCell ref="D1125:D1126"/>
    <mergeCell ref="A1127:A1128"/>
    <mergeCell ref="B1127:B1128"/>
    <mergeCell ref="C1127:C1128"/>
    <mergeCell ref="D1127:D1128"/>
    <mergeCell ref="A1120:A1121"/>
    <mergeCell ref="B1120:B1121"/>
    <mergeCell ref="C1120:C1121"/>
    <mergeCell ref="D1120:D1121"/>
    <mergeCell ref="A1122:A1123"/>
    <mergeCell ref="B1122:B1123"/>
    <mergeCell ref="C1122:C1123"/>
    <mergeCell ref="D1122:D1123"/>
    <mergeCell ref="A1114:A1115"/>
    <mergeCell ref="B1114:B1115"/>
    <mergeCell ref="C1114:C1115"/>
    <mergeCell ref="D1114:D1115"/>
    <mergeCell ref="A1116:A1117"/>
    <mergeCell ref="B1116:B1117"/>
    <mergeCell ref="C1116:C1117"/>
    <mergeCell ref="D1116:D1117"/>
    <mergeCell ref="A1138:A1139"/>
    <mergeCell ref="B1138:B1139"/>
    <mergeCell ref="C1138:C1139"/>
    <mergeCell ref="D1138:D1139"/>
    <mergeCell ref="A1140:A1141"/>
    <mergeCell ref="B1140:B1141"/>
    <mergeCell ref="C1140:C1141"/>
    <mergeCell ref="D1140:D1141"/>
    <mergeCell ref="A1134:A1135"/>
    <mergeCell ref="B1134:B1135"/>
    <mergeCell ref="C1134:C1135"/>
    <mergeCell ref="D1134:D1135"/>
    <mergeCell ref="A1136:A1137"/>
    <mergeCell ref="B1136:B1137"/>
    <mergeCell ref="C1136:C1137"/>
    <mergeCell ref="D1136:D1137"/>
    <mergeCell ref="A1129:A1130"/>
    <mergeCell ref="B1129:B1130"/>
    <mergeCell ref="C1129:C1130"/>
    <mergeCell ref="D1129:D1130"/>
    <mergeCell ref="A1132:A1133"/>
    <mergeCell ref="B1132:B1133"/>
    <mergeCell ref="C1132:C1133"/>
    <mergeCell ref="D1132:D1133"/>
    <mergeCell ref="A1151:A1152"/>
    <mergeCell ref="B1151:B1152"/>
    <mergeCell ref="C1151:C1152"/>
    <mergeCell ref="D1151:D1152"/>
    <mergeCell ref="A1153:A1154"/>
    <mergeCell ref="B1153:B1154"/>
    <mergeCell ref="C1153:C1154"/>
    <mergeCell ref="D1153:D1154"/>
    <mergeCell ref="A1146:A1147"/>
    <mergeCell ref="B1146:B1147"/>
    <mergeCell ref="C1146:C1147"/>
    <mergeCell ref="D1146:D1147"/>
    <mergeCell ref="A1149:A1150"/>
    <mergeCell ref="B1149:B1150"/>
    <mergeCell ref="C1149:C1150"/>
    <mergeCell ref="D1149:D1150"/>
    <mergeCell ref="A1142:A1143"/>
    <mergeCell ref="B1142:B1143"/>
    <mergeCell ref="C1142:C1143"/>
    <mergeCell ref="D1142:D1143"/>
    <mergeCell ref="A1144:A1145"/>
    <mergeCell ref="B1144:B1145"/>
    <mergeCell ref="C1144:C1145"/>
    <mergeCell ref="D1144:D1145"/>
    <mergeCell ref="A1164:A1165"/>
    <mergeCell ref="B1164:B1165"/>
    <mergeCell ref="C1164:C1165"/>
    <mergeCell ref="D1164:D1165"/>
    <mergeCell ref="A1166:A1167"/>
    <mergeCell ref="B1166:B1167"/>
    <mergeCell ref="C1166:C1167"/>
    <mergeCell ref="D1166:D1167"/>
    <mergeCell ref="A1159:A1160"/>
    <mergeCell ref="B1159:B1160"/>
    <mergeCell ref="C1159:C1160"/>
    <mergeCell ref="D1159:D1160"/>
    <mergeCell ref="A1161:A1162"/>
    <mergeCell ref="B1161:B1162"/>
    <mergeCell ref="C1161:C1162"/>
    <mergeCell ref="D1161:D1162"/>
    <mergeCell ref="A1155:A1156"/>
    <mergeCell ref="B1155:B1156"/>
    <mergeCell ref="C1155:C1156"/>
    <mergeCell ref="D1155:D1156"/>
    <mergeCell ref="A1157:A1158"/>
    <mergeCell ref="B1157:B1158"/>
    <mergeCell ref="C1157:C1158"/>
    <mergeCell ref="D1157:D1158"/>
    <mergeCell ref="A1178:A1179"/>
    <mergeCell ref="B1178:B1179"/>
    <mergeCell ref="C1178:C1179"/>
    <mergeCell ref="D1178:D1179"/>
    <mergeCell ref="A1182:A1183"/>
    <mergeCell ref="B1182:B1183"/>
    <mergeCell ref="C1182:C1183"/>
    <mergeCell ref="D1182:D1183"/>
    <mergeCell ref="A1174:A1175"/>
    <mergeCell ref="B1174:B1175"/>
    <mergeCell ref="C1174:C1175"/>
    <mergeCell ref="D1174:D1175"/>
    <mergeCell ref="A1176:A1177"/>
    <mergeCell ref="B1176:B1177"/>
    <mergeCell ref="C1176:C1177"/>
    <mergeCell ref="D1176:D1177"/>
    <mergeCell ref="A1169:A1170"/>
    <mergeCell ref="B1169:B1170"/>
    <mergeCell ref="C1169:C1170"/>
    <mergeCell ref="D1169:D1170"/>
    <mergeCell ref="A1171:A1172"/>
    <mergeCell ref="B1171:B1172"/>
    <mergeCell ref="C1171:C1172"/>
    <mergeCell ref="D1171:D1172"/>
    <mergeCell ref="A1193:A1194"/>
    <mergeCell ref="B1193:B1194"/>
    <mergeCell ref="C1193:C1194"/>
    <mergeCell ref="D1193:D1194"/>
    <mergeCell ref="A1195:A1196"/>
    <mergeCell ref="B1195:B1196"/>
    <mergeCell ref="C1195:C1196"/>
    <mergeCell ref="D1195:D1196"/>
    <mergeCell ref="A1189:A1190"/>
    <mergeCell ref="B1189:B1190"/>
    <mergeCell ref="C1189:C1190"/>
    <mergeCell ref="D1189:D1190"/>
    <mergeCell ref="A1191:A1192"/>
    <mergeCell ref="B1191:B1192"/>
    <mergeCell ref="C1191:C1192"/>
    <mergeCell ref="D1191:D1192"/>
    <mergeCell ref="A1184:A1185"/>
    <mergeCell ref="B1184:B1185"/>
    <mergeCell ref="C1184:C1185"/>
    <mergeCell ref="D1184:D1185"/>
    <mergeCell ref="A1186:A1187"/>
    <mergeCell ref="B1186:B1187"/>
    <mergeCell ref="C1186:C1187"/>
    <mergeCell ref="D1186:D1187"/>
    <mergeCell ref="A1207:A1208"/>
    <mergeCell ref="B1207:B1208"/>
    <mergeCell ref="C1207:C1208"/>
    <mergeCell ref="D1207:D1208"/>
    <mergeCell ref="A1209:A1210"/>
    <mergeCell ref="B1209:B1210"/>
    <mergeCell ref="C1209:C1210"/>
    <mergeCell ref="D1209:D1210"/>
    <mergeCell ref="A1203:A1204"/>
    <mergeCell ref="B1203:B1204"/>
    <mergeCell ref="C1203:C1204"/>
    <mergeCell ref="D1203:D1204"/>
    <mergeCell ref="A1205:A1206"/>
    <mergeCell ref="B1205:B1206"/>
    <mergeCell ref="C1205:C1206"/>
    <mergeCell ref="D1205:D1206"/>
    <mergeCell ref="A1197:A1198"/>
    <mergeCell ref="B1197:B1198"/>
    <mergeCell ref="C1197:C1198"/>
    <mergeCell ref="D1197:D1198"/>
    <mergeCell ref="A1201:A1202"/>
    <mergeCell ref="B1201:B1202"/>
    <mergeCell ref="C1201:C1202"/>
    <mergeCell ref="D1201:D1202"/>
    <mergeCell ref="A1220:A1221"/>
    <mergeCell ref="B1220:B1221"/>
    <mergeCell ref="C1220:C1221"/>
    <mergeCell ref="D1220:D1221"/>
    <mergeCell ref="A1222:A1223"/>
    <mergeCell ref="B1222:B1223"/>
    <mergeCell ref="C1222:C1223"/>
    <mergeCell ref="D1222:D1223"/>
    <mergeCell ref="A1216:A1217"/>
    <mergeCell ref="B1216:B1217"/>
    <mergeCell ref="C1216:C1217"/>
    <mergeCell ref="D1216:D1217"/>
    <mergeCell ref="A1218:A1219"/>
    <mergeCell ref="B1218:B1219"/>
    <mergeCell ref="C1218:C1219"/>
    <mergeCell ref="D1218:D1219"/>
    <mergeCell ref="A1211:A1212"/>
    <mergeCell ref="B1211:B1212"/>
    <mergeCell ref="C1211:C1212"/>
    <mergeCell ref="D1211:D1212"/>
    <mergeCell ref="A1214:A1215"/>
    <mergeCell ref="B1214:B1215"/>
    <mergeCell ref="C1214:C1215"/>
    <mergeCell ref="D1214:D1215"/>
    <mergeCell ref="A1232:A1233"/>
    <mergeCell ref="B1232:B1233"/>
    <mergeCell ref="C1232:C1233"/>
    <mergeCell ref="D1232:D1233"/>
    <mergeCell ref="A1234:A1235"/>
    <mergeCell ref="B1234:B1235"/>
    <mergeCell ref="C1234:C1235"/>
    <mergeCell ref="D1234:D1235"/>
    <mergeCell ref="A1228:A1229"/>
    <mergeCell ref="B1228:B1229"/>
    <mergeCell ref="C1228:C1229"/>
    <mergeCell ref="D1228:D1229"/>
    <mergeCell ref="A1230:A1231"/>
    <mergeCell ref="B1230:B1231"/>
    <mergeCell ref="C1230:C1231"/>
    <mergeCell ref="D1230:D1231"/>
    <mergeCell ref="A1224:A1225"/>
    <mergeCell ref="B1224:B1225"/>
    <mergeCell ref="C1224:C1225"/>
    <mergeCell ref="D1224:D1225"/>
    <mergeCell ref="A1226:A1227"/>
    <mergeCell ref="B1226:B1227"/>
    <mergeCell ref="C1226:C1227"/>
    <mergeCell ref="D1226:D1227"/>
    <mergeCell ref="A1249:A1250"/>
    <mergeCell ref="B1249:B1250"/>
    <mergeCell ref="C1249:C1250"/>
    <mergeCell ref="D1249:D1250"/>
    <mergeCell ref="A1254:A1255"/>
    <mergeCell ref="B1254:B1255"/>
    <mergeCell ref="C1254:C1255"/>
    <mergeCell ref="D1254:D1255"/>
    <mergeCell ref="A1245:A1246"/>
    <mergeCell ref="B1245:B1246"/>
    <mergeCell ref="C1245:C1246"/>
    <mergeCell ref="D1245:D1246"/>
    <mergeCell ref="A1247:A1248"/>
    <mergeCell ref="B1247:B1248"/>
    <mergeCell ref="C1247:C1248"/>
    <mergeCell ref="D1247:D1248"/>
    <mergeCell ref="A1236:A1237"/>
    <mergeCell ref="B1236:B1237"/>
    <mergeCell ref="C1236:C1237"/>
    <mergeCell ref="D1236:D1237"/>
    <mergeCell ref="A1242:A1243"/>
    <mergeCell ref="B1242:B1243"/>
    <mergeCell ref="C1242:C1243"/>
    <mergeCell ref="D1242:D1243"/>
    <mergeCell ref="A1267:A1268"/>
    <mergeCell ref="B1267:B1268"/>
    <mergeCell ref="C1267:C1268"/>
    <mergeCell ref="D1267:D1268"/>
    <mergeCell ref="A1269:A1270"/>
    <mergeCell ref="B1269:B1270"/>
    <mergeCell ref="C1269:C1270"/>
    <mergeCell ref="D1269:D1270"/>
    <mergeCell ref="A1263:A1264"/>
    <mergeCell ref="B1263:B1264"/>
    <mergeCell ref="C1263:C1264"/>
    <mergeCell ref="D1263:D1264"/>
    <mergeCell ref="A1265:A1266"/>
    <mergeCell ref="B1265:B1266"/>
    <mergeCell ref="C1265:C1266"/>
    <mergeCell ref="D1265:D1266"/>
    <mergeCell ref="A1257:A1258"/>
    <mergeCell ref="B1257:B1258"/>
    <mergeCell ref="C1257:C1258"/>
    <mergeCell ref="D1257:D1258"/>
    <mergeCell ref="A1261:A1262"/>
    <mergeCell ref="B1261:B1262"/>
    <mergeCell ref="C1261:C1262"/>
    <mergeCell ref="D1261:D1262"/>
    <mergeCell ref="A1286:A1287"/>
    <mergeCell ref="B1286:B1287"/>
    <mergeCell ref="C1286:C1287"/>
    <mergeCell ref="D1286:D1287"/>
    <mergeCell ref="A1290:A1291"/>
    <mergeCell ref="B1290:B1291"/>
    <mergeCell ref="C1290:C1291"/>
    <mergeCell ref="D1290:D1291"/>
    <mergeCell ref="A1282:A1283"/>
    <mergeCell ref="B1282:B1283"/>
    <mergeCell ref="C1282:C1283"/>
    <mergeCell ref="D1282:D1283"/>
    <mergeCell ref="A1284:A1285"/>
    <mergeCell ref="B1284:B1285"/>
    <mergeCell ref="C1284:C1285"/>
    <mergeCell ref="D1284:D1285"/>
    <mergeCell ref="A1271:A1272"/>
    <mergeCell ref="B1271:B1272"/>
    <mergeCell ref="C1271:C1272"/>
    <mergeCell ref="D1271:D1272"/>
    <mergeCell ref="A1278:A1279"/>
    <mergeCell ref="B1278:B1279"/>
    <mergeCell ref="C1278:C1279"/>
    <mergeCell ref="D1278:D1279"/>
    <mergeCell ref="A1301:A1302"/>
    <mergeCell ref="B1301:B1302"/>
    <mergeCell ref="C1301:C1302"/>
    <mergeCell ref="D1301:D1302"/>
    <mergeCell ref="A1305:A1306"/>
    <mergeCell ref="B1305:B1306"/>
    <mergeCell ref="C1305:C1306"/>
    <mergeCell ref="D1305:D1306"/>
    <mergeCell ref="A1297:A1298"/>
    <mergeCell ref="B1297:B1298"/>
    <mergeCell ref="C1297:C1298"/>
    <mergeCell ref="D1297:D1298"/>
    <mergeCell ref="A1299:A1300"/>
    <mergeCell ref="B1299:B1300"/>
    <mergeCell ref="C1299:C1300"/>
    <mergeCell ref="D1299:D1300"/>
    <mergeCell ref="A1292:A1293"/>
    <mergeCell ref="B1292:B1293"/>
    <mergeCell ref="C1292:C1293"/>
    <mergeCell ref="D1292:D1293"/>
    <mergeCell ref="A1294:A1295"/>
    <mergeCell ref="B1294:B1295"/>
    <mergeCell ref="C1294:C1295"/>
    <mergeCell ref="D1294:D1295"/>
    <mergeCell ref="A1316:A1317"/>
    <mergeCell ref="B1316:B1317"/>
    <mergeCell ref="C1316:C1317"/>
    <mergeCell ref="D1316:D1317"/>
    <mergeCell ref="A1318:A1319"/>
    <mergeCell ref="B1318:B1319"/>
    <mergeCell ref="C1318:C1319"/>
    <mergeCell ref="D1318:D1319"/>
    <mergeCell ref="A1312:A1313"/>
    <mergeCell ref="B1312:B1313"/>
    <mergeCell ref="C1312:C1313"/>
    <mergeCell ref="D1312:D1313"/>
    <mergeCell ref="A1314:A1315"/>
    <mergeCell ref="B1314:B1315"/>
    <mergeCell ref="C1314:C1315"/>
    <mergeCell ref="D1314:D1315"/>
    <mergeCell ref="A1308:A1309"/>
    <mergeCell ref="B1308:B1309"/>
    <mergeCell ref="C1308:C1309"/>
    <mergeCell ref="D1308:D1309"/>
    <mergeCell ref="A1310:A1311"/>
    <mergeCell ref="B1310:B1311"/>
    <mergeCell ref="C1310:C1311"/>
    <mergeCell ref="D1310:D1311"/>
    <mergeCell ref="A1332:A1333"/>
    <mergeCell ref="B1332:B1333"/>
    <mergeCell ref="C1332:C1333"/>
    <mergeCell ref="D1332:D1333"/>
    <mergeCell ref="A1334:A1335"/>
    <mergeCell ref="B1334:B1335"/>
    <mergeCell ref="C1334:C1335"/>
    <mergeCell ref="D1334:D1335"/>
    <mergeCell ref="A1326:A1327"/>
    <mergeCell ref="B1326:B1327"/>
    <mergeCell ref="C1326:C1327"/>
    <mergeCell ref="D1326:D1327"/>
    <mergeCell ref="A1330:A1331"/>
    <mergeCell ref="B1330:B1331"/>
    <mergeCell ref="C1330:C1331"/>
    <mergeCell ref="D1330:D1331"/>
    <mergeCell ref="A1321:A1322"/>
    <mergeCell ref="B1321:B1322"/>
    <mergeCell ref="C1321:C1322"/>
    <mergeCell ref="D1321:D1322"/>
    <mergeCell ref="A1323:A1324"/>
    <mergeCell ref="B1323:B1324"/>
    <mergeCell ref="C1323:C1324"/>
    <mergeCell ref="D1323:D1324"/>
    <mergeCell ref="A1345:A1346"/>
    <mergeCell ref="B1345:B1346"/>
    <mergeCell ref="C1345:C1346"/>
    <mergeCell ref="D1345:D1346"/>
    <mergeCell ref="A1347:A1348"/>
    <mergeCell ref="B1347:B1348"/>
    <mergeCell ref="C1347:C1348"/>
    <mergeCell ref="D1347:D1348"/>
    <mergeCell ref="A1341:A1342"/>
    <mergeCell ref="B1341:B1342"/>
    <mergeCell ref="C1341:C1342"/>
    <mergeCell ref="D1341:D1342"/>
    <mergeCell ref="A1343:A1344"/>
    <mergeCell ref="B1343:B1344"/>
    <mergeCell ref="C1343:C1344"/>
    <mergeCell ref="D1343:D1344"/>
    <mergeCell ref="A1336:A1337"/>
    <mergeCell ref="B1336:B1337"/>
    <mergeCell ref="C1336:C1337"/>
    <mergeCell ref="D1336:D1337"/>
    <mergeCell ref="A1338:A1339"/>
    <mergeCell ref="B1338:B1339"/>
    <mergeCell ref="C1338:C1339"/>
    <mergeCell ref="D1338:D1339"/>
    <mergeCell ref="A1360:A1361"/>
    <mergeCell ref="B1360:B1361"/>
    <mergeCell ref="C1360:C1361"/>
    <mergeCell ref="D1360:D1361"/>
    <mergeCell ref="A1362:A1363"/>
    <mergeCell ref="B1362:B1363"/>
    <mergeCell ref="C1362:C1363"/>
    <mergeCell ref="D1362:D1363"/>
    <mergeCell ref="A1355:A1356"/>
    <mergeCell ref="B1355:B1356"/>
    <mergeCell ref="C1355:C1356"/>
    <mergeCell ref="D1355:D1356"/>
    <mergeCell ref="A1357:A1358"/>
    <mergeCell ref="B1357:B1358"/>
    <mergeCell ref="C1357:C1358"/>
    <mergeCell ref="D1357:D1358"/>
    <mergeCell ref="A1349:A1350"/>
    <mergeCell ref="B1349:B1350"/>
    <mergeCell ref="C1349:C1350"/>
    <mergeCell ref="D1349:D1350"/>
    <mergeCell ref="A1353:A1354"/>
    <mergeCell ref="B1353:B1354"/>
    <mergeCell ref="C1353:C1354"/>
    <mergeCell ref="D1353:D1354"/>
    <mergeCell ref="A1374:A1375"/>
    <mergeCell ref="B1374:B1375"/>
    <mergeCell ref="C1374:C1375"/>
    <mergeCell ref="D1374:D1375"/>
    <mergeCell ref="A1376:A1377"/>
    <mergeCell ref="B1376:B1377"/>
    <mergeCell ref="C1376:C1377"/>
    <mergeCell ref="D1376:D1377"/>
    <mergeCell ref="A1369:A1370"/>
    <mergeCell ref="B1369:B1370"/>
    <mergeCell ref="C1369:C1370"/>
    <mergeCell ref="D1369:D1370"/>
    <mergeCell ref="A1371:A1372"/>
    <mergeCell ref="B1371:B1372"/>
    <mergeCell ref="C1371:C1372"/>
    <mergeCell ref="D1371:D1372"/>
    <mergeCell ref="A1364:A1365"/>
    <mergeCell ref="B1364:B1365"/>
    <mergeCell ref="C1364:C1365"/>
    <mergeCell ref="D1364:D1365"/>
    <mergeCell ref="A1367:A1368"/>
    <mergeCell ref="B1367:B1368"/>
    <mergeCell ref="C1367:C1368"/>
    <mergeCell ref="D1367:D1368"/>
    <mergeCell ref="A1389:A1390"/>
    <mergeCell ref="B1389:B1390"/>
    <mergeCell ref="C1389:C1390"/>
    <mergeCell ref="D1389:D1390"/>
    <mergeCell ref="A1391:A1392"/>
    <mergeCell ref="B1391:B1392"/>
    <mergeCell ref="C1391:C1392"/>
    <mergeCell ref="D1391:D1392"/>
    <mergeCell ref="A1384:A1385"/>
    <mergeCell ref="B1384:B1385"/>
    <mergeCell ref="C1384:C1385"/>
    <mergeCell ref="D1384:D1385"/>
    <mergeCell ref="A1386:A1387"/>
    <mergeCell ref="B1386:B1387"/>
    <mergeCell ref="C1386:C1387"/>
    <mergeCell ref="D1386:D1387"/>
    <mergeCell ref="A1378:A1379"/>
    <mergeCell ref="B1378:B1379"/>
    <mergeCell ref="C1378:C1379"/>
    <mergeCell ref="D1378:D1379"/>
    <mergeCell ref="A1382:A1383"/>
    <mergeCell ref="B1382:B1383"/>
    <mergeCell ref="C1382:C1383"/>
    <mergeCell ref="D1382:D1383"/>
    <mergeCell ref="A1403:A1404"/>
    <mergeCell ref="B1403:B1404"/>
    <mergeCell ref="C1403:C1404"/>
    <mergeCell ref="D1403:D1404"/>
    <mergeCell ref="A1406:A1407"/>
    <mergeCell ref="B1406:B1407"/>
    <mergeCell ref="C1406:C1407"/>
    <mergeCell ref="D1406:D1407"/>
    <mergeCell ref="A1398:A1399"/>
    <mergeCell ref="B1398:B1399"/>
    <mergeCell ref="C1398:C1399"/>
    <mergeCell ref="D1398:D1399"/>
    <mergeCell ref="A1400:A1401"/>
    <mergeCell ref="B1400:B1401"/>
    <mergeCell ref="C1400:C1401"/>
    <mergeCell ref="D1400:D1401"/>
    <mergeCell ref="A1393:A1394"/>
    <mergeCell ref="B1393:B1394"/>
    <mergeCell ref="C1393:C1394"/>
    <mergeCell ref="D1393:D1394"/>
    <mergeCell ref="A1396:A1397"/>
    <mergeCell ref="B1396:B1397"/>
    <mergeCell ref="C1396:C1397"/>
    <mergeCell ref="D1396:D1397"/>
    <mergeCell ref="A1419:A1420"/>
    <mergeCell ref="B1419:B1420"/>
    <mergeCell ref="C1419:C1420"/>
    <mergeCell ref="D1419:D1420"/>
    <mergeCell ref="A1421:A1422"/>
    <mergeCell ref="B1421:B1422"/>
    <mergeCell ref="C1421:C1422"/>
    <mergeCell ref="D1421:D1422"/>
    <mergeCell ref="A1415:A1416"/>
    <mergeCell ref="B1415:B1416"/>
    <mergeCell ref="C1415:C1416"/>
    <mergeCell ref="D1415:D1416"/>
    <mergeCell ref="A1417:A1418"/>
    <mergeCell ref="B1417:B1418"/>
    <mergeCell ref="C1417:C1418"/>
    <mergeCell ref="D1417:D1418"/>
    <mergeCell ref="A1409:A1410"/>
    <mergeCell ref="B1409:B1410"/>
    <mergeCell ref="C1409:C1410"/>
    <mergeCell ref="D1409:D1410"/>
    <mergeCell ref="A1411:A1412"/>
    <mergeCell ref="B1411:B1412"/>
    <mergeCell ref="C1411:C1412"/>
    <mergeCell ref="D1411:D1412"/>
    <mergeCell ref="A1427:A1428"/>
    <mergeCell ref="B1427:B1428"/>
    <mergeCell ref="C1427:C1428"/>
    <mergeCell ref="D1427:D1428"/>
    <mergeCell ref="A1429:A1430"/>
    <mergeCell ref="B1429:B1430"/>
    <mergeCell ref="C1429:C1430"/>
    <mergeCell ref="D1429:D1430"/>
    <mergeCell ref="A1423:A1424"/>
    <mergeCell ref="B1423:B1424"/>
    <mergeCell ref="C1423:C1424"/>
    <mergeCell ref="D1423:D1424"/>
    <mergeCell ref="E1423:E1424"/>
    <mergeCell ref="A1425:A1426"/>
    <mergeCell ref="B1425:B1426"/>
    <mergeCell ref="C1425:C1426"/>
    <mergeCell ref="D1425:D1426"/>
    <mergeCell ref="A1435:A1436"/>
    <mergeCell ref="B1435:B1436"/>
    <mergeCell ref="C1435:C1436"/>
    <mergeCell ref="D1435:D1436"/>
    <mergeCell ref="E1435:E1436"/>
    <mergeCell ref="A1437:A1438"/>
    <mergeCell ref="B1437:B1438"/>
    <mergeCell ref="C1437:C1438"/>
    <mergeCell ref="D1437:D1438"/>
    <mergeCell ref="A1431:A1432"/>
    <mergeCell ref="B1431:B1432"/>
    <mergeCell ref="C1431:C1432"/>
    <mergeCell ref="D1431:D1432"/>
    <mergeCell ref="A1433:A1434"/>
    <mergeCell ref="B1433:B1434"/>
    <mergeCell ref="C1433:C1434"/>
    <mergeCell ref="D1433:D1434"/>
    <mergeCell ref="A1443:A1444"/>
    <mergeCell ref="B1443:B1444"/>
    <mergeCell ref="C1443:C1444"/>
    <mergeCell ref="D1443:D1444"/>
    <mergeCell ref="A1446:A1447"/>
    <mergeCell ref="B1446:B1447"/>
    <mergeCell ref="C1446:C1447"/>
    <mergeCell ref="D1446:D1447"/>
    <mergeCell ref="A1439:A1440"/>
    <mergeCell ref="B1439:B1440"/>
    <mergeCell ref="C1439:C1440"/>
    <mergeCell ref="D1439:D1440"/>
    <mergeCell ref="E1439:E1440"/>
    <mergeCell ref="A1441:A1442"/>
    <mergeCell ref="B1441:B1442"/>
    <mergeCell ref="C1441:C1442"/>
    <mergeCell ref="D1441:D1442"/>
    <mergeCell ref="A1458:A1459"/>
    <mergeCell ref="B1458:B1459"/>
    <mergeCell ref="C1458:C1459"/>
    <mergeCell ref="D1458:D1459"/>
    <mergeCell ref="A1460:A1461"/>
    <mergeCell ref="B1460:B1461"/>
    <mergeCell ref="C1460:C1461"/>
    <mergeCell ref="D1460:D1461"/>
    <mergeCell ref="A1454:A1455"/>
    <mergeCell ref="B1454:B1455"/>
    <mergeCell ref="C1454:C1455"/>
    <mergeCell ref="D1454:D1455"/>
    <mergeCell ref="A1456:A1457"/>
    <mergeCell ref="B1456:B1457"/>
    <mergeCell ref="C1456:C1457"/>
    <mergeCell ref="D1456:D1457"/>
    <mergeCell ref="A1448:A1449"/>
    <mergeCell ref="B1448:B1449"/>
    <mergeCell ref="C1448:C1449"/>
    <mergeCell ref="D1448:D1449"/>
    <mergeCell ref="A1451:A1452"/>
    <mergeCell ref="B1451:B1452"/>
    <mergeCell ref="C1451:C1452"/>
    <mergeCell ref="D1451:D1452"/>
    <mergeCell ref="A1473:A1474"/>
    <mergeCell ref="B1473:B1474"/>
    <mergeCell ref="C1473:C1474"/>
    <mergeCell ref="D1473:D1474"/>
    <mergeCell ref="A1475:A1476"/>
    <mergeCell ref="B1475:B1476"/>
    <mergeCell ref="C1475:C1476"/>
    <mergeCell ref="D1475:D1476"/>
    <mergeCell ref="A1468:A1469"/>
    <mergeCell ref="B1468:B1469"/>
    <mergeCell ref="C1468:C1469"/>
    <mergeCell ref="D1468:D1469"/>
    <mergeCell ref="A1471:A1472"/>
    <mergeCell ref="B1471:B1472"/>
    <mergeCell ref="C1471:C1472"/>
    <mergeCell ref="D1471:D1472"/>
    <mergeCell ref="A1464:A1465"/>
    <mergeCell ref="B1464:B1465"/>
    <mergeCell ref="C1464:C1465"/>
    <mergeCell ref="D1464:D1465"/>
    <mergeCell ref="A1466:A1467"/>
    <mergeCell ref="B1466:B1467"/>
    <mergeCell ref="C1466:C1467"/>
    <mergeCell ref="D1466:D1467"/>
    <mergeCell ref="A1487:A1488"/>
    <mergeCell ref="B1487:B1488"/>
    <mergeCell ref="C1487:C1488"/>
    <mergeCell ref="D1487:D1488"/>
    <mergeCell ref="A1489:A1490"/>
    <mergeCell ref="B1489:B1490"/>
    <mergeCell ref="C1489:C1490"/>
    <mergeCell ref="D1489:D1490"/>
    <mergeCell ref="A1483:A1484"/>
    <mergeCell ref="B1483:B1484"/>
    <mergeCell ref="C1483:C1484"/>
    <mergeCell ref="D1483:D1484"/>
    <mergeCell ref="A1485:A1486"/>
    <mergeCell ref="B1485:B1486"/>
    <mergeCell ref="C1485:C1486"/>
    <mergeCell ref="D1485:D1486"/>
    <mergeCell ref="A1477:A1478"/>
    <mergeCell ref="B1477:B1478"/>
    <mergeCell ref="C1477:C1478"/>
    <mergeCell ref="D1477:D1478"/>
    <mergeCell ref="A1479:A1480"/>
    <mergeCell ref="B1479:B1480"/>
    <mergeCell ref="C1479:C1480"/>
    <mergeCell ref="D1479:D1480"/>
    <mergeCell ref="A1499:A1500"/>
    <mergeCell ref="B1499:B1500"/>
    <mergeCell ref="C1499:C1500"/>
    <mergeCell ref="D1499:D1500"/>
    <mergeCell ref="A1501:A1502"/>
    <mergeCell ref="B1501:B1502"/>
    <mergeCell ref="C1501:C1502"/>
    <mergeCell ref="D1501:D1502"/>
    <mergeCell ref="A1495:A1496"/>
    <mergeCell ref="B1495:B1496"/>
    <mergeCell ref="C1495:C1496"/>
    <mergeCell ref="D1495:D1496"/>
    <mergeCell ref="A1497:A1498"/>
    <mergeCell ref="B1497:B1498"/>
    <mergeCell ref="C1497:C1498"/>
    <mergeCell ref="D1497:D1498"/>
    <mergeCell ref="A1491:A1492"/>
    <mergeCell ref="B1491:B1492"/>
    <mergeCell ref="C1491:C1492"/>
    <mergeCell ref="D1491:D1492"/>
    <mergeCell ref="A1493:A1494"/>
    <mergeCell ref="B1493:B1494"/>
    <mergeCell ref="C1493:C1494"/>
    <mergeCell ref="D1493:D1494"/>
    <mergeCell ref="A1514:A1515"/>
    <mergeCell ref="B1514:B1515"/>
    <mergeCell ref="C1514:C1515"/>
    <mergeCell ref="D1514:D1515"/>
    <mergeCell ref="A1516:A1517"/>
    <mergeCell ref="B1516:B1517"/>
    <mergeCell ref="C1516:C1517"/>
    <mergeCell ref="D1516:D1517"/>
    <mergeCell ref="A1510:A1511"/>
    <mergeCell ref="B1510:B1511"/>
    <mergeCell ref="C1510:C1511"/>
    <mergeCell ref="D1510:D1511"/>
    <mergeCell ref="A1512:A1513"/>
    <mergeCell ref="B1512:B1513"/>
    <mergeCell ref="C1512:C1513"/>
    <mergeCell ref="D1512:D1513"/>
    <mergeCell ref="A1503:A1504"/>
    <mergeCell ref="B1503:B1504"/>
    <mergeCell ref="C1503:C1504"/>
    <mergeCell ref="D1503:D1504"/>
    <mergeCell ref="A1506:A1507"/>
    <mergeCell ref="B1506:B1507"/>
    <mergeCell ref="C1506:C1507"/>
    <mergeCell ref="D1506:D1507"/>
    <mergeCell ref="A1528:A1529"/>
    <mergeCell ref="B1528:B1529"/>
    <mergeCell ref="C1528:C1529"/>
    <mergeCell ref="D1528:D1529"/>
    <mergeCell ref="A1530:A1531"/>
    <mergeCell ref="B1530:B1531"/>
    <mergeCell ref="C1530:C1531"/>
    <mergeCell ref="D1530:D1531"/>
    <mergeCell ref="A1523:A1524"/>
    <mergeCell ref="B1523:B1524"/>
    <mergeCell ref="C1523:C1524"/>
    <mergeCell ref="D1523:D1524"/>
    <mergeCell ref="A1525:A1526"/>
    <mergeCell ref="B1525:B1526"/>
    <mergeCell ref="C1525:C1526"/>
    <mergeCell ref="D1525:D1526"/>
    <mergeCell ref="A1518:A1519"/>
    <mergeCell ref="B1518:B1519"/>
    <mergeCell ref="C1518:C1519"/>
    <mergeCell ref="D1518:D1519"/>
    <mergeCell ref="A1521:A1522"/>
    <mergeCell ref="B1521:B1522"/>
    <mergeCell ref="C1521:C1522"/>
    <mergeCell ref="D1521:D1522"/>
    <mergeCell ref="A1544:A1545"/>
    <mergeCell ref="B1544:B1545"/>
    <mergeCell ref="C1544:C1545"/>
    <mergeCell ref="D1544:D1545"/>
    <mergeCell ref="A1546:A1547"/>
    <mergeCell ref="B1546:B1547"/>
    <mergeCell ref="C1546:C1547"/>
    <mergeCell ref="D1546:D1547"/>
    <mergeCell ref="A1538:A1539"/>
    <mergeCell ref="B1538:B1539"/>
    <mergeCell ref="C1538:C1539"/>
    <mergeCell ref="D1538:D1539"/>
    <mergeCell ref="A1542:A1543"/>
    <mergeCell ref="B1542:B1543"/>
    <mergeCell ref="C1542:C1543"/>
    <mergeCell ref="D1542:D1543"/>
    <mergeCell ref="A1532:A1533"/>
    <mergeCell ref="B1532:B1533"/>
    <mergeCell ref="C1532:C1533"/>
    <mergeCell ref="D1532:D1533"/>
    <mergeCell ref="A1535:A1536"/>
    <mergeCell ref="B1535:B1536"/>
    <mergeCell ref="C1535:C1536"/>
    <mergeCell ref="D1535:D1536"/>
    <mergeCell ref="A1558:A1559"/>
    <mergeCell ref="B1558:B1559"/>
    <mergeCell ref="C1558:C1559"/>
    <mergeCell ref="D1558:D1559"/>
    <mergeCell ref="A1561:A1562"/>
    <mergeCell ref="B1561:B1562"/>
    <mergeCell ref="C1561:C1562"/>
    <mergeCell ref="D1561:D1562"/>
    <mergeCell ref="A1553:A1554"/>
    <mergeCell ref="B1553:B1554"/>
    <mergeCell ref="C1553:C1554"/>
    <mergeCell ref="D1553:D1554"/>
    <mergeCell ref="A1555:A1556"/>
    <mergeCell ref="B1555:B1556"/>
    <mergeCell ref="C1555:C1556"/>
    <mergeCell ref="D1555:D1556"/>
    <mergeCell ref="A1548:A1549"/>
    <mergeCell ref="B1548:B1549"/>
    <mergeCell ref="C1548:C1549"/>
    <mergeCell ref="D1548:D1549"/>
    <mergeCell ref="A1550:A1551"/>
    <mergeCell ref="B1550:B1551"/>
    <mergeCell ref="C1550:C1551"/>
    <mergeCell ref="D1550:D1551"/>
    <mergeCell ref="A1573:A1574"/>
    <mergeCell ref="B1573:B1574"/>
    <mergeCell ref="C1573:C1574"/>
    <mergeCell ref="D1573:D1574"/>
    <mergeCell ref="A1575:A1576"/>
    <mergeCell ref="B1575:B1576"/>
    <mergeCell ref="C1575:C1576"/>
    <mergeCell ref="D1575:D1576"/>
    <mergeCell ref="A1569:A1570"/>
    <mergeCell ref="B1569:B1570"/>
    <mergeCell ref="C1569:C1570"/>
    <mergeCell ref="D1569:D1570"/>
    <mergeCell ref="A1571:A1572"/>
    <mergeCell ref="B1571:B1572"/>
    <mergeCell ref="C1571:C1572"/>
    <mergeCell ref="D1571:D1572"/>
    <mergeCell ref="A1563:A1564"/>
    <mergeCell ref="B1563:B1564"/>
    <mergeCell ref="C1563:C1564"/>
    <mergeCell ref="D1563:D1564"/>
    <mergeCell ref="A1565:A1566"/>
    <mergeCell ref="B1565:B1566"/>
    <mergeCell ref="C1565:C1566"/>
    <mergeCell ref="D1565:D1566"/>
    <mergeCell ref="A1587:A1588"/>
    <mergeCell ref="B1587:B1588"/>
    <mergeCell ref="C1587:C1588"/>
    <mergeCell ref="D1587:D1588"/>
    <mergeCell ref="A1590:A1591"/>
    <mergeCell ref="B1590:B1591"/>
    <mergeCell ref="C1590:C1591"/>
    <mergeCell ref="D1590:D1591"/>
    <mergeCell ref="A1583:A1584"/>
    <mergeCell ref="B1583:B1584"/>
    <mergeCell ref="C1583:C1584"/>
    <mergeCell ref="D1583:D1584"/>
    <mergeCell ref="A1585:A1586"/>
    <mergeCell ref="B1585:B1586"/>
    <mergeCell ref="C1585:C1586"/>
    <mergeCell ref="D1585:D1586"/>
    <mergeCell ref="A1578:A1579"/>
    <mergeCell ref="B1578:B1579"/>
    <mergeCell ref="C1578:C1579"/>
    <mergeCell ref="D1578:D1579"/>
    <mergeCell ref="A1580:A1581"/>
    <mergeCell ref="B1580:B1581"/>
    <mergeCell ref="C1580:C1581"/>
    <mergeCell ref="D1580:D1581"/>
    <mergeCell ref="A1605:A1606"/>
    <mergeCell ref="B1605:B1606"/>
    <mergeCell ref="C1605:C1606"/>
    <mergeCell ref="D1605:D1606"/>
    <mergeCell ref="A1608:A1609"/>
    <mergeCell ref="B1608:B1609"/>
    <mergeCell ref="C1608:C1609"/>
    <mergeCell ref="D1608:D1609"/>
    <mergeCell ref="A1599:A1600"/>
    <mergeCell ref="B1599:B1600"/>
    <mergeCell ref="C1599:C1600"/>
    <mergeCell ref="D1599:D1600"/>
    <mergeCell ref="A1602:A1603"/>
    <mergeCell ref="B1602:B1603"/>
    <mergeCell ref="C1602:C1603"/>
    <mergeCell ref="D1602:D1603"/>
    <mergeCell ref="A1594:A1595"/>
    <mergeCell ref="B1594:B1595"/>
    <mergeCell ref="C1594:C1595"/>
    <mergeCell ref="D1594:D1595"/>
    <mergeCell ref="A1597:A1598"/>
    <mergeCell ref="B1597:B1598"/>
    <mergeCell ref="C1597:C1598"/>
    <mergeCell ref="D1597:D1598"/>
    <mergeCell ref="A1621:A1622"/>
    <mergeCell ref="B1621:B1622"/>
    <mergeCell ref="C1621:C1622"/>
    <mergeCell ref="D1621:D1622"/>
    <mergeCell ref="A1623:A1624"/>
    <mergeCell ref="B1623:B1624"/>
    <mergeCell ref="C1623:C1624"/>
    <mergeCell ref="D1623:D1624"/>
    <mergeCell ref="A1617:A1618"/>
    <mergeCell ref="B1617:B1618"/>
    <mergeCell ref="C1617:C1618"/>
    <mergeCell ref="D1617:D1618"/>
    <mergeCell ref="A1619:A1620"/>
    <mergeCell ref="B1619:B1620"/>
    <mergeCell ref="C1619:C1620"/>
    <mergeCell ref="D1619:D1620"/>
    <mergeCell ref="A1612:A1613"/>
    <mergeCell ref="B1612:B1613"/>
    <mergeCell ref="C1612:C1613"/>
    <mergeCell ref="D1612:D1613"/>
    <mergeCell ref="A1614:A1615"/>
    <mergeCell ref="B1614:B1615"/>
    <mergeCell ref="C1614:C1615"/>
    <mergeCell ref="D1614:D1615"/>
    <mergeCell ref="A1633:A1634"/>
    <mergeCell ref="B1633:B1634"/>
    <mergeCell ref="C1633:C1634"/>
    <mergeCell ref="D1633:D1634"/>
    <mergeCell ref="A1635:A1636"/>
    <mergeCell ref="B1635:B1636"/>
    <mergeCell ref="C1635:C1636"/>
    <mergeCell ref="D1635:D1636"/>
    <mergeCell ref="A1629:A1630"/>
    <mergeCell ref="B1629:B1630"/>
    <mergeCell ref="C1629:C1630"/>
    <mergeCell ref="D1629:D1630"/>
    <mergeCell ref="A1631:A1632"/>
    <mergeCell ref="B1631:B1632"/>
    <mergeCell ref="C1631:C1632"/>
    <mergeCell ref="D1631:D1632"/>
    <mergeCell ref="A1625:A1626"/>
    <mergeCell ref="B1625:B1626"/>
    <mergeCell ref="C1625:C1626"/>
    <mergeCell ref="D1625:D1626"/>
    <mergeCell ref="A1627:A1628"/>
    <mergeCell ref="B1627:B1628"/>
    <mergeCell ref="C1627:C1628"/>
    <mergeCell ref="D1627:D1628"/>
    <mergeCell ref="A1649:A1650"/>
    <mergeCell ref="B1649:B1650"/>
    <mergeCell ref="C1649:C1650"/>
    <mergeCell ref="D1649:D1650"/>
    <mergeCell ref="A1651:A1652"/>
    <mergeCell ref="B1651:B1652"/>
    <mergeCell ref="C1651:C1652"/>
    <mergeCell ref="D1651:D1652"/>
    <mergeCell ref="A1643:A1644"/>
    <mergeCell ref="B1643:B1644"/>
    <mergeCell ref="C1643:C1644"/>
    <mergeCell ref="D1643:D1644"/>
    <mergeCell ref="A1647:A1648"/>
    <mergeCell ref="B1647:B1648"/>
    <mergeCell ref="C1647:C1648"/>
    <mergeCell ref="D1647:D1648"/>
    <mergeCell ref="A1638:A1639"/>
    <mergeCell ref="B1638:B1639"/>
    <mergeCell ref="C1638:C1639"/>
    <mergeCell ref="D1638:D1639"/>
    <mergeCell ref="A1641:A1642"/>
    <mergeCell ref="B1641:B1642"/>
    <mergeCell ref="C1641:C1642"/>
    <mergeCell ref="D1641:D1642"/>
    <mergeCell ref="A1666:A1667"/>
    <mergeCell ref="B1666:B1667"/>
    <mergeCell ref="C1666:C1667"/>
    <mergeCell ref="D1666:D1667"/>
    <mergeCell ref="A1668:A1669"/>
    <mergeCell ref="B1668:B1669"/>
    <mergeCell ref="C1668:C1669"/>
    <mergeCell ref="D1668:D1669"/>
    <mergeCell ref="A1661:A1662"/>
    <mergeCell ref="B1661:B1662"/>
    <mergeCell ref="C1661:C1662"/>
    <mergeCell ref="D1661:D1662"/>
    <mergeCell ref="A1664:A1665"/>
    <mergeCell ref="B1664:B1665"/>
    <mergeCell ref="C1664:C1665"/>
    <mergeCell ref="D1664:D1665"/>
    <mergeCell ref="A1653:A1654"/>
    <mergeCell ref="B1653:B1654"/>
    <mergeCell ref="C1653:C1654"/>
    <mergeCell ref="D1653:D1654"/>
    <mergeCell ref="A1658:A1659"/>
    <mergeCell ref="B1658:B1659"/>
    <mergeCell ref="C1658:C1659"/>
    <mergeCell ref="D1658:D1659"/>
    <mergeCell ref="A1681:A1682"/>
    <mergeCell ref="B1681:B1682"/>
    <mergeCell ref="C1681:C1682"/>
    <mergeCell ref="D1681:D1682"/>
    <mergeCell ref="A1683:A1684"/>
    <mergeCell ref="B1683:B1684"/>
    <mergeCell ref="C1683:C1684"/>
    <mergeCell ref="D1683:D1684"/>
    <mergeCell ref="A1676:A1677"/>
    <mergeCell ref="B1676:B1677"/>
    <mergeCell ref="C1676:C1677"/>
    <mergeCell ref="D1676:D1677"/>
    <mergeCell ref="A1679:A1680"/>
    <mergeCell ref="B1679:B1680"/>
    <mergeCell ref="C1679:C1680"/>
    <mergeCell ref="D1679:D1680"/>
    <mergeCell ref="A1670:A1671"/>
    <mergeCell ref="B1670:B1671"/>
    <mergeCell ref="C1670:C1671"/>
    <mergeCell ref="D1670:D1671"/>
    <mergeCell ref="A1673:A1674"/>
    <mergeCell ref="B1673:B1674"/>
    <mergeCell ref="C1673:C1674"/>
    <mergeCell ref="D1673:D1674"/>
    <mergeCell ref="A1697:A1698"/>
    <mergeCell ref="B1697:B1698"/>
    <mergeCell ref="C1697:C1698"/>
    <mergeCell ref="D1697:D1698"/>
    <mergeCell ref="A1699:A1700"/>
    <mergeCell ref="B1699:B1700"/>
    <mergeCell ref="C1699:C1700"/>
    <mergeCell ref="D1699:D1700"/>
    <mergeCell ref="A1692:A1693"/>
    <mergeCell ref="B1692:B1693"/>
    <mergeCell ref="C1692:C1693"/>
    <mergeCell ref="D1692:D1693"/>
    <mergeCell ref="A1695:A1696"/>
    <mergeCell ref="B1695:B1696"/>
    <mergeCell ref="C1695:C1696"/>
    <mergeCell ref="D1695:D1696"/>
    <mergeCell ref="A1685:A1686"/>
    <mergeCell ref="B1685:B1686"/>
    <mergeCell ref="C1685:C1686"/>
    <mergeCell ref="D1685:D1686"/>
    <mergeCell ref="A1688:A1689"/>
    <mergeCell ref="B1688:B1689"/>
    <mergeCell ref="C1688:C1689"/>
    <mergeCell ref="D1688:D1689"/>
    <mergeCell ref="A1709:A1710"/>
    <mergeCell ref="B1709:B1710"/>
    <mergeCell ref="C1709:C1710"/>
    <mergeCell ref="D1709:D1710"/>
    <mergeCell ref="A1711:A1712"/>
    <mergeCell ref="B1711:B1712"/>
    <mergeCell ref="C1711:C1712"/>
    <mergeCell ref="D1711:D1712"/>
    <mergeCell ref="A1705:A1706"/>
    <mergeCell ref="B1705:B1706"/>
    <mergeCell ref="C1705:C1706"/>
    <mergeCell ref="D1705:D1706"/>
    <mergeCell ref="A1707:A1708"/>
    <mergeCell ref="B1707:B1708"/>
    <mergeCell ref="C1707:C1708"/>
    <mergeCell ref="D1707:D1708"/>
    <mergeCell ref="A1701:A1702"/>
    <mergeCell ref="B1701:B1702"/>
    <mergeCell ref="C1701:C1702"/>
    <mergeCell ref="D1701:D1702"/>
    <mergeCell ref="A1703:A1704"/>
    <mergeCell ref="B1703:B1704"/>
    <mergeCell ref="C1703:C1704"/>
    <mergeCell ref="D1703:D1704"/>
    <mergeCell ref="A1721:A1722"/>
    <mergeCell ref="B1721:B1722"/>
    <mergeCell ref="C1721:C1722"/>
    <mergeCell ref="D1721:D1722"/>
    <mergeCell ref="A1723:A1724"/>
    <mergeCell ref="B1723:B1724"/>
    <mergeCell ref="C1723:C1724"/>
    <mergeCell ref="D1723:D1724"/>
    <mergeCell ref="A1717:A1718"/>
    <mergeCell ref="B1717:B1718"/>
    <mergeCell ref="C1717:C1718"/>
    <mergeCell ref="D1717:D1718"/>
    <mergeCell ref="A1719:A1720"/>
    <mergeCell ref="B1719:B1720"/>
    <mergeCell ref="C1719:C1720"/>
    <mergeCell ref="D1719:D1720"/>
    <mergeCell ref="A1713:A1714"/>
    <mergeCell ref="B1713:B1714"/>
    <mergeCell ref="C1713:C1714"/>
    <mergeCell ref="D1713:D1714"/>
    <mergeCell ref="A1715:A1716"/>
    <mergeCell ref="B1715:B1716"/>
    <mergeCell ref="C1715:C1716"/>
    <mergeCell ref="D1715:D1716"/>
    <mergeCell ref="A1735:A1736"/>
    <mergeCell ref="B1735:B1736"/>
    <mergeCell ref="C1735:C1736"/>
    <mergeCell ref="D1735:D1736"/>
    <mergeCell ref="A1737:A1738"/>
    <mergeCell ref="B1737:B1738"/>
    <mergeCell ref="C1737:C1738"/>
    <mergeCell ref="D1737:D1738"/>
    <mergeCell ref="A1730:A1731"/>
    <mergeCell ref="B1730:B1731"/>
    <mergeCell ref="C1730:C1731"/>
    <mergeCell ref="D1730:D1731"/>
    <mergeCell ref="A1732:A1733"/>
    <mergeCell ref="B1732:B1733"/>
    <mergeCell ref="C1732:C1733"/>
    <mergeCell ref="D1732:D1733"/>
    <mergeCell ref="A1726:A1727"/>
    <mergeCell ref="B1726:B1727"/>
    <mergeCell ref="C1726:C1727"/>
    <mergeCell ref="D1726:D1727"/>
    <mergeCell ref="A1728:A1729"/>
    <mergeCell ref="B1728:B1729"/>
    <mergeCell ref="C1728:C1729"/>
    <mergeCell ref="D1728:D1729"/>
    <mergeCell ref="A1747:A1748"/>
    <mergeCell ref="B1747:B1748"/>
    <mergeCell ref="C1747:C1748"/>
    <mergeCell ref="D1747:D1748"/>
    <mergeCell ref="A1749:A1750"/>
    <mergeCell ref="B1749:B1750"/>
    <mergeCell ref="C1749:C1750"/>
    <mergeCell ref="D1749:D1750"/>
    <mergeCell ref="A1743:A1744"/>
    <mergeCell ref="B1743:B1744"/>
    <mergeCell ref="C1743:C1744"/>
    <mergeCell ref="D1743:D1744"/>
    <mergeCell ref="A1745:A1746"/>
    <mergeCell ref="B1745:B1746"/>
    <mergeCell ref="C1745:C1746"/>
    <mergeCell ref="D1745:D1746"/>
    <mergeCell ref="A1739:A1740"/>
    <mergeCell ref="B1739:B1740"/>
    <mergeCell ref="C1739:C1740"/>
    <mergeCell ref="D1739:D1740"/>
    <mergeCell ref="A1741:A1742"/>
    <mergeCell ref="B1741:B1742"/>
    <mergeCell ref="C1741:C1742"/>
    <mergeCell ref="D1741:D1742"/>
    <mergeCell ref="A1762:A1763"/>
    <mergeCell ref="B1762:B1763"/>
    <mergeCell ref="C1762:C1763"/>
    <mergeCell ref="D1762:D1763"/>
    <mergeCell ref="A1764:A1765"/>
    <mergeCell ref="B1764:B1765"/>
    <mergeCell ref="C1764:C1765"/>
    <mergeCell ref="D1764:D1765"/>
    <mergeCell ref="A1756:A1757"/>
    <mergeCell ref="B1756:B1757"/>
    <mergeCell ref="C1756:C1757"/>
    <mergeCell ref="D1756:D1757"/>
    <mergeCell ref="A1760:A1761"/>
    <mergeCell ref="B1760:B1761"/>
    <mergeCell ref="C1760:C1761"/>
    <mergeCell ref="D1760:D1761"/>
    <mergeCell ref="A1751:A1752"/>
    <mergeCell ref="B1751:B1752"/>
    <mergeCell ref="C1751:C1752"/>
    <mergeCell ref="D1751:D1752"/>
    <mergeCell ref="A1754:A1755"/>
    <mergeCell ref="B1754:B1755"/>
    <mergeCell ref="C1754:C1755"/>
    <mergeCell ref="D1754:D1755"/>
    <mergeCell ref="A1775:A1776"/>
    <mergeCell ref="B1775:B1776"/>
    <mergeCell ref="C1775:C1776"/>
    <mergeCell ref="D1775:D1776"/>
    <mergeCell ref="A1777:A1778"/>
    <mergeCell ref="B1777:B1778"/>
    <mergeCell ref="C1777:C1778"/>
    <mergeCell ref="D1777:D1778"/>
    <mergeCell ref="A1771:A1772"/>
    <mergeCell ref="B1771:B1772"/>
    <mergeCell ref="C1771:C1772"/>
    <mergeCell ref="D1771:D1772"/>
    <mergeCell ref="A1773:A1774"/>
    <mergeCell ref="B1773:B1774"/>
    <mergeCell ref="C1773:C1774"/>
    <mergeCell ref="D1773:D1774"/>
    <mergeCell ref="A1767:A1768"/>
    <mergeCell ref="B1767:B1768"/>
    <mergeCell ref="C1767:C1768"/>
    <mergeCell ref="D1767:D1768"/>
    <mergeCell ref="A1769:A1770"/>
    <mergeCell ref="B1769:B1770"/>
    <mergeCell ref="C1769:C1770"/>
    <mergeCell ref="D1769:D1770"/>
    <mergeCell ref="A1787:A1788"/>
    <mergeCell ref="B1787:B1788"/>
    <mergeCell ref="C1787:C1788"/>
    <mergeCell ref="D1787:D1788"/>
    <mergeCell ref="A1789:A1790"/>
    <mergeCell ref="B1789:B1790"/>
    <mergeCell ref="C1789:C1790"/>
    <mergeCell ref="D1789:D1790"/>
    <mergeCell ref="A1783:A1784"/>
    <mergeCell ref="B1783:B1784"/>
    <mergeCell ref="C1783:C1784"/>
    <mergeCell ref="D1783:D1784"/>
    <mergeCell ref="A1785:A1786"/>
    <mergeCell ref="B1785:B1786"/>
    <mergeCell ref="C1785:C1786"/>
    <mergeCell ref="D1785:D1786"/>
    <mergeCell ref="A1779:A1780"/>
    <mergeCell ref="B1779:B1780"/>
    <mergeCell ref="C1779:C1780"/>
    <mergeCell ref="D1779:D1780"/>
    <mergeCell ref="A1781:A1782"/>
    <mergeCell ref="B1781:B1782"/>
    <mergeCell ref="C1781:C1782"/>
    <mergeCell ref="D1781:D1782"/>
    <mergeCell ref="A1799:A1800"/>
    <mergeCell ref="B1799:B1800"/>
    <mergeCell ref="C1799:C1800"/>
    <mergeCell ref="D1799:D1800"/>
    <mergeCell ref="A1802:A1803"/>
    <mergeCell ref="B1802:B1803"/>
    <mergeCell ref="C1802:C1803"/>
    <mergeCell ref="D1802:D1803"/>
    <mergeCell ref="A1795:A1796"/>
    <mergeCell ref="B1795:B1796"/>
    <mergeCell ref="C1795:C1796"/>
    <mergeCell ref="D1795:D1796"/>
    <mergeCell ref="A1797:A1798"/>
    <mergeCell ref="B1797:B1798"/>
    <mergeCell ref="C1797:C1798"/>
    <mergeCell ref="D1797:D1798"/>
    <mergeCell ref="A1791:A1792"/>
    <mergeCell ref="B1791:B1792"/>
    <mergeCell ref="C1791:C1792"/>
    <mergeCell ref="D1791:D1792"/>
    <mergeCell ref="A1793:A1794"/>
    <mergeCell ref="B1793:B1794"/>
    <mergeCell ref="C1793:C1794"/>
    <mergeCell ref="D1793:D1794"/>
    <mergeCell ref="A1813:A1814"/>
    <mergeCell ref="B1813:B1814"/>
    <mergeCell ref="C1813:C1814"/>
    <mergeCell ref="D1813:D1814"/>
    <mergeCell ref="A1816:A1817"/>
    <mergeCell ref="B1816:B1817"/>
    <mergeCell ref="C1816:C1817"/>
    <mergeCell ref="D1816:D1817"/>
    <mergeCell ref="A1809:A1810"/>
    <mergeCell ref="B1809:B1810"/>
    <mergeCell ref="C1809:C1810"/>
    <mergeCell ref="D1809:D1810"/>
    <mergeCell ref="A1811:A1812"/>
    <mergeCell ref="B1811:B1812"/>
    <mergeCell ref="C1811:C1812"/>
    <mergeCell ref="D1811:D1812"/>
    <mergeCell ref="A1805:A1806"/>
    <mergeCell ref="B1805:B1806"/>
    <mergeCell ref="C1805:C1806"/>
    <mergeCell ref="D1805:D1806"/>
    <mergeCell ref="A1807:A1808"/>
    <mergeCell ref="B1807:B1808"/>
    <mergeCell ref="C1807:C1808"/>
    <mergeCell ref="D1807:D1808"/>
    <mergeCell ref="A1831:A1832"/>
    <mergeCell ref="B1831:B1832"/>
    <mergeCell ref="C1831:C1832"/>
    <mergeCell ref="D1831:D1832"/>
    <mergeCell ref="A1833:A1834"/>
    <mergeCell ref="B1833:B1834"/>
    <mergeCell ref="C1833:C1834"/>
    <mergeCell ref="D1833:D1834"/>
    <mergeCell ref="A1824:A1825"/>
    <mergeCell ref="B1824:B1825"/>
    <mergeCell ref="C1824:C1825"/>
    <mergeCell ref="D1824:D1825"/>
    <mergeCell ref="A1828:A1829"/>
    <mergeCell ref="B1828:B1829"/>
    <mergeCell ref="C1828:C1829"/>
    <mergeCell ref="D1828:D1829"/>
    <mergeCell ref="A1818:A1819"/>
    <mergeCell ref="B1818:B1819"/>
    <mergeCell ref="C1818:C1819"/>
    <mergeCell ref="D1818:D1819"/>
    <mergeCell ref="A1821:A1822"/>
    <mergeCell ref="B1821:B1822"/>
    <mergeCell ref="C1821:C1822"/>
    <mergeCell ref="D1821:D1822"/>
    <mergeCell ref="A1845:A1846"/>
    <mergeCell ref="B1845:B1846"/>
    <mergeCell ref="C1845:C1846"/>
    <mergeCell ref="D1845:D1846"/>
    <mergeCell ref="A1847:A1848"/>
    <mergeCell ref="B1847:B1848"/>
    <mergeCell ref="C1847:C1848"/>
    <mergeCell ref="D1847:D1848"/>
    <mergeCell ref="A1841:A1842"/>
    <mergeCell ref="B1841:B1842"/>
    <mergeCell ref="C1841:C1842"/>
    <mergeCell ref="D1841:D1842"/>
    <mergeCell ref="A1843:A1844"/>
    <mergeCell ref="B1843:B1844"/>
    <mergeCell ref="C1843:C1844"/>
    <mergeCell ref="D1843:D1844"/>
    <mergeCell ref="A1837:A1838"/>
    <mergeCell ref="B1837:B1838"/>
    <mergeCell ref="C1837:C1838"/>
    <mergeCell ref="D1837:D1838"/>
    <mergeCell ref="A1839:A1840"/>
    <mergeCell ref="B1839:B1840"/>
    <mergeCell ref="C1839:C1840"/>
    <mergeCell ref="D1839:D1840"/>
    <mergeCell ref="A1857:A1858"/>
    <mergeCell ref="B1857:B1858"/>
    <mergeCell ref="C1857:C1858"/>
    <mergeCell ref="D1857:D1858"/>
    <mergeCell ref="A1860:A1861"/>
    <mergeCell ref="B1860:B1861"/>
    <mergeCell ref="C1860:C1861"/>
    <mergeCell ref="D1860:D1861"/>
    <mergeCell ref="A1853:A1854"/>
    <mergeCell ref="B1853:B1854"/>
    <mergeCell ref="C1853:C1854"/>
    <mergeCell ref="D1853:D1854"/>
    <mergeCell ref="A1855:A1856"/>
    <mergeCell ref="B1855:B1856"/>
    <mergeCell ref="C1855:C1856"/>
    <mergeCell ref="D1855:D1856"/>
    <mergeCell ref="A1849:A1850"/>
    <mergeCell ref="B1849:B1850"/>
    <mergeCell ref="C1849:C1850"/>
    <mergeCell ref="D1849:D1850"/>
    <mergeCell ref="A1851:A1852"/>
    <mergeCell ref="B1851:B1852"/>
    <mergeCell ref="C1851:C1852"/>
    <mergeCell ref="D1851:D1852"/>
    <mergeCell ref="A1870:A1871"/>
    <mergeCell ref="B1870:B1871"/>
    <mergeCell ref="C1870:C1871"/>
    <mergeCell ref="D1870:D1871"/>
    <mergeCell ref="A1873:A1874"/>
    <mergeCell ref="B1873:B1874"/>
    <mergeCell ref="C1873:C1874"/>
    <mergeCell ref="D1873:D1874"/>
    <mergeCell ref="A1866:A1867"/>
    <mergeCell ref="B1866:B1867"/>
    <mergeCell ref="C1866:C1867"/>
    <mergeCell ref="D1866:D1867"/>
    <mergeCell ref="A1868:A1869"/>
    <mergeCell ref="B1868:B1869"/>
    <mergeCell ref="C1868:C1869"/>
    <mergeCell ref="D1868:D1869"/>
    <mergeCell ref="A1862:A1863"/>
    <mergeCell ref="B1862:B1863"/>
    <mergeCell ref="C1862:C1863"/>
    <mergeCell ref="D1862:D1863"/>
    <mergeCell ref="A1864:A1865"/>
    <mergeCell ref="B1864:B1865"/>
    <mergeCell ref="C1864:C1865"/>
    <mergeCell ref="D1864:D1865"/>
    <mergeCell ref="A1884:A1885"/>
    <mergeCell ref="B1884:B1885"/>
    <mergeCell ref="C1884:C1885"/>
    <mergeCell ref="D1884:D1885"/>
    <mergeCell ref="A1886:A1887"/>
    <mergeCell ref="B1886:B1887"/>
    <mergeCell ref="C1886:C1887"/>
    <mergeCell ref="D1886:D1887"/>
    <mergeCell ref="A1879:A1880"/>
    <mergeCell ref="B1879:B1880"/>
    <mergeCell ref="C1879:C1880"/>
    <mergeCell ref="D1879:D1880"/>
    <mergeCell ref="A1882:A1883"/>
    <mergeCell ref="B1882:B1883"/>
    <mergeCell ref="C1882:C1883"/>
    <mergeCell ref="D1882:D1883"/>
    <mergeCell ref="A1875:A1876"/>
    <mergeCell ref="B1875:B1876"/>
    <mergeCell ref="C1875:C1876"/>
    <mergeCell ref="D1875:D1876"/>
    <mergeCell ref="A1877:A1878"/>
    <mergeCell ref="B1877:B1878"/>
    <mergeCell ref="C1877:C1878"/>
    <mergeCell ref="D1877:D1878"/>
    <mergeCell ref="A1897:A1898"/>
    <mergeCell ref="B1897:B1898"/>
    <mergeCell ref="C1897:C1898"/>
    <mergeCell ref="D1897:D1898"/>
    <mergeCell ref="A1899:A1900"/>
    <mergeCell ref="B1899:B1900"/>
    <mergeCell ref="C1899:C1900"/>
    <mergeCell ref="D1899:D1900"/>
    <mergeCell ref="A1893:A1894"/>
    <mergeCell ref="B1893:B1894"/>
    <mergeCell ref="C1893:C1894"/>
    <mergeCell ref="D1893:D1894"/>
    <mergeCell ref="A1895:A1896"/>
    <mergeCell ref="B1895:B1896"/>
    <mergeCell ref="C1895:C1896"/>
    <mergeCell ref="D1895:D1896"/>
    <mergeCell ref="A1888:A1889"/>
    <mergeCell ref="B1888:B1889"/>
    <mergeCell ref="C1888:C1889"/>
    <mergeCell ref="D1888:D1889"/>
    <mergeCell ref="A1891:A1892"/>
    <mergeCell ref="B1891:B1892"/>
    <mergeCell ref="C1891:C1892"/>
    <mergeCell ref="D1891:D1892"/>
    <mergeCell ref="A1910:A1911"/>
    <mergeCell ref="B1910:B1911"/>
    <mergeCell ref="C1910:C1911"/>
    <mergeCell ref="D1910:D1911"/>
    <mergeCell ref="A1912:A1913"/>
    <mergeCell ref="B1912:B1913"/>
    <mergeCell ref="C1912:C1913"/>
    <mergeCell ref="D1912:D1913"/>
    <mergeCell ref="A1905:A1906"/>
    <mergeCell ref="B1905:B1906"/>
    <mergeCell ref="C1905:C1906"/>
    <mergeCell ref="D1905:D1906"/>
    <mergeCell ref="A1907:A1908"/>
    <mergeCell ref="B1907:B1908"/>
    <mergeCell ref="C1907:C1908"/>
    <mergeCell ref="D1907:D1908"/>
    <mergeCell ref="A1901:A1902"/>
    <mergeCell ref="B1901:B1902"/>
    <mergeCell ref="C1901:C1902"/>
    <mergeCell ref="D1901:D1902"/>
    <mergeCell ref="A1903:A1904"/>
    <mergeCell ref="B1903:B1904"/>
    <mergeCell ref="C1903:C1904"/>
    <mergeCell ref="D1903:D1904"/>
    <mergeCell ref="A1922:A1923"/>
    <mergeCell ref="B1922:B1923"/>
    <mergeCell ref="C1922:C1923"/>
    <mergeCell ref="D1922:D1923"/>
    <mergeCell ref="A1924:A1925"/>
    <mergeCell ref="B1924:B1925"/>
    <mergeCell ref="C1924:C1925"/>
    <mergeCell ref="D1924:D1925"/>
    <mergeCell ref="A1918:A1919"/>
    <mergeCell ref="B1918:B1919"/>
    <mergeCell ref="C1918:C1919"/>
    <mergeCell ref="D1918:D1919"/>
    <mergeCell ref="A1920:A1921"/>
    <mergeCell ref="B1920:B1921"/>
    <mergeCell ref="C1920:C1921"/>
    <mergeCell ref="D1920:D1921"/>
    <mergeCell ref="A1914:A1915"/>
    <mergeCell ref="B1914:B1915"/>
    <mergeCell ref="C1914:C1915"/>
    <mergeCell ref="D1914:D1915"/>
    <mergeCell ref="A1916:A1917"/>
    <mergeCell ref="B1916:B1917"/>
    <mergeCell ref="C1916:C1917"/>
    <mergeCell ref="D1916:D1917"/>
    <mergeCell ref="A1934:A1935"/>
    <mergeCell ref="B1934:B1935"/>
    <mergeCell ref="C1934:C1935"/>
    <mergeCell ref="D1934:D1935"/>
    <mergeCell ref="A1936:A1937"/>
    <mergeCell ref="B1936:B1937"/>
    <mergeCell ref="C1936:C1937"/>
    <mergeCell ref="D1936:D1937"/>
    <mergeCell ref="A1930:A1931"/>
    <mergeCell ref="B1930:B1931"/>
    <mergeCell ref="C1930:C1931"/>
    <mergeCell ref="D1930:D1931"/>
    <mergeCell ref="A1932:A1933"/>
    <mergeCell ref="B1932:B1933"/>
    <mergeCell ref="C1932:C1933"/>
    <mergeCell ref="D1932:D1933"/>
    <mergeCell ref="A1926:A1927"/>
    <mergeCell ref="B1926:B1927"/>
    <mergeCell ref="C1926:C1927"/>
    <mergeCell ref="D1926:D1927"/>
    <mergeCell ref="A1928:A1929"/>
    <mergeCell ref="B1928:B1929"/>
    <mergeCell ref="C1928:C1929"/>
    <mergeCell ref="D1928:D1929"/>
    <mergeCell ref="A1950:A1951"/>
    <mergeCell ref="B1950:B1951"/>
    <mergeCell ref="C1950:C1951"/>
    <mergeCell ref="D1950:D1951"/>
    <mergeCell ref="A1952:A1953"/>
    <mergeCell ref="B1952:B1953"/>
    <mergeCell ref="C1952:C1953"/>
    <mergeCell ref="D1952:D1953"/>
    <mergeCell ref="A1944:A1945"/>
    <mergeCell ref="B1944:B1945"/>
    <mergeCell ref="C1944:C1945"/>
    <mergeCell ref="D1944:D1945"/>
    <mergeCell ref="A1948:A1949"/>
    <mergeCell ref="B1948:B1949"/>
    <mergeCell ref="C1948:C1949"/>
    <mergeCell ref="D1948:D1949"/>
    <mergeCell ref="A1939:A1940"/>
    <mergeCell ref="B1939:B1940"/>
    <mergeCell ref="C1939:C1940"/>
    <mergeCell ref="D1939:D1940"/>
    <mergeCell ref="A1941:A1942"/>
    <mergeCell ref="B1941:B1942"/>
    <mergeCell ref="C1941:C1942"/>
    <mergeCell ref="D1941:D1942"/>
    <mergeCell ref="A1962:A1963"/>
    <mergeCell ref="B1962:B1963"/>
    <mergeCell ref="C1962:C1963"/>
    <mergeCell ref="D1962:D1963"/>
    <mergeCell ref="A1964:A1965"/>
    <mergeCell ref="B1964:B1965"/>
    <mergeCell ref="C1964:C1965"/>
    <mergeCell ref="D1964:D1965"/>
    <mergeCell ref="A1958:A1959"/>
    <mergeCell ref="B1958:B1959"/>
    <mergeCell ref="C1958:C1959"/>
    <mergeCell ref="D1958:D1959"/>
    <mergeCell ref="A1960:A1961"/>
    <mergeCell ref="B1960:B1961"/>
    <mergeCell ref="C1960:C1961"/>
    <mergeCell ref="D1960:D1961"/>
    <mergeCell ref="A1954:A1955"/>
    <mergeCell ref="B1954:B1955"/>
    <mergeCell ref="C1954:C1955"/>
    <mergeCell ref="D1954:D1955"/>
    <mergeCell ref="A1956:A1957"/>
    <mergeCell ref="B1956:B1957"/>
    <mergeCell ref="C1956:C1957"/>
    <mergeCell ref="D1956:D1957"/>
    <mergeCell ref="A1978:A1979"/>
    <mergeCell ref="B1978:B1979"/>
    <mergeCell ref="C1978:C1979"/>
    <mergeCell ref="D1978:D1979"/>
    <mergeCell ref="A1980:A1981"/>
    <mergeCell ref="B1980:B1981"/>
    <mergeCell ref="C1980:C1981"/>
    <mergeCell ref="D1980:D1981"/>
    <mergeCell ref="A1973:A1974"/>
    <mergeCell ref="B1973:B1974"/>
    <mergeCell ref="C1973:C1974"/>
    <mergeCell ref="D1973:D1974"/>
    <mergeCell ref="A1975:A1976"/>
    <mergeCell ref="B1975:B1976"/>
    <mergeCell ref="C1975:C1976"/>
    <mergeCell ref="D1975:D1976"/>
    <mergeCell ref="A1966:A1967"/>
    <mergeCell ref="B1966:B1967"/>
    <mergeCell ref="C1966:C1967"/>
    <mergeCell ref="D1966:D1967"/>
    <mergeCell ref="A1970:A1971"/>
    <mergeCell ref="B1970:B1971"/>
    <mergeCell ref="C1970:C1971"/>
    <mergeCell ref="D1970:D1971"/>
    <mergeCell ref="A1991:A1992"/>
    <mergeCell ref="B1991:B1992"/>
    <mergeCell ref="C1991:C1992"/>
    <mergeCell ref="D1991:D1992"/>
    <mergeCell ref="A1993:A1994"/>
    <mergeCell ref="B1993:B1994"/>
    <mergeCell ref="C1993:C1994"/>
    <mergeCell ref="D1993:D1994"/>
    <mergeCell ref="A1986:A1987"/>
    <mergeCell ref="B1986:B1987"/>
    <mergeCell ref="C1986:C1987"/>
    <mergeCell ref="D1986:D1987"/>
    <mergeCell ref="A1988:A1989"/>
    <mergeCell ref="B1988:B1989"/>
    <mergeCell ref="C1988:C1989"/>
    <mergeCell ref="D1988:D1989"/>
    <mergeCell ref="A1982:A1983"/>
    <mergeCell ref="B1982:B1983"/>
    <mergeCell ref="C1982:C1983"/>
    <mergeCell ref="D1982:D1983"/>
    <mergeCell ref="A1984:A1985"/>
    <mergeCell ref="B1984:B1985"/>
    <mergeCell ref="C1984:C1985"/>
    <mergeCell ref="D1984:D1985"/>
    <mergeCell ref="A2005:A2006"/>
    <mergeCell ref="B2005:B2006"/>
    <mergeCell ref="C2005:C2006"/>
    <mergeCell ref="D2005:D2006"/>
    <mergeCell ref="A2008:A2009"/>
    <mergeCell ref="B2008:B2009"/>
    <mergeCell ref="C2008:C2009"/>
    <mergeCell ref="D2008:D2009"/>
    <mergeCell ref="A1999:A2000"/>
    <mergeCell ref="B1999:B2000"/>
    <mergeCell ref="C1999:C2000"/>
    <mergeCell ref="D1999:D2000"/>
    <mergeCell ref="A2002:A2003"/>
    <mergeCell ref="B2002:B2003"/>
    <mergeCell ref="C2002:C2003"/>
    <mergeCell ref="D2002:D2003"/>
    <mergeCell ref="A1995:A1996"/>
    <mergeCell ref="B1995:B1996"/>
    <mergeCell ref="C1995:C1996"/>
    <mergeCell ref="D1995:D1996"/>
    <mergeCell ref="A1997:A1998"/>
    <mergeCell ref="B1997:B1998"/>
    <mergeCell ref="C1997:C1998"/>
    <mergeCell ref="D1997:D1998"/>
    <mergeCell ref="A2021:A2022"/>
    <mergeCell ref="B2021:B2022"/>
    <mergeCell ref="C2021:C2022"/>
    <mergeCell ref="D2021:D2022"/>
    <mergeCell ref="A2023:A2024"/>
    <mergeCell ref="B2023:B2024"/>
    <mergeCell ref="C2023:C2024"/>
    <mergeCell ref="D2023:D2024"/>
    <mergeCell ref="A2016:A2017"/>
    <mergeCell ref="B2016:B2017"/>
    <mergeCell ref="C2016:C2017"/>
    <mergeCell ref="D2016:D2017"/>
    <mergeCell ref="A2018:A2019"/>
    <mergeCell ref="B2018:B2019"/>
    <mergeCell ref="C2018:C2019"/>
    <mergeCell ref="D2018:D2019"/>
    <mergeCell ref="A2010:A2011"/>
    <mergeCell ref="B2010:B2011"/>
    <mergeCell ref="C2010:C2011"/>
    <mergeCell ref="D2010:D2011"/>
    <mergeCell ref="A2013:A2014"/>
    <mergeCell ref="B2013:B2014"/>
    <mergeCell ref="C2013:C2014"/>
    <mergeCell ref="D2013:D2014"/>
    <mergeCell ref="A2035:A2036"/>
    <mergeCell ref="B2035:B2036"/>
    <mergeCell ref="C2035:C2036"/>
    <mergeCell ref="D2035:D2036"/>
    <mergeCell ref="A2037:A2038"/>
    <mergeCell ref="B2037:B2038"/>
    <mergeCell ref="C2037:C2038"/>
    <mergeCell ref="D2037:D2038"/>
    <mergeCell ref="A2031:A2032"/>
    <mergeCell ref="B2031:B2032"/>
    <mergeCell ref="C2031:C2032"/>
    <mergeCell ref="D2031:D2032"/>
    <mergeCell ref="A2033:A2034"/>
    <mergeCell ref="B2033:B2034"/>
    <mergeCell ref="C2033:C2034"/>
    <mergeCell ref="D2033:D2034"/>
    <mergeCell ref="A2027:A2028"/>
    <mergeCell ref="B2027:B2028"/>
    <mergeCell ref="C2027:C2028"/>
    <mergeCell ref="D2027:D2028"/>
    <mergeCell ref="A2029:A2030"/>
    <mergeCell ref="B2029:B2030"/>
    <mergeCell ref="C2029:C2030"/>
    <mergeCell ref="D2029:D2030"/>
    <mergeCell ref="A2047:A2048"/>
    <mergeCell ref="B2047:B2048"/>
    <mergeCell ref="C2047:C2048"/>
    <mergeCell ref="D2047:D2048"/>
    <mergeCell ref="A2049:A2050"/>
    <mergeCell ref="B2049:B2050"/>
    <mergeCell ref="C2049:C2050"/>
    <mergeCell ref="D2049:D2050"/>
    <mergeCell ref="A2043:A2044"/>
    <mergeCell ref="B2043:B2044"/>
    <mergeCell ref="C2043:C2044"/>
    <mergeCell ref="D2043:D2044"/>
    <mergeCell ref="A2045:A2046"/>
    <mergeCell ref="B2045:B2046"/>
    <mergeCell ref="C2045:C2046"/>
    <mergeCell ref="D2045:D2046"/>
    <mergeCell ref="A2039:A2040"/>
    <mergeCell ref="B2039:B2040"/>
    <mergeCell ref="C2039:C2040"/>
    <mergeCell ref="D2039:D2040"/>
    <mergeCell ref="A2041:A2042"/>
    <mergeCell ref="B2041:B2042"/>
    <mergeCell ref="C2041:C2042"/>
    <mergeCell ref="D2041:D2042"/>
    <mergeCell ref="A2060:A2061"/>
    <mergeCell ref="B2060:B2061"/>
    <mergeCell ref="C2060:C2061"/>
    <mergeCell ref="D2060:D2061"/>
    <mergeCell ref="A2062:A2063"/>
    <mergeCell ref="B2062:B2063"/>
    <mergeCell ref="C2062:C2063"/>
    <mergeCell ref="D2062:D2063"/>
    <mergeCell ref="A2056:A2057"/>
    <mergeCell ref="B2056:B2057"/>
    <mergeCell ref="C2056:C2057"/>
    <mergeCell ref="D2056:D2057"/>
    <mergeCell ref="A2058:A2059"/>
    <mergeCell ref="B2058:B2059"/>
    <mergeCell ref="C2058:C2059"/>
    <mergeCell ref="D2058:D2059"/>
    <mergeCell ref="A2051:A2052"/>
    <mergeCell ref="B2051:B2052"/>
    <mergeCell ref="C2051:C2052"/>
    <mergeCell ref="D2051:D2052"/>
    <mergeCell ref="A2053:A2054"/>
    <mergeCell ref="B2053:B2054"/>
    <mergeCell ref="C2053:C2054"/>
    <mergeCell ref="D2053:D2054"/>
    <mergeCell ref="A2072:A2073"/>
    <mergeCell ref="B2072:B2073"/>
    <mergeCell ref="C2072:C2073"/>
    <mergeCell ref="D2072:D2073"/>
    <mergeCell ref="A2074:A2075"/>
    <mergeCell ref="B2074:B2075"/>
    <mergeCell ref="C2074:C2075"/>
    <mergeCell ref="D2074:D2075"/>
    <mergeCell ref="A2068:A2069"/>
    <mergeCell ref="B2068:B2069"/>
    <mergeCell ref="C2068:C2069"/>
    <mergeCell ref="D2068:D2069"/>
    <mergeCell ref="A2070:A2071"/>
    <mergeCell ref="B2070:B2071"/>
    <mergeCell ref="C2070:C2071"/>
    <mergeCell ref="D2070:D2071"/>
    <mergeCell ref="A2064:A2065"/>
    <mergeCell ref="B2064:B2065"/>
    <mergeCell ref="C2064:C2065"/>
    <mergeCell ref="D2064:D2065"/>
    <mergeCell ref="A2066:A2067"/>
    <mergeCell ref="B2066:B2067"/>
    <mergeCell ref="C2066:C2067"/>
    <mergeCell ref="D2066:D2067"/>
    <mergeCell ref="A2084:A2085"/>
    <mergeCell ref="B2084:B2085"/>
    <mergeCell ref="C2084:C2085"/>
    <mergeCell ref="D2084:D2085"/>
    <mergeCell ref="A2087:A2088"/>
    <mergeCell ref="B2087:B2088"/>
    <mergeCell ref="C2087:C2088"/>
    <mergeCell ref="D2087:D2088"/>
    <mergeCell ref="A2080:A2081"/>
    <mergeCell ref="B2080:B2081"/>
    <mergeCell ref="C2080:C2081"/>
    <mergeCell ref="D2080:D2081"/>
    <mergeCell ref="A2082:A2083"/>
    <mergeCell ref="B2082:B2083"/>
    <mergeCell ref="C2082:C2083"/>
    <mergeCell ref="D2082:D2083"/>
    <mergeCell ref="A2076:A2077"/>
    <mergeCell ref="B2076:B2077"/>
    <mergeCell ref="C2076:C2077"/>
    <mergeCell ref="D2076:D2077"/>
    <mergeCell ref="A2078:A2079"/>
    <mergeCell ref="B2078:B2079"/>
    <mergeCell ref="C2078:C2079"/>
    <mergeCell ref="D2078:D2079"/>
    <mergeCell ref="A2097:A2098"/>
    <mergeCell ref="B2097:B2098"/>
    <mergeCell ref="C2097:C2098"/>
    <mergeCell ref="D2097:D2098"/>
    <mergeCell ref="A2100:A2101"/>
    <mergeCell ref="B2100:B2101"/>
    <mergeCell ref="C2100:C2101"/>
    <mergeCell ref="D2100:D2101"/>
    <mergeCell ref="A2093:A2094"/>
    <mergeCell ref="B2093:B2094"/>
    <mergeCell ref="C2093:C2094"/>
    <mergeCell ref="D2093:D2094"/>
    <mergeCell ref="A2095:A2096"/>
    <mergeCell ref="B2095:B2096"/>
    <mergeCell ref="C2095:C2096"/>
    <mergeCell ref="D2095:D2096"/>
    <mergeCell ref="A2089:A2090"/>
    <mergeCell ref="B2089:B2090"/>
    <mergeCell ref="C2089:C2090"/>
    <mergeCell ref="D2089:D2090"/>
    <mergeCell ref="A2091:A2092"/>
    <mergeCell ref="B2091:B2092"/>
    <mergeCell ref="C2091:C2092"/>
    <mergeCell ref="D2091:D2092"/>
    <mergeCell ref="A2111:A2112"/>
    <mergeCell ref="B2111:B2112"/>
    <mergeCell ref="C2111:C2112"/>
    <mergeCell ref="D2111:D2112"/>
    <mergeCell ref="A2113:A2114"/>
    <mergeCell ref="B2113:B2114"/>
    <mergeCell ref="C2113:C2114"/>
    <mergeCell ref="D2113:D2114"/>
    <mergeCell ref="A2106:A2107"/>
    <mergeCell ref="B2106:B2107"/>
    <mergeCell ref="C2106:C2107"/>
    <mergeCell ref="D2106:D2107"/>
    <mergeCell ref="A2108:A2109"/>
    <mergeCell ref="B2108:B2109"/>
    <mergeCell ref="C2108:C2109"/>
    <mergeCell ref="D2108:D2109"/>
    <mergeCell ref="A2102:A2103"/>
    <mergeCell ref="B2102:B2103"/>
    <mergeCell ref="C2102:C2103"/>
    <mergeCell ref="D2102:D2103"/>
    <mergeCell ref="A2104:A2105"/>
    <mergeCell ref="B2104:B2105"/>
    <mergeCell ref="C2104:C2105"/>
    <mergeCell ref="D2104:D2105"/>
    <mergeCell ref="A2123:A2124"/>
    <mergeCell ref="B2123:B2124"/>
    <mergeCell ref="C2123:C2124"/>
    <mergeCell ref="D2123:D2124"/>
    <mergeCell ref="A2125:A2126"/>
    <mergeCell ref="B2125:B2126"/>
    <mergeCell ref="C2125:C2126"/>
    <mergeCell ref="D2125:D2126"/>
    <mergeCell ref="A2119:A2120"/>
    <mergeCell ref="B2119:B2120"/>
    <mergeCell ref="C2119:C2120"/>
    <mergeCell ref="D2119:D2120"/>
    <mergeCell ref="A2121:A2122"/>
    <mergeCell ref="B2121:B2122"/>
    <mergeCell ref="C2121:C2122"/>
    <mergeCell ref="D2121:D2122"/>
    <mergeCell ref="A2115:A2116"/>
    <mergeCell ref="B2115:B2116"/>
    <mergeCell ref="C2115:C2116"/>
    <mergeCell ref="D2115:D2116"/>
    <mergeCell ref="A2117:A2118"/>
    <mergeCell ref="B2117:B2118"/>
    <mergeCell ref="C2117:C2118"/>
    <mergeCell ref="D2117:D2118"/>
    <mergeCell ref="A2139:A2140"/>
    <mergeCell ref="B2139:B2140"/>
    <mergeCell ref="C2139:C2140"/>
    <mergeCell ref="D2139:D2140"/>
    <mergeCell ref="A2142:A2143"/>
    <mergeCell ref="B2142:B2143"/>
    <mergeCell ref="C2142:C2143"/>
    <mergeCell ref="D2142:D2143"/>
    <mergeCell ref="A2133:A2134"/>
    <mergeCell ref="B2133:B2134"/>
    <mergeCell ref="C2133:C2134"/>
    <mergeCell ref="D2133:D2134"/>
    <mergeCell ref="A2137:A2138"/>
    <mergeCell ref="B2137:B2138"/>
    <mergeCell ref="C2137:C2138"/>
    <mergeCell ref="D2137:D2138"/>
    <mergeCell ref="A2127:A2128"/>
    <mergeCell ref="B2127:B2128"/>
    <mergeCell ref="C2127:C2128"/>
    <mergeCell ref="D2127:D2128"/>
    <mergeCell ref="A2129:A2130"/>
    <mergeCell ref="B2129:B2130"/>
    <mergeCell ref="C2129:C2130"/>
    <mergeCell ref="D2129:D2130"/>
    <mergeCell ref="A2156:A2157"/>
    <mergeCell ref="B2156:B2157"/>
    <mergeCell ref="C2156:C2157"/>
    <mergeCell ref="D2156:D2157"/>
    <mergeCell ref="A2159:A2160"/>
    <mergeCell ref="B2159:B2160"/>
    <mergeCell ref="C2159:C2160"/>
    <mergeCell ref="D2159:D2160"/>
    <mergeCell ref="A2150:A2151"/>
    <mergeCell ref="B2150:B2151"/>
    <mergeCell ref="C2150:C2151"/>
    <mergeCell ref="D2150:D2151"/>
    <mergeCell ref="A2154:A2155"/>
    <mergeCell ref="B2154:B2155"/>
    <mergeCell ref="C2154:C2155"/>
    <mergeCell ref="D2154:D2155"/>
    <mergeCell ref="A2144:A2145"/>
    <mergeCell ref="B2144:B2145"/>
    <mergeCell ref="C2144:C2145"/>
    <mergeCell ref="D2144:D2145"/>
    <mergeCell ref="A2146:A2147"/>
    <mergeCell ref="B2146:B2147"/>
    <mergeCell ref="C2146:C2147"/>
    <mergeCell ref="D2146:D2147"/>
    <mergeCell ref="A2170:A2171"/>
    <mergeCell ref="B2170:B2171"/>
    <mergeCell ref="C2170:C2171"/>
    <mergeCell ref="D2170:D2171"/>
    <mergeCell ref="A2173:A2174"/>
    <mergeCell ref="B2173:B2174"/>
    <mergeCell ref="C2173:C2174"/>
    <mergeCell ref="D2173:D2174"/>
    <mergeCell ref="A2166:A2167"/>
    <mergeCell ref="B2166:B2167"/>
    <mergeCell ref="C2166:C2167"/>
    <mergeCell ref="D2166:D2167"/>
    <mergeCell ref="A2168:A2169"/>
    <mergeCell ref="B2168:B2169"/>
    <mergeCell ref="C2168:C2169"/>
    <mergeCell ref="D2168:D2169"/>
    <mergeCell ref="A2161:A2162"/>
    <mergeCell ref="B2161:B2162"/>
    <mergeCell ref="C2161:C2162"/>
    <mergeCell ref="D2161:D2162"/>
    <mergeCell ref="A2164:A2165"/>
    <mergeCell ref="B2164:B2165"/>
    <mergeCell ref="C2164:C2165"/>
    <mergeCell ref="D2164:D2165"/>
    <mergeCell ref="A2187:A2188"/>
    <mergeCell ref="B2187:B2188"/>
    <mergeCell ref="C2187:C2188"/>
    <mergeCell ref="D2187:D2188"/>
    <mergeCell ref="A2189:A2190"/>
    <mergeCell ref="B2189:B2190"/>
    <mergeCell ref="C2189:C2190"/>
    <mergeCell ref="D2189:D2190"/>
    <mergeCell ref="A2180:A2181"/>
    <mergeCell ref="B2180:B2181"/>
    <mergeCell ref="C2180:C2181"/>
    <mergeCell ref="D2180:D2181"/>
    <mergeCell ref="A2184:A2185"/>
    <mergeCell ref="B2184:B2185"/>
    <mergeCell ref="C2184:C2185"/>
    <mergeCell ref="D2184:D2185"/>
    <mergeCell ref="A2176:A2177"/>
    <mergeCell ref="B2176:B2177"/>
    <mergeCell ref="C2176:C2177"/>
    <mergeCell ref="D2176:D2177"/>
    <mergeCell ref="A2178:A2179"/>
    <mergeCell ref="B2178:B2179"/>
    <mergeCell ref="C2178:C2179"/>
    <mergeCell ref="D2178:D2179"/>
    <mergeCell ref="A2201:A2202"/>
    <mergeCell ref="B2201:B2202"/>
    <mergeCell ref="C2201:C2202"/>
    <mergeCell ref="D2201:D2202"/>
    <mergeCell ref="A2203:A2204"/>
    <mergeCell ref="B2203:B2204"/>
    <mergeCell ref="C2203:C2204"/>
    <mergeCell ref="D2203:D2204"/>
    <mergeCell ref="A2196:A2197"/>
    <mergeCell ref="B2196:B2197"/>
    <mergeCell ref="C2196:C2197"/>
    <mergeCell ref="D2196:D2197"/>
    <mergeCell ref="A2198:A2199"/>
    <mergeCell ref="B2198:B2199"/>
    <mergeCell ref="C2198:C2199"/>
    <mergeCell ref="D2198:D2199"/>
    <mergeCell ref="A2192:A2193"/>
    <mergeCell ref="B2192:B2193"/>
    <mergeCell ref="C2192:C2193"/>
    <mergeCell ref="D2192:D2193"/>
    <mergeCell ref="A2194:A2195"/>
    <mergeCell ref="B2194:B2195"/>
    <mergeCell ref="C2194:C2195"/>
    <mergeCell ref="D2194:D2195"/>
    <mergeCell ref="A2213:A2214"/>
    <mergeCell ref="B2213:B2214"/>
    <mergeCell ref="C2213:C2214"/>
    <mergeCell ref="D2213:D2214"/>
    <mergeCell ref="A2215:A2216"/>
    <mergeCell ref="B2215:B2216"/>
    <mergeCell ref="C2215:C2216"/>
    <mergeCell ref="D2215:D2216"/>
    <mergeCell ref="A2209:A2210"/>
    <mergeCell ref="B2209:B2210"/>
    <mergeCell ref="C2209:C2210"/>
    <mergeCell ref="D2209:D2210"/>
    <mergeCell ref="A2211:A2212"/>
    <mergeCell ref="B2211:B2212"/>
    <mergeCell ref="C2211:C2212"/>
    <mergeCell ref="D2211:D2212"/>
    <mergeCell ref="A2205:A2206"/>
    <mergeCell ref="B2205:B2206"/>
    <mergeCell ref="C2205:C2206"/>
    <mergeCell ref="D2205:D2206"/>
    <mergeCell ref="A2207:A2208"/>
    <mergeCell ref="B2207:B2208"/>
    <mergeCell ref="C2207:C2208"/>
    <mergeCell ref="D2207:D2208"/>
    <mergeCell ref="A2226:A2227"/>
    <mergeCell ref="B2226:B2227"/>
    <mergeCell ref="C2226:C2227"/>
    <mergeCell ref="D2226:D2227"/>
    <mergeCell ref="A2228:A2229"/>
    <mergeCell ref="B2228:B2229"/>
    <mergeCell ref="C2228:C2229"/>
    <mergeCell ref="D2228:D2229"/>
    <mergeCell ref="A2221:A2222"/>
    <mergeCell ref="B2221:B2222"/>
    <mergeCell ref="C2221:C2222"/>
    <mergeCell ref="D2221:D2222"/>
    <mergeCell ref="A2224:A2225"/>
    <mergeCell ref="B2224:B2225"/>
    <mergeCell ref="C2224:C2225"/>
    <mergeCell ref="D2224:D2225"/>
    <mergeCell ref="A2217:A2218"/>
    <mergeCell ref="B2217:B2218"/>
    <mergeCell ref="C2217:C2218"/>
    <mergeCell ref="D2217:D2218"/>
    <mergeCell ref="A2219:A2220"/>
    <mergeCell ref="B2219:B2220"/>
    <mergeCell ref="C2219:C2220"/>
    <mergeCell ref="D2219:D2220"/>
    <mergeCell ref="A2238:A2239"/>
    <mergeCell ref="B2238:B2239"/>
    <mergeCell ref="C2238:C2239"/>
    <mergeCell ref="D2238:D2239"/>
    <mergeCell ref="A2240:A2241"/>
    <mergeCell ref="B2240:B2241"/>
    <mergeCell ref="C2240:C2241"/>
    <mergeCell ref="D2240:D2241"/>
    <mergeCell ref="A2234:A2235"/>
    <mergeCell ref="B2234:B2235"/>
    <mergeCell ref="C2234:C2235"/>
    <mergeCell ref="D2234:D2235"/>
    <mergeCell ref="A2236:A2237"/>
    <mergeCell ref="B2236:B2237"/>
    <mergeCell ref="C2236:C2237"/>
    <mergeCell ref="D2236:D2237"/>
    <mergeCell ref="A2230:A2231"/>
    <mergeCell ref="B2230:B2231"/>
    <mergeCell ref="C2230:C2231"/>
    <mergeCell ref="D2230:D2231"/>
    <mergeCell ref="A2232:A2233"/>
    <mergeCell ref="B2232:B2233"/>
    <mergeCell ref="C2232:C2233"/>
    <mergeCell ref="D2232:D2233"/>
    <mergeCell ref="A2250:A2251"/>
    <mergeCell ref="B2250:B2251"/>
    <mergeCell ref="C2250:C2251"/>
    <mergeCell ref="D2250:D2251"/>
    <mergeCell ref="A2252:A2253"/>
    <mergeCell ref="B2252:B2253"/>
    <mergeCell ref="C2252:C2253"/>
    <mergeCell ref="D2252:D2253"/>
    <mergeCell ref="A2246:A2247"/>
    <mergeCell ref="B2246:B2247"/>
    <mergeCell ref="C2246:C2247"/>
    <mergeCell ref="D2246:D2247"/>
    <mergeCell ref="A2248:A2249"/>
    <mergeCell ref="B2248:B2249"/>
    <mergeCell ref="C2248:C2249"/>
    <mergeCell ref="D2248:D2249"/>
    <mergeCell ref="A2242:A2243"/>
    <mergeCell ref="B2242:B2243"/>
    <mergeCell ref="C2242:C2243"/>
    <mergeCell ref="D2242:D2243"/>
    <mergeCell ref="A2244:A2245"/>
    <mergeCell ref="B2244:B2245"/>
    <mergeCell ref="C2244:C2245"/>
    <mergeCell ref="D2244:D2245"/>
    <mergeCell ref="A2271:A2272"/>
    <mergeCell ref="B2271:B2272"/>
    <mergeCell ref="C2271:C2272"/>
    <mergeCell ref="D2271:D2272"/>
    <mergeCell ref="A2273:A2274"/>
    <mergeCell ref="B2273:B2274"/>
    <mergeCell ref="C2273:C2274"/>
    <mergeCell ref="D2273:D2274"/>
    <mergeCell ref="A2262:A2263"/>
    <mergeCell ref="B2262:B2263"/>
    <mergeCell ref="C2262:C2263"/>
    <mergeCell ref="D2262:D2263"/>
    <mergeCell ref="A2265:A2266"/>
    <mergeCell ref="B2265:B2266"/>
    <mergeCell ref="C2265:C2266"/>
    <mergeCell ref="D2265:D2266"/>
    <mergeCell ref="A2255:A2256"/>
    <mergeCell ref="B2255:B2256"/>
    <mergeCell ref="C2255:C2256"/>
    <mergeCell ref="D2255:D2256"/>
    <mergeCell ref="A2258:A2259"/>
    <mergeCell ref="B2258:B2259"/>
    <mergeCell ref="C2258:C2259"/>
    <mergeCell ref="D2258:D2259"/>
    <mergeCell ref="A2285:A2286"/>
    <mergeCell ref="B2285:B2286"/>
    <mergeCell ref="C2285:C2286"/>
    <mergeCell ref="D2285:D2286"/>
    <mergeCell ref="A2287:A2288"/>
    <mergeCell ref="B2287:B2288"/>
    <mergeCell ref="C2287:C2288"/>
    <mergeCell ref="D2287:D2288"/>
    <mergeCell ref="A2281:A2282"/>
    <mergeCell ref="B2281:B2282"/>
    <mergeCell ref="C2281:C2282"/>
    <mergeCell ref="D2281:D2282"/>
    <mergeCell ref="A2283:A2284"/>
    <mergeCell ref="B2283:B2284"/>
    <mergeCell ref="C2283:C2284"/>
    <mergeCell ref="D2283:D2284"/>
    <mergeCell ref="A2276:A2277"/>
    <mergeCell ref="B2276:B2277"/>
    <mergeCell ref="C2276:C2277"/>
    <mergeCell ref="D2276:D2277"/>
    <mergeCell ref="A2278:A2279"/>
    <mergeCell ref="B2278:B2279"/>
    <mergeCell ref="C2278:C2279"/>
    <mergeCell ref="D2278:D2279"/>
    <mergeCell ref="A2304:A2305"/>
    <mergeCell ref="B2304:B2305"/>
    <mergeCell ref="C2304:C2305"/>
    <mergeCell ref="D2304:D2305"/>
    <mergeCell ref="A2306:A2307"/>
    <mergeCell ref="B2306:B2307"/>
    <mergeCell ref="C2306:C2307"/>
    <mergeCell ref="D2306:D2307"/>
    <mergeCell ref="A2298:A2299"/>
    <mergeCell ref="B2298:B2299"/>
    <mergeCell ref="C2298:C2299"/>
    <mergeCell ref="D2298:D2299"/>
    <mergeCell ref="A2300:A2301"/>
    <mergeCell ref="B2300:B2301"/>
    <mergeCell ref="C2300:C2301"/>
    <mergeCell ref="D2300:D2301"/>
    <mergeCell ref="A2289:A2290"/>
    <mergeCell ref="B2289:B2290"/>
    <mergeCell ref="C2289:C2290"/>
    <mergeCell ref="D2289:D2290"/>
    <mergeCell ref="A2294:A2295"/>
    <mergeCell ref="B2294:B2295"/>
    <mergeCell ref="C2294:C2295"/>
    <mergeCell ref="D2294:D2295"/>
    <mergeCell ref="A2318:A2319"/>
    <mergeCell ref="B2318:B2319"/>
    <mergeCell ref="C2318:C2319"/>
    <mergeCell ref="D2318:D2319"/>
    <mergeCell ref="A2321:A2322"/>
    <mergeCell ref="B2321:B2322"/>
    <mergeCell ref="C2321:C2322"/>
    <mergeCell ref="D2321:D2322"/>
    <mergeCell ref="A2313:A2314"/>
    <mergeCell ref="B2313:B2314"/>
    <mergeCell ref="C2313:C2314"/>
    <mergeCell ref="D2313:D2314"/>
    <mergeCell ref="A2316:A2317"/>
    <mergeCell ref="B2316:B2317"/>
    <mergeCell ref="C2316:C2317"/>
    <mergeCell ref="D2316:D2317"/>
    <mergeCell ref="A2309:A2310"/>
    <mergeCell ref="B2309:B2310"/>
    <mergeCell ref="C2309:C2310"/>
    <mergeCell ref="D2309:D2310"/>
    <mergeCell ref="A2311:A2312"/>
    <mergeCell ref="B2311:B2312"/>
    <mergeCell ref="C2311:C2312"/>
    <mergeCell ref="D2311:D2312"/>
    <mergeCell ref="A2335:A2336"/>
    <mergeCell ref="B2335:B2336"/>
    <mergeCell ref="C2335:C2336"/>
    <mergeCell ref="D2335:D2336"/>
    <mergeCell ref="A2337:A2338"/>
    <mergeCell ref="B2337:B2338"/>
    <mergeCell ref="C2337:C2338"/>
    <mergeCell ref="D2337:D2338"/>
    <mergeCell ref="A2330:A2331"/>
    <mergeCell ref="B2330:B2331"/>
    <mergeCell ref="C2330:C2331"/>
    <mergeCell ref="D2330:D2331"/>
    <mergeCell ref="A2332:A2333"/>
    <mergeCell ref="B2332:B2333"/>
    <mergeCell ref="C2332:C2333"/>
    <mergeCell ref="D2332:D2333"/>
    <mergeCell ref="A2326:A2327"/>
    <mergeCell ref="B2326:B2327"/>
    <mergeCell ref="C2326:C2327"/>
    <mergeCell ref="D2326:D2327"/>
    <mergeCell ref="A2328:A2329"/>
    <mergeCell ref="B2328:B2329"/>
    <mergeCell ref="C2328:C2329"/>
    <mergeCell ref="D2328:D2329"/>
    <mergeCell ref="A2349:A2350"/>
    <mergeCell ref="B2349:B2350"/>
    <mergeCell ref="C2349:C2350"/>
    <mergeCell ref="D2349:D2350"/>
    <mergeCell ref="A2351:A2352"/>
    <mergeCell ref="B2351:B2352"/>
    <mergeCell ref="C2351:C2352"/>
    <mergeCell ref="D2351:D2352"/>
    <mergeCell ref="A2343:A2344"/>
    <mergeCell ref="B2343:B2344"/>
    <mergeCell ref="C2343:C2344"/>
    <mergeCell ref="D2343:D2344"/>
    <mergeCell ref="A2345:A2346"/>
    <mergeCell ref="B2345:B2346"/>
    <mergeCell ref="C2345:C2346"/>
    <mergeCell ref="D2345:D2346"/>
    <mergeCell ref="A2339:A2340"/>
    <mergeCell ref="B2339:B2340"/>
    <mergeCell ref="C2339:C2340"/>
    <mergeCell ref="D2339:D2340"/>
    <mergeCell ref="A2341:A2342"/>
    <mergeCell ref="B2341:B2342"/>
    <mergeCell ref="C2341:C2342"/>
    <mergeCell ref="D2341:D2342"/>
    <mergeCell ref="A2362:A2363"/>
    <mergeCell ref="B2362:B2363"/>
    <mergeCell ref="C2362:C2363"/>
    <mergeCell ref="D2362:D2363"/>
    <mergeCell ref="A2366:A2367"/>
    <mergeCell ref="B2366:B2367"/>
    <mergeCell ref="C2366:C2367"/>
    <mergeCell ref="D2366:D2367"/>
    <mergeCell ref="A2357:A2358"/>
    <mergeCell ref="B2357:B2358"/>
    <mergeCell ref="C2357:C2358"/>
    <mergeCell ref="D2357:D2358"/>
    <mergeCell ref="A2359:A2360"/>
    <mergeCell ref="B2359:B2360"/>
    <mergeCell ref="C2359:C2360"/>
    <mergeCell ref="D2359:D2360"/>
    <mergeCell ref="A2353:A2354"/>
    <mergeCell ref="B2353:B2354"/>
    <mergeCell ref="C2353:C2354"/>
    <mergeCell ref="D2353:D2354"/>
    <mergeCell ref="A2355:A2356"/>
    <mergeCell ref="B2355:B2356"/>
    <mergeCell ref="C2355:C2356"/>
    <mergeCell ref="D2355:D2356"/>
    <mergeCell ref="A2378:A2379"/>
    <mergeCell ref="B2378:B2379"/>
    <mergeCell ref="C2378:C2379"/>
    <mergeCell ref="D2378:D2379"/>
    <mergeCell ref="A2381:A2382"/>
    <mergeCell ref="B2381:B2382"/>
    <mergeCell ref="C2381:C2382"/>
    <mergeCell ref="D2381:D2382"/>
    <mergeCell ref="A2372:A2373"/>
    <mergeCell ref="B2372:B2373"/>
    <mergeCell ref="C2372:C2373"/>
    <mergeCell ref="D2372:D2373"/>
    <mergeCell ref="A2376:A2377"/>
    <mergeCell ref="B2376:B2377"/>
    <mergeCell ref="C2376:C2377"/>
    <mergeCell ref="D2376:D2377"/>
    <mergeCell ref="A2368:A2369"/>
    <mergeCell ref="B2368:B2369"/>
    <mergeCell ref="C2368:C2369"/>
    <mergeCell ref="D2368:D2369"/>
    <mergeCell ref="A2370:A2371"/>
    <mergeCell ref="B2370:B2371"/>
    <mergeCell ref="C2370:C2371"/>
    <mergeCell ref="D2370:D2371"/>
    <mergeCell ref="A2391:A2392"/>
    <mergeCell ref="B2391:B2392"/>
    <mergeCell ref="C2391:C2392"/>
    <mergeCell ref="D2391:D2392"/>
    <mergeCell ref="A2394:A2395"/>
    <mergeCell ref="B2394:B2395"/>
    <mergeCell ref="C2394:C2395"/>
    <mergeCell ref="D2394:D2395"/>
    <mergeCell ref="A2387:A2388"/>
    <mergeCell ref="B2387:B2388"/>
    <mergeCell ref="C2387:C2388"/>
    <mergeCell ref="D2387:D2388"/>
    <mergeCell ref="A2389:A2390"/>
    <mergeCell ref="B2389:B2390"/>
    <mergeCell ref="C2389:C2390"/>
    <mergeCell ref="D2389:D2390"/>
    <mergeCell ref="A2383:A2384"/>
    <mergeCell ref="B2383:B2384"/>
    <mergeCell ref="C2383:C2384"/>
    <mergeCell ref="D2383:D2384"/>
    <mergeCell ref="A2385:A2386"/>
    <mergeCell ref="B2385:B2386"/>
    <mergeCell ref="C2385:C2386"/>
    <mergeCell ref="D2385:D2386"/>
    <mergeCell ref="A2411:A2412"/>
    <mergeCell ref="B2411:B2412"/>
    <mergeCell ref="C2411:C2412"/>
    <mergeCell ref="D2411:D2412"/>
    <mergeCell ref="A2415:A2416"/>
    <mergeCell ref="B2415:B2416"/>
    <mergeCell ref="C2415:C2416"/>
    <mergeCell ref="D2415:D2416"/>
    <mergeCell ref="A2405:A2406"/>
    <mergeCell ref="B2405:B2406"/>
    <mergeCell ref="C2405:C2406"/>
    <mergeCell ref="D2405:D2406"/>
    <mergeCell ref="A2407:A2408"/>
    <mergeCell ref="B2407:B2408"/>
    <mergeCell ref="C2407:C2408"/>
    <mergeCell ref="D2407:D2408"/>
    <mergeCell ref="A2399:A2400"/>
    <mergeCell ref="B2399:B2400"/>
    <mergeCell ref="C2399:C2400"/>
    <mergeCell ref="D2399:D2400"/>
    <mergeCell ref="A2401:A2402"/>
    <mergeCell ref="B2401:B2402"/>
    <mergeCell ref="C2401:C2402"/>
    <mergeCell ref="D2401:D2402"/>
    <mergeCell ref="A2426:A2427"/>
    <mergeCell ref="B2426:B2427"/>
    <mergeCell ref="C2426:C2427"/>
    <mergeCell ref="D2426:D2427"/>
    <mergeCell ref="A2428:A2429"/>
    <mergeCell ref="B2428:B2429"/>
    <mergeCell ref="C2428:C2429"/>
    <mergeCell ref="D2428:D2429"/>
    <mergeCell ref="A2422:A2423"/>
    <mergeCell ref="B2422:B2423"/>
    <mergeCell ref="C2422:C2423"/>
    <mergeCell ref="D2422:D2423"/>
    <mergeCell ref="A2424:A2425"/>
    <mergeCell ref="B2424:B2425"/>
    <mergeCell ref="C2424:C2425"/>
    <mergeCell ref="D2424:D2425"/>
    <mergeCell ref="A2418:A2419"/>
    <mergeCell ref="B2418:B2419"/>
    <mergeCell ref="C2418:C2419"/>
    <mergeCell ref="D2418:D2419"/>
    <mergeCell ref="A2420:A2421"/>
    <mergeCell ref="B2420:B2421"/>
    <mergeCell ref="C2420:C2421"/>
    <mergeCell ref="D2420:D2421"/>
    <mergeCell ref="A2441:A2442"/>
    <mergeCell ref="B2441:B2442"/>
    <mergeCell ref="C2441:C2442"/>
    <mergeCell ref="D2441:D2442"/>
    <mergeCell ref="A2444:A2445"/>
    <mergeCell ref="B2444:B2445"/>
    <mergeCell ref="C2444:C2445"/>
    <mergeCell ref="D2444:D2445"/>
    <mergeCell ref="A2434:A2435"/>
    <mergeCell ref="B2434:B2435"/>
    <mergeCell ref="C2434:C2435"/>
    <mergeCell ref="D2434:D2435"/>
    <mergeCell ref="A2437:A2438"/>
    <mergeCell ref="B2437:B2438"/>
    <mergeCell ref="C2437:C2438"/>
    <mergeCell ref="D2437:D2438"/>
    <mergeCell ref="A2430:A2431"/>
    <mergeCell ref="B2430:B2431"/>
    <mergeCell ref="C2430:C2431"/>
    <mergeCell ref="D2430:D2431"/>
    <mergeCell ref="A2432:A2433"/>
    <mergeCell ref="B2432:B2433"/>
    <mergeCell ref="C2432:C2433"/>
    <mergeCell ref="D2432:D2433"/>
    <mergeCell ref="A2457:A2458"/>
    <mergeCell ref="B2457:B2458"/>
    <mergeCell ref="C2457:C2458"/>
    <mergeCell ref="D2457:D2458"/>
    <mergeCell ref="A2459:A2460"/>
    <mergeCell ref="B2459:B2460"/>
    <mergeCell ref="C2459:C2460"/>
    <mergeCell ref="D2459:D2460"/>
    <mergeCell ref="A2451:A2452"/>
    <mergeCell ref="B2451:B2452"/>
    <mergeCell ref="C2451:C2452"/>
    <mergeCell ref="D2451:D2452"/>
    <mergeCell ref="A2453:A2454"/>
    <mergeCell ref="B2453:B2454"/>
    <mergeCell ref="C2453:C2454"/>
    <mergeCell ref="D2453:D2454"/>
    <mergeCell ref="A2446:A2447"/>
    <mergeCell ref="B2446:B2447"/>
    <mergeCell ref="C2446:C2447"/>
    <mergeCell ref="D2446:D2447"/>
    <mergeCell ref="A2449:A2450"/>
    <mergeCell ref="B2449:B2450"/>
    <mergeCell ref="C2449:C2450"/>
    <mergeCell ref="D2449:D2450"/>
    <mergeCell ref="A2470:A2471"/>
    <mergeCell ref="B2470:B2471"/>
    <mergeCell ref="C2470:C2471"/>
    <mergeCell ref="D2470:D2471"/>
    <mergeCell ref="A2472:A2473"/>
    <mergeCell ref="B2472:B2473"/>
    <mergeCell ref="C2472:C2473"/>
    <mergeCell ref="D2472:D2473"/>
    <mergeCell ref="A2465:A2466"/>
    <mergeCell ref="B2465:B2466"/>
    <mergeCell ref="C2465:C2466"/>
    <mergeCell ref="D2465:D2466"/>
    <mergeCell ref="A2467:A2468"/>
    <mergeCell ref="B2467:B2468"/>
    <mergeCell ref="C2467:C2468"/>
    <mergeCell ref="D2467:D2468"/>
    <mergeCell ref="A2461:A2462"/>
    <mergeCell ref="B2461:B2462"/>
    <mergeCell ref="C2461:C2462"/>
    <mergeCell ref="D2461:D2462"/>
    <mergeCell ref="A2463:A2464"/>
    <mergeCell ref="B2463:B2464"/>
    <mergeCell ref="C2463:C2464"/>
    <mergeCell ref="D2463:D2464"/>
    <mergeCell ref="A2483:A2484"/>
    <mergeCell ref="B2483:B2484"/>
    <mergeCell ref="C2483:C2484"/>
    <mergeCell ref="D2483:D2484"/>
    <mergeCell ref="A2485:A2486"/>
    <mergeCell ref="B2485:B2486"/>
    <mergeCell ref="C2485:C2486"/>
    <mergeCell ref="D2485:D2486"/>
    <mergeCell ref="A2479:A2480"/>
    <mergeCell ref="B2479:B2480"/>
    <mergeCell ref="C2479:C2480"/>
    <mergeCell ref="D2479:D2480"/>
    <mergeCell ref="A2481:A2482"/>
    <mergeCell ref="B2481:B2482"/>
    <mergeCell ref="C2481:C2482"/>
    <mergeCell ref="D2481:D2482"/>
    <mergeCell ref="A2475:A2476"/>
    <mergeCell ref="B2475:B2476"/>
    <mergeCell ref="C2475:C2476"/>
    <mergeCell ref="D2475:D2476"/>
    <mergeCell ref="A2477:A2478"/>
    <mergeCell ref="B2477:B2478"/>
    <mergeCell ref="C2477:C2478"/>
    <mergeCell ref="D2477:D2478"/>
    <mergeCell ref="AD2505:AE2505"/>
    <mergeCell ref="B2495:B2498"/>
    <mergeCell ref="C2495:E2495"/>
    <mergeCell ref="C2496:E2496"/>
    <mergeCell ref="C2497:E2497"/>
    <mergeCell ref="C2498:E2498"/>
    <mergeCell ref="B2499:B2502"/>
    <mergeCell ref="C2499:E2499"/>
    <mergeCell ref="C2500:E2500"/>
    <mergeCell ref="C2501:E2501"/>
    <mergeCell ref="C2502:E2502"/>
    <mergeCell ref="A2488:A2489"/>
    <mergeCell ref="B2488:B2489"/>
    <mergeCell ref="C2488:C2489"/>
    <mergeCell ref="D2488:D2489"/>
    <mergeCell ref="A2490:A2491"/>
    <mergeCell ref="B2490:B2491"/>
    <mergeCell ref="C2490:C2491"/>
    <mergeCell ref="D2490:D2491"/>
  </mergeCells>
  <conditionalFormatting sqref="C1307:D1307">
    <cfRule type="expression" dxfId="7" priority="1">
      <formula>#REF!="T"</formula>
    </cfRule>
  </conditionalFormatting>
  <conditionalFormatting sqref="D1002:D1004 D1007:D1008 D1013 D1020:D1022 D1025:D1026 D1029 D1032 D1039 D1044 D1049:D1050 D1055:D1057">
    <cfRule type="expression" dxfId="6" priority="8">
      <formula>#REF!="T"</formula>
    </cfRule>
  </conditionalFormatting>
  <conditionalFormatting sqref="D1065">
    <cfRule type="expression" dxfId="5" priority="7">
      <formula>#REF!="T"</formula>
    </cfRule>
  </conditionalFormatting>
  <conditionalFormatting sqref="D1069">
    <cfRule type="expression" dxfId="4" priority="6">
      <formula>#REF!="T"</formula>
    </cfRule>
  </conditionalFormatting>
  <conditionalFormatting sqref="D1119">
    <cfRule type="expression" dxfId="3" priority="5">
      <formula>#REF!="T"</formula>
    </cfRule>
  </conditionalFormatting>
  <conditionalFormatting sqref="D1124">
    <cfRule type="expression" dxfId="2" priority="4">
      <formula>#REF!="T"</formula>
    </cfRule>
  </conditionalFormatting>
  <conditionalFormatting sqref="D1252">
    <cfRule type="expression" dxfId="1" priority="3">
      <formula>#REF!="T"</formula>
    </cfRule>
  </conditionalFormatting>
  <conditionalFormatting sqref="D1260">
    <cfRule type="expression" dxfId="0" priority="2">
      <formula>#REF!="T"</formula>
    </cfRule>
  </conditionalFormatting>
  <printOptions horizontalCentered="1"/>
  <pageMargins left="0.23622047244094488" right="0.23622047244094488" top="0.74803149606299213" bottom="0.74803149606299213" header="0.31496062992125984" footer="0.31496062992125984"/>
  <pageSetup paperSize="9" scale="15" fitToHeight="0" orientation="portrait" r:id="rId1"/>
  <headerFooter scaleWithDoc="0" alignWithMargins="0"/>
  <rowBreaks count="18" manualBreakCount="18">
    <brk id="66" max="29" man="1"/>
    <brk id="119" max="29" man="1"/>
    <brk id="329" max="26" man="1"/>
    <brk id="383" max="29" man="1"/>
    <brk id="545" max="29" man="1"/>
    <brk id="599" max="29" man="1"/>
    <brk id="653" max="29" man="1"/>
    <brk id="707" max="29" man="1"/>
    <brk id="760" max="29" man="1"/>
    <brk id="810" max="29" man="1"/>
    <brk id="860" max="29" man="1"/>
    <brk id="910" max="29" man="1"/>
    <brk id="1006" max="26" man="1"/>
    <brk id="1056" max="29" man="1"/>
    <brk id="1108" max="29" man="1"/>
    <brk id="1159" max="29" man="1"/>
    <brk id="1210" max="29" man="1"/>
    <brk id="1261" max="29"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dimension ref="A1:N270"/>
  <sheetViews>
    <sheetView view="pageBreakPreview" zoomScale="70" zoomScaleNormal="85" zoomScaleSheetLayoutView="70" zoomScalePageLayoutView="85" workbookViewId="0">
      <pane ySplit="1" topLeftCell="A2" activePane="bottomLeft" state="frozen"/>
      <selection pane="bottomLeft" activeCell="B40" sqref="B40"/>
    </sheetView>
  </sheetViews>
  <sheetFormatPr baseColWidth="10" defaultColWidth="11.42578125" defaultRowHeight="12.75"/>
  <cols>
    <col min="1" max="1" width="20.28515625" style="91" customWidth="1"/>
    <col min="2" max="2" width="64.7109375" style="91" customWidth="1"/>
    <col min="3" max="3" width="9" style="91" customWidth="1"/>
    <col min="4" max="4" width="10.7109375" style="91" bestFit="1" customWidth="1"/>
    <col min="5" max="5" width="9.28515625" style="91" customWidth="1"/>
    <col min="6" max="6" width="10.42578125" style="91" customWidth="1"/>
    <col min="7" max="7" width="7.7109375" style="91" customWidth="1"/>
    <col min="8" max="8" width="10.7109375" style="91" customWidth="1"/>
    <col min="9" max="9" width="14.140625" style="92" customWidth="1"/>
    <col min="10" max="10" width="10.42578125" style="195" customWidth="1"/>
    <col min="11" max="11" width="5.140625" style="94" customWidth="1"/>
    <col min="12" max="12" width="17.7109375" style="91" customWidth="1"/>
    <col min="13" max="13" width="11.42578125" style="91"/>
    <col min="14" max="14" width="3.5703125" style="91" bestFit="1" customWidth="1"/>
    <col min="15" max="15" width="4.42578125" style="91" bestFit="1" customWidth="1"/>
    <col min="16" max="16" width="20.42578125" style="91" customWidth="1"/>
    <col min="17" max="256" width="11.42578125" style="91"/>
    <col min="257" max="257" width="12.140625" style="91" customWidth="1"/>
    <col min="258" max="258" width="64.7109375" style="91" customWidth="1"/>
    <col min="259" max="259" width="9" style="91" customWidth="1"/>
    <col min="260" max="260" width="10.7109375" style="91" bestFit="1" customWidth="1"/>
    <col min="261" max="261" width="9.28515625" style="91" customWidth="1"/>
    <col min="262" max="262" width="10.42578125" style="91" customWidth="1"/>
    <col min="263" max="263" width="7.7109375" style="91" customWidth="1"/>
    <col min="264" max="264" width="10.7109375" style="91" customWidth="1"/>
    <col min="265" max="265" width="14.140625" style="91" customWidth="1"/>
    <col min="266" max="266" width="10.42578125" style="91" customWidth="1"/>
    <col min="267" max="267" width="5.140625" style="91" customWidth="1"/>
    <col min="268" max="268" width="17.7109375" style="91" customWidth="1"/>
    <col min="269" max="269" width="11.42578125" style="91"/>
    <col min="270" max="270" width="3.5703125" style="91" bestFit="1" customWidth="1"/>
    <col min="271" max="271" width="4.42578125" style="91" bestFit="1" customWidth="1"/>
    <col min="272" max="272" width="20.42578125" style="91" customWidth="1"/>
    <col min="273" max="512" width="11.42578125" style="91"/>
    <col min="513" max="513" width="12.140625" style="91" customWidth="1"/>
    <col min="514" max="514" width="64.7109375" style="91" customWidth="1"/>
    <col min="515" max="515" width="9" style="91" customWidth="1"/>
    <col min="516" max="516" width="10.7109375" style="91" bestFit="1" customWidth="1"/>
    <col min="517" max="517" width="9.28515625" style="91" customWidth="1"/>
    <col min="518" max="518" width="10.42578125" style="91" customWidth="1"/>
    <col min="519" max="519" width="7.7109375" style="91" customWidth="1"/>
    <col min="520" max="520" width="10.7109375" style="91" customWidth="1"/>
    <col min="521" max="521" width="14.140625" style="91" customWidth="1"/>
    <col min="522" max="522" width="10.42578125" style="91" customWidth="1"/>
    <col min="523" max="523" width="5.140625" style="91" customWidth="1"/>
    <col min="524" max="524" width="17.7109375" style="91" customWidth="1"/>
    <col min="525" max="525" width="11.42578125" style="91"/>
    <col min="526" max="526" width="3.5703125" style="91" bestFit="1" customWidth="1"/>
    <col min="527" max="527" width="4.42578125" style="91" bestFit="1" customWidth="1"/>
    <col min="528" max="528" width="20.42578125" style="91" customWidth="1"/>
    <col min="529" max="768" width="11.42578125" style="91"/>
    <col min="769" max="769" width="12.140625" style="91" customWidth="1"/>
    <col min="770" max="770" width="64.7109375" style="91" customWidth="1"/>
    <col min="771" max="771" width="9" style="91" customWidth="1"/>
    <col min="772" max="772" width="10.7109375" style="91" bestFit="1" customWidth="1"/>
    <col min="773" max="773" width="9.28515625" style="91" customWidth="1"/>
    <col min="774" max="774" width="10.42578125" style="91" customWidth="1"/>
    <col min="775" max="775" width="7.7109375" style="91" customWidth="1"/>
    <col min="776" max="776" width="10.7109375" style="91" customWidth="1"/>
    <col min="777" max="777" width="14.140625" style="91" customWidth="1"/>
    <col min="778" max="778" width="10.42578125" style="91" customWidth="1"/>
    <col min="779" max="779" width="5.140625" style="91" customWidth="1"/>
    <col min="780" max="780" width="17.7109375" style="91" customWidth="1"/>
    <col min="781" max="781" width="11.42578125" style="91"/>
    <col min="782" max="782" width="3.5703125" style="91" bestFit="1" customWidth="1"/>
    <col min="783" max="783" width="4.42578125" style="91" bestFit="1" customWidth="1"/>
    <col min="784" max="784" width="20.42578125" style="91" customWidth="1"/>
    <col min="785" max="1024" width="11.42578125" style="91"/>
    <col min="1025" max="1025" width="12.140625" style="91" customWidth="1"/>
    <col min="1026" max="1026" width="64.7109375" style="91" customWidth="1"/>
    <col min="1027" max="1027" width="9" style="91" customWidth="1"/>
    <col min="1028" max="1028" width="10.7109375" style="91" bestFit="1" customWidth="1"/>
    <col min="1029" max="1029" width="9.28515625" style="91" customWidth="1"/>
    <col min="1030" max="1030" width="10.42578125" style="91" customWidth="1"/>
    <col min="1031" max="1031" width="7.7109375" style="91" customWidth="1"/>
    <col min="1032" max="1032" width="10.7109375" style="91" customWidth="1"/>
    <col min="1033" max="1033" width="14.140625" style="91" customWidth="1"/>
    <col min="1034" max="1034" width="10.42578125" style="91" customWidth="1"/>
    <col min="1035" max="1035" width="5.140625" style="91" customWidth="1"/>
    <col min="1036" max="1036" width="17.7109375" style="91" customWidth="1"/>
    <col min="1037" max="1037" width="11.42578125" style="91"/>
    <col min="1038" max="1038" width="3.5703125" style="91" bestFit="1" customWidth="1"/>
    <col min="1039" max="1039" width="4.42578125" style="91" bestFit="1" customWidth="1"/>
    <col min="1040" max="1040" width="20.42578125" style="91" customWidth="1"/>
    <col min="1041" max="1280" width="11.42578125" style="91"/>
    <col min="1281" max="1281" width="12.140625" style="91" customWidth="1"/>
    <col min="1282" max="1282" width="64.7109375" style="91" customWidth="1"/>
    <col min="1283" max="1283" width="9" style="91" customWidth="1"/>
    <col min="1284" max="1284" width="10.7109375" style="91" bestFit="1" customWidth="1"/>
    <col min="1285" max="1285" width="9.28515625" style="91" customWidth="1"/>
    <col min="1286" max="1286" width="10.42578125" style="91" customWidth="1"/>
    <col min="1287" max="1287" width="7.7109375" style="91" customWidth="1"/>
    <col min="1288" max="1288" width="10.7109375" style="91" customWidth="1"/>
    <col min="1289" max="1289" width="14.140625" style="91" customWidth="1"/>
    <col min="1290" max="1290" width="10.42578125" style="91" customWidth="1"/>
    <col min="1291" max="1291" width="5.140625" style="91" customWidth="1"/>
    <col min="1292" max="1292" width="17.7109375" style="91" customWidth="1"/>
    <col min="1293" max="1293" width="11.42578125" style="91"/>
    <col min="1294" max="1294" width="3.5703125" style="91" bestFit="1" customWidth="1"/>
    <col min="1295" max="1295" width="4.42578125" style="91" bestFit="1" customWidth="1"/>
    <col min="1296" max="1296" width="20.42578125" style="91" customWidth="1"/>
    <col min="1297" max="1536" width="11.42578125" style="91"/>
    <col min="1537" max="1537" width="12.140625" style="91" customWidth="1"/>
    <col min="1538" max="1538" width="64.7109375" style="91" customWidth="1"/>
    <col min="1539" max="1539" width="9" style="91" customWidth="1"/>
    <col min="1540" max="1540" width="10.7109375" style="91" bestFit="1" customWidth="1"/>
    <col min="1541" max="1541" width="9.28515625" style="91" customWidth="1"/>
    <col min="1542" max="1542" width="10.42578125" style="91" customWidth="1"/>
    <col min="1543" max="1543" width="7.7109375" style="91" customWidth="1"/>
    <col min="1544" max="1544" width="10.7109375" style="91" customWidth="1"/>
    <col min="1545" max="1545" width="14.140625" style="91" customWidth="1"/>
    <col min="1546" max="1546" width="10.42578125" style="91" customWidth="1"/>
    <col min="1547" max="1547" width="5.140625" style="91" customWidth="1"/>
    <col min="1548" max="1548" width="17.7109375" style="91" customWidth="1"/>
    <col min="1549" max="1549" width="11.42578125" style="91"/>
    <col min="1550" max="1550" width="3.5703125" style="91" bestFit="1" customWidth="1"/>
    <col min="1551" max="1551" width="4.42578125" style="91" bestFit="1" customWidth="1"/>
    <col min="1552" max="1552" width="20.42578125" style="91" customWidth="1"/>
    <col min="1553" max="1792" width="11.42578125" style="91"/>
    <col min="1793" max="1793" width="12.140625" style="91" customWidth="1"/>
    <col min="1794" max="1794" width="64.7109375" style="91" customWidth="1"/>
    <col min="1795" max="1795" width="9" style="91" customWidth="1"/>
    <col min="1796" max="1796" width="10.7109375" style="91" bestFit="1" customWidth="1"/>
    <col min="1797" max="1797" width="9.28515625" style="91" customWidth="1"/>
    <col min="1798" max="1798" width="10.42578125" style="91" customWidth="1"/>
    <col min="1799" max="1799" width="7.7109375" style="91" customWidth="1"/>
    <col min="1800" max="1800" width="10.7109375" style="91" customWidth="1"/>
    <col min="1801" max="1801" width="14.140625" style="91" customWidth="1"/>
    <col min="1802" max="1802" width="10.42578125" style="91" customWidth="1"/>
    <col min="1803" max="1803" width="5.140625" style="91" customWidth="1"/>
    <col min="1804" max="1804" width="17.7109375" style="91" customWidth="1"/>
    <col min="1805" max="1805" width="11.42578125" style="91"/>
    <col min="1806" max="1806" width="3.5703125" style="91" bestFit="1" customWidth="1"/>
    <col min="1807" max="1807" width="4.42578125" style="91" bestFit="1" customWidth="1"/>
    <col min="1808" max="1808" width="20.42578125" style="91" customWidth="1"/>
    <col min="1809" max="2048" width="11.42578125" style="91"/>
    <col min="2049" max="2049" width="12.140625" style="91" customWidth="1"/>
    <col min="2050" max="2050" width="64.7109375" style="91" customWidth="1"/>
    <col min="2051" max="2051" width="9" style="91" customWidth="1"/>
    <col min="2052" max="2052" width="10.7109375" style="91" bestFit="1" customWidth="1"/>
    <col min="2053" max="2053" width="9.28515625" style="91" customWidth="1"/>
    <col min="2054" max="2054" width="10.42578125" style="91" customWidth="1"/>
    <col min="2055" max="2055" width="7.7109375" style="91" customWidth="1"/>
    <col min="2056" max="2056" width="10.7109375" style="91" customWidth="1"/>
    <col min="2057" max="2057" width="14.140625" style="91" customWidth="1"/>
    <col min="2058" max="2058" width="10.42578125" style="91" customWidth="1"/>
    <col min="2059" max="2059" width="5.140625" style="91" customWidth="1"/>
    <col min="2060" max="2060" width="17.7109375" style="91" customWidth="1"/>
    <col min="2061" max="2061" width="11.42578125" style="91"/>
    <col min="2062" max="2062" width="3.5703125" style="91" bestFit="1" customWidth="1"/>
    <col min="2063" max="2063" width="4.42578125" style="91" bestFit="1" customWidth="1"/>
    <col min="2064" max="2064" width="20.42578125" style="91" customWidth="1"/>
    <col min="2065" max="2304" width="11.42578125" style="91"/>
    <col min="2305" max="2305" width="12.140625" style="91" customWidth="1"/>
    <col min="2306" max="2306" width="64.7109375" style="91" customWidth="1"/>
    <col min="2307" max="2307" width="9" style="91" customWidth="1"/>
    <col min="2308" max="2308" width="10.7109375" style="91" bestFit="1" customWidth="1"/>
    <col min="2309" max="2309" width="9.28515625" style="91" customWidth="1"/>
    <col min="2310" max="2310" width="10.42578125" style="91" customWidth="1"/>
    <col min="2311" max="2311" width="7.7109375" style="91" customWidth="1"/>
    <col min="2312" max="2312" width="10.7109375" style="91" customWidth="1"/>
    <col min="2313" max="2313" width="14.140625" style="91" customWidth="1"/>
    <col min="2314" max="2314" width="10.42578125" style="91" customWidth="1"/>
    <col min="2315" max="2315" width="5.140625" style="91" customWidth="1"/>
    <col min="2316" max="2316" width="17.7109375" style="91" customWidth="1"/>
    <col min="2317" max="2317" width="11.42578125" style="91"/>
    <col min="2318" max="2318" width="3.5703125" style="91" bestFit="1" customWidth="1"/>
    <col min="2319" max="2319" width="4.42578125" style="91" bestFit="1" customWidth="1"/>
    <col min="2320" max="2320" width="20.42578125" style="91" customWidth="1"/>
    <col min="2321" max="2560" width="11.42578125" style="91"/>
    <col min="2561" max="2561" width="12.140625" style="91" customWidth="1"/>
    <col min="2562" max="2562" width="64.7109375" style="91" customWidth="1"/>
    <col min="2563" max="2563" width="9" style="91" customWidth="1"/>
    <col min="2564" max="2564" width="10.7109375" style="91" bestFit="1" customWidth="1"/>
    <col min="2565" max="2565" width="9.28515625" style="91" customWidth="1"/>
    <col min="2566" max="2566" width="10.42578125" style="91" customWidth="1"/>
    <col min="2567" max="2567" width="7.7109375" style="91" customWidth="1"/>
    <col min="2568" max="2568" width="10.7109375" style="91" customWidth="1"/>
    <col min="2569" max="2569" width="14.140625" style="91" customWidth="1"/>
    <col min="2570" max="2570" width="10.42578125" style="91" customWidth="1"/>
    <col min="2571" max="2571" width="5.140625" style="91" customWidth="1"/>
    <col min="2572" max="2572" width="17.7109375" style="91" customWidth="1"/>
    <col min="2573" max="2573" width="11.42578125" style="91"/>
    <col min="2574" max="2574" width="3.5703125" style="91" bestFit="1" customWidth="1"/>
    <col min="2575" max="2575" width="4.42578125" style="91" bestFit="1" customWidth="1"/>
    <col min="2576" max="2576" width="20.42578125" style="91" customWidth="1"/>
    <col min="2577" max="2816" width="11.42578125" style="91"/>
    <col min="2817" max="2817" width="12.140625" style="91" customWidth="1"/>
    <col min="2818" max="2818" width="64.7109375" style="91" customWidth="1"/>
    <col min="2819" max="2819" width="9" style="91" customWidth="1"/>
    <col min="2820" max="2820" width="10.7109375" style="91" bestFit="1" customWidth="1"/>
    <col min="2821" max="2821" width="9.28515625" style="91" customWidth="1"/>
    <col min="2822" max="2822" width="10.42578125" style="91" customWidth="1"/>
    <col min="2823" max="2823" width="7.7109375" style="91" customWidth="1"/>
    <col min="2824" max="2824" width="10.7109375" style="91" customWidth="1"/>
    <col min="2825" max="2825" width="14.140625" style="91" customWidth="1"/>
    <col min="2826" max="2826" width="10.42578125" style="91" customWidth="1"/>
    <col min="2827" max="2827" width="5.140625" style="91" customWidth="1"/>
    <col min="2828" max="2828" width="17.7109375" style="91" customWidth="1"/>
    <col min="2829" max="2829" width="11.42578125" style="91"/>
    <col min="2830" max="2830" width="3.5703125" style="91" bestFit="1" customWidth="1"/>
    <col min="2831" max="2831" width="4.42578125" style="91" bestFit="1" customWidth="1"/>
    <col min="2832" max="2832" width="20.42578125" style="91" customWidth="1"/>
    <col min="2833" max="3072" width="11.42578125" style="91"/>
    <col min="3073" max="3073" width="12.140625" style="91" customWidth="1"/>
    <col min="3074" max="3074" width="64.7109375" style="91" customWidth="1"/>
    <col min="3075" max="3075" width="9" style="91" customWidth="1"/>
    <col min="3076" max="3076" width="10.7109375" style="91" bestFit="1" customWidth="1"/>
    <col min="3077" max="3077" width="9.28515625" style="91" customWidth="1"/>
    <col min="3078" max="3078" width="10.42578125" style="91" customWidth="1"/>
    <col min="3079" max="3079" width="7.7109375" style="91" customWidth="1"/>
    <col min="3080" max="3080" width="10.7109375" style="91" customWidth="1"/>
    <col min="3081" max="3081" width="14.140625" style="91" customWidth="1"/>
    <col min="3082" max="3082" width="10.42578125" style="91" customWidth="1"/>
    <col min="3083" max="3083" width="5.140625" style="91" customWidth="1"/>
    <col min="3084" max="3084" width="17.7109375" style="91" customWidth="1"/>
    <col min="3085" max="3085" width="11.42578125" style="91"/>
    <col min="3086" max="3086" width="3.5703125" style="91" bestFit="1" customWidth="1"/>
    <col min="3087" max="3087" width="4.42578125" style="91" bestFit="1" customWidth="1"/>
    <col min="3088" max="3088" width="20.42578125" style="91" customWidth="1"/>
    <col min="3089" max="3328" width="11.42578125" style="91"/>
    <col min="3329" max="3329" width="12.140625" style="91" customWidth="1"/>
    <col min="3330" max="3330" width="64.7109375" style="91" customWidth="1"/>
    <col min="3331" max="3331" width="9" style="91" customWidth="1"/>
    <col min="3332" max="3332" width="10.7109375" style="91" bestFit="1" customWidth="1"/>
    <col min="3333" max="3333" width="9.28515625" style="91" customWidth="1"/>
    <col min="3334" max="3334" width="10.42578125" style="91" customWidth="1"/>
    <col min="3335" max="3335" width="7.7109375" style="91" customWidth="1"/>
    <col min="3336" max="3336" width="10.7109375" style="91" customWidth="1"/>
    <col min="3337" max="3337" width="14.140625" style="91" customWidth="1"/>
    <col min="3338" max="3338" width="10.42578125" style="91" customWidth="1"/>
    <col min="3339" max="3339" width="5.140625" style="91" customWidth="1"/>
    <col min="3340" max="3340" width="17.7109375" style="91" customWidth="1"/>
    <col min="3341" max="3341" width="11.42578125" style="91"/>
    <col min="3342" max="3342" width="3.5703125" style="91" bestFit="1" customWidth="1"/>
    <col min="3343" max="3343" width="4.42578125" style="91" bestFit="1" customWidth="1"/>
    <col min="3344" max="3344" width="20.42578125" style="91" customWidth="1"/>
    <col min="3345" max="3584" width="11.42578125" style="91"/>
    <col min="3585" max="3585" width="12.140625" style="91" customWidth="1"/>
    <col min="3586" max="3586" width="64.7109375" style="91" customWidth="1"/>
    <col min="3587" max="3587" width="9" style="91" customWidth="1"/>
    <col min="3588" max="3588" width="10.7109375" style="91" bestFit="1" customWidth="1"/>
    <col min="3589" max="3589" width="9.28515625" style="91" customWidth="1"/>
    <col min="3590" max="3590" width="10.42578125" style="91" customWidth="1"/>
    <col min="3591" max="3591" width="7.7109375" style="91" customWidth="1"/>
    <col min="3592" max="3592" width="10.7109375" style="91" customWidth="1"/>
    <col min="3593" max="3593" width="14.140625" style="91" customWidth="1"/>
    <col min="3594" max="3594" width="10.42578125" style="91" customWidth="1"/>
    <col min="3595" max="3595" width="5.140625" style="91" customWidth="1"/>
    <col min="3596" max="3596" width="17.7109375" style="91" customWidth="1"/>
    <col min="3597" max="3597" width="11.42578125" style="91"/>
    <col min="3598" max="3598" width="3.5703125" style="91" bestFit="1" customWidth="1"/>
    <col min="3599" max="3599" width="4.42578125" style="91" bestFit="1" customWidth="1"/>
    <col min="3600" max="3600" width="20.42578125" style="91" customWidth="1"/>
    <col min="3601" max="3840" width="11.42578125" style="91"/>
    <col min="3841" max="3841" width="12.140625" style="91" customWidth="1"/>
    <col min="3842" max="3842" width="64.7109375" style="91" customWidth="1"/>
    <col min="3843" max="3843" width="9" style="91" customWidth="1"/>
    <col min="3844" max="3844" width="10.7109375" style="91" bestFit="1" customWidth="1"/>
    <col min="3845" max="3845" width="9.28515625" style="91" customWidth="1"/>
    <col min="3846" max="3846" width="10.42578125" style="91" customWidth="1"/>
    <col min="3847" max="3847" width="7.7109375" style="91" customWidth="1"/>
    <col min="3848" max="3848" width="10.7109375" style="91" customWidth="1"/>
    <col min="3849" max="3849" width="14.140625" style="91" customWidth="1"/>
    <col min="3850" max="3850" width="10.42578125" style="91" customWidth="1"/>
    <col min="3851" max="3851" width="5.140625" style="91" customWidth="1"/>
    <col min="3852" max="3852" width="17.7109375" style="91" customWidth="1"/>
    <col min="3853" max="3853" width="11.42578125" style="91"/>
    <col min="3854" max="3854" width="3.5703125" style="91" bestFit="1" customWidth="1"/>
    <col min="3855" max="3855" width="4.42578125" style="91" bestFit="1" customWidth="1"/>
    <col min="3856" max="3856" width="20.42578125" style="91" customWidth="1"/>
    <col min="3857" max="4096" width="11.42578125" style="91"/>
    <col min="4097" max="4097" width="12.140625" style="91" customWidth="1"/>
    <col min="4098" max="4098" width="64.7109375" style="91" customWidth="1"/>
    <col min="4099" max="4099" width="9" style="91" customWidth="1"/>
    <col min="4100" max="4100" width="10.7109375" style="91" bestFit="1" customWidth="1"/>
    <col min="4101" max="4101" width="9.28515625" style="91" customWidth="1"/>
    <col min="4102" max="4102" width="10.42578125" style="91" customWidth="1"/>
    <col min="4103" max="4103" width="7.7109375" style="91" customWidth="1"/>
    <col min="4104" max="4104" width="10.7109375" style="91" customWidth="1"/>
    <col min="4105" max="4105" width="14.140625" style="91" customWidth="1"/>
    <col min="4106" max="4106" width="10.42578125" style="91" customWidth="1"/>
    <col min="4107" max="4107" width="5.140625" style="91" customWidth="1"/>
    <col min="4108" max="4108" width="17.7109375" style="91" customWidth="1"/>
    <col min="4109" max="4109" width="11.42578125" style="91"/>
    <col min="4110" max="4110" width="3.5703125" style="91" bestFit="1" customWidth="1"/>
    <col min="4111" max="4111" width="4.42578125" style="91" bestFit="1" customWidth="1"/>
    <col min="4112" max="4112" width="20.42578125" style="91" customWidth="1"/>
    <col min="4113" max="4352" width="11.42578125" style="91"/>
    <col min="4353" max="4353" width="12.140625" style="91" customWidth="1"/>
    <col min="4354" max="4354" width="64.7109375" style="91" customWidth="1"/>
    <col min="4355" max="4355" width="9" style="91" customWidth="1"/>
    <col min="4356" max="4356" width="10.7109375" style="91" bestFit="1" customWidth="1"/>
    <col min="4357" max="4357" width="9.28515625" style="91" customWidth="1"/>
    <col min="4358" max="4358" width="10.42578125" style="91" customWidth="1"/>
    <col min="4359" max="4359" width="7.7109375" style="91" customWidth="1"/>
    <col min="4360" max="4360" width="10.7109375" style="91" customWidth="1"/>
    <col min="4361" max="4361" width="14.140625" style="91" customWidth="1"/>
    <col min="4362" max="4362" width="10.42578125" style="91" customWidth="1"/>
    <col min="4363" max="4363" width="5.140625" style="91" customWidth="1"/>
    <col min="4364" max="4364" width="17.7109375" style="91" customWidth="1"/>
    <col min="4365" max="4365" width="11.42578125" style="91"/>
    <col min="4366" max="4366" width="3.5703125" style="91" bestFit="1" customWidth="1"/>
    <col min="4367" max="4367" width="4.42578125" style="91" bestFit="1" customWidth="1"/>
    <col min="4368" max="4368" width="20.42578125" style="91" customWidth="1"/>
    <col min="4369" max="4608" width="11.42578125" style="91"/>
    <col min="4609" max="4609" width="12.140625" style="91" customWidth="1"/>
    <col min="4610" max="4610" width="64.7109375" style="91" customWidth="1"/>
    <col min="4611" max="4611" width="9" style="91" customWidth="1"/>
    <col min="4612" max="4612" width="10.7109375" style="91" bestFit="1" customWidth="1"/>
    <col min="4613" max="4613" width="9.28515625" style="91" customWidth="1"/>
    <col min="4614" max="4614" width="10.42578125" style="91" customWidth="1"/>
    <col min="4615" max="4615" width="7.7109375" style="91" customWidth="1"/>
    <col min="4616" max="4616" width="10.7109375" style="91" customWidth="1"/>
    <col min="4617" max="4617" width="14.140625" style="91" customWidth="1"/>
    <col min="4618" max="4618" width="10.42578125" style="91" customWidth="1"/>
    <col min="4619" max="4619" width="5.140625" style="91" customWidth="1"/>
    <col min="4620" max="4620" width="17.7109375" style="91" customWidth="1"/>
    <col min="4621" max="4621" width="11.42578125" style="91"/>
    <col min="4622" max="4622" width="3.5703125" style="91" bestFit="1" customWidth="1"/>
    <col min="4623" max="4623" width="4.42578125" style="91" bestFit="1" customWidth="1"/>
    <col min="4624" max="4624" width="20.42578125" style="91" customWidth="1"/>
    <col min="4625" max="4864" width="11.42578125" style="91"/>
    <col min="4865" max="4865" width="12.140625" style="91" customWidth="1"/>
    <col min="4866" max="4866" width="64.7109375" style="91" customWidth="1"/>
    <col min="4867" max="4867" width="9" style="91" customWidth="1"/>
    <col min="4868" max="4868" width="10.7109375" style="91" bestFit="1" customWidth="1"/>
    <col min="4869" max="4869" width="9.28515625" style="91" customWidth="1"/>
    <col min="4870" max="4870" width="10.42578125" style="91" customWidth="1"/>
    <col min="4871" max="4871" width="7.7109375" style="91" customWidth="1"/>
    <col min="4872" max="4872" width="10.7109375" style="91" customWidth="1"/>
    <col min="4873" max="4873" width="14.140625" style="91" customWidth="1"/>
    <col min="4874" max="4874" width="10.42578125" style="91" customWidth="1"/>
    <col min="4875" max="4875" width="5.140625" style="91" customWidth="1"/>
    <col min="4876" max="4876" width="17.7109375" style="91" customWidth="1"/>
    <col min="4877" max="4877" width="11.42578125" style="91"/>
    <col min="4878" max="4878" width="3.5703125" style="91" bestFit="1" customWidth="1"/>
    <col min="4879" max="4879" width="4.42578125" style="91" bestFit="1" customWidth="1"/>
    <col min="4880" max="4880" width="20.42578125" style="91" customWidth="1"/>
    <col min="4881" max="5120" width="11.42578125" style="91"/>
    <col min="5121" max="5121" width="12.140625" style="91" customWidth="1"/>
    <col min="5122" max="5122" width="64.7109375" style="91" customWidth="1"/>
    <col min="5123" max="5123" width="9" style="91" customWidth="1"/>
    <col min="5124" max="5124" width="10.7109375" style="91" bestFit="1" customWidth="1"/>
    <col min="5125" max="5125" width="9.28515625" style="91" customWidth="1"/>
    <col min="5126" max="5126" width="10.42578125" style="91" customWidth="1"/>
    <col min="5127" max="5127" width="7.7109375" style="91" customWidth="1"/>
    <col min="5128" max="5128" width="10.7109375" style="91" customWidth="1"/>
    <col min="5129" max="5129" width="14.140625" style="91" customWidth="1"/>
    <col min="5130" max="5130" width="10.42578125" style="91" customWidth="1"/>
    <col min="5131" max="5131" width="5.140625" style="91" customWidth="1"/>
    <col min="5132" max="5132" width="17.7109375" style="91" customWidth="1"/>
    <col min="5133" max="5133" width="11.42578125" style="91"/>
    <col min="5134" max="5134" width="3.5703125" style="91" bestFit="1" customWidth="1"/>
    <col min="5135" max="5135" width="4.42578125" style="91" bestFit="1" customWidth="1"/>
    <col min="5136" max="5136" width="20.42578125" style="91" customWidth="1"/>
    <col min="5137" max="5376" width="11.42578125" style="91"/>
    <col min="5377" max="5377" width="12.140625" style="91" customWidth="1"/>
    <col min="5378" max="5378" width="64.7109375" style="91" customWidth="1"/>
    <col min="5379" max="5379" width="9" style="91" customWidth="1"/>
    <col min="5380" max="5380" width="10.7109375" style="91" bestFit="1" customWidth="1"/>
    <col min="5381" max="5381" width="9.28515625" style="91" customWidth="1"/>
    <col min="5382" max="5382" width="10.42578125" style="91" customWidth="1"/>
    <col min="5383" max="5383" width="7.7109375" style="91" customWidth="1"/>
    <col min="5384" max="5384" width="10.7109375" style="91" customWidth="1"/>
    <col min="5385" max="5385" width="14.140625" style="91" customWidth="1"/>
    <col min="5386" max="5386" width="10.42578125" style="91" customWidth="1"/>
    <col min="5387" max="5387" width="5.140625" style="91" customWidth="1"/>
    <col min="5388" max="5388" width="17.7109375" style="91" customWidth="1"/>
    <col min="5389" max="5389" width="11.42578125" style="91"/>
    <col min="5390" max="5390" width="3.5703125" style="91" bestFit="1" customWidth="1"/>
    <col min="5391" max="5391" width="4.42578125" style="91" bestFit="1" customWidth="1"/>
    <col min="5392" max="5392" width="20.42578125" style="91" customWidth="1"/>
    <col min="5393" max="5632" width="11.42578125" style="91"/>
    <col min="5633" max="5633" width="12.140625" style="91" customWidth="1"/>
    <col min="5634" max="5634" width="64.7109375" style="91" customWidth="1"/>
    <col min="5635" max="5635" width="9" style="91" customWidth="1"/>
    <col min="5636" max="5636" width="10.7109375" style="91" bestFit="1" customWidth="1"/>
    <col min="5637" max="5637" width="9.28515625" style="91" customWidth="1"/>
    <col min="5638" max="5638" width="10.42578125" style="91" customWidth="1"/>
    <col min="5639" max="5639" width="7.7109375" style="91" customWidth="1"/>
    <col min="5640" max="5640" width="10.7109375" style="91" customWidth="1"/>
    <col min="5641" max="5641" width="14.140625" style="91" customWidth="1"/>
    <col min="5642" max="5642" width="10.42578125" style="91" customWidth="1"/>
    <col min="5643" max="5643" width="5.140625" style="91" customWidth="1"/>
    <col min="5644" max="5644" width="17.7109375" style="91" customWidth="1"/>
    <col min="5645" max="5645" width="11.42578125" style="91"/>
    <col min="5646" max="5646" width="3.5703125" style="91" bestFit="1" customWidth="1"/>
    <col min="5647" max="5647" width="4.42578125" style="91" bestFit="1" customWidth="1"/>
    <col min="5648" max="5648" width="20.42578125" style="91" customWidth="1"/>
    <col min="5649" max="5888" width="11.42578125" style="91"/>
    <col min="5889" max="5889" width="12.140625" style="91" customWidth="1"/>
    <col min="5890" max="5890" width="64.7109375" style="91" customWidth="1"/>
    <col min="5891" max="5891" width="9" style="91" customWidth="1"/>
    <col min="5892" max="5892" width="10.7109375" style="91" bestFit="1" customWidth="1"/>
    <col min="5893" max="5893" width="9.28515625" style="91" customWidth="1"/>
    <col min="5894" max="5894" width="10.42578125" style="91" customWidth="1"/>
    <col min="5895" max="5895" width="7.7109375" style="91" customWidth="1"/>
    <col min="5896" max="5896" width="10.7109375" style="91" customWidth="1"/>
    <col min="5897" max="5897" width="14.140625" style="91" customWidth="1"/>
    <col min="5898" max="5898" width="10.42578125" style="91" customWidth="1"/>
    <col min="5899" max="5899" width="5.140625" style="91" customWidth="1"/>
    <col min="5900" max="5900" width="17.7109375" style="91" customWidth="1"/>
    <col min="5901" max="5901" width="11.42578125" style="91"/>
    <col min="5902" max="5902" width="3.5703125" style="91" bestFit="1" customWidth="1"/>
    <col min="5903" max="5903" width="4.42578125" style="91" bestFit="1" customWidth="1"/>
    <col min="5904" max="5904" width="20.42578125" style="91" customWidth="1"/>
    <col min="5905" max="6144" width="11.42578125" style="91"/>
    <col min="6145" max="6145" width="12.140625" style="91" customWidth="1"/>
    <col min="6146" max="6146" width="64.7109375" style="91" customWidth="1"/>
    <col min="6147" max="6147" width="9" style="91" customWidth="1"/>
    <col min="6148" max="6148" width="10.7109375" style="91" bestFit="1" customWidth="1"/>
    <col min="6149" max="6149" width="9.28515625" style="91" customWidth="1"/>
    <col min="6150" max="6150" width="10.42578125" style="91" customWidth="1"/>
    <col min="6151" max="6151" width="7.7109375" style="91" customWidth="1"/>
    <col min="6152" max="6152" width="10.7109375" style="91" customWidth="1"/>
    <col min="6153" max="6153" width="14.140625" style="91" customWidth="1"/>
    <col min="6154" max="6154" width="10.42578125" style="91" customWidth="1"/>
    <col min="6155" max="6155" width="5.140625" style="91" customWidth="1"/>
    <col min="6156" max="6156" width="17.7109375" style="91" customWidth="1"/>
    <col min="6157" max="6157" width="11.42578125" style="91"/>
    <col min="6158" max="6158" width="3.5703125" style="91" bestFit="1" customWidth="1"/>
    <col min="6159" max="6159" width="4.42578125" style="91" bestFit="1" customWidth="1"/>
    <col min="6160" max="6160" width="20.42578125" style="91" customWidth="1"/>
    <col min="6161" max="6400" width="11.42578125" style="91"/>
    <col min="6401" max="6401" width="12.140625" style="91" customWidth="1"/>
    <col min="6402" max="6402" width="64.7109375" style="91" customWidth="1"/>
    <col min="6403" max="6403" width="9" style="91" customWidth="1"/>
    <col min="6404" max="6404" width="10.7109375" style="91" bestFit="1" customWidth="1"/>
    <col min="6405" max="6405" width="9.28515625" style="91" customWidth="1"/>
    <col min="6406" max="6406" width="10.42578125" style="91" customWidth="1"/>
    <col min="6407" max="6407" width="7.7109375" style="91" customWidth="1"/>
    <col min="6408" max="6408" width="10.7109375" style="91" customWidth="1"/>
    <col min="6409" max="6409" width="14.140625" style="91" customWidth="1"/>
    <col min="6410" max="6410" width="10.42578125" style="91" customWidth="1"/>
    <col min="6411" max="6411" width="5.140625" style="91" customWidth="1"/>
    <col min="6412" max="6412" width="17.7109375" style="91" customWidth="1"/>
    <col min="6413" max="6413" width="11.42578125" style="91"/>
    <col min="6414" max="6414" width="3.5703125" style="91" bestFit="1" customWidth="1"/>
    <col min="6415" max="6415" width="4.42578125" style="91" bestFit="1" customWidth="1"/>
    <col min="6416" max="6416" width="20.42578125" style="91" customWidth="1"/>
    <col min="6417" max="6656" width="11.42578125" style="91"/>
    <col min="6657" max="6657" width="12.140625" style="91" customWidth="1"/>
    <col min="6658" max="6658" width="64.7109375" style="91" customWidth="1"/>
    <col min="6659" max="6659" width="9" style="91" customWidth="1"/>
    <col min="6660" max="6660" width="10.7109375" style="91" bestFit="1" customWidth="1"/>
    <col min="6661" max="6661" width="9.28515625" style="91" customWidth="1"/>
    <col min="6662" max="6662" width="10.42578125" style="91" customWidth="1"/>
    <col min="6663" max="6663" width="7.7109375" style="91" customWidth="1"/>
    <col min="6664" max="6664" width="10.7109375" style="91" customWidth="1"/>
    <col min="6665" max="6665" width="14.140625" style="91" customWidth="1"/>
    <col min="6666" max="6666" width="10.42578125" style="91" customWidth="1"/>
    <col min="6667" max="6667" width="5.140625" style="91" customWidth="1"/>
    <col min="6668" max="6668" width="17.7109375" style="91" customWidth="1"/>
    <col min="6669" max="6669" width="11.42578125" style="91"/>
    <col min="6670" max="6670" width="3.5703125" style="91" bestFit="1" customWidth="1"/>
    <col min="6671" max="6671" width="4.42578125" style="91" bestFit="1" customWidth="1"/>
    <col min="6672" max="6672" width="20.42578125" style="91" customWidth="1"/>
    <col min="6673" max="6912" width="11.42578125" style="91"/>
    <col min="6913" max="6913" width="12.140625" style="91" customWidth="1"/>
    <col min="6914" max="6914" width="64.7109375" style="91" customWidth="1"/>
    <col min="6915" max="6915" width="9" style="91" customWidth="1"/>
    <col min="6916" max="6916" width="10.7109375" style="91" bestFit="1" customWidth="1"/>
    <col min="6917" max="6917" width="9.28515625" style="91" customWidth="1"/>
    <col min="6918" max="6918" width="10.42578125" style="91" customWidth="1"/>
    <col min="6919" max="6919" width="7.7109375" style="91" customWidth="1"/>
    <col min="6920" max="6920" width="10.7109375" style="91" customWidth="1"/>
    <col min="6921" max="6921" width="14.140625" style="91" customWidth="1"/>
    <col min="6922" max="6922" width="10.42578125" style="91" customWidth="1"/>
    <col min="6923" max="6923" width="5.140625" style="91" customWidth="1"/>
    <col min="6924" max="6924" width="17.7109375" style="91" customWidth="1"/>
    <col min="6925" max="6925" width="11.42578125" style="91"/>
    <col min="6926" max="6926" width="3.5703125" style="91" bestFit="1" customWidth="1"/>
    <col min="6927" max="6927" width="4.42578125" style="91" bestFit="1" customWidth="1"/>
    <col min="6928" max="6928" width="20.42578125" style="91" customWidth="1"/>
    <col min="6929" max="7168" width="11.42578125" style="91"/>
    <col min="7169" max="7169" width="12.140625" style="91" customWidth="1"/>
    <col min="7170" max="7170" width="64.7109375" style="91" customWidth="1"/>
    <col min="7171" max="7171" width="9" style="91" customWidth="1"/>
    <col min="7172" max="7172" width="10.7109375" style="91" bestFit="1" customWidth="1"/>
    <col min="7173" max="7173" width="9.28515625" style="91" customWidth="1"/>
    <col min="7174" max="7174" width="10.42578125" style="91" customWidth="1"/>
    <col min="7175" max="7175" width="7.7109375" style="91" customWidth="1"/>
    <col min="7176" max="7176" width="10.7109375" style="91" customWidth="1"/>
    <col min="7177" max="7177" width="14.140625" style="91" customWidth="1"/>
    <col min="7178" max="7178" width="10.42578125" style="91" customWidth="1"/>
    <col min="7179" max="7179" width="5.140625" style="91" customWidth="1"/>
    <col min="7180" max="7180" width="17.7109375" style="91" customWidth="1"/>
    <col min="7181" max="7181" width="11.42578125" style="91"/>
    <col min="7182" max="7182" width="3.5703125" style="91" bestFit="1" customWidth="1"/>
    <col min="7183" max="7183" width="4.42578125" style="91" bestFit="1" customWidth="1"/>
    <col min="7184" max="7184" width="20.42578125" style="91" customWidth="1"/>
    <col min="7185" max="7424" width="11.42578125" style="91"/>
    <col min="7425" max="7425" width="12.140625" style="91" customWidth="1"/>
    <col min="7426" max="7426" width="64.7109375" style="91" customWidth="1"/>
    <col min="7427" max="7427" width="9" style="91" customWidth="1"/>
    <col min="7428" max="7428" width="10.7109375" style="91" bestFit="1" customWidth="1"/>
    <col min="7429" max="7429" width="9.28515625" style="91" customWidth="1"/>
    <col min="7430" max="7430" width="10.42578125" style="91" customWidth="1"/>
    <col min="7431" max="7431" width="7.7109375" style="91" customWidth="1"/>
    <col min="7432" max="7432" width="10.7109375" style="91" customWidth="1"/>
    <col min="7433" max="7433" width="14.140625" style="91" customWidth="1"/>
    <col min="7434" max="7434" width="10.42578125" style="91" customWidth="1"/>
    <col min="7435" max="7435" width="5.140625" style="91" customWidth="1"/>
    <col min="7436" max="7436" width="17.7109375" style="91" customWidth="1"/>
    <col min="7437" max="7437" width="11.42578125" style="91"/>
    <col min="7438" max="7438" width="3.5703125" style="91" bestFit="1" customWidth="1"/>
    <col min="7439" max="7439" width="4.42578125" style="91" bestFit="1" customWidth="1"/>
    <col min="7440" max="7440" width="20.42578125" style="91" customWidth="1"/>
    <col min="7441" max="7680" width="11.42578125" style="91"/>
    <col min="7681" max="7681" width="12.140625" style="91" customWidth="1"/>
    <col min="7682" max="7682" width="64.7109375" style="91" customWidth="1"/>
    <col min="7683" max="7683" width="9" style="91" customWidth="1"/>
    <col min="7684" max="7684" width="10.7109375" style="91" bestFit="1" customWidth="1"/>
    <col min="7685" max="7685" width="9.28515625" style="91" customWidth="1"/>
    <col min="7686" max="7686" width="10.42578125" style="91" customWidth="1"/>
    <col min="7687" max="7687" width="7.7109375" style="91" customWidth="1"/>
    <col min="7688" max="7688" width="10.7109375" style="91" customWidth="1"/>
    <col min="7689" max="7689" width="14.140625" style="91" customWidth="1"/>
    <col min="7690" max="7690" width="10.42578125" style="91" customWidth="1"/>
    <col min="7691" max="7691" width="5.140625" style="91" customWidth="1"/>
    <col min="7692" max="7692" width="17.7109375" style="91" customWidth="1"/>
    <col min="7693" max="7693" width="11.42578125" style="91"/>
    <col min="7694" max="7694" width="3.5703125" style="91" bestFit="1" customWidth="1"/>
    <col min="7695" max="7695" width="4.42578125" style="91" bestFit="1" customWidth="1"/>
    <col min="7696" max="7696" width="20.42578125" style="91" customWidth="1"/>
    <col min="7697" max="7936" width="11.42578125" style="91"/>
    <col min="7937" max="7937" width="12.140625" style="91" customWidth="1"/>
    <col min="7938" max="7938" width="64.7109375" style="91" customWidth="1"/>
    <col min="7939" max="7939" width="9" style="91" customWidth="1"/>
    <col min="7940" max="7940" width="10.7109375" style="91" bestFit="1" customWidth="1"/>
    <col min="7941" max="7941" width="9.28515625" style="91" customWidth="1"/>
    <col min="7942" max="7942" width="10.42578125" style="91" customWidth="1"/>
    <col min="7943" max="7943" width="7.7109375" style="91" customWidth="1"/>
    <col min="7944" max="7944" width="10.7109375" style="91" customWidth="1"/>
    <col min="7945" max="7945" width="14.140625" style="91" customWidth="1"/>
    <col min="7946" max="7946" width="10.42578125" style="91" customWidth="1"/>
    <col min="7947" max="7947" width="5.140625" style="91" customWidth="1"/>
    <col min="7948" max="7948" width="17.7109375" style="91" customWidth="1"/>
    <col min="7949" max="7949" width="11.42578125" style="91"/>
    <col min="7950" max="7950" width="3.5703125" style="91" bestFit="1" customWidth="1"/>
    <col min="7951" max="7951" width="4.42578125" style="91" bestFit="1" customWidth="1"/>
    <col min="7952" max="7952" width="20.42578125" style="91" customWidth="1"/>
    <col min="7953" max="8192" width="11.42578125" style="91"/>
    <col min="8193" max="8193" width="12.140625" style="91" customWidth="1"/>
    <col min="8194" max="8194" width="64.7109375" style="91" customWidth="1"/>
    <col min="8195" max="8195" width="9" style="91" customWidth="1"/>
    <col min="8196" max="8196" width="10.7109375" style="91" bestFit="1" customWidth="1"/>
    <col min="8197" max="8197" width="9.28515625" style="91" customWidth="1"/>
    <col min="8198" max="8198" width="10.42578125" style="91" customWidth="1"/>
    <col min="8199" max="8199" width="7.7109375" style="91" customWidth="1"/>
    <col min="8200" max="8200" width="10.7109375" style="91" customWidth="1"/>
    <col min="8201" max="8201" width="14.140625" style="91" customWidth="1"/>
    <col min="8202" max="8202" width="10.42578125" style="91" customWidth="1"/>
    <col min="8203" max="8203" width="5.140625" style="91" customWidth="1"/>
    <col min="8204" max="8204" width="17.7109375" style="91" customWidth="1"/>
    <col min="8205" max="8205" width="11.42578125" style="91"/>
    <col min="8206" max="8206" width="3.5703125" style="91" bestFit="1" customWidth="1"/>
    <col min="8207" max="8207" width="4.42578125" style="91" bestFit="1" customWidth="1"/>
    <col min="8208" max="8208" width="20.42578125" style="91" customWidth="1"/>
    <col min="8209" max="8448" width="11.42578125" style="91"/>
    <col min="8449" max="8449" width="12.140625" style="91" customWidth="1"/>
    <col min="8450" max="8450" width="64.7109375" style="91" customWidth="1"/>
    <col min="8451" max="8451" width="9" style="91" customWidth="1"/>
    <col min="8452" max="8452" width="10.7109375" style="91" bestFit="1" customWidth="1"/>
    <col min="8453" max="8453" width="9.28515625" style="91" customWidth="1"/>
    <col min="8454" max="8454" width="10.42578125" style="91" customWidth="1"/>
    <col min="8455" max="8455" width="7.7109375" style="91" customWidth="1"/>
    <col min="8456" max="8456" width="10.7109375" style="91" customWidth="1"/>
    <col min="8457" max="8457" width="14.140625" style="91" customWidth="1"/>
    <col min="8458" max="8458" width="10.42578125" style="91" customWidth="1"/>
    <col min="8459" max="8459" width="5.140625" style="91" customWidth="1"/>
    <col min="8460" max="8460" width="17.7109375" style="91" customWidth="1"/>
    <col min="8461" max="8461" width="11.42578125" style="91"/>
    <col min="8462" max="8462" width="3.5703125" style="91" bestFit="1" customWidth="1"/>
    <col min="8463" max="8463" width="4.42578125" style="91" bestFit="1" customWidth="1"/>
    <col min="8464" max="8464" width="20.42578125" style="91" customWidth="1"/>
    <col min="8465" max="8704" width="11.42578125" style="91"/>
    <col min="8705" max="8705" width="12.140625" style="91" customWidth="1"/>
    <col min="8706" max="8706" width="64.7109375" style="91" customWidth="1"/>
    <col min="8707" max="8707" width="9" style="91" customWidth="1"/>
    <col min="8708" max="8708" width="10.7109375" style="91" bestFit="1" customWidth="1"/>
    <col min="8709" max="8709" width="9.28515625" style="91" customWidth="1"/>
    <col min="8710" max="8710" width="10.42578125" style="91" customWidth="1"/>
    <col min="8711" max="8711" width="7.7109375" style="91" customWidth="1"/>
    <col min="8712" max="8712" width="10.7109375" style="91" customWidth="1"/>
    <col min="8713" max="8713" width="14.140625" style="91" customWidth="1"/>
    <col min="8714" max="8714" width="10.42578125" style="91" customWidth="1"/>
    <col min="8715" max="8715" width="5.140625" style="91" customWidth="1"/>
    <col min="8716" max="8716" width="17.7109375" style="91" customWidth="1"/>
    <col min="8717" max="8717" width="11.42578125" style="91"/>
    <col min="8718" max="8718" width="3.5703125" style="91" bestFit="1" customWidth="1"/>
    <col min="8719" max="8719" width="4.42578125" style="91" bestFit="1" customWidth="1"/>
    <col min="8720" max="8720" width="20.42578125" style="91" customWidth="1"/>
    <col min="8721" max="8960" width="11.42578125" style="91"/>
    <col min="8961" max="8961" width="12.140625" style="91" customWidth="1"/>
    <col min="8962" max="8962" width="64.7109375" style="91" customWidth="1"/>
    <col min="8963" max="8963" width="9" style="91" customWidth="1"/>
    <col min="8964" max="8964" width="10.7109375" style="91" bestFit="1" customWidth="1"/>
    <col min="8965" max="8965" width="9.28515625" style="91" customWidth="1"/>
    <col min="8966" max="8966" width="10.42578125" style="91" customWidth="1"/>
    <col min="8967" max="8967" width="7.7109375" style="91" customWidth="1"/>
    <col min="8968" max="8968" width="10.7109375" style="91" customWidth="1"/>
    <col min="8969" max="8969" width="14.140625" style="91" customWidth="1"/>
    <col min="8970" max="8970" width="10.42578125" style="91" customWidth="1"/>
    <col min="8971" max="8971" width="5.140625" style="91" customWidth="1"/>
    <col min="8972" max="8972" width="17.7109375" style="91" customWidth="1"/>
    <col min="8973" max="8973" width="11.42578125" style="91"/>
    <col min="8974" max="8974" width="3.5703125" style="91" bestFit="1" customWidth="1"/>
    <col min="8975" max="8975" width="4.42578125" style="91" bestFit="1" customWidth="1"/>
    <col min="8976" max="8976" width="20.42578125" style="91" customWidth="1"/>
    <col min="8977" max="9216" width="11.42578125" style="91"/>
    <col min="9217" max="9217" width="12.140625" style="91" customWidth="1"/>
    <col min="9218" max="9218" width="64.7109375" style="91" customWidth="1"/>
    <col min="9219" max="9219" width="9" style="91" customWidth="1"/>
    <col min="9220" max="9220" width="10.7109375" style="91" bestFit="1" customWidth="1"/>
    <col min="9221" max="9221" width="9.28515625" style="91" customWidth="1"/>
    <col min="9222" max="9222" width="10.42578125" style="91" customWidth="1"/>
    <col min="9223" max="9223" width="7.7109375" style="91" customWidth="1"/>
    <col min="9224" max="9224" width="10.7109375" style="91" customWidth="1"/>
    <col min="9225" max="9225" width="14.140625" style="91" customWidth="1"/>
    <col min="9226" max="9226" width="10.42578125" style="91" customWidth="1"/>
    <col min="9227" max="9227" width="5.140625" style="91" customWidth="1"/>
    <col min="9228" max="9228" width="17.7109375" style="91" customWidth="1"/>
    <col min="9229" max="9229" width="11.42578125" style="91"/>
    <col min="9230" max="9230" width="3.5703125" style="91" bestFit="1" customWidth="1"/>
    <col min="9231" max="9231" width="4.42578125" style="91" bestFit="1" customWidth="1"/>
    <col min="9232" max="9232" width="20.42578125" style="91" customWidth="1"/>
    <col min="9233" max="9472" width="11.42578125" style="91"/>
    <col min="9473" max="9473" width="12.140625" style="91" customWidth="1"/>
    <col min="9474" max="9474" width="64.7109375" style="91" customWidth="1"/>
    <col min="9475" max="9475" width="9" style="91" customWidth="1"/>
    <col min="9476" max="9476" width="10.7109375" style="91" bestFit="1" customWidth="1"/>
    <col min="9477" max="9477" width="9.28515625" style="91" customWidth="1"/>
    <col min="9478" max="9478" width="10.42578125" style="91" customWidth="1"/>
    <col min="9479" max="9479" width="7.7109375" style="91" customWidth="1"/>
    <col min="9480" max="9480" width="10.7109375" style="91" customWidth="1"/>
    <col min="9481" max="9481" width="14.140625" style="91" customWidth="1"/>
    <col min="9482" max="9482" width="10.42578125" style="91" customWidth="1"/>
    <col min="9483" max="9483" width="5.140625" style="91" customWidth="1"/>
    <col min="9484" max="9484" width="17.7109375" style="91" customWidth="1"/>
    <col min="9485" max="9485" width="11.42578125" style="91"/>
    <col min="9486" max="9486" width="3.5703125" style="91" bestFit="1" customWidth="1"/>
    <col min="9487" max="9487" width="4.42578125" style="91" bestFit="1" customWidth="1"/>
    <col min="9488" max="9488" width="20.42578125" style="91" customWidth="1"/>
    <col min="9489" max="9728" width="11.42578125" style="91"/>
    <col min="9729" max="9729" width="12.140625" style="91" customWidth="1"/>
    <col min="9730" max="9730" width="64.7109375" style="91" customWidth="1"/>
    <col min="9731" max="9731" width="9" style="91" customWidth="1"/>
    <col min="9732" max="9732" width="10.7109375" style="91" bestFit="1" customWidth="1"/>
    <col min="9733" max="9733" width="9.28515625" style="91" customWidth="1"/>
    <col min="9734" max="9734" width="10.42578125" style="91" customWidth="1"/>
    <col min="9735" max="9735" width="7.7109375" style="91" customWidth="1"/>
    <col min="9736" max="9736" width="10.7109375" style="91" customWidth="1"/>
    <col min="9737" max="9737" width="14.140625" style="91" customWidth="1"/>
    <col min="9738" max="9738" width="10.42578125" style="91" customWidth="1"/>
    <col min="9739" max="9739" width="5.140625" style="91" customWidth="1"/>
    <col min="9740" max="9740" width="17.7109375" style="91" customWidth="1"/>
    <col min="9741" max="9741" width="11.42578125" style="91"/>
    <col min="9742" max="9742" width="3.5703125" style="91" bestFit="1" customWidth="1"/>
    <col min="9743" max="9743" width="4.42578125" style="91" bestFit="1" customWidth="1"/>
    <col min="9744" max="9744" width="20.42578125" style="91" customWidth="1"/>
    <col min="9745" max="9984" width="11.42578125" style="91"/>
    <col min="9985" max="9985" width="12.140625" style="91" customWidth="1"/>
    <col min="9986" max="9986" width="64.7109375" style="91" customWidth="1"/>
    <col min="9987" max="9987" width="9" style="91" customWidth="1"/>
    <col min="9988" max="9988" width="10.7109375" style="91" bestFit="1" customWidth="1"/>
    <col min="9989" max="9989" width="9.28515625" style="91" customWidth="1"/>
    <col min="9990" max="9990" width="10.42578125" style="91" customWidth="1"/>
    <col min="9991" max="9991" width="7.7109375" style="91" customWidth="1"/>
    <col min="9992" max="9992" width="10.7109375" style="91" customWidth="1"/>
    <col min="9993" max="9993" width="14.140625" style="91" customWidth="1"/>
    <col min="9994" max="9994" width="10.42578125" style="91" customWidth="1"/>
    <col min="9995" max="9995" width="5.140625" style="91" customWidth="1"/>
    <col min="9996" max="9996" width="17.7109375" style="91" customWidth="1"/>
    <col min="9997" max="9997" width="11.42578125" style="91"/>
    <col min="9998" max="9998" width="3.5703125" style="91" bestFit="1" customWidth="1"/>
    <col min="9999" max="9999" width="4.42578125" style="91" bestFit="1" customWidth="1"/>
    <col min="10000" max="10000" width="20.42578125" style="91" customWidth="1"/>
    <col min="10001" max="10240" width="11.42578125" style="91"/>
    <col min="10241" max="10241" width="12.140625" style="91" customWidth="1"/>
    <col min="10242" max="10242" width="64.7109375" style="91" customWidth="1"/>
    <col min="10243" max="10243" width="9" style="91" customWidth="1"/>
    <col min="10244" max="10244" width="10.7109375" style="91" bestFit="1" customWidth="1"/>
    <col min="10245" max="10245" width="9.28515625" style="91" customWidth="1"/>
    <col min="10246" max="10246" width="10.42578125" style="91" customWidth="1"/>
    <col min="10247" max="10247" width="7.7109375" style="91" customWidth="1"/>
    <col min="10248" max="10248" width="10.7109375" style="91" customWidth="1"/>
    <col min="10249" max="10249" width="14.140625" style="91" customWidth="1"/>
    <col min="10250" max="10250" width="10.42578125" style="91" customWidth="1"/>
    <col min="10251" max="10251" width="5.140625" style="91" customWidth="1"/>
    <col min="10252" max="10252" width="17.7109375" style="91" customWidth="1"/>
    <col min="10253" max="10253" width="11.42578125" style="91"/>
    <col min="10254" max="10254" width="3.5703125" style="91" bestFit="1" customWidth="1"/>
    <col min="10255" max="10255" width="4.42578125" style="91" bestFit="1" customWidth="1"/>
    <col min="10256" max="10256" width="20.42578125" style="91" customWidth="1"/>
    <col min="10257" max="10496" width="11.42578125" style="91"/>
    <col min="10497" max="10497" width="12.140625" style="91" customWidth="1"/>
    <col min="10498" max="10498" width="64.7109375" style="91" customWidth="1"/>
    <col min="10499" max="10499" width="9" style="91" customWidth="1"/>
    <col min="10500" max="10500" width="10.7109375" style="91" bestFit="1" customWidth="1"/>
    <col min="10501" max="10501" width="9.28515625" style="91" customWidth="1"/>
    <col min="10502" max="10502" width="10.42578125" style="91" customWidth="1"/>
    <col min="10503" max="10503" width="7.7109375" style="91" customWidth="1"/>
    <col min="10504" max="10504" width="10.7109375" style="91" customWidth="1"/>
    <col min="10505" max="10505" width="14.140625" style="91" customWidth="1"/>
    <col min="10506" max="10506" width="10.42578125" style="91" customWidth="1"/>
    <col min="10507" max="10507" width="5.140625" style="91" customWidth="1"/>
    <col min="10508" max="10508" width="17.7109375" style="91" customWidth="1"/>
    <col min="10509" max="10509" width="11.42578125" style="91"/>
    <col min="10510" max="10510" width="3.5703125" style="91" bestFit="1" customWidth="1"/>
    <col min="10511" max="10511" width="4.42578125" style="91" bestFit="1" customWidth="1"/>
    <col min="10512" max="10512" width="20.42578125" style="91" customWidth="1"/>
    <col min="10513" max="10752" width="11.42578125" style="91"/>
    <col min="10753" max="10753" width="12.140625" style="91" customWidth="1"/>
    <col min="10754" max="10754" width="64.7109375" style="91" customWidth="1"/>
    <col min="10755" max="10755" width="9" style="91" customWidth="1"/>
    <col min="10756" max="10756" width="10.7109375" style="91" bestFit="1" customWidth="1"/>
    <col min="10757" max="10757" width="9.28515625" style="91" customWidth="1"/>
    <col min="10758" max="10758" width="10.42578125" style="91" customWidth="1"/>
    <col min="10759" max="10759" width="7.7109375" style="91" customWidth="1"/>
    <col min="10760" max="10760" width="10.7109375" style="91" customWidth="1"/>
    <col min="10761" max="10761" width="14.140625" style="91" customWidth="1"/>
    <col min="10762" max="10762" width="10.42578125" style="91" customWidth="1"/>
    <col min="10763" max="10763" width="5.140625" style="91" customWidth="1"/>
    <col min="10764" max="10764" width="17.7109375" style="91" customWidth="1"/>
    <col min="10765" max="10765" width="11.42578125" style="91"/>
    <col min="10766" max="10766" width="3.5703125" style="91" bestFit="1" customWidth="1"/>
    <col min="10767" max="10767" width="4.42578125" style="91" bestFit="1" customWidth="1"/>
    <col min="10768" max="10768" width="20.42578125" style="91" customWidth="1"/>
    <col min="10769" max="11008" width="11.42578125" style="91"/>
    <col min="11009" max="11009" width="12.140625" style="91" customWidth="1"/>
    <col min="11010" max="11010" width="64.7109375" style="91" customWidth="1"/>
    <col min="11011" max="11011" width="9" style="91" customWidth="1"/>
    <col min="11012" max="11012" width="10.7109375" style="91" bestFit="1" customWidth="1"/>
    <col min="11013" max="11013" width="9.28515625" style="91" customWidth="1"/>
    <col min="11014" max="11014" width="10.42578125" style="91" customWidth="1"/>
    <col min="11015" max="11015" width="7.7109375" style="91" customWidth="1"/>
    <col min="11016" max="11016" width="10.7109375" style="91" customWidth="1"/>
    <col min="11017" max="11017" width="14.140625" style="91" customWidth="1"/>
    <col min="11018" max="11018" width="10.42578125" style="91" customWidth="1"/>
    <col min="11019" max="11019" width="5.140625" style="91" customWidth="1"/>
    <col min="11020" max="11020" width="17.7109375" style="91" customWidth="1"/>
    <col min="11021" max="11021" width="11.42578125" style="91"/>
    <col min="11022" max="11022" width="3.5703125" style="91" bestFit="1" customWidth="1"/>
    <col min="11023" max="11023" width="4.42578125" style="91" bestFit="1" customWidth="1"/>
    <col min="11024" max="11024" width="20.42578125" style="91" customWidth="1"/>
    <col min="11025" max="11264" width="11.42578125" style="91"/>
    <col min="11265" max="11265" width="12.140625" style="91" customWidth="1"/>
    <col min="11266" max="11266" width="64.7109375" style="91" customWidth="1"/>
    <col min="11267" max="11267" width="9" style="91" customWidth="1"/>
    <col min="11268" max="11268" width="10.7109375" style="91" bestFit="1" customWidth="1"/>
    <col min="11269" max="11269" width="9.28515625" style="91" customWidth="1"/>
    <col min="11270" max="11270" width="10.42578125" style="91" customWidth="1"/>
    <col min="11271" max="11271" width="7.7109375" style="91" customWidth="1"/>
    <col min="11272" max="11272" width="10.7109375" style="91" customWidth="1"/>
    <col min="11273" max="11273" width="14.140625" style="91" customWidth="1"/>
    <col min="11274" max="11274" width="10.42578125" style="91" customWidth="1"/>
    <col min="11275" max="11275" width="5.140625" style="91" customWidth="1"/>
    <col min="11276" max="11276" width="17.7109375" style="91" customWidth="1"/>
    <col min="11277" max="11277" width="11.42578125" style="91"/>
    <col min="11278" max="11278" width="3.5703125" style="91" bestFit="1" customWidth="1"/>
    <col min="11279" max="11279" width="4.42578125" style="91" bestFit="1" customWidth="1"/>
    <col min="11280" max="11280" width="20.42578125" style="91" customWidth="1"/>
    <col min="11281" max="11520" width="11.42578125" style="91"/>
    <col min="11521" max="11521" width="12.140625" style="91" customWidth="1"/>
    <col min="11522" max="11522" width="64.7109375" style="91" customWidth="1"/>
    <col min="11523" max="11523" width="9" style="91" customWidth="1"/>
    <col min="11524" max="11524" width="10.7109375" style="91" bestFit="1" customWidth="1"/>
    <col min="11525" max="11525" width="9.28515625" style="91" customWidth="1"/>
    <col min="11526" max="11526" width="10.42578125" style="91" customWidth="1"/>
    <col min="11527" max="11527" width="7.7109375" style="91" customWidth="1"/>
    <col min="11528" max="11528" width="10.7109375" style="91" customWidth="1"/>
    <col min="11529" max="11529" width="14.140625" style="91" customWidth="1"/>
    <col min="11530" max="11530" width="10.42578125" style="91" customWidth="1"/>
    <col min="11531" max="11531" width="5.140625" style="91" customWidth="1"/>
    <col min="11532" max="11532" width="17.7109375" style="91" customWidth="1"/>
    <col min="11533" max="11533" width="11.42578125" style="91"/>
    <col min="11534" max="11534" width="3.5703125" style="91" bestFit="1" customWidth="1"/>
    <col min="11535" max="11535" width="4.42578125" style="91" bestFit="1" customWidth="1"/>
    <col min="11536" max="11536" width="20.42578125" style="91" customWidth="1"/>
    <col min="11537" max="11776" width="11.42578125" style="91"/>
    <col min="11777" max="11777" width="12.140625" style="91" customWidth="1"/>
    <col min="11778" max="11778" width="64.7109375" style="91" customWidth="1"/>
    <col min="11779" max="11779" width="9" style="91" customWidth="1"/>
    <col min="11780" max="11780" width="10.7109375" style="91" bestFit="1" customWidth="1"/>
    <col min="11781" max="11781" width="9.28515625" style="91" customWidth="1"/>
    <col min="11782" max="11782" width="10.42578125" style="91" customWidth="1"/>
    <col min="11783" max="11783" width="7.7109375" style="91" customWidth="1"/>
    <col min="11784" max="11784" width="10.7109375" style="91" customWidth="1"/>
    <col min="11785" max="11785" width="14.140625" style="91" customWidth="1"/>
    <col min="11786" max="11786" width="10.42578125" style="91" customWidth="1"/>
    <col min="11787" max="11787" width="5.140625" style="91" customWidth="1"/>
    <col min="11788" max="11788" width="17.7109375" style="91" customWidth="1"/>
    <col min="11789" max="11789" width="11.42578125" style="91"/>
    <col min="11790" max="11790" width="3.5703125" style="91" bestFit="1" customWidth="1"/>
    <col min="11791" max="11791" width="4.42578125" style="91" bestFit="1" customWidth="1"/>
    <col min="11792" max="11792" width="20.42578125" style="91" customWidth="1"/>
    <col min="11793" max="12032" width="11.42578125" style="91"/>
    <col min="12033" max="12033" width="12.140625" style="91" customWidth="1"/>
    <col min="12034" max="12034" width="64.7109375" style="91" customWidth="1"/>
    <col min="12035" max="12035" width="9" style="91" customWidth="1"/>
    <col min="12036" max="12036" width="10.7109375" style="91" bestFit="1" customWidth="1"/>
    <col min="12037" max="12037" width="9.28515625" style="91" customWidth="1"/>
    <col min="12038" max="12038" width="10.42578125" style="91" customWidth="1"/>
    <col min="12039" max="12039" width="7.7109375" style="91" customWidth="1"/>
    <col min="12040" max="12040" width="10.7109375" style="91" customWidth="1"/>
    <col min="12041" max="12041" width="14.140625" style="91" customWidth="1"/>
    <col min="12042" max="12042" width="10.42578125" style="91" customWidth="1"/>
    <col min="12043" max="12043" width="5.140625" style="91" customWidth="1"/>
    <col min="12044" max="12044" width="17.7109375" style="91" customWidth="1"/>
    <col min="12045" max="12045" width="11.42578125" style="91"/>
    <col min="12046" max="12046" width="3.5703125" style="91" bestFit="1" customWidth="1"/>
    <col min="12047" max="12047" width="4.42578125" style="91" bestFit="1" customWidth="1"/>
    <col min="12048" max="12048" width="20.42578125" style="91" customWidth="1"/>
    <col min="12049" max="12288" width="11.42578125" style="91"/>
    <col min="12289" max="12289" width="12.140625" style="91" customWidth="1"/>
    <col min="12290" max="12290" width="64.7109375" style="91" customWidth="1"/>
    <col min="12291" max="12291" width="9" style="91" customWidth="1"/>
    <col min="12292" max="12292" width="10.7109375" style="91" bestFit="1" customWidth="1"/>
    <col min="12293" max="12293" width="9.28515625" style="91" customWidth="1"/>
    <col min="12294" max="12294" width="10.42578125" style="91" customWidth="1"/>
    <col min="12295" max="12295" width="7.7109375" style="91" customWidth="1"/>
    <col min="12296" max="12296" width="10.7109375" style="91" customWidth="1"/>
    <col min="12297" max="12297" width="14.140625" style="91" customWidth="1"/>
    <col min="12298" max="12298" width="10.42578125" style="91" customWidth="1"/>
    <col min="12299" max="12299" width="5.140625" style="91" customWidth="1"/>
    <col min="12300" max="12300" width="17.7109375" style="91" customWidth="1"/>
    <col min="12301" max="12301" width="11.42578125" style="91"/>
    <col min="12302" max="12302" width="3.5703125" style="91" bestFit="1" customWidth="1"/>
    <col min="12303" max="12303" width="4.42578125" style="91" bestFit="1" customWidth="1"/>
    <col min="12304" max="12304" width="20.42578125" style="91" customWidth="1"/>
    <col min="12305" max="12544" width="11.42578125" style="91"/>
    <col min="12545" max="12545" width="12.140625" style="91" customWidth="1"/>
    <col min="12546" max="12546" width="64.7109375" style="91" customWidth="1"/>
    <col min="12547" max="12547" width="9" style="91" customWidth="1"/>
    <col min="12548" max="12548" width="10.7109375" style="91" bestFit="1" customWidth="1"/>
    <col min="12549" max="12549" width="9.28515625" style="91" customWidth="1"/>
    <col min="12550" max="12550" width="10.42578125" style="91" customWidth="1"/>
    <col min="12551" max="12551" width="7.7109375" style="91" customWidth="1"/>
    <col min="12552" max="12552" width="10.7109375" style="91" customWidth="1"/>
    <col min="12553" max="12553" width="14.140625" style="91" customWidth="1"/>
    <col min="12554" max="12554" width="10.42578125" style="91" customWidth="1"/>
    <col min="12555" max="12555" width="5.140625" style="91" customWidth="1"/>
    <col min="12556" max="12556" width="17.7109375" style="91" customWidth="1"/>
    <col min="12557" max="12557" width="11.42578125" style="91"/>
    <col min="12558" max="12558" width="3.5703125" style="91" bestFit="1" customWidth="1"/>
    <col min="12559" max="12559" width="4.42578125" style="91" bestFit="1" customWidth="1"/>
    <col min="12560" max="12560" width="20.42578125" style="91" customWidth="1"/>
    <col min="12561" max="12800" width="11.42578125" style="91"/>
    <col min="12801" max="12801" width="12.140625" style="91" customWidth="1"/>
    <col min="12802" max="12802" width="64.7109375" style="91" customWidth="1"/>
    <col min="12803" max="12803" width="9" style="91" customWidth="1"/>
    <col min="12804" max="12804" width="10.7109375" style="91" bestFit="1" customWidth="1"/>
    <col min="12805" max="12805" width="9.28515625" style="91" customWidth="1"/>
    <col min="12806" max="12806" width="10.42578125" style="91" customWidth="1"/>
    <col min="12807" max="12807" width="7.7109375" style="91" customWidth="1"/>
    <col min="12808" max="12808" width="10.7109375" style="91" customWidth="1"/>
    <col min="12809" max="12809" width="14.140625" style="91" customWidth="1"/>
    <col min="12810" max="12810" width="10.42578125" style="91" customWidth="1"/>
    <col min="12811" max="12811" width="5.140625" style="91" customWidth="1"/>
    <col min="12812" max="12812" width="17.7109375" style="91" customWidth="1"/>
    <col min="12813" max="12813" width="11.42578125" style="91"/>
    <col min="12814" max="12814" width="3.5703125" style="91" bestFit="1" customWidth="1"/>
    <col min="12815" max="12815" width="4.42578125" style="91" bestFit="1" customWidth="1"/>
    <col min="12816" max="12816" width="20.42578125" style="91" customWidth="1"/>
    <col min="12817" max="13056" width="11.42578125" style="91"/>
    <col min="13057" max="13057" width="12.140625" style="91" customWidth="1"/>
    <col min="13058" max="13058" width="64.7109375" style="91" customWidth="1"/>
    <col min="13059" max="13059" width="9" style="91" customWidth="1"/>
    <col min="13060" max="13060" width="10.7109375" style="91" bestFit="1" customWidth="1"/>
    <col min="13061" max="13061" width="9.28515625" style="91" customWidth="1"/>
    <col min="13062" max="13062" width="10.42578125" style="91" customWidth="1"/>
    <col min="13063" max="13063" width="7.7109375" style="91" customWidth="1"/>
    <col min="13064" max="13064" width="10.7109375" style="91" customWidth="1"/>
    <col min="13065" max="13065" width="14.140625" style="91" customWidth="1"/>
    <col min="13066" max="13066" width="10.42578125" style="91" customWidth="1"/>
    <col min="13067" max="13067" width="5.140625" style="91" customWidth="1"/>
    <col min="13068" max="13068" width="17.7109375" style="91" customWidth="1"/>
    <col min="13069" max="13069" width="11.42578125" style="91"/>
    <col min="13070" max="13070" width="3.5703125" style="91" bestFit="1" customWidth="1"/>
    <col min="13071" max="13071" width="4.42578125" style="91" bestFit="1" customWidth="1"/>
    <col min="13072" max="13072" width="20.42578125" style="91" customWidth="1"/>
    <col min="13073" max="13312" width="11.42578125" style="91"/>
    <col min="13313" max="13313" width="12.140625" style="91" customWidth="1"/>
    <col min="13314" max="13314" width="64.7109375" style="91" customWidth="1"/>
    <col min="13315" max="13315" width="9" style="91" customWidth="1"/>
    <col min="13316" max="13316" width="10.7109375" style="91" bestFit="1" customWidth="1"/>
    <col min="13317" max="13317" width="9.28515625" style="91" customWidth="1"/>
    <col min="13318" max="13318" width="10.42578125" style="91" customWidth="1"/>
    <col min="13319" max="13319" width="7.7109375" style="91" customWidth="1"/>
    <col min="13320" max="13320" width="10.7109375" style="91" customWidth="1"/>
    <col min="13321" max="13321" width="14.140625" style="91" customWidth="1"/>
    <col min="13322" max="13322" width="10.42578125" style="91" customWidth="1"/>
    <col min="13323" max="13323" width="5.140625" style="91" customWidth="1"/>
    <col min="13324" max="13324" width="17.7109375" style="91" customWidth="1"/>
    <col min="13325" max="13325" width="11.42578125" style="91"/>
    <col min="13326" max="13326" width="3.5703125" style="91" bestFit="1" customWidth="1"/>
    <col min="13327" max="13327" width="4.42578125" style="91" bestFit="1" customWidth="1"/>
    <col min="13328" max="13328" width="20.42578125" style="91" customWidth="1"/>
    <col min="13329" max="13568" width="11.42578125" style="91"/>
    <col min="13569" max="13569" width="12.140625" style="91" customWidth="1"/>
    <col min="13570" max="13570" width="64.7109375" style="91" customWidth="1"/>
    <col min="13571" max="13571" width="9" style="91" customWidth="1"/>
    <col min="13572" max="13572" width="10.7109375" style="91" bestFit="1" customWidth="1"/>
    <col min="13573" max="13573" width="9.28515625" style="91" customWidth="1"/>
    <col min="13574" max="13574" width="10.42578125" style="91" customWidth="1"/>
    <col min="13575" max="13575" width="7.7109375" style="91" customWidth="1"/>
    <col min="13576" max="13576" width="10.7109375" style="91" customWidth="1"/>
    <col min="13577" max="13577" width="14.140625" style="91" customWidth="1"/>
    <col min="13578" max="13578" width="10.42578125" style="91" customWidth="1"/>
    <col min="13579" max="13579" width="5.140625" style="91" customWidth="1"/>
    <col min="13580" max="13580" width="17.7109375" style="91" customWidth="1"/>
    <col min="13581" max="13581" width="11.42578125" style="91"/>
    <col min="13582" max="13582" width="3.5703125" style="91" bestFit="1" customWidth="1"/>
    <col min="13583" max="13583" width="4.42578125" style="91" bestFit="1" customWidth="1"/>
    <col min="13584" max="13584" width="20.42578125" style="91" customWidth="1"/>
    <col min="13585" max="13824" width="11.42578125" style="91"/>
    <col min="13825" max="13825" width="12.140625" style="91" customWidth="1"/>
    <col min="13826" max="13826" width="64.7109375" style="91" customWidth="1"/>
    <col min="13827" max="13827" width="9" style="91" customWidth="1"/>
    <col min="13828" max="13828" width="10.7109375" style="91" bestFit="1" customWidth="1"/>
    <col min="13829" max="13829" width="9.28515625" style="91" customWidth="1"/>
    <col min="13830" max="13830" width="10.42578125" style="91" customWidth="1"/>
    <col min="13831" max="13831" width="7.7109375" style="91" customWidth="1"/>
    <col min="13832" max="13832" width="10.7109375" style="91" customWidth="1"/>
    <col min="13833" max="13833" width="14.140625" style="91" customWidth="1"/>
    <col min="13834" max="13834" width="10.42578125" style="91" customWidth="1"/>
    <col min="13835" max="13835" width="5.140625" style="91" customWidth="1"/>
    <col min="13836" max="13836" width="17.7109375" style="91" customWidth="1"/>
    <col min="13837" max="13837" width="11.42578125" style="91"/>
    <col min="13838" max="13838" width="3.5703125" style="91" bestFit="1" customWidth="1"/>
    <col min="13839" max="13839" width="4.42578125" style="91" bestFit="1" customWidth="1"/>
    <col min="13840" max="13840" width="20.42578125" style="91" customWidth="1"/>
    <col min="13841" max="14080" width="11.42578125" style="91"/>
    <col min="14081" max="14081" width="12.140625" style="91" customWidth="1"/>
    <col min="14082" max="14082" width="64.7109375" style="91" customWidth="1"/>
    <col min="14083" max="14083" width="9" style="91" customWidth="1"/>
    <col min="14084" max="14084" width="10.7109375" style="91" bestFit="1" customWidth="1"/>
    <col min="14085" max="14085" width="9.28515625" style="91" customWidth="1"/>
    <col min="14086" max="14086" width="10.42578125" style="91" customWidth="1"/>
    <col min="14087" max="14087" width="7.7109375" style="91" customWidth="1"/>
    <col min="14088" max="14088" width="10.7109375" style="91" customWidth="1"/>
    <col min="14089" max="14089" width="14.140625" style="91" customWidth="1"/>
    <col min="14090" max="14090" width="10.42578125" style="91" customWidth="1"/>
    <col min="14091" max="14091" width="5.140625" style="91" customWidth="1"/>
    <col min="14092" max="14092" width="17.7109375" style="91" customWidth="1"/>
    <col min="14093" max="14093" width="11.42578125" style="91"/>
    <col min="14094" max="14094" width="3.5703125" style="91" bestFit="1" customWidth="1"/>
    <col min="14095" max="14095" width="4.42578125" style="91" bestFit="1" customWidth="1"/>
    <col min="14096" max="14096" width="20.42578125" style="91" customWidth="1"/>
    <col min="14097" max="14336" width="11.42578125" style="91"/>
    <col min="14337" max="14337" width="12.140625" style="91" customWidth="1"/>
    <col min="14338" max="14338" width="64.7109375" style="91" customWidth="1"/>
    <col min="14339" max="14339" width="9" style="91" customWidth="1"/>
    <col min="14340" max="14340" width="10.7109375" style="91" bestFit="1" customWidth="1"/>
    <col min="14341" max="14341" width="9.28515625" style="91" customWidth="1"/>
    <col min="14342" max="14342" width="10.42578125" style="91" customWidth="1"/>
    <col min="14343" max="14343" width="7.7109375" style="91" customWidth="1"/>
    <col min="14344" max="14344" width="10.7109375" style="91" customWidth="1"/>
    <col min="14345" max="14345" width="14.140625" style="91" customWidth="1"/>
    <col min="14346" max="14346" width="10.42578125" style="91" customWidth="1"/>
    <col min="14347" max="14347" width="5.140625" style="91" customWidth="1"/>
    <col min="14348" max="14348" width="17.7109375" style="91" customWidth="1"/>
    <col min="14349" max="14349" width="11.42578125" style="91"/>
    <col min="14350" max="14350" width="3.5703125" style="91" bestFit="1" customWidth="1"/>
    <col min="14351" max="14351" width="4.42578125" style="91" bestFit="1" customWidth="1"/>
    <col min="14352" max="14352" width="20.42578125" style="91" customWidth="1"/>
    <col min="14353" max="14592" width="11.42578125" style="91"/>
    <col min="14593" max="14593" width="12.140625" style="91" customWidth="1"/>
    <col min="14594" max="14594" width="64.7109375" style="91" customWidth="1"/>
    <col min="14595" max="14595" width="9" style="91" customWidth="1"/>
    <col min="14596" max="14596" width="10.7109375" style="91" bestFit="1" customWidth="1"/>
    <col min="14597" max="14597" width="9.28515625" style="91" customWidth="1"/>
    <col min="14598" max="14598" width="10.42578125" style="91" customWidth="1"/>
    <col min="14599" max="14599" width="7.7109375" style="91" customWidth="1"/>
    <col min="14600" max="14600" width="10.7109375" style="91" customWidth="1"/>
    <col min="14601" max="14601" width="14.140625" style="91" customWidth="1"/>
    <col min="14602" max="14602" width="10.42578125" style="91" customWidth="1"/>
    <col min="14603" max="14603" width="5.140625" style="91" customWidth="1"/>
    <col min="14604" max="14604" width="17.7109375" style="91" customWidth="1"/>
    <col min="14605" max="14605" width="11.42578125" style="91"/>
    <col min="14606" max="14606" width="3.5703125" style="91" bestFit="1" customWidth="1"/>
    <col min="14607" max="14607" width="4.42578125" style="91" bestFit="1" customWidth="1"/>
    <col min="14608" max="14608" width="20.42578125" style="91" customWidth="1"/>
    <col min="14609" max="14848" width="11.42578125" style="91"/>
    <col min="14849" max="14849" width="12.140625" style="91" customWidth="1"/>
    <col min="14850" max="14850" width="64.7109375" style="91" customWidth="1"/>
    <col min="14851" max="14851" width="9" style="91" customWidth="1"/>
    <col min="14852" max="14852" width="10.7109375" style="91" bestFit="1" customWidth="1"/>
    <col min="14853" max="14853" width="9.28515625" style="91" customWidth="1"/>
    <col min="14854" max="14854" width="10.42578125" style="91" customWidth="1"/>
    <col min="14855" max="14855" width="7.7109375" style="91" customWidth="1"/>
    <col min="14856" max="14856" width="10.7109375" style="91" customWidth="1"/>
    <col min="14857" max="14857" width="14.140625" style="91" customWidth="1"/>
    <col min="14858" max="14858" width="10.42578125" style="91" customWidth="1"/>
    <col min="14859" max="14859" width="5.140625" style="91" customWidth="1"/>
    <col min="14860" max="14860" width="17.7109375" style="91" customWidth="1"/>
    <col min="14861" max="14861" width="11.42578125" style="91"/>
    <col min="14862" max="14862" width="3.5703125" style="91" bestFit="1" customWidth="1"/>
    <col min="14863" max="14863" width="4.42578125" style="91" bestFit="1" customWidth="1"/>
    <col min="14864" max="14864" width="20.42578125" style="91" customWidth="1"/>
    <col min="14865" max="15104" width="11.42578125" style="91"/>
    <col min="15105" max="15105" width="12.140625" style="91" customWidth="1"/>
    <col min="15106" max="15106" width="64.7109375" style="91" customWidth="1"/>
    <col min="15107" max="15107" width="9" style="91" customWidth="1"/>
    <col min="15108" max="15108" width="10.7109375" style="91" bestFit="1" customWidth="1"/>
    <col min="15109" max="15109" width="9.28515625" style="91" customWidth="1"/>
    <col min="15110" max="15110" width="10.42578125" style="91" customWidth="1"/>
    <col min="15111" max="15111" width="7.7109375" style="91" customWidth="1"/>
    <col min="15112" max="15112" width="10.7109375" style="91" customWidth="1"/>
    <col min="15113" max="15113" width="14.140625" style="91" customWidth="1"/>
    <col min="15114" max="15114" width="10.42578125" style="91" customWidth="1"/>
    <col min="15115" max="15115" width="5.140625" style="91" customWidth="1"/>
    <col min="15116" max="15116" width="17.7109375" style="91" customWidth="1"/>
    <col min="15117" max="15117" width="11.42578125" style="91"/>
    <col min="15118" max="15118" width="3.5703125" style="91" bestFit="1" customWidth="1"/>
    <col min="15119" max="15119" width="4.42578125" style="91" bestFit="1" customWidth="1"/>
    <col min="15120" max="15120" width="20.42578125" style="91" customWidth="1"/>
    <col min="15121" max="15360" width="11.42578125" style="91"/>
    <col min="15361" max="15361" width="12.140625" style="91" customWidth="1"/>
    <col min="15362" max="15362" width="64.7109375" style="91" customWidth="1"/>
    <col min="15363" max="15363" width="9" style="91" customWidth="1"/>
    <col min="15364" max="15364" width="10.7109375" style="91" bestFit="1" customWidth="1"/>
    <col min="15365" max="15365" width="9.28515625" style="91" customWidth="1"/>
    <col min="15366" max="15366" width="10.42578125" style="91" customWidth="1"/>
    <col min="15367" max="15367" width="7.7109375" style="91" customWidth="1"/>
    <col min="15368" max="15368" width="10.7109375" style="91" customWidth="1"/>
    <col min="15369" max="15369" width="14.140625" style="91" customWidth="1"/>
    <col min="15370" max="15370" width="10.42578125" style="91" customWidth="1"/>
    <col min="15371" max="15371" width="5.140625" style="91" customWidth="1"/>
    <col min="15372" max="15372" width="17.7109375" style="91" customWidth="1"/>
    <col min="15373" max="15373" width="11.42578125" style="91"/>
    <col min="15374" max="15374" width="3.5703125" style="91" bestFit="1" customWidth="1"/>
    <col min="15375" max="15375" width="4.42578125" style="91" bestFit="1" customWidth="1"/>
    <col min="15376" max="15376" width="20.42578125" style="91" customWidth="1"/>
    <col min="15377" max="15616" width="11.42578125" style="91"/>
    <col min="15617" max="15617" width="12.140625" style="91" customWidth="1"/>
    <col min="15618" max="15618" width="64.7109375" style="91" customWidth="1"/>
    <col min="15619" max="15619" width="9" style="91" customWidth="1"/>
    <col min="15620" max="15620" width="10.7109375" style="91" bestFit="1" customWidth="1"/>
    <col min="15621" max="15621" width="9.28515625" style="91" customWidth="1"/>
    <col min="15622" max="15622" width="10.42578125" style="91" customWidth="1"/>
    <col min="15623" max="15623" width="7.7109375" style="91" customWidth="1"/>
    <col min="15624" max="15624" width="10.7109375" style="91" customWidth="1"/>
    <col min="15625" max="15625" width="14.140625" style="91" customWidth="1"/>
    <col min="15626" max="15626" width="10.42578125" style="91" customWidth="1"/>
    <col min="15627" max="15627" width="5.140625" style="91" customWidth="1"/>
    <col min="15628" max="15628" width="17.7109375" style="91" customWidth="1"/>
    <col min="15629" max="15629" width="11.42578125" style="91"/>
    <col min="15630" max="15630" width="3.5703125" style="91" bestFit="1" customWidth="1"/>
    <col min="15631" max="15631" width="4.42578125" style="91" bestFit="1" customWidth="1"/>
    <col min="15632" max="15632" width="20.42578125" style="91" customWidth="1"/>
    <col min="15633" max="15872" width="11.42578125" style="91"/>
    <col min="15873" max="15873" width="12.140625" style="91" customWidth="1"/>
    <col min="15874" max="15874" width="64.7109375" style="91" customWidth="1"/>
    <col min="15875" max="15875" width="9" style="91" customWidth="1"/>
    <col min="15876" max="15876" width="10.7109375" style="91" bestFit="1" customWidth="1"/>
    <col min="15877" max="15877" width="9.28515625" style="91" customWidth="1"/>
    <col min="15878" max="15878" width="10.42578125" style="91" customWidth="1"/>
    <col min="15879" max="15879" width="7.7109375" style="91" customWidth="1"/>
    <col min="15880" max="15880" width="10.7109375" style="91" customWidth="1"/>
    <col min="15881" max="15881" width="14.140625" style="91" customWidth="1"/>
    <col min="15882" max="15882" width="10.42578125" style="91" customWidth="1"/>
    <col min="15883" max="15883" width="5.140625" style="91" customWidth="1"/>
    <col min="15884" max="15884" width="17.7109375" style="91" customWidth="1"/>
    <col min="15885" max="15885" width="11.42578125" style="91"/>
    <col min="15886" max="15886" width="3.5703125" style="91" bestFit="1" customWidth="1"/>
    <col min="15887" max="15887" width="4.42578125" style="91" bestFit="1" customWidth="1"/>
    <col min="15888" max="15888" width="20.42578125" style="91" customWidth="1"/>
    <col min="15889" max="16128" width="11.42578125" style="91"/>
    <col min="16129" max="16129" width="12.140625" style="91" customWidth="1"/>
    <col min="16130" max="16130" width="64.7109375" style="91" customWidth="1"/>
    <col min="16131" max="16131" width="9" style="91" customWidth="1"/>
    <col min="16132" max="16132" width="10.7109375" style="91" bestFit="1" customWidth="1"/>
    <col min="16133" max="16133" width="9.28515625" style="91" customWidth="1"/>
    <col min="16134" max="16134" width="10.42578125" style="91" customWidth="1"/>
    <col min="16135" max="16135" width="7.7109375" style="91" customWidth="1"/>
    <col min="16136" max="16136" width="10.7109375" style="91" customWidth="1"/>
    <col min="16137" max="16137" width="14.140625" style="91" customWidth="1"/>
    <col min="16138" max="16138" width="10.42578125" style="91" customWidth="1"/>
    <col min="16139" max="16139" width="5.140625" style="91" customWidth="1"/>
    <col min="16140" max="16140" width="17.7109375" style="91" customWidth="1"/>
    <col min="16141" max="16141" width="11.42578125" style="91"/>
    <col min="16142" max="16142" width="3.5703125" style="91" bestFit="1" customWidth="1"/>
    <col min="16143" max="16143" width="4.42578125" style="91" bestFit="1" customWidth="1"/>
    <col min="16144" max="16144" width="20.42578125" style="91" customWidth="1"/>
    <col min="16145" max="16384" width="11.42578125" style="91"/>
  </cols>
  <sheetData>
    <row r="1" spans="1:11" s="82" customFormat="1" ht="25.5">
      <c r="A1" s="2945" t="s">
        <v>272</v>
      </c>
      <c r="B1" s="2946"/>
      <c r="C1" s="2946"/>
      <c r="D1" s="2946"/>
      <c r="E1" s="2946"/>
      <c r="F1" s="2946"/>
      <c r="G1" s="2946"/>
      <c r="H1" s="2946"/>
      <c r="I1" s="2946"/>
      <c r="J1" s="2947"/>
      <c r="K1" s="81"/>
    </row>
    <row r="2" spans="1:11" s="82" customFormat="1" ht="18">
      <c r="A2" s="83"/>
      <c r="I2" s="84"/>
      <c r="J2" s="85"/>
    </row>
    <row r="3" spans="1:11" s="82" customFormat="1" ht="18">
      <c r="A3" s="2948" t="s">
        <v>404</v>
      </c>
      <c r="B3" s="2949" t="s">
        <v>242</v>
      </c>
      <c r="C3" s="2949"/>
      <c r="D3" s="2949"/>
      <c r="E3" s="2949"/>
      <c r="F3" s="2949"/>
      <c r="G3" s="2949"/>
      <c r="H3" s="2949"/>
      <c r="I3" s="2949"/>
      <c r="J3" s="2950"/>
      <c r="K3" s="86"/>
    </row>
    <row r="4" spans="1:11" s="82" customFormat="1" ht="47.25" customHeight="1">
      <c r="A4" s="2948"/>
      <c r="B4" s="2949"/>
      <c r="C4" s="2949"/>
      <c r="D4" s="2949"/>
      <c r="E4" s="2949"/>
      <c r="F4" s="2949"/>
      <c r="G4" s="2949"/>
      <c r="H4" s="2949"/>
      <c r="I4" s="2949"/>
      <c r="J4" s="2950"/>
      <c r="K4" s="87"/>
    </row>
    <row r="5" spans="1:11" s="82" customFormat="1" ht="6" customHeight="1">
      <c r="A5" s="88"/>
      <c r="I5" s="89"/>
      <c r="J5" s="85"/>
      <c r="K5" s="87"/>
    </row>
    <row r="6" spans="1:11" s="82" customFormat="1" ht="6" customHeight="1">
      <c r="A6" s="88"/>
      <c r="I6" s="89"/>
      <c r="J6" s="85"/>
      <c r="K6" s="87"/>
    </row>
    <row r="7" spans="1:11" s="82" customFormat="1" ht="18">
      <c r="A7" s="88"/>
      <c r="B7" s="87"/>
      <c r="F7" s="87" t="s">
        <v>273</v>
      </c>
      <c r="G7" s="87" t="s">
        <v>274</v>
      </c>
      <c r="H7" s="87"/>
      <c r="I7" s="89"/>
      <c r="J7" s="85"/>
      <c r="K7" s="87"/>
    </row>
    <row r="8" spans="1:11" ht="13.5" thickBot="1">
      <c r="A8" s="90"/>
      <c r="J8" s="93"/>
    </row>
    <row r="9" spans="1:11" s="98" customFormat="1" ht="31.5" customHeight="1" thickTop="1" thickBot="1">
      <c r="A9" s="95" t="s">
        <v>31</v>
      </c>
      <c r="B9" s="95" t="s">
        <v>275</v>
      </c>
      <c r="C9" s="96" t="s">
        <v>276</v>
      </c>
      <c r="D9" s="96" t="s">
        <v>277</v>
      </c>
      <c r="E9" s="95" t="s">
        <v>278</v>
      </c>
      <c r="F9" s="95" t="s">
        <v>279</v>
      </c>
      <c r="G9" s="95" t="s">
        <v>280</v>
      </c>
      <c r="H9" s="95" t="s">
        <v>113</v>
      </c>
      <c r="I9" s="95" t="s">
        <v>281</v>
      </c>
      <c r="J9" s="95" t="s">
        <v>86</v>
      </c>
      <c r="K9" s="97"/>
    </row>
    <row r="10" spans="1:11" s="106" customFormat="1" ht="35.1" customHeight="1" thickTop="1">
      <c r="A10" s="99" t="s">
        <v>282</v>
      </c>
      <c r="B10" s="100" t="s">
        <v>115</v>
      </c>
      <c r="C10" s="101"/>
      <c r="D10" s="102"/>
      <c r="E10" s="102"/>
      <c r="F10" s="102"/>
      <c r="G10" s="102"/>
      <c r="H10" s="102"/>
      <c r="I10" s="103"/>
      <c r="J10" s="104" t="s">
        <v>283</v>
      </c>
      <c r="K10" s="105"/>
    </row>
    <row r="11" spans="1:11" s="114" customFormat="1" ht="35.1" hidden="1" customHeight="1">
      <c r="A11" s="107" t="s">
        <v>284</v>
      </c>
      <c r="B11" s="108" t="s">
        <v>285</v>
      </c>
      <c r="C11" s="109">
        <v>1</v>
      </c>
      <c r="D11" s="110">
        <v>1</v>
      </c>
      <c r="E11" s="110"/>
      <c r="F11" s="110"/>
      <c r="G11" s="110"/>
      <c r="H11" s="111">
        <f>+D11</f>
        <v>1</v>
      </c>
      <c r="I11" s="111">
        <f>+H11</f>
        <v>1</v>
      </c>
      <c r="J11" s="112" t="s">
        <v>13</v>
      </c>
      <c r="K11" s="113"/>
    </row>
    <row r="12" spans="1:11" s="114" customFormat="1" ht="35.1" hidden="1" customHeight="1">
      <c r="A12" s="107"/>
      <c r="B12" s="115"/>
      <c r="C12" s="109"/>
      <c r="D12" s="110"/>
      <c r="E12" s="110"/>
      <c r="F12" s="110"/>
      <c r="G12" s="110"/>
      <c r="H12" s="111"/>
      <c r="I12" s="111"/>
      <c r="J12" s="112"/>
      <c r="K12" s="113"/>
    </row>
    <row r="13" spans="1:11" s="114" customFormat="1" ht="35.1" customHeight="1">
      <c r="A13" s="107" t="s">
        <v>286</v>
      </c>
      <c r="B13" s="115" t="s">
        <v>287</v>
      </c>
      <c r="C13" s="109">
        <v>1</v>
      </c>
      <c r="D13" s="110">
        <v>3</v>
      </c>
      <c r="E13" s="110"/>
      <c r="F13" s="110"/>
      <c r="G13" s="110"/>
      <c r="H13" s="111">
        <v>1</v>
      </c>
      <c r="I13" s="111">
        <f>+H13</f>
        <v>1</v>
      </c>
      <c r="J13" s="112" t="s">
        <v>19</v>
      </c>
      <c r="K13" s="113"/>
    </row>
    <row r="14" spans="1:11" s="122" customFormat="1" ht="35.1" hidden="1" customHeight="1">
      <c r="A14" s="116"/>
      <c r="B14" s="117"/>
      <c r="C14" s="118"/>
      <c r="D14" s="119"/>
      <c r="E14" s="119"/>
      <c r="F14" s="119"/>
      <c r="G14" s="119"/>
      <c r="H14" s="120"/>
      <c r="I14" s="111"/>
      <c r="J14" s="121"/>
      <c r="K14" s="113"/>
    </row>
    <row r="15" spans="1:11" s="106" customFormat="1" ht="35.1" customHeight="1">
      <c r="A15" s="123" t="s">
        <v>288</v>
      </c>
      <c r="B15" s="124" t="s">
        <v>243</v>
      </c>
      <c r="C15" s="125"/>
      <c r="D15" s="126"/>
      <c r="E15" s="126"/>
      <c r="F15" s="126"/>
      <c r="G15" s="126"/>
      <c r="H15" s="127"/>
      <c r="I15" s="128"/>
      <c r="J15" s="129" t="s">
        <v>283</v>
      </c>
      <c r="K15" s="105"/>
    </row>
    <row r="16" spans="1:11" s="114" customFormat="1" ht="35.1" hidden="1" customHeight="1">
      <c r="A16" s="107" t="s">
        <v>289</v>
      </c>
      <c r="B16" s="115" t="s">
        <v>290</v>
      </c>
      <c r="C16" s="109">
        <v>1</v>
      </c>
      <c r="D16" s="110">
        <v>1</v>
      </c>
      <c r="E16" s="110"/>
      <c r="F16" s="110"/>
      <c r="G16" s="110"/>
      <c r="H16" s="111">
        <f>+D16</f>
        <v>1</v>
      </c>
      <c r="I16" s="111">
        <v>1</v>
      </c>
      <c r="J16" s="112" t="s">
        <v>291</v>
      </c>
      <c r="K16" s="113"/>
    </row>
    <row r="17" spans="1:13" s="114" customFormat="1" ht="35.1" hidden="1" customHeight="1">
      <c r="A17" s="107"/>
      <c r="B17" s="115"/>
      <c r="C17" s="109"/>
      <c r="D17" s="110"/>
      <c r="E17" s="110"/>
      <c r="F17" s="110"/>
      <c r="G17" s="110"/>
      <c r="H17" s="111"/>
      <c r="I17" s="111"/>
      <c r="J17" s="112"/>
      <c r="K17" s="113"/>
    </row>
    <row r="18" spans="1:13" s="114" customFormat="1" ht="35.1" hidden="1" customHeight="1">
      <c r="A18" s="107" t="s">
        <v>292</v>
      </c>
      <c r="B18" s="115" t="s">
        <v>293</v>
      </c>
      <c r="C18" s="109"/>
      <c r="D18" s="110"/>
      <c r="E18" s="110"/>
      <c r="F18" s="110"/>
      <c r="G18" s="110"/>
      <c r="H18" s="111"/>
      <c r="I18" s="111">
        <f>+SUM(H20:H21)</f>
        <v>3923.25</v>
      </c>
      <c r="J18" s="112" t="s">
        <v>294</v>
      </c>
      <c r="K18" s="113"/>
    </row>
    <row r="19" spans="1:13" s="114" customFormat="1" ht="15.95" hidden="1" customHeight="1">
      <c r="A19" s="107"/>
      <c r="B19" s="115"/>
      <c r="C19" s="109"/>
      <c r="D19" s="110"/>
      <c r="E19" s="110"/>
      <c r="F19" s="110"/>
      <c r="G19" s="110"/>
      <c r="H19" s="111"/>
      <c r="I19" s="111"/>
      <c r="J19" s="112"/>
      <c r="K19" s="113"/>
    </row>
    <row r="20" spans="1:13" s="122" customFormat="1" ht="35.1" hidden="1" customHeight="1">
      <c r="A20" s="130"/>
      <c r="B20" s="131" t="s">
        <v>295</v>
      </c>
      <c r="C20" s="132"/>
      <c r="D20" s="133"/>
      <c r="E20" s="133"/>
      <c r="F20" s="133"/>
      <c r="G20" s="133"/>
      <c r="H20" s="133"/>
      <c r="I20" s="134"/>
      <c r="J20" s="121"/>
      <c r="K20" s="113"/>
    </row>
    <row r="21" spans="1:13" s="122" customFormat="1" ht="35.1" hidden="1" customHeight="1">
      <c r="A21" s="130"/>
      <c r="B21" s="135" t="s">
        <v>296</v>
      </c>
      <c r="C21" s="133">
        <v>1</v>
      </c>
      <c r="D21" s="133">
        <v>1</v>
      </c>
      <c r="E21" s="133">
        <v>523.1</v>
      </c>
      <c r="F21" s="133">
        <v>7.5</v>
      </c>
      <c r="G21" s="133"/>
      <c r="H21" s="134">
        <f>+PRODUCT(C21:G21)</f>
        <v>3923.25</v>
      </c>
      <c r="I21" s="134"/>
      <c r="J21" s="121"/>
      <c r="K21" s="113"/>
      <c r="M21" s="136"/>
    </row>
    <row r="22" spans="1:13" s="122" customFormat="1" ht="35.1" hidden="1" customHeight="1">
      <c r="A22" s="130"/>
      <c r="B22" s="137"/>
      <c r="C22" s="118"/>
      <c r="D22" s="119"/>
      <c r="E22" s="119"/>
      <c r="F22" s="119"/>
      <c r="G22" s="119"/>
      <c r="H22" s="120"/>
      <c r="I22" s="111"/>
      <c r="J22" s="121"/>
      <c r="K22" s="113"/>
    </row>
    <row r="23" spans="1:13" s="114" customFormat="1" ht="35.1" hidden="1" customHeight="1">
      <c r="A23" s="107" t="s">
        <v>297</v>
      </c>
      <c r="B23" s="115" t="s">
        <v>298</v>
      </c>
      <c r="C23" s="109"/>
      <c r="D23" s="110"/>
      <c r="E23" s="110"/>
      <c r="F23" s="110"/>
      <c r="G23" s="110"/>
      <c r="H23" s="111"/>
      <c r="I23" s="111">
        <f>+SUM(H24:H26)</f>
        <v>3923.25</v>
      </c>
      <c r="J23" s="112" t="s">
        <v>294</v>
      </c>
      <c r="K23" s="113"/>
    </row>
    <row r="24" spans="1:13" s="122" customFormat="1" ht="15.95" hidden="1" customHeight="1">
      <c r="A24" s="130"/>
      <c r="B24" s="138"/>
      <c r="C24" s="118"/>
      <c r="D24" s="119"/>
      <c r="E24" s="119"/>
      <c r="F24" s="119"/>
      <c r="G24" s="119"/>
      <c r="H24" s="120"/>
      <c r="I24" s="111"/>
      <c r="J24" s="121"/>
      <c r="K24" s="113"/>
    </row>
    <row r="25" spans="1:13" s="122" customFormat="1" ht="35.1" hidden="1" customHeight="1">
      <c r="A25" s="130"/>
      <c r="B25" s="131" t="s">
        <v>295</v>
      </c>
      <c r="C25" s="132"/>
      <c r="D25" s="133"/>
      <c r="E25" s="133"/>
      <c r="F25" s="133"/>
      <c r="G25" s="133"/>
      <c r="H25" s="133"/>
      <c r="I25" s="111"/>
      <c r="J25" s="121"/>
      <c r="K25" s="113"/>
    </row>
    <row r="26" spans="1:13" s="122" customFormat="1" ht="35.1" hidden="1" customHeight="1">
      <c r="A26" s="130"/>
      <c r="B26" s="135" t="s">
        <v>296</v>
      </c>
      <c r="C26" s="133">
        <v>1</v>
      </c>
      <c r="D26" s="133">
        <v>1</v>
      </c>
      <c r="E26" s="133">
        <v>523.1</v>
      </c>
      <c r="F26" s="133">
        <v>7.5</v>
      </c>
      <c r="G26" s="133"/>
      <c r="H26" s="134">
        <f>+PRODUCT(C26:G26)</f>
        <v>3923.25</v>
      </c>
      <c r="I26" s="111"/>
      <c r="J26" s="121"/>
      <c r="K26" s="113"/>
    </row>
    <row r="27" spans="1:13" s="122" customFormat="1" ht="35.1" hidden="1" customHeight="1">
      <c r="A27" s="130"/>
      <c r="B27" s="137"/>
      <c r="C27" s="118"/>
      <c r="D27" s="119"/>
      <c r="E27" s="119"/>
      <c r="F27" s="119"/>
      <c r="G27" s="119"/>
      <c r="H27" s="120"/>
      <c r="I27" s="111"/>
      <c r="J27" s="121"/>
      <c r="K27" s="113"/>
    </row>
    <row r="28" spans="1:13" s="106" customFormat="1" ht="35.1" hidden="1" customHeight="1">
      <c r="A28" s="123" t="s">
        <v>299</v>
      </c>
      <c r="B28" s="124" t="s">
        <v>300</v>
      </c>
      <c r="C28" s="125"/>
      <c r="D28" s="126"/>
      <c r="E28" s="126"/>
      <c r="F28" s="126"/>
      <c r="G28" s="126"/>
      <c r="H28" s="127"/>
      <c r="I28" s="128"/>
      <c r="J28" s="129" t="s">
        <v>283</v>
      </c>
      <c r="K28" s="105"/>
    </row>
    <row r="29" spans="1:13" s="122" customFormat="1" ht="35.1" hidden="1" customHeight="1">
      <c r="A29" s="116" t="s">
        <v>301</v>
      </c>
      <c r="B29" s="139" t="s">
        <v>302</v>
      </c>
      <c r="C29" s="118"/>
      <c r="D29" s="119"/>
      <c r="E29" s="119"/>
      <c r="F29" s="119"/>
      <c r="G29" s="119"/>
      <c r="H29" s="120"/>
      <c r="I29" s="111">
        <f>+SUM(H30:H30)</f>
        <v>1391.51</v>
      </c>
      <c r="J29" s="112" t="s">
        <v>130</v>
      </c>
      <c r="K29" s="113"/>
      <c r="L29" s="122">
        <v>6216.0678550000002</v>
      </c>
    </row>
    <row r="30" spans="1:13" s="122" customFormat="1" ht="35.1" hidden="1" customHeight="1">
      <c r="A30" s="130"/>
      <c r="B30" s="137" t="s">
        <v>295</v>
      </c>
      <c r="C30" s="118">
        <v>1</v>
      </c>
      <c r="D30" s="120">
        <v>1391.51</v>
      </c>
      <c r="E30" s="2951" t="s">
        <v>303</v>
      </c>
      <c r="F30" s="2952"/>
      <c r="G30" s="2953"/>
      <c r="H30" s="120">
        <f>+PRODUCT(C30:G30)</f>
        <v>1391.51</v>
      </c>
      <c r="I30" s="111"/>
      <c r="J30" s="121"/>
      <c r="K30" s="113"/>
    </row>
    <row r="31" spans="1:13" s="122" customFormat="1" ht="35.1" hidden="1" customHeight="1">
      <c r="A31" s="130"/>
      <c r="B31" s="137"/>
      <c r="C31" s="118"/>
      <c r="D31" s="119"/>
      <c r="E31" s="119"/>
      <c r="F31" s="119"/>
      <c r="G31" s="119"/>
      <c r="H31" s="120"/>
      <c r="I31" s="111"/>
      <c r="J31" s="121"/>
      <c r="K31" s="113"/>
    </row>
    <row r="32" spans="1:13" s="122" customFormat="1" ht="35.1" hidden="1" customHeight="1">
      <c r="A32" s="116" t="s">
        <v>304</v>
      </c>
      <c r="B32" s="140" t="s">
        <v>305</v>
      </c>
      <c r="C32" s="118"/>
      <c r="D32" s="119"/>
      <c r="E32" s="141" t="s">
        <v>306</v>
      </c>
      <c r="F32" s="119"/>
      <c r="G32" s="119">
        <v>1.25</v>
      </c>
      <c r="H32" s="120" t="e">
        <f>SUM(H33:H38)</f>
        <v>#REF!</v>
      </c>
      <c r="I32" s="111" t="e">
        <f>H32*G32+0.01</f>
        <v>#REF!</v>
      </c>
      <c r="J32" s="121" t="s">
        <v>130</v>
      </c>
      <c r="K32" s="113"/>
    </row>
    <row r="33" spans="1:13" s="122" customFormat="1" ht="35.1" hidden="1" customHeight="1">
      <c r="A33" s="116"/>
      <c r="B33" s="142" t="s">
        <v>307</v>
      </c>
      <c r="C33" s="118">
        <v>1</v>
      </c>
      <c r="D33" s="118">
        <f>+I29</f>
        <v>1391.51</v>
      </c>
      <c r="E33" s="119"/>
      <c r="F33" s="119"/>
      <c r="G33" s="119"/>
      <c r="H33" s="120">
        <f t="shared" ref="H33:H38" si="0">+PRODUCT(C33:G33)</f>
        <v>1391.51</v>
      </c>
      <c r="I33" s="111"/>
      <c r="J33" s="121"/>
      <c r="K33" s="113"/>
    </row>
    <row r="34" spans="1:13" s="122" customFormat="1" ht="35.1" hidden="1" customHeight="1">
      <c r="A34" s="116"/>
      <c r="B34" s="142" t="s">
        <v>308</v>
      </c>
      <c r="C34" s="118">
        <v>1</v>
      </c>
      <c r="D34" s="118" t="e">
        <f>+#REF!</f>
        <v>#REF!</v>
      </c>
      <c r="E34" s="119"/>
      <c r="F34" s="119"/>
      <c r="G34" s="119"/>
      <c r="H34" s="120" t="e">
        <f t="shared" si="0"/>
        <v>#REF!</v>
      </c>
      <c r="I34" s="111"/>
      <c r="J34" s="121"/>
      <c r="K34" s="113"/>
    </row>
    <row r="35" spans="1:13" s="122" customFormat="1" ht="35.1" hidden="1" customHeight="1">
      <c r="A35" s="116"/>
      <c r="B35" s="142" t="s">
        <v>309</v>
      </c>
      <c r="C35" s="118">
        <v>1</v>
      </c>
      <c r="D35" s="118" t="e">
        <f>+#REF!</f>
        <v>#REF!</v>
      </c>
      <c r="E35" s="119"/>
      <c r="F35" s="119"/>
      <c r="G35" s="119"/>
      <c r="H35" s="120" t="e">
        <f t="shared" si="0"/>
        <v>#REF!</v>
      </c>
      <c r="I35" s="111"/>
      <c r="J35" s="121"/>
      <c r="K35" s="113"/>
    </row>
    <row r="36" spans="1:13" s="122" customFormat="1" ht="35.1" hidden="1" customHeight="1">
      <c r="A36" s="116"/>
      <c r="B36" s="142" t="s">
        <v>310</v>
      </c>
      <c r="C36" s="118">
        <v>1</v>
      </c>
      <c r="D36" s="118" t="e">
        <f>+#REF!</f>
        <v>#REF!</v>
      </c>
      <c r="E36" s="119"/>
      <c r="F36" s="119"/>
      <c r="G36" s="119"/>
      <c r="H36" s="120" t="e">
        <f t="shared" si="0"/>
        <v>#REF!</v>
      </c>
      <c r="I36" s="111"/>
      <c r="J36" s="121"/>
      <c r="K36" s="113"/>
    </row>
    <row r="37" spans="1:13" s="122" customFormat="1" ht="35.1" hidden="1" customHeight="1">
      <c r="A37" s="116"/>
      <c r="B37" s="142" t="s">
        <v>311</v>
      </c>
      <c r="C37" s="118">
        <v>1</v>
      </c>
      <c r="D37" s="118" t="e">
        <f>+#REF!</f>
        <v>#REF!</v>
      </c>
      <c r="E37" s="119"/>
      <c r="F37" s="119"/>
      <c r="G37" s="119"/>
      <c r="H37" s="120" t="e">
        <f t="shared" si="0"/>
        <v>#REF!</v>
      </c>
      <c r="I37" s="111"/>
      <c r="J37" s="121"/>
      <c r="K37" s="113"/>
    </row>
    <row r="38" spans="1:13" s="122" customFormat="1" ht="35.1" hidden="1" customHeight="1">
      <c r="A38" s="116"/>
      <c r="B38" s="142" t="s">
        <v>312</v>
      </c>
      <c r="C38" s="118">
        <v>1</v>
      </c>
      <c r="D38" s="118" t="e">
        <f>+#REF!</f>
        <v>#REF!</v>
      </c>
      <c r="E38" s="119"/>
      <c r="F38" s="119"/>
      <c r="G38" s="119"/>
      <c r="H38" s="120" t="e">
        <f t="shared" si="0"/>
        <v>#REF!</v>
      </c>
      <c r="I38" s="111"/>
      <c r="J38" s="121"/>
      <c r="K38" s="113"/>
    </row>
    <row r="39" spans="1:13" s="122" customFormat="1" ht="35.1" hidden="1" customHeight="1">
      <c r="A39" s="130"/>
      <c r="B39" s="137"/>
      <c r="C39" s="118"/>
      <c r="D39" s="119"/>
      <c r="E39" s="119"/>
      <c r="F39" s="119"/>
      <c r="G39" s="119"/>
      <c r="H39" s="120"/>
      <c r="I39" s="111"/>
      <c r="J39" s="121"/>
      <c r="K39" s="113"/>
      <c r="M39" s="136"/>
    </row>
    <row r="40" spans="1:13" s="106" customFormat="1" ht="35.1" customHeight="1">
      <c r="A40" s="123" t="s">
        <v>313</v>
      </c>
      <c r="B40" s="124" t="s">
        <v>314</v>
      </c>
      <c r="C40" s="125"/>
      <c r="D40" s="126"/>
      <c r="E40" s="126"/>
      <c r="F40" s="125"/>
      <c r="G40" s="126"/>
      <c r="H40" s="127"/>
      <c r="I40" s="128"/>
      <c r="J40" s="129"/>
      <c r="K40" s="105"/>
    </row>
    <row r="41" spans="1:13" s="151" customFormat="1" ht="35.1" customHeight="1">
      <c r="A41" s="143" t="s">
        <v>315</v>
      </c>
      <c r="B41" s="144" t="s">
        <v>244</v>
      </c>
      <c r="C41" s="145"/>
      <c r="D41" s="146"/>
      <c r="E41" s="146"/>
      <c r="F41" s="145"/>
      <c r="G41" s="146"/>
      <c r="H41" s="147"/>
      <c r="I41" s="148"/>
      <c r="J41" s="149"/>
      <c r="K41" s="150"/>
    </row>
    <row r="42" spans="1:13" s="114" customFormat="1" ht="35.1" customHeight="1">
      <c r="A42" s="107" t="s">
        <v>117</v>
      </c>
      <c r="B42" s="152" t="s">
        <v>316</v>
      </c>
      <c r="C42" s="109"/>
      <c r="D42" s="110"/>
      <c r="E42" s="110"/>
      <c r="F42" s="110"/>
      <c r="G42" s="110"/>
      <c r="H42" s="111"/>
      <c r="I42" s="111">
        <f>+SUM(H43:H46)</f>
        <v>2512.1000000000004</v>
      </c>
      <c r="J42" s="112" t="s">
        <v>294</v>
      </c>
      <c r="K42" s="113"/>
      <c r="M42" s="153"/>
    </row>
    <row r="43" spans="1:13" s="122" customFormat="1" ht="35.1" customHeight="1">
      <c r="A43" s="154"/>
      <c r="B43" s="155" t="s">
        <v>295</v>
      </c>
      <c r="C43" s="132"/>
      <c r="D43" s="133"/>
      <c r="E43" s="133"/>
      <c r="F43" s="133"/>
      <c r="G43" s="133"/>
      <c r="H43" s="133"/>
      <c r="I43" s="111"/>
      <c r="J43" s="121"/>
      <c r="K43" s="113"/>
      <c r="M43" s="136"/>
    </row>
    <row r="44" spans="1:13" s="122" customFormat="1" ht="35.1" customHeight="1">
      <c r="A44" s="154"/>
      <c r="B44" s="156" t="s">
        <v>296</v>
      </c>
      <c r="C44" s="133">
        <v>1</v>
      </c>
      <c r="D44" s="133">
        <v>1</v>
      </c>
      <c r="E44" s="133">
        <v>300</v>
      </c>
      <c r="F44" s="133">
        <v>5</v>
      </c>
      <c r="G44" s="133"/>
      <c r="H44" s="134">
        <f>+PRODUCT(C44:G44)</f>
        <v>1500</v>
      </c>
      <c r="I44" s="111"/>
      <c r="J44" s="121"/>
      <c r="K44" s="113"/>
      <c r="M44" s="136"/>
    </row>
    <row r="45" spans="1:13" s="122" customFormat="1" ht="35.1" customHeight="1">
      <c r="A45" s="154"/>
      <c r="B45" s="156" t="s">
        <v>317</v>
      </c>
      <c r="C45" s="133">
        <v>1</v>
      </c>
      <c r="D45" s="133">
        <v>1</v>
      </c>
      <c r="E45" s="133">
        <v>103.4</v>
      </c>
      <c r="F45" s="133">
        <v>4</v>
      </c>
      <c r="G45" s="133"/>
      <c r="H45" s="134">
        <f>+PRODUCT(C45:G45)</f>
        <v>413.6</v>
      </c>
      <c r="I45" s="111"/>
      <c r="J45" s="121"/>
      <c r="K45" s="113"/>
      <c r="M45" s="136"/>
    </row>
    <row r="46" spans="1:13" s="122" customFormat="1" ht="35.1" customHeight="1">
      <c r="A46" s="154"/>
      <c r="B46" s="156" t="s">
        <v>318</v>
      </c>
      <c r="C46" s="133">
        <v>1</v>
      </c>
      <c r="D46" s="133">
        <v>1</v>
      </c>
      <c r="E46" s="133">
        <v>119.70000000000005</v>
      </c>
      <c r="F46" s="133">
        <v>5</v>
      </c>
      <c r="G46" s="133"/>
      <c r="H46" s="134">
        <f>+PRODUCT(C46:G46)</f>
        <v>598.50000000000023</v>
      </c>
      <c r="I46" s="111"/>
      <c r="J46" s="121"/>
      <c r="K46" s="113"/>
      <c r="M46" s="136"/>
    </row>
    <row r="47" spans="1:13" s="122" customFormat="1" ht="35.1" customHeight="1">
      <c r="A47" s="107"/>
      <c r="B47" s="157"/>
      <c r="C47" s="118"/>
      <c r="D47" s="119"/>
      <c r="E47" s="119"/>
      <c r="F47" s="118"/>
      <c r="G47" s="119"/>
      <c r="H47" s="120"/>
      <c r="I47" s="111"/>
      <c r="J47" s="121"/>
      <c r="K47" s="113"/>
    </row>
    <row r="48" spans="1:13" s="114" customFormat="1" ht="35.1" customHeight="1">
      <c r="A48" s="107" t="s">
        <v>149</v>
      </c>
      <c r="B48" s="152" t="s">
        <v>319</v>
      </c>
      <c r="C48" s="109"/>
      <c r="D48" s="110"/>
      <c r="E48" s="110"/>
      <c r="F48" s="110"/>
      <c r="G48" s="110"/>
      <c r="H48" s="111"/>
      <c r="I48" s="111">
        <f>+SUM(H49:H52)</f>
        <v>2512.1000000000004</v>
      </c>
      <c r="J48" s="112" t="s">
        <v>294</v>
      </c>
      <c r="K48" s="113"/>
    </row>
    <row r="49" spans="1:11" s="122" customFormat="1" ht="35.1" customHeight="1">
      <c r="A49" s="107"/>
      <c r="B49" s="155" t="s">
        <v>295</v>
      </c>
      <c r="C49" s="132"/>
      <c r="D49" s="133"/>
      <c r="E49" s="133"/>
      <c r="F49" s="133"/>
      <c r="G49" s="133"/>
      <c r="H49" s="133"/>
      <c r="I49" s="111"/>
      <c r="J49" s="112"/>
      <c r="K49" s="113"/>
    </row>
    <row r="50" spans="1:11" s="122" customFormat="1" ht="35.1" customHeight="1">
      <c r="A50" s="154"/>
      <c r="B50" s="156" t="s">
        <v>296</v>
      </c>
      <c r="C50" s="133">
        <v>1</v>
      </c>
      <c r="D50" s="133">
        <v>1</v>
      </c>
      <c r="E50" s="133">
        <v>300</v>
      </c>
      <c r="F50" s="133">
        <v>5</v>
      </c>
      <c r="G50" s="133"/>
      <c r="H50" s="134">
        <f>+PRODUCT(C50:G50)</f>
        <v>1500</v>
      </c>
      <c r="I50" s="111"/>
      <c r="J50" s="121"/>
      <c r="K50" s="113"/>
    </row>
    <row r="51" spans="1:11" s="122" customFormat="1" ht="35.1" customHeight="1">
      <c r="A51" s="154"/>
      <c r="B51" s="156" t="s">
        <v>317</v>
      </c>
      <c r="C51" s="133">
        <v>1</v>
      </c>
      <c r="D51" s="133">
        <v>1</v>
      </c>
      <c r="E51" s="133">
        <v>103.4</v>
      </c>
      <c r="F51" s="133">
        <v>4</v>
      </c>
      <c r="G51" s="133"/>
      <c r="H51" s="134">
        <f>+PRODUCT(C51:G51)</f>
        <v>413.6</v>
      </c>
      <c r="I51" s="111"/>
      <c r="J51" s="121"/>
      <c r="K51" s="113"/>
    </row>
    <row r="52" spans="1:11" s="122" customFormat="1" ht="35.1" customHeight="1">
      <c r="A52" s="154"/>
      <c r="B52" s="156" t="s">
        <v>318</v>
      </c>
      <c r="C52" s="133">
        <v>1</v>
      </c>
      <c r="D52" s="133">
        <v>1</v>
      </c>
      <c r="E52" s="133">
        <v>119.70000000000005</v>
      </c>
      <c r="F52" s="133">
        <v>5</v>
      </c>
      <c r="G52" s="133"/>
      <c r="H52" s="134">
        <f>+PRODUCT(C52:G52)</f>
        <v>598.50000000000023</v>
      </c>
      <c r="I52" s="111"/>
      <c r="J52" s="121"/>
      <c r="K52" s="113"/>
    </row>
    <row r="53" spans="1:11" s="122" customFormat="1" ht="35.1" customHeight="1">
      <c r="A53" s="154"/>
      <c r="B53" s="157"/>
      <c r="C53" s="118"/>
      <c r="D53" s="119"/>
      <c r="E53" s="119"/>
      <c r="F53" s="118"/>
      <c r="G53" s="119"/>
      <c r="H53" s="120"/>
      <c r="I53" s="111"/>
      <c r="J53" s="121"/>
      <c r="K53" s="113"/>
    </row>
    <row r="54" spans="1:11" s="114" customFormat="1" ht="35.1" hidden="1" customHeight="1">
      <c r="A54" s="107" t="s">
        <v>245</v>
      </c>
      <c r="B54" s="158" t="s">
        <v>320</v>
      </c>
      <c r="C54" s="109"/>
      <c r="D54" s="110"/>
      <c r="E54" s="110"/>
      <c r="F54" s="110"/>
      <c r="G54" s="110"/>
      <c r="H54" s="111"/>
      <c r="I54" s="111">
        <f>+SUM(H55:H67)</f>
        <v>434.69333333333338</v>
      </c>
      <c r="J54" s="112" t="s">
        <v>294</v>
      </c>
      <c r="K54" s="113"/>
    </row>
    <row r="55" spans="1:11" s="122" customFormat="1" ht="35.1" hidden="1" customHeight="1">
      <c r="A55" s="130"/>
      <c r="B55" s="159" t="s">
        <v>321</v>
      </c>
      <c r="C55" s="118"/>
      <c r="D55" s="119"/>
      <c r="E55" s="119"/>
      <c r="F55" s="119"/>
      <c r="G55" s="119"/>
      <c r="H55" s="120"/>
      <c r="I55" s="111"/>
      <c r="J55" s="121"/>
      <c r="K55" s="113"/>
    </row>
    <row r="56" spans="1:11" s="122" customFormat="1" ht="35.1" hidden="1" customHeight="1">
      <c r="A56" s="130"/>
      <c r="B56" s="159" t="s">
        <v>322</v>
      </c>
      <c r="C56" s="118"/>
      <c r="D56" s="119"/>
      <c r="E56" s="119"/>
      <c r="F56" s="119"/>
      <c r="G56" s="119"/>
      <c r="H56" s="120"/>
      <c r="I56" s="111"/>
      <c r="J56" s="121"/>
      <c r="K56" s="113"/>
    </row>
    <row r="57" spans="1:11" s="122" customFormat="1" ht="35.1" hidden="1" customHeight="1">
      <c r="A57" s="130"/>
      <c r="B57" s="155" t="s">
        <v>295</v>
      </c>
      <c r="C57" s="132"/>
      <c r="D57" s="133"/>
      <c r="E57" s="133"/>
      <c r="F57" s="133"/>
      <c r="G57" s="133"/>
      <c r="H57" s="133"/>
      <c r="I57" s="111"/>
      <c r="J57" s="121"/>
      <c r="K57" s="113"/>
    </row>
    <row r="58" spans="1:11" s="122" customFormat="1" ht="35.1" hidden="1" customHeight="1">
      <c r="A58" s="130"/>
      <c r="B58" s="156" t="s">
        <v>296</v>
      </c>
      <c r="C58" s="133">
        <v>1</v>
      </c>
      <c r="D58" s="133">
        <v>3</v>
      </c>
      <c r="E58" s="133">
        <v>300</v>
      </c>
      <c r="F58" s="133"/>
      <c r="G58" s="133">
        <v>0.2</v>
      </c>
      <c r="H58" s="134">
        <f>+PRODUCT(C58:G58)</f>
        <v>180</v>
      </c>
      <c r="I58" s="111"/>
      <c r="J58" s="121"/>
      <c r="K58" s="113"/>
    </row>
    <row r="59" spans="1:11" s="122" customFormat="1" ht="35.1" hidden="1" customHeight="1">
      <c r="A59" s="130"/>
      <c r="B59" s="156" t="s">
        <v>317</v>
      </c>
      <c r="C59" s="133">
        <v>1</v>
      </c>
      <c r="D59" s="133">
        <v>2</v>
      </c>
      <c r="E59" s="133">
        <v>103.4</v>
      </c>
      <c r="F59" s="133"/>
      <c r="G59" s="133">
        <v>0.2</v>
      </c>
      <c r="H59" s="134">
        <f>+PRODUCT(C59:G59)</f>
        <v>41.360000000000007</v>
      </c>
      <c r="I59" s="111"/>
      <c r="J59" s="121"/>
      <c r="K59" s="113"/>
    </row>
    <row r="60" spans="1:11" s="122" customFormat="1" ht="35.1" hidden="1" customHeight="1">
      <c r="A60" s="130"/>
      <c r="B60" s="156" t="s">
        <v>318</v>
      </c>
      <c r="C60" s="133">
        <v>1</v>
      </c>
      <c r="D60" s="133">
        <v>3</v>
      </c>
      <c r="E60" s="133">
        <v>119.70000000000005</v>
      </c>
      <c r="F60" s="133"/>
      <c r="G60" s="133">
        <v>0.2</v>
      </c>
      <c r="H60" s="134">
        <f>+PRODUCT(C60:G60)</f>
        <v>71.820000000000036</v>
      </c>
      <c r="I60" s="111"/>
      <c r="J60" s="121"/>
      <c r="K60" s="113"/>
    </row>
    <row r="61" spans="1:11" s="122" customFormat="1" ht="35.1" hidden="1" customHeight="1">
      <c r="A61" s="130"/>
      <c r="B61" s="159" t="s">
        <v>323</v>
      </c>
      <c r="C61" s="118"/>
      <c r="D61" s="119"/>
      <c r="E61" s="119"/>
      <c r="F61" s="119"/>
      <c r="G61" s="119"/>
      <c r="H61" s="120"/>
      <c r="I61" s="111"/>
      <c r="J61" s="121"/>
      <c r="K61" s="113"/>
    </row>
    <row r="62" spans="1:11" s="122" customFormat="1" ht="35.1" hidden="1" customHeight="1">
      <c r="A62" s="130"/>
      <c r="B62" s="159" t="s">
        <v>322</v>
      </c>
      <c r="C62" s="118"/>
      <c r="D62" s="119"/>
      <c r="E62" s="119"/>
      <c r="F62" s="119"/>
      <c r="G62" s="119"/>
      <c r="H62" s="120"/>
      <c r="I62" s="111"/>
      <c r="J62" s="121"/>
      <c r="K62" s="113"/>
    </row>
    <row r="63" spans="1:11" s="122" customFormat="1" ht="35.1" hidden="1" customHeight="1">
      <c r="A63" s="130"/>
      <c r="B63" s="155" t="s">
        <v>295</v>
      </c>
      <c r="C63" s="132"/>
      <c r="D63" s="133"/>
      <c r="E63" s="133"/>
      <c r="F63" s="133"/>
      <c r="G63" s="133"/>
      <c r="H63" s="133"/>
      <c r="I63" s="111"/>
      <c r="J63" s="121"/>
      <c r="K63" s="113"/>
    </row>
    <row r="64" spans="1:11" s="122" customFormat="1" ht="35.1" hidden="1" customHeight="1">
      <c r="A64" s="130"/>
      <c r="B64" s="156" t="s">
        <v>296</v>
      </c>
      <c r="C64" s="133">
        <v>1</v>
      </c>
      <c r="D64" s="133">
        <f>+E58/4</f>
        <v>75</v>
      </c>
      <c r="E64" s="133"/>
      <c r="F64" s="133">
        <v>6</v>
      </c>
      <c r="G64" s="133">
        <v>0.2</v>
      </c>
      <c r="H64" s="134">
        <f>+PRODUCT(C64:G64)</f>
        <v>90</v>
      </c>
      <c r="I64" s="111"/>
      <c r="J64" s="121"/>
      <c r="K64" s="113"/>
    </row>
    <row r="65" spans="1:14" s="122" customFormat="1" ht="35.1" hidden="1" customHeight="1">
      <c r="A65" s="130"/>
      <c r="B65" s="156" t="s">
        <v>317</v>
      </c>
      <c r="C65" s="133">
        <v>1</v>
      </c>
      <c r="D65" s="133">
        <f>+E59/3</f>
        <v>34.466666666666669</v>
      </c>
      <c r="E65" s="133"/>
      <c r="F65" s="133">
        <v>4</v>
      </c>
      <c r="G65" s="133">
        <v>0.2</v>
      </c>
      <c r="H65" s="134">
        <f>+PRODUCT(C65:G65)</f>
        <v>27.573333333333338</v>
      </c>
      <c r="I65" s="111"/>
      <c r="J65" s="121"/>
      <c r="K65" s="113"/>
    </row>
    <row r="66" spans="1:14" s="122" customFormat="1" ht="35.1" hidden="1" customHeight="1">
      <c r="A66" s="130"/>
      <c r="B66" s="156" t="s">
        <v>318</v>
      </c>
      <c r="C66" s="133">
        <v>1</v>
      </c>
      <c r="D66" s="133">
        <f>+E60/4</f>
        <v>29.925000000000011</v>
      </c>
      <c r="E66" s="133"/>
      <c r="F66" s="133">
        <v>4</v>
      </c>
      <c r="G66" s="133">
        <v>0.2</v>
      </c>
      <c r="H66" s="134">
        <f>+PRODUCT(C66:G66)</f>
        <v>23.940000000000012</v>
      </c>
      <c r="I66" s="111"/>
      <c r="J66" s="121"/>
      <c r="K66" s="113"/>
    </row>
    <row r="67" spans="1:14" s="122" customFormat="1" ht="35.1" hidden="1" customHeight="1">
      <c r="A67" s="154"/>
      <c r="B67" s="157"/>
      <c r="C67" s="118"/>
      <c r="D67" s="119"/>
      <c r="E67" s="119"/>
      <c r="F67" s="118"/>
      <c r="G67" s="119"/>
      <c r="H67" s="120"/>
      <c r="I67" s="111"/>
      <c r="J67" s="121"/>
      <c r="K67" s="113"/>
    </row>
    <row r="68" spans="1:14" s="114" customFormat="1" ht="35.1" hidden="1" customHeight="1">
      <c r="A68" s="107" t="s">
        <v>246</v>
      </c>
      <c r="B68" s="158" t="s">
        <v>324</v>
      </c>
      <c r="C68" s="109"/>
      <c r="D68" s="110"/>
      <c r="E68" s="110"/>
      <c r="F68" s="110"/>
      <c r="G68" s="110"/>
      <c r="H68" s="111"/>
      <c r="I68" s="111">
        <f>+SUM(H69:H72)</f>
        <v>502.42000000000007</v>
      </c>
      <c r="J68" s="112" t="s">
        <v>130</v>
      </c>
      <c r="K68" s="113"/>
    </row>
    <row r="69" spans="1:14" s="122" customFormat="1" ht="35.1" hidden="1" customHeight="1">
      <c r="A69" s="130"/>
      <c r="B69" s="155" t="s">
        <v>295</v>
      </c>
      <c r="C69" s="132"/>
      <c r="D69" s="133"/>
      <c r="E69" s="133"/>
      <c r="F69" s="133"/>
      <c r="G69" s="133"/>
      <c r="H69" s="133"/>
      <c r="I69" s="111"/>
      <c r="J69" s="121"/>
      <c r="K69" s="113"/>
      <c r="L69" s="136"/>
    </row>
    <row r="70" spans="1:14" s="122" customFormat="1" ht="35.1" hidden="1" customHeight="1">
      <c r="A70" s="130"/>
      <c r="B70" s="156" t="s">
        <v>296</v>
      </c>
      <c r="C70" s="133">
        <v>1</v>
      </c>
      <c r="D70" s="133">
        <v>1</v>
      </c>
      <c r="E70" s="133">
        <v>300</v>
      </c>
      <c r="F70" s="133">
        <v>5</v>
      </c>
      <c r="G70" s="133">
        <v>0.2</v>
      </c>
      <c r="H70" s="134">
        <f>+PRODUCT(C70:G70)</f>
        <v>300</v>
      </c>
      <c r="I70" s="111"/>
      <c r="J70" s="121"/>
      <c r="K70" s="113"/>
    </row>
    <row r="71" spans="1:14" s="122" customFormat="1" ht="35.1" hidden="1" customHeight="1">
      <c r="A71" s="130"/>
      <c r="B71" s="156" t="s">
        <v>317</v>
      </c>
      <c r="C71" s="133">
        <v>1</v>
      </c>
      <c r="D71" s="133">
        <v>1</v>
      </c>
      <c r="E71" s="133">
        <v>103.4</v>
      </c>
      <c r="F71" s="133">
        <v>4</v>
      </c>
      <c r="G71" s="133">
        <v>0.2</v>
      </c>
      <c r="H71" s="134">
        <f>+PRODUCT(C71:G71)</f>
        <v>82.720000000000013</v>
      </c>
      <c r="I71" s="111"/>
      <c r="J71" s="121"/>
      <c r="K71" s="113"/>
    </row>
    <row r="72" spans="1:14" s="122" customFormat="1" ht="35.1" hidden="1" customHeight="1">
      <c r="A72" s="130"/>
      <c r="B72" s="156" t="s">
        <v>318</v>
      </c>
      <c r="C72" s="133">
        <v>1</v>
      </c>
      <c r="D72" s="133">
        <v>1</v>
      </c>
      <c r="E72" s="133">
        <v>119.70000000000005</v>
      </c>
      <c r="F72" s="133">
        <v>5</v>
      </c>
      <c r="G72" s="133">
        <v>0.2</v>
      </c>
      <c r="H72" s="134">
        <f>+PRODUCT(C72:G72)</f>
        <v>119.70000000000005</v>
      </c>
      <c r="I72" s="111"/>
      <c r="J72" s="121"/>
      <c r="K72" s="113"/>
    </row>
    <row r="73" spans="1:14" s="122" customFormat="1" ht="35.1" hidden="1" customHeight="1">
      <c r="A73" s="130"/>
      <c r="B73" s="137"/>
      <c r="C73" s="118"/>
      <c r="D73" s="119"/>
      <c r="E73" s="119"/>
      <c r="F73" s="119"/>
      <c r="G73" s="119"/>
      <c r="H73" s="120"/>
      <c r="I73" s="111"/>
      <c r="J73" s="121"/>
      <c r="K73" s="113"/>
    </row>
    <row r="74" spans="1:14" s="114" customFormat="1" ht="35.1" hidden="1" customHeight="1">
      <c r="A74" s="107" t="s">
        <v>247</v>
      </c>
      <c r="B74" s="158" t="s">
        <v>325</v>
      </c>
      <c r="C74" s="109"/>
      <c r="D74" s="110"/>
      <c r="E74" s="110"/>
      <c r="F74" s="110"/>
      <c r="G74" s="110"/>
      <c r="H74" s="111"/>
      <c r="I74" s="111">
        <f>+SUM(H75:H78)</f>
        <v>2512.1000000000004</v>
      </c>
      <c r="J74" s="112" t="s">
        <v>294</v>
      </c>
      <c r="K74" s="113"/>
    </row>
    <row r="75" spans="1:14" s="122" customFormat="1" ht="35.1" hidden="1" customHeight="1">
      <c r="A75" s="130"/>
      <c r="B75" s="155" t="s">
        <v>295</v>
      </c>
      <c r="C75" s="132"/>
      <c r="D75" s="133"/>
      <c r="E75" s="133"/>
      <c r="F75" s="133"/>
      <c r="G75" s="133"/>
      <c r="H75" s="133"/>
      <c r="I75" s="111"/>
      <c r="J75" s="121"/>
      <c r="K75" s="113"/>
    </row>
    <row r="76" spans="1:14" s="122" customFormat="1" ht="35.1" hidden="1" customHeight="1">
      <c r="A76" s="130"/>
      <c r="B76" s="156" t="s">
        <v>296</v>
      </c>
      <c r="C76" s="133">
        <v>1</v>
      </c>
      <c r="D76" s="133">
        <v>1</v>
      </c>
      <c r="E76" s="133">
        <v>300</v>
      </c>
      <c r="F76" s="133">
        <v>5</v>
      </c>
      <c r="G76" s="133"/>
      <c r="H76" s="134">
        <f>+PRODUCT(C76:G76)</f>
        <v>1500</v>
      </c>
      <c r="I76" s="111"/>
      <c r="J76" s="121"/>
      <c r="K76" s="113"/>
    </row>
    <row r="77" spans="1:14" s="122" customFormat="1" ht="35.1" hidden="1" customHeight="1">
      <c r="A77" s="130"/>
      <c r="B77" s="156" t="s">
        <v>317</v>
      </c>
      <c r="C77" s="133">
        <v>1</v>
      </c>
      <c r="D77" s="133">
        <v>1</v>
      </c>
      <c r="E77" s="133">
        <v>103.4</v>
      </c>
      <c r="F77" s="133">
        <v>4</v>
      </c>
      <c r="G77" s="133"/>
      <c r="H77" s="134">
        <f>+PRODUCT(C77:G77)</f>
        <v>413.6</v>
      </c>
      <c r="I77" s="111"/>
      <c r="J77" s="121"/>
      <c r="K77" s="113"/>
    </row>
    <row r="78" spans="1:14" s="122" customFormat="1" ht="35.1" hidden="1" customHeight="1">
      <c r="A78" s="130"/>
      <c r="B78" s="156" t="s">
        <v>318</v>
      </c>
      <c r="C78" s="133">
        <v>1</v>
      </c>
      <c r="D78" s="133">
        <v>1</v>
      </c>
      <c r="E78" s="133">
        <v>119.70000000000005</v>
      </c>
      <c r="F78" s="133">
        <v>5</v>
      </c>
      <c r="G78" s="133"/>
      <c r="H78" s="134">
        <f>+PRODUCT(C78:G78)</f>
        <v>598.50000000000023</v>
      </c>
      <c r="I78" s="111"/>
      <c r="J78" s="121"/>
      <c r="K78" s="113"/>
    </row>
    <row r="79" spans="1:14" s="122" customFormat="1" ht="35.1" hidden="1" customHeight="1">
      <c r="A79" s="154"/>
      <c r="B79" s="157"/>
      <c r="C79" s="118"/>
      <c r="D79" s="119"/>
      <c r="E79" s="119"/>
      <c r="F79" s="118"/>
      <c r="G79" s="119"/>
      <c r="H79" s="120"/>
      <c r="I79" s="111"/>
      <c r="J79" s="121"/>
      <c r="K79" s="113"/>
    </row>
    <row r="80" spans="1:14" s="114" customFormat="1" ht="35.1" hidden="1" customHeight="1">
      <c r="A80" s="107" t="s">
        <v>248</v>
      </c>
      <c r="B80" s="158" t="s">
        <v>326</v>
      </c>
      <c r="C80" s="109"/>
      <c r="D80" s="160"/>
      <c r="E80" s="110"/>
      <c r="F80" s="110"/>
      <c r="G80" s="110"/>
      <c r="H80" s="111"/>
      <c r="I80" s="111">
        <f>+SUM(H81:H89)</f>
        <v>1082.1916666666668</v>
      </c>
      <c r="J80" s="112" t="s">
        <v>327</v>
      </c>
      <c r="K80" s="113"/>
      <c r="L80" s="153"/>
      <c r="M80" s="153"/>
      <c r="N80" s="161"/>
    </row>
    <row r="81" spans="1:14" s="122" customFormat="1" ht="35.1" hidden="1" customHeight="1">
      <c r="A81" s="130"/>
      <c r="B81" s="159" t="s">
        <v>328</v>
      </c>
      <c r="C81" s="118"/>
      <c r="D81" s="119"/>
      <c r="E81" s="119"/>
      <c r="F81" s="119"/>
      <c r="G81" s="119"/>
      <c r="H81" s="120"/>
      <c r="I81" s="111"/>
      <c r="J81" s="121"/>
      <c r="K81" s="113"/>
      <c r="L81" s="136"/>
      <c r="M81" s="136"/>
      <c r="N81" s="162"/>
    </row>
    <row r="82" spans="1:14" s="122" customFormat="1" ht="35.1" hidden="1" customHeight="1">
      <c r="A82" s="130"/>
      <c r="B82" s="155" t="s">
        <v>295</v>
      </c>
      <c r="C82" s="132"/>
      <c r="D82" s="133"/>
      <c r="E82" s="133"/>
      <c r="F82" s="133"/>
      <c r="G82" s="133"/>
      <c r="H82" s="133"/>
      <c r="I82" s="111"/>
      <c r="J82" s="121"/>
      <c r="K82" s="113"/>
      <c r="L82" s="136"/>
      <c r="M82" s="136"/>
      <c r="N82" s="162"/>
    </row>
    <row r="83" spans="1:14" s="122" customFormat="1" ht="35.1" hidden="1" customHeight="1">
      <c r="A83" s="130"/>
      <c r="B83" s="156" t="s">
        <v>296</v>
      </c>
      <c r="C83" s="133">
        <v>1</v>
      </c>
      <c r="D83" s="133">
        <v>1</v>
      </c>
      <c r="E83" s="133">
        <v>300</v>
      </c>
      <c r="F83" s="133"/>
      <c r="G83" s="133"/>
      <c r="H83" s="134">
        <f>+PRODUCT(C83:G83)</f>
        <v>300</v>
      </c>
      <c r="I83" s="111"/>
      <c r="J83" s="121"/>
      <c r="K83" s="113"/>
      <c r="L83" s="136"/>
      <c r="M83" s="136"/>
      <c r="N83" s="162"/>
    </row>
    <row r="84" spans="1:14" s="122" customFormat="1" ht="35.1" hidden="1" customHeight="1">
      <c r="A84" s="130"/>
      <c r="B84" s="156" t="s">
        <v>318</v>
      </c>
      <c r="C84" s="133">
        <v>1</v>
      </c>
      <c r="D84" s="133">
        <v>1</v>
      </c>
      <c r="E84" s="133">
        <v>119.70000000000005</v>
      </c>
      <c r="F84" s="133"/>
      <c r="G84" s="133"/>
      <c r="H84" s="134">
        <f>+PRODUCT(C84:G84)</f>
        <v>119.70000000000005</v>
      </c>
      <c r="I84" s="111"/>
      <c r="J84" s="121"/>
      <c r="K84" s="113"/>
      <c r="L84" s="136"/>
      <c r="M84" s="136"/>
      <c r="N84" s="162"/>
    </row>
    <row r="85" spans="1:14" s="122" customFormat="1" ht="35.1" hidden="1" customHeight="1">
      <c r="A85" s="130"/>
      <c r="B85" s="159" t="s">
        <v>329</v>
      </c>
      <c r="C85" s="118"/>
      <c r="D85" s="119"/>
      <c r="E85" s="119"/>
      <c r="F85" s="119"/>
      <c r="G85" s="119"/>
      <c r="H85" s="120"/>
      <c r="I85" s="111"/>
      <c r="J85" s="121"/>
      <c r="K85" s="113"/>
      <c r="L85" s="136"/>
      <c r="M85" s="136"/>
      <c r="N85" s="162"/>
    </row>
    <row r="86" spans="1:14" s="122" customFormat="1" ht="35.1" hidden="1" customHeight="1">
      <c r="A86" s="130"/>
      <c r="B86" s="155" t="s">
        <v>295</v>
      </c>
      <c r="C86" s="118"/>
      <c r="D86" s="119"/>
      <c r="E86" s="119"/>
      <c r="F86" s="119"/>
      <c r="G86" s="119"/>
      <c r="H86" s="120"/>
      <c r="I86" s="111"/>
      <c r="J86" s="121"/>
      <c r="K86" s="113"/>
      <c r="L86" s="136"/>
      <c r="M86" s="136"/>
      <c r="N86" s="162"/>
    </row>
    <row r="87" spans="1:14" s="122" customFormat="1" ht="35.1" hidden="1" customHeight="1">
      <c r="A87" s="130"/>
      <c r="B87" s="156" t="s">
        <v>296</v>
      </c>
      <c r="C87" s="118">
        <v>1</v>
      </c>
      <c r="D87" s="119">
        <f>+D64</f>
        <v>75</v>
      </c>
      <c r="E87" s="119"/>
      <c r="F87" s="119">
        <v>5</v>
      </c>
      <c r="G87" s="119"/>
      <c r="H87" s="120">
        <f>+PRODUCT(C87:G87)</f>
        <v>375</v>
      </c>
      <c r="I87" s="111"/>
      <c r="J87" s="121"/>
      <c r="K87" s="113"/>
      <c r="L87" s="136"/>
      <c r="M87" s="136"/>
      <c r="N87" s="162"/>
    </row>
    <row r="88" spans="1:14" s="122" customFormat="1" ht="35.1" hidden="1" customHeight="1">
      <c r="A88" s="130"/>
      <c r="B88" s="156" t="s">
        <v>317</v>
      </c>
      <c r="C88" s="118">
        <v>1</v>
      </c>
      <c r="D88" s="119">
        <f>+D65</f>
        <v>34.466666666666669</v>
      </c>
      <c r="E88" s="119"/>
      <c r="F88" s="119">
        <f>+F65</f>
        <v>4</v>
      </c>
      <c r="G88" s="119"/>
      <c r="H88" s="120">
        <f>+PRODUCT(C88:G88)</f>
        <v>137.86666666666667</v>
      </c>
      <c r="I88" s="111"/>
      <c r="J88" s="121"/>
      <c r="K88" s="113"/>
      <c r="L88" s="136"/>
      <c r="M88" s="136"/>
      <c r="N88" s="162"/>
    </row>
    <row r="89" spans="1:14" s="122" customFormat="1" ht="35.1" hidden="1" customHeight="1">
      <c r="A89" s="130"/>
      <c r="B89" s="156" t="s">
        <v>318</v>
      </c>
      <c r="C89" s="118">
        <v>1</v>
      </c>
      <c r="D89" s="119">
        <f>+D66</f>
        <v>29.925000000000011</v>
      </c>
      <c r="E89" s="119"/>
      <c r="F89" s="119">
        <v>5</v>
      </c>
      <c r="G89" s="119"/>
      <c r="H89" s="120">
        <f>+PRODUCT(C89:G89)</f>
        <v>149.62500000000006</v>
      </c>
      <c r="I89" s="111"/>
      <c r="J89" s="121"/>
      <c r="K89" s="113"/>
      <c r="L89" s="136"/>
      <c r="M89" s="136"/>
      <c r="N89" s="162"/>
    </row>
    <row r="90" spans="1:14" s="122" customFormat="1" ht="35.1" hidden="1" customHeight="1">
      <c r="A90" s="154"/>
      <c r="B90" s="157"/>
      <c r="C90" s="118"/>
      <c r="D90" s="119"/>
      <c r="E90" s="119"/>
      <c r="F90" s="118"/>
      <c r="G90" s="119"/>
      <c r="H90" s="120"/>
      <c r="I90" s="111"/>
      <c r="J90" s="121"/>
      <c r="K90" s="113"/>
    </row>
    <row r="91" spans="1:14" s="114" customFormat="1" ht="35.1" hidden="1" customHeight="1">
      <c r="A91" s="107" t="s">
        <v>330</v>
      </c>
      <c r="B91" s="158" t="s">
        <v>331</v>
      </c>
      <c r="C91" s="163"/>
      <c r="D91" s="163"/>
      <c r="E91" s="110"/>
      <c r="F91" s="164" t="s">
        <v>332</v>
      </c>
      <c r="G91" s="165">
        <v>1.02</v>
      </c>
      <c r="H91" s="159"/>
      <c r="I91" s="111">
        <f>SUM(H92:H100)</f>
        <v>2649.2052000000003</v>
      </c>
      <c r="J91" s="112" t="s">
        <v>241</v>
      </c>
      <c r="K91" s="113"/>
    </row>
    <row r="92" spans="1:14" s="122" customFormat="1" ht="35.1" hidden="1" customHeight="1">
      <c r="A92" s="130"/>
      <c r="B92" s="159" t="s">
        <v>328</v>
      </c>
      <c r="C92" s="118"/>
      <c r="D92" s="166"/>
      <c r="E92" s="119"/>
      <c r="F92" s="119"/>
      <c r="G92" s="119"/>
      <c r="H92" s="120"/>
      <c r="I92" s="111"/>
      <c r="J92" s="121"/>
      <c r="K92" s="113"/>
    </row>
    <row r="93" spans="1:14" s="122" customFormat="1" ht="35.1" hidden="1" customHeight="1">
      <c r="A93" s="130"/>
      <c r="B93" s="155" t="s">
        <v>295</v>
      </c>
      <c r="C93" s="118"/>
      <c r="D93" s="119"/>
      <c r="E93" s="119"/>
      <c r="F93" s="119"/>
      <c r="G93" s="119"/>
      <c r="H93" s="120"/>
      <c r="I93" s="111"/>
      <c r="J93" s="121"/>
      <c r="K93" s="113"/>
    </row>
    <row r="94" spans="1:14" s="122" customFormat="1" ht="35.1" hidden="1" customHeight="1">
      <c r="A94" s="130"/>
      <c r="B94" s="156" t="s">
        <v>296</v>
      </c>
      <c r="C94" s="118">
        <v>1</v>
      </c>
      <c r="D94" s="119">
        <f>(E83/0.5)</f>
        <v>600</v>
      </c>
      <c r="E94" s="119">
        <v>1.2</v>
      </c>
      <c r="F94" s="119">
        <v>1.02</v>
      </c>
      <c r="G94" s="119"/>
      <c r="H94" s="120">
        <f>+PRODUCT(C94:G94)</f>
        <v>734.4</v>
      </c>
      <c r="I94" s="111"/>
      <c r="J94" s="121"/>
      <c r="K94" s="113"/>
    </row>
    <row r="95" spans="1:14" s="122" customFormat="1" ht="35.1" hidden="1" customHeight="1">
      <c r="A95" s="130"/>
      <c r="B95" s="156" t="s">
        <v>296</v>
      </c>
      <c r="C95" s="118">
        <v>1</v>
      </c>
      <c r="D95" s="119">
        <f>(E84/0.5)</f>
        <v>239.40000000000009</v>
      </c>
      <c r="E95" s="119">
        <v>1.2</v>
      </c>
      <c r="F95" s="119">
        <v>1.02</v>
      </c>
      <c r="G95" s="119"/>
      <c r="H95" s="120">
        <f>+PRODUCT(C95:G95)</f>
        <v>293.02560000000011</v>
      </c>
      <c r="I95" s="111"/>
      <c r="J95" s="121"/>
      <c r="K95" s="113"/>
    </row>
    <row r="96" spans="1:14" s="122" customFormat="1" ht="35.1" hidden="1" customHeight="1">
      <c r="A96" s="130"/>
      <c r="B96" s="159" t="s">
        <v>329</v>
      </c>
      <c r="C96" s="118"/>
      <c r="D96" s="166"/>
      <c r="E96" s="119"/>
      <c r="F96" s="119"/>
      <c r="G96" s="119"/>
      <c r="H96" s="120"/>
      <c r="I96" s="111"/>
      <c r="J96" s="121"/>
      <c r="K96" s="113"/>
    </row>
    <row r="97" spans="1:14" s="122" customFormat="1" ht="35.1" hidden="1" customHeight="1">
      <c r="A97" s="130"/>
      <c r="B97" s="155" t="s">
        <v>295</v>
      </c>
      <c r="C97" s="118"/>
      <c r="D97" s="119"/>
      <c r="E97" s="119"/>
      <c r="F97" s="119"/>
      <c r="G97" s="119"/>
      <c r="H97" s="120"/>
      <c r="I97" s="111"/>
      <c r="J97" s="121"/>
      <c r="K97" s="113"/>
    </row>
    <row r="98" spans="1:14" s="122" customFormat="1" ht="35.1" hidden="1" customHeight="1">
      <c r="A98" s="130"/>
      <c r="B98" s="156" t="s">
        <v>296</v>
      </c>
      <c r="C98" s="118">
        <f>(F87/0.5)</f>
        <v>10</v>
      </c>
      <c r="D98" s="119">
        <f>+D64</f>
        <v>75</v>
      </c>
      <c r="E98" s="119">
        <v>1.2</v>
      </c>
      <c r="F98" s="119">
        <v>1.02</v>
      </c>
      <c r="G98" s="119"/>
      <c r="H98" s="120">
        <f>+PRODUCT(C98:G98)</f>
        <v>918</v>
      </c>
      <c r="I98" s="111"/>
      <c r="J98" s="121"/>
      <c r="K98" s="113"/>
    </row>
    <row r="99" spans="1:14" s="122" customFormat="1" ht="35.1" hidden="1" customHeight="1">
      <c r="A99" s="130"/>
      <c r="B99" s="156" t="s">
        <v>317</v>
      </c>
      <c r="C99" s="118">
        <f>(F88/0.5)</f>
        <v>8</v>
      </c>
      <c r="D99" s="119">
        <f>+D65</f>
        <v>34.466666666666669</v>
      </c>
      <c r="E99" s="119">
        <v>1.2</v>
      </c>
      <c r="F99" s="119">
        <v>1.02</v>
      </c>
      <c r="G99" s="119"/>
      <c r="H99" s="120">
        <f>+PRODUCT(C99:G99)</f>
        <v>337.49759999999998</v>
      </c>
      <c r="I99" s="111"/>
      <c r="J99" s="121"/>
      <c r="K99" s="113"/>
    </row>
    <row r="100" spans="1:14" s="122" customFormat="1" ht="35.1" hidden="1" customHeight="1">
      <c r="A100" s="130"/>
      <c r="B100" s="156" t="s">
        <v>318</v>
      </c>
      <c r="C100" s="118">
        <f>(F89/0.5)</f>
        <v>10</v>
      </c>
      <c r="D100" s="119">
        <f>+D66</f>
        <v>29.925000000000011</v>
      </c>
      <c r="E100" s="119">
        <v>1.2</v>
      </c>
      <c r="F100" s="119">
        <v>1.02</v>
      </c>
      <c r="G100" s="119"/>
      <c r="H100" s="120">
        <f>+PRODUCT(C100:G100)</f>
        <v>366.28200000000015</v>
      </c>
      <c r="I100" s="111"/>
      <c r="J100" s="121"/>
      <c r="K100" s="113"/>
    </row>
    <row r="101" spans="1:14" s="122" customFormat="1" ht="35.1" hidden="1" customHeight="1">
      <c r="A101" s="130"/>
      <c r="B101" s="137"/>
      <c r="C101" s="118"/>
      <c r="D101" s="119"/>
      <c r="E101" s="119"/>
      <c r="F101" s="119"/>
      <c r="G101" s="119"/>
      <c r="H101" s="120"/>
      <c r="I101" s="111"/>
      <c r="J101" s="121"/>
      <c r="K101" s="113"/>
      <c r="L101" s="136"/>
      <c r="M101" s="136"/>
      <c r="N101" s="162"/>
    </row>
    <row r="102" spans="1:14" s="106" customFormat="1" ht="35.1" hidden="1" customHeight="1">
      <c r="A102" s="123" t="s">
        <v>333</v>
      </c>
      <c r="B102" s="167" t="s">
        <v>334</v>
      </c>
      <c r="C102" s="125"/>
      <c r="D102" s="126"/>
      <c r="E102" s="126"/>
      <c r="F102" s="126"/>
      <c r="G102" s="126"/>
      <c r="H102" s="127"/>
      <c r="I102" s="128"/>
      <c r="J102" s="129"/>
      <c r="K102" s="105"/>
      <c r="L102" s="168"/>
      <c r="M102" s="168"/>
      <c r="N102" s="169"/>
    </row>
    <row r="103" spans="1:14" s="114" customFormat="1" ht="35.1" hidden="1" customHeight="1">
      <c r="A103" s="107" t="s">
        <v>335</v>
      </c>
      <c r="B103" s="170" t="s">
        <v>336</v>
      </c>
      <c r="C103" s="109"/>
      <c r="D103" s="110"/>
      <c r="E103" s="110"/>
      <c r="F103" s="110"/>
      <c r="G103" s="110"/>
      <c r="H103" s="111"/>
      <c r="I103" s="111">
        <f>+SUM(H104:H106)</f>
        <v>363.38</v>
      </c>
      <c r="J103" s="112" t="s">
        <v>11</v>
      </c>
      <c r="K103" s="113"/>
      <c r="L103" s="153"/>
      <c r="M103" s="153"/>
      <c r="N103" s="161"/>
    </row>
    <row r="104" spans="1:14" s="122" customFormat="1" ht="35.1" hidden="1" customHeight="1">
      <c r="A104" s="130"/>
      <c r="B104" s="171" t="s">
        <v>337</v>
      </c>
      <c r="C104" s="118"/>
      <c r="D104" s="119"/>
      <c r="E104" s="119"/>
      <c r="F104" s="119"/>
      <c r="G104" s="119"/>
      <c r="H104" s="120"/>
      <c r="I104" s="111"/>
      <c r="J104" s="121"/>
      <c r="K104" s="113"/>
      <c r="L104" s="136"/>
      <c r="M104" s="136"/>
      <c r="N104" s="162"/>
    </row>
    <row r="105" spans="1:14" s="122" customFormat="1" ht="35.1" hidden="1" customHeight="1">
      <c r="A105" s="130"/>
      <c r="B105" s="137" t="s">
        <v>338</v>
      </c>
      <c r="C105" s="118">
        <v>1</v>
      </c>
      <c r="D105" s="118">
        <v>1</v>
      </c>
      <c r="E105" s="119">
        <v>109.28</v>
      </c>
      <c r="F105" s="119"/>
      <c r="G105" s="119"/>
      <c r="H105" s="120">
        <f>+PRODUCT(C105:G105)</f>
        <v>109.28</v>
      </c>
      <c r="I105" s="111"/>
      <c r="J105" s="121"/>
      <c r="K105" s="113"/>
      <c r="L105" s="136"/>
      <c r="M105" s="136"/>
      <c r="N105" s="162"/>
    </row>
    <row r="106" spans="1:14" s="122" customFormat="1" ht="35.1" hidden="1" customHeight="1">
      <c r="A106" s="130"/>
      <c r="B106" s="137" t="s">
        <v>339</v>
      </c>
      <c r="C106" s="118">
        <v>1</v>
      </c>
      <c r="D106" s="118">
        <v>1</v>
      </c>
      <c r="E106" s="119">
        <v>254.1</v>
      </c>
      <c r="F106" s="119"/>
      <c r="G106" s="119"/>
      <c r="H106" s="120">
        <f>+PRODUCT(C106:G106)</f>
        <v>254.1</v>
      </c>
      <c r="I106" s="111"/>
      <c r="J106" s="121"/>
      <c r="K106" s="113"/>
      <c r="L106" s="136"/>
      <c r="M106" s="136"/>
      <c r="N106" s="162"/>
    </row>
    <row r="107" spans="1:14" s="122" customFormat="1" ht="35.1" hidden="1" customHeight="1">
      <c r="A107" s="130"/>
      <c r="B107" s="137"/>
      <c r="C107" s="118"/>
      <c r="D107" s="119"/>
      <c r="E107" s="119"/>
      <c r="F107" s="119"/>
      <c r="G107" s="119"/>
      <c r="H107" s="120"/>
      <c r="I107" s="111"/>
      <c r="J107" s="121"/>
      <c r="K107" s="113"/>
      <c r="L107" s="136"/>
      <c r="M107" s="136"/>
      <c r="N107" s="162"/>
    </row>
    <row r="108" spans="1:14" s="114" customFormat="1" ht="35.1" hidden="1" customHeight="1">
      <c r="A108" s="107" t="s">
        <v>340</v>
      </c>
      <c r="B108" s="170" t="s">
        <v>341</v>
      </c>
      <c r="C108" s="109"/>
      <c r="D108" s="110"/>
      <c r="E108" s="110"/>
      <c r="F108" s="110"/>
      <c r="G108" s="110"/>
      <c r="H108" s="111"/>
      <c r="I108" s="111">
        <f>+SUM(H110:H110)</f>
        <v>6</v>
      </c>
      <c r="J108" s="112" t="s">
        <v>13</v>
      </c>
      <c r="K108" s="113"/>
      <c r="L108" s="153"/>
      <c r="M108" s="153"/>
      <c r="N108" s="161"/>
    </row>
    <row r="109" spans="1:14" s="114" customFormat="1" ht="35.1" hidden="1" customHeight="1">
      <c r="A109" s="107"/>
      <c r="B109" s="172" t="s">
        <v>342</v>
      </c>
      <c r="C109" s="109"/>
      <c r="D109" s="110"/>
      <c r="E109" s="110"/>
      <c r="F109" s="110"/>
      <c r="G109" s="110"/>
      <c r="H109" s="111"/>
      <c r="I109" s="111"/>
      <c r="J109" s="112"/>
      <c r="K109" s="113"/>
      <c r="L109" s="153"/>
      <c r="M109" s="153"/>
      <c r="N109" s="161"/>
    </row>
    <row r="110" spans="1:14" s="122" customFormat="1" ht="35.1" hidden="1" customHeight="1">
      <c r="A110" s="130"/>
      <c r="B110" s="137" t="s">
        <v>337</v>
      </c>
      <c r="C110" s="119">
        <v>1</v>
      </c>
      <c r="D110" s="119">
        <v>6</v>
      </c>
      <c r="E110" s="173"/>
      <c r="F110" s="119"/>
      <c r="G110" s="119"/>
      <c r="H110" s="120">
        <f>+PRODUCT(C110:G110)</f>
        <v>6</v>
      </c>
      <c r="I110" s="111"/>
      <c r="J110" s="121"/>
      <c r="K110" s="113"/>
      <c r="L110" s="136"/>
      <c r="M110" s="136"/>
      <c r="N110" s="162"/>
    </row>
    <row r="111" spans="1:14" s="122" customFormat="1" ht="35.1" hidden="1" customHeight="1">
      <c r="A111" s="130"/>
      <c r="B111" s="137"/>
      <c r="C111" s="118"/>
      <c r="D111" s="119"/>
      <c r="E111" s="119"/>
      <c r="F111" s="119"/>
      <c r="G111" s="119"/>
      <c r="H111" s="120"/>
      <c r="I111" s="111"/>
      <c r="J111" s="121"/>
      <c r="K111" s="113"/>
      <c r="L111" s="136"/>
      <c r="M111" s="136"/>
      <c r="N111" s="162"/>
    </row>
    <row r="112" spans="1:14" s="114" customFormat="1" ht="35.1" hidden="1" customHeight="1">
      <c r="A112" s="107" t="s">
        <v>343</v>
      </c>
      <c r="B112" s="170" t="s">
        <v>344</v>
      </c>
      <c r="C112" s="109"/>
      <c r="D112" s="110" t="s">
        <v>345</v>
      </c>
      <c r="E112" s="110"/>
      <c r="F112" s="110"/>
      <c r="G112" s="110"/>
      <c r="H112" s="111"/>
      <c r="I112" s="111">
        <f>+SUM(H113:H130)</f>
        <v>36.94</v>
      </c>
      <c r="J112" s="112" t="s">
        <v>294</v>
      </c>
      <c r="K112" s="113"/>
      <c r="L112" s="153"/>
      <c r="M112" s="153"/>
      <c r="N112" s="161"/>
    </row>
    <row r="113" spans="1:14" s="122" customFormat="1" ht="35.1" hidden="1" customHeight="1">
      <c r="A113" s="116"/>
      <c r="B113" s="174" t="s">
        <v>346</v>
      </c>
      <c r="C113" s="118"/>
      <c r="D113" s="119"/>
      <c r="E113" s="119"/>
      <c r="F113" s="119"/>
      <c r="G113" s="119"/>
      <c r="H113" s="120"/>
      <c r="I113" s="111"/>
      <c r="J113" s="112"/>
      <c r="K113" s="113"/>
      <c r="L113" s="136"/>
      <c r="M113" s="136"/>
      <c r="N113" s="162"/>
    </row>
    <row r="114" spans="1:14" s="122" customFormat="1" ht="35.1" hidden="1" customHeight="1">
      <c r="A114" s="116"/>
      <c r="B114" s="137" t="s">
        <v>337</v>
      </c>
      <c r="C114" s="118">
        <v>2</v>
      </c>
      <c r="D114" s="119">
        <v>1.78</v>
      </c>
      <c r="E114" s="119"/>
      <c r="F114" s="119"/>
      <c r="G114" s="119"/>
      <c r="H114" s="120">
        <f>+PRODUCT(C114:G114)</f>
        <v>3.56</v>
      </c>
      <c r="I114" s="111"/>
      <c r="J114" s="112"/>
      <c r="K114" s="113"/>
      <c r="L114" s="136"/>
      <c r="M114" s="136"/>
      <c r="N114" s="162"/>
    </row>
    <row r="115" spans="1:14" s="122" customFormat="1" ht="35.1" hidden="1" customHeight="1">
      <c r="A115" s="116"/>
      <c r="B115" s="137"/>
      <c r="C115" s="118"/>
      <c r="D115" s="119"/>
      <c r="E115" s="119"/>
      <c r="F115" s="119"/>
      <c r="G115" s="119"/>
      <c r="H115" s="120"/>
      <c r="I115" s="111"/>
      <c r="J115" s="112"/>
      <c r="K115" s="113"/>
      <c r="L115" s="136"/>
      <c r="M115" s="136"/>
      <c r="N115" s="162"/>
    </row>
    <row r="116" spans="1:14" s="122" customFormat="1" ht="35.1" hidden="1" customHeight="1">
      <c r="A116" s="116"/>
      <c r="B116" s="137"/>
      <c r="C116" s="118"/>
      <c r="D116" s="119"/>
      <c r="E116" s="119"/>
      <c r="F116" s="119"/>
      <c r="G116" s="119"/>
      <c r="H116" s="120"/>
      <c r="I116" s="111"/>
      <c r="J116" s="112"/>
      <c r="K116" s="113"/>
      <c r="L116" s="136"/>
      <c r="M116" s="136"/>
      <c r="N116" s="162"/>
    </row>
    <row r="117" spans="1:14" s="122" customFormat="1" ht="35.1" hidden="1" customHeight="1">
      <c r="A117" s="116"/>
      <c r="B117" s="137"/>
      <c r="C117" s="118"/>
      <c r="D117" s="119"/>
      <c r="E117" s="119"/>
      <c r="F117" s="119"/>
      <c r="G117" s="119"/>
      <c r="H117" s="120"/>
      <c r="I117" s="111"/>
      <c r="J117" s="112"/>
      <c r="K117" s="113"/>
      <c r="L117" s="136"/>
      <c r="M117" s="136"/>
      <c r="N117" s="162"/>
    </row>
    <row r="118" spans="1:14" s="122" customFormat="1" ht="35.1" hidden="1" customHeight="1">
      <c r="A118" s="116"/>
      <c r="B118" s="137"/>
      <c r="C118" s="118"/>
      <c r="D118" s="119"/>
      <c r="E118" s="119"/>
      <c r="F118" s="119"/>
      <c r="G118" s="119"/>
      <c r="H118" s="120"/>
      <c r="I118" s="111"/>
      <c r="J118" s="112"/>
      <c r="K118" s="113"/>
      <c r="L118" s="136"/>
      <c r="M118" s="136"/>
      <c r="N118" s="162"/>
    </row>
    <row r="119" spans="1:14" s="122" customFormat="1" ht="35.1" hidden="1" customHeight="1">
      <c r="A119" s="130"/>
      <c r="B119" s="137"/>
      <c r="C119" s="118"/>
      <c r="D119" s="119"/>
      <c r="E119" s="119"/>
      <c r="F119" s="119"/>
      <c r="G119" s="119"/>
      <c r="H119" s="120"/>
      <c r="I119" s="111"/>
      <c r="J119" s="121"/>
      <c r="K119" s="113"/>
      <c r="L119" s="136"/>
      <c r="M119" s="136"/>
      <c r="N119" s="162"/>
    </row>
    <row r="120" spans="1:14" s="122" customFormat="1" ht="35.1" hidden="1" customHeight="1">
      <c r="A120" s="130"/>
      <c r="B120" s="174" t="s">
        <v>347</v>
      </c>
      <c r="C120" s="118"/>
      <c r="D120" s="119"/>
      <c r="E120" s="119"/>
      <c r="F120" s="119"/>
      <c r="G120" s="119"/>
      <c r="H120" s="120"/>
      <c r="I120" s="111"/>
      <c r="J120" s="121"/>
      <c r="K120" s="113"/>
      <c r="L120" s="136"/>
      <c r="M120" s="136"/>
      <c r="N120" s="162"/>
    </row>
    <row r="121" spans="1:14" s="122" customFormat="1" ht="35.1" hidden="1" customHeight="1">
      <c r="A121" s="130"/>
      <c r="B121" s="137" t="s">
        <v>337</v>
      </c>
      <c r="C121" s="118">
        <v>18</v>
      </c>
      <c r="D121" s="119">
        <v>1.28</v>
      </c>
      <c r="E121" s="119"/>
      <c r="F121" s="119"/>
      <c r="G121" s="119"/>
      <c r="H121" s="120">
        <f>+PRODUCT(C121:G121)</f>
        <v>23.04</v>
      </c>
      <c r="I121" s="111"/>
      <c r="J121" s="121"/>
      <c r="K121" s="113"/>
      <c r="L121" s="136"/>
      <c r="M121" s="136"/>
      <c r="N121" s="162"/>
    </row>
    <row r="122" spans="1:14" s="122" customFormat="1" ht="35.1" hidden="1" customHeight="1">
      <c r="A122" s="130"/>
      <c r="B122" s="137"/>
      <c r="C122" s="118"/>
      <c r="D122" s="119"/>
      <c r="E122" s="119"/>
      <c r="F122" s="119"/>
      <c r="G122" s="119"/>
      <c r="H122" s="120"/>
      <c r="I122" s="111"/>
      <c r="J122" s="121"/>
      <c r="K122" s="113"/>
      <c r="L122" s="136"/>
      <c r="M122" s="136"/>
      <c r="N122" s="162"/>
    </row>
    <row r="123" spans="1:14" s="122" customFormat="1" ht="35.1" hidden="1" customHeight="1">
      <c r="A123" s="130"/>
      <c r="B123" s="137"/>
      <c r="C123" s="118"/>
      <c r="D123" s="119"/>
      <c r="E123" s="119"/>
      <c r="F123" s="119"/>
      <c r="G123" s="119"/>
      <c r="H123" s="120"/>
      <c r="I123" s="111"/>
      <c r="J123" s="121"/>
      <c r="K123" s="113"/>
      <c r="L123" s="136"/>
      <c r="M123" s="136"/>
      <c r="N123" s="162"/>
    </row>
    <row r="124" spans="1:14" s="122" customFormat="1" ht="35.1" hidden="1" customHeight="1">
      <c r="A124" s="130"/>
      <c r="B124" s="137"/>
      <c r="C124" s="118"/>
      <c r="D124" s="119"/>
      <c r="E124" s="119"/>
      <c r="F124" s="119"/>
      <c r="G124" s="119"/>
      <c r="H124" s="120"/>
      <c r="I124" s="111"/>
      <c r="J124" s="121"/>
      <c r="K124" s="113"/>
      <c r="L124" s="136"/>
      <c r="M124" s="136"/>
      <c r="N124" s="162"/>
    </row>
    <row r="125" spans="1:14" s="122" customFormat="1" ht="35.1" hidden="1" customHeight="1">
      <c r="A125" s="130"/>
      <c r="B125" s="137"/>
      <c r="C125" s="118"/>
      <c r="D125" s="119"/>
      <c r="E125" s="119"/>
      <c r="F125" s="119"/>
      <c r="G125" s="119"/>
      <c r="H125" s="120"/>
      <c r="I125" s="111"/>
      <c r="J125" s="121"/>
      <c r="K125" s="113"/>
      <c r="L125" s="136"/>
      <c r="M125" s="136"/>
      <c r="N125" s="162"/>
    </row>
    <row r="126" spans="1:14" s="122" customFormat="1" ht="35.1" hidden="1" customHeight="1">
      <c r="A126" s="130"/>
      <c r="B126" s="174" t="s">
        <v>348</v>
      </c>
      <c r="C126" s="118"/>
      <c r="D126" s="119"/>
      <c r="E126" s="119"/>
      <c r="F126" s="119"/>
      <c r="G126" s="119"/>
      <c r="H126" s="120"/>
      <c r="I126" s="111"/>
      <c r="J126" s="121"/>
      <c r="K126" s="113"/>
      <c r="L126" s="136"/>
      <c r="M126" s="136"/>
      <c r="N126" s="162"/>
    </row>
    <row r="127" spans="1:14" s="122" customFormat="1" ht="35.1" hidden="1" customHeight="1">
      <c r="A127" s="130"/>
      <c r="B127" s="137" t="s">
        <v>337</v>
      </c>
      <c r="C127" s="118">
        <v>1</v>
      </c>
      <c r="D127" s="119">
        <v>2</v>
      </c>
      <c r="E127" s="119">
        <v>4</v>
      </c>
      <c r="F127" s="119">
        <v>0.5</v>
      </c>
      <c r="G127" s="119"/>
      <c r="H127" s="120">
        <f>+PRODUCT(C127:G127)</f>
        <v>4</v>
      </c>
      <c r="I127" s="111"/>
      <c r="J127" s="121"/>
      <c r="K127" s="113"/>
      <c r="L127" s="136"/>
      <c r="M127" s="136"/>
      <c r="N127" s="162"/>
    </row>
    <row r="128" spans="1:14" s="122" customFormat="1" ht="35.1" hidden="1" customHeight="1">
      <c r="A128" s="130"/>
      <c r="B128" s="137"/>
      <c r="C128" s="118"/>
      <c r="D128" s="119"/>
      <c r="E128" s="119"/>
      <c r="F128" s="119"/>
      <c r="G128" s="119"/>
      <c r="H128" s="120"/>
      <c r="I128" s="111"/>
      <c r="J128" s="121"/>
      <c r="K128" s="113"/>
      <c r="L128" s="136"/>
      <c r="M128" s="136"/>
      <c r="N128" s="162"/>
    </row>
    <row r="129" spans="1:14" s="122" customFormat="1" ht="35.1" hidden="1" customHeight="1">
      <c r="A129" s="130"/>
      <c r="B129" s="174" t="s">
        <v>349</v>
      </c>
      <c r="C129" s="118"/>
      <c r="D129" s="119"/>
      <c r="E129" s="119"/>
      <c r="F129" s="119"/>
      <c r="G129" s="119"/>
      <c r="H129" s="120"/>
      <c r="I129" s="111"/>
      <c r="J129" s="121"/>
      <c r="K129" s="113"/>
      <c r="L129" s="136"/>
      <c r="M129" s="136"/>
      <c r="N129" s="162"/>
    </row>
    <row r="130" spans="1:14" s="122" customFormat="1" ht="35.1" hidden="1" customHeight="1">
      <c r="A130" s="130"/>
      <c r="B130" s="137" t="s">
        <v>337</v>
      </c>
      <c r="C130" s="119">
        <v>2</v>
      </c>
      <c r="D130" s="119">
        <v>3.17</v>
      </c>
      <c r="E130" s="119"/>
      <c r="F130" s="119"/>
      <c r="G130" s="119"/>
      <c r="H130" s="120">
        <f>+PRODUCT(C130:G130)</f>
        <v>6.34</v>
      </c>
      <c r="I130" s="111"/>
      <c r="J130" s="121"/>
      <c r="K130" s="113"/>
      <c r="L130" s="136"/>
      <c r="M130" s="136"/>
      <c r="N130" s="162"/>
    </row>
    <row r="131" spans="1:14" s="122" customFormat="1" ht="35.1" hidden="1" customHeight="1">
      <c r="A131" s="130"/>
      <c r="B131" s="137"/>
      <c r="C131" s="119"/>
      <c r="D131" s="119"/>
      <c r="E131" s="119"/>
      <c r="F131" s="119"/>
      <c r="G131" s="119"/>
      <c r="H131" s="120"/>
      <c r="I131" s="111"/>
      <c r="J131" s="121"/>
      <c r="K131" s="113"/>
      <c r="L131" s="136"/>
      <c r="M131" s="136"/>
      <c r="N131" s="162"/>
    </row>
    <row r="132" spans="1:14" s="122" customFormat="1" ht="35.1" hidden="1" customHeight="1">
      <c r="A132" s="130"/>
      <c r="B132" s="137"/>
      <c r="C132" s="119"/>
      <c r="D132" s="119"/>
      <c r="E132" s="119"/>
      <c r="F132" s="119"/>
      <c r="G132" s="119"/>
      <c r="H132" s="120"/>
      <c r="I132" s="111"/>
      <c r="J132" s="121"/>
      <c r="K132" s="113"/>
      <c r="L132" s="136"/>
      <c r="M132" s="136"/>
      <c r="N132" s="162"/>
    </row>
    <row r="133" spans="1:14" s="122" customFormat="1" ht="35.1" hidden="1" customHeight="1">
      <c r="A133" s="130"/>
      <c r="B133" s="137"/>
      <c r="C133" s="119"/>
      <c r="D133" s="119"/>
      <c r="E133" s="119"/>
      <c r="F133" s="119"/>
      <c r="G133" s="119"/>
      <c r="H133" s="120"/>
      <c r="I133" s="111"/>
      <c r="J133" s="121"/>
      <c r="K133" s="113"/>
      <c r="L133" s="136"/>
      <c r="M133" s="136"/>
      <c r="N133" s="162"/>
    </row>
    <row r="134" spans="1:14" s="122" customFormat="1" ht="35.1" hidden="1" customHeight="1">
      <c r="A134" s="130"/>
      <c r="B134" s="137"/>
      <c r="C134" s="119"/>
      <c r="D134" s="119"/>
      <c r="E134" s="119"/>
      <c r="F134" s="119"/>
      <c r="G134" s="119"/>
      <c r="H134" s="120"/>
      <c r="I134" s="111"/>
      <c r="J134" s="121"/>
      <c r="K134" s="113"/>
      <c r="L134" s="136"/>
      <c r="M134" s="136"/>
      <c r="N134" s="162"/>
    </row>
    <row r="135" spans="1:14" s="122" customFormat="1" ht="35.1" hidden="1" customHeight="1">
      <c r="A135" s="130"/>
      <c r="B135" s="137"/>
      <c r="C135" s="119"/>
      <c r="D135" s="119"/>
      <c r="E135" s="119"/>
      <c r="F135" s="119"/>
      <c r="G135" s="119"/>
      <c r="H135" s="120"/>
      <c r="I135" s="111"/>
      <c r="J135" s="121"/>
      <c r="K135" s="113"/>
      <c r="L135" s="136"/>
      <c r="M135" s="136"/>
      <c r="N135" s="162"/>
    </row>
    <row r="136" spans="1:14" s="122" customFormat="1" ht="35.1" hidden="1" customHeight="1">
      <c r="A136" s="130"/>
      <c r="B136" s="137"/>
      <c r="C136" s="118"/>
      <c r="D136" s="119"/>
      <c r="E136" s="119"/>
      <c r="F136" s="119"/>
      <c r="G136" s="119"/>
      <c r="H136" s="120"/>
      <c r="I136" s="111"/>
      <c r="J136" s="121"/>
      <c r="K136" s="113"/>
      <c r="L136" s="136"/>
      <c r="M136" s="136"/>
      <c r="N136" s="162"/>
    </row>
    <row r="137" spans="1:14" s="122" customFormat="1" ht="35.1" hidden="1" customHeight="1">
      <c r="A137" s="130"/>
      <c r="B137" s="137"/>
      <c r="C137" s="118"/>
      <c r="D137" s="119"/>
      <c r="E137" s="119"/>
      <c r="F137" s="119"/>
      <c r="G137" s="119"/>
      <c r="H137" s="120"/>
      <c r="I137" s="111"/>
      <c r="J137" s="121"/>
      <c r="K137" s="113"/>
      <c r="L137" s="136"/>
      <c r="M137" s="136"/>
      <c r="N137" s="162"/>
    </row>
    <row r="138" spans="1:14" s="122" customFormat="1" ht="35.1" hidden="1" customHeight="1">
      <c r="A138" s="130"/>
      <c r="B138" s="137"/>
      <c r="C138" s="118"/>
      <c r="D138" s="119"/>
      <c r="E138" s="119"/>
      <c r="F138" s="119"/>
      <c r="G138" s="119"/>
      <c r="H138" s="120"/>
      <c r="I138" s="111"/>
      <c r="J138" s="121"/>
      <c r="K138" s="113"/>
      <c r="L138" s="136"/>
      <c r="M138" s="136"/>
      <c r="N138" s="162"/>
    </row>
    <row r="139" spans="1:14" s="122" customFormat="1" ht="35.1" hidden="1" customHeight="1">
      <c r="A139" s="130"/>
      <c r="B139" s="137"/>
      <c r="C139" s="118"/>
      <c r="D139" s="119"/>
      <c r="E139" s="119"/>
      <c r="F139" s="119"/>
      <c r="G139" s="119"/>
      <c r="H139" s="120"/>
      <c r="I139" s="111"/>
      <c r="J139" s="121"/>
      <c r="K139" s="113"/>
      <c r="L139" s="136"/>
      <c r="M139" s="136"/>
      <c r="N139" s="162"/>
    </row>
    <row r="140" spans="1:14" s="106" customFormat="1" ht="35.1" customHeight="1">
      <c r="A140" s="123" t="s">
        <v>350</v>
      </c>
      <c r="B140" s="167" t="s">
        <v>249</v>
      </c>
      <c r="C140" s="125"/>
      <c r="D140" s="126"/>
      <c r="E140" s="126"/>
      <c r="F140" s="126"/>
      <c r="G140" s="126"/>
      <c r="H140" s="127"/>
      <c r="I140" s="128"/>
      <c r="J140" s="129"/>
      <c r="K140" s="105"/>
      <c r="L140" s="168"/>
      <c r="M140" s="168"/>
      <c r="N140" s="169"/>
    </row>
    <row r="141" spans="1:14" s="122" customFormat="1" ht="35.1" customHeight="1">
      <c r="A141" s="107" t="s">
        <v>360</v>
      </c>
      <c r="B141" s="176" t="s">
        <v>361</v>
      </c>
      <c r="C141" s="109"/>
      <c r="D141" s="110"/>
      <c r="E141" s="110"/>
      <c r="F141" s="110"/>
      <c r="G141" s="110"/>
      <c r="H141" s="111"/>
      <c r="I141" s="111">
        <f>SUM(H142:H149)</f>
        <v>143.16</v>
      </c>
      <c r="J141" s="112" t="s">
        <v>294</v>
      </c>
      <c r="K141" s="113"/>
      <c r="L141" s="136"/>
      <c r="M141" s="136"/>
      <c r="N141" s="162"/>
    </row>
    <row r="142" spans="1:14" s="122" customFormat="1" ht="35.1" customHeight="1">
      <c r="A142" s="130"/>
      <c r="B142" s="175" t="s">
        <v>337</v>
      </c>
      <c r="C142" s="109"/>
      <c r="D142" s="110"/>
      <c r="E142" s="110"/>
      <c r="F142" s="110"/>
      <c r="G142" s="110"/>
      <c r="H142" s="111"/>
      <c r="I142" s="111"/>
      <c r="J142" s="121"/>
      <c r="K142" s="113"/>
      <c r="L142" s="136"/>
      <c r="M142" s="136"/>
      <c r="N142" s="162"/>
    </row>
    <row r="143" spans="1:14" s="122" customFormat="1" ht="35.1" customHeight="1">
      <c r="A143" s="130"/>
      <c r="B143" s="137" t="s">
        <v>352</v>
      </c>
      <c r="C143" s="118">
        <v>1</v>
      </c>
      <c r="D143" s="119">
        <v>4.8600000000000003</v>
      </c>
      <c r="E143" s="119"/>
      <c r="F143" s="119"/>
      <c r="G143" s="119"/>
      <c r="H143" s="120">
        <f t="shared" ref="H143:H149" si="1">+PRODUCT(C143:G143)</f>
        <v>4.8600000000000003</v>
      </c>
      <c r="I143" s="111"/>
      <c r="J143" s="121"/>
      <c r="K143" s="113"/>
      <c r="L143" s="136"/>
      <c r="M143" s="136"/>
      <c r="N143" s="162"/>
    </row>
    <row r="144" spans="1:14" s="122" customFormat="1" ht="35.1" customHeight="1">
      <c r="A144" s="130"/>
      <c r="B144" s="137" t="s">
        <v>353</v>
      </c>
      <c r="C144" s="118">
        <v>1</v>
      </c>
      <c r="D144" s="119">
        <v>37.47</v>
      </c>
      <c r="E144" s="119"/>
      <c r="F144" s="119"/>
      <c r="G144" s="119"/>
      <c r="H144" s="120">
        <f t="shared" si="1"/>
        <v>37.47</v>
      </c>
      <c r="I144" s="111"/>
      <c r="J144" s="121"/>
      <c r="K144" s="113"/>
      <c r="L144" s="136"/>
      <c r="M144" s="136"/>
      <c r="N144" s="162"/>
    </row>
    <row r="145" spans="1:14" s="122" customFormat="1" ht="35.1" customHeight="1">
      <c r="A145" s="130"/>
      <c r="B145" s="137" t="s">
        <v>354</v>
      </c>
      <c r="C145" s="118">
        <v>1</v>
      </c>
      <c r="D145" s="119">
        <v>24.17</v>
      </c>
      <c r="E145" s="119"/>
      <c r="F145" s="119"/>
      <c r="G145" s="119"/>
      <c r="H145" s="120">
        <f t="shared" si="1"/>
        <v>24.17</v>
      </c>
      <c r="I145" s="111"/>
      <c r="J145" s="121"/>
      <c r="K145" s="113"/>
      <c r="L145" s="136"/>
      <c r="M145" s="136"/>
      <c r="N145" s="162"/>
    </row>
    <row r="146" spans="1:14" s="122" customFormat="1" ht="35.1" customHeight="1">
      <c r="A146" s="130"/>
      <c r="B146" s="137" t="s">
        <v>355</v>
      </c>
      <c r="C146" s="118">
        <v>1</v>
      </c>
      <c r="D146" s="119">
        <v>23.25</v>
      </c>
      <c r="E146" s="119"/>
      <c r="F146" s="119"/>
      <c r="G146" s="119"/>
      <c r="H146" s="120">
        <f t="shared" si="1"/>
        <v>23.25</v>
      </c>
      <c r="I146" s="111"/>
      <c r="J146" s="121"/>
      <c r="K146" s="113"/>
      <c r="L146" s="136"/>
      <c r="M146" s="136"/>
      <c r="N146" s="162"/>
    </row>
    <row r="147" spans="1:14" s="122" customFormat="1" ht="35.1" customHeight="1">
      <c r="A147" s="130"/>
      <c r="B147" s="137" t="s">
        <v>356</v>
      </c>
      <c r="C147" s="118">
        <v>1</v>
      </c>
      <c r="D147" s="119">
        <v>9.41</v>
      </c>
      <c r="E147" s="119"/>
      <c r="F147" s="119"/>
      <c r="G147" s="119"/>
      <c r="H147" s="120">
        <f t="shared" si="1"/>
        <v>9.41</v>
      </c>
      <c r="I147" s="111"/>
      <c r="J147" s="121"/>
      <c r="K147" s="113"/>
      <c r="L147" s="136"/>
      <c r="M147" s="136"/>
      <c r="N147" s="162"/>
    </row>
    <row r="148" spans="1:14" s="122" customFormat="1" ht="35.1" customHeight="1">
      <c r="A148" s="130"/>
      <c r="B148" s="137" t="s">
        <v>357</v>
      </c>
      <c r="C148" s="118">
        <v>1</v>
      </c>
      <c r="D148" s="119">
        <v>40.65</v>
      </c>
      <c r="E148" s="119"/>
      <c r="F148" s="119"/>
      <c r="G148" s="119"/>
      <c r="H148" s="120">
        <f t="shared" si="1"/>
        <v>40.65</v>
      </c>
      <c r="I148" s="111"/>
      <c r="J148" s="121"/>
      <c r="K148" s="113"/>
      <c r="L148" s="136"/>
      <c r="M148" s="136"/>
      <c r="N148" s="162"/>
    </row>
    <row r="149" spans="1:14" s="122" customFormat="1" ht="35.1" customHeight="1">
      <c r="A149" s="130"/>
      <c r="B149" s="137" t="s">
        <v>358</v>
      </c>
      <c r="C149" s="118">
        <v>1</v>
      </c>
      <c r="D149" s="119">
        <v>3.35</v>
      </c>
      <c r="E149" s="119"/>
      <c r="F149" s="119"/>
      <c r="G149" s="119"/>
      <c r="H149" s="120">
        <f t="shared" si="1"/>
        <v>3.35</v>
      </c>
      <c r="I149" s="111"/>
      <c r="J149" s="121"/>
      <c r="K149" s="113"/>
      <c r="L149" s="136"/>
      <c r="M149" s="136"/>
      <c r="N149" s="162"/>
    </row>
    <row r="150" spans="1:14" s="122" customFormat="1" ht="35.1" customHeight="1">
      <c r="A150" s="130"/>
      <c r="B150" s="137"/>
      <c r="C150" s="118"/>
      <c r="D150" s="119"/>
      <c r="E150" s="119"/>
      <c r="F150" s="119"/>
      <c r="G150" s="119"/>
      <c r="H150" s="120"/>
      <c r="I150" s="111"/>
      <c r="J150" s="121"/>
      <c r="K150" s="113"/>
      <c r="L150" s="136"/>
      <c r="M150" s="136"/>
      <c r="N150" s="162"/>
    </row>
    <row r="151" spans="1:14" s="114" customFormat="1" ht="35.1" customHeight="1">
      <c r="A151" s="107" t="s">
        <v>362</v>
      </c>
      <c r="B151" s="176" t="s">
        <v>363</v>
      </c>
      <c r="C151" s="109"/>
      <c r="D151" s="110"/>
      <c r="E151" s="110"/>
      <c r="F151" s="110"/>
      <c r="G151" s="110"/>
      <c r="H151" s="111"/>
      <c r="I151" s="111">
        <f>SUM(H152:H159)</f>
        <v>143.16</v>
      </c>
      <c r="J151" s="112" t="s">
        <v>294</v>
      </c>
      <c r="K151" s="113"/>
      <c r="L151" s="153"/>
      <c r="M151" s="153"/>
      <c r="N151" s="161"/>
    </row>
    <row r="152" spans="1:14" s="122" customFormat="1" ht="35.1" customHeight="1">
      <c r="A152" s="130"/>
      <c r="B152" s="175" t="s">
        <v>337</v>
      </c>
      <c r="C152" s="109"/>
      <c r="D152" s="110"/>
      <c r="E152" s="110"/>
      <c r="F152" s="110"/>
      <c r="G152" s="110"/>
      <c r="H152" s="111"/>
      <c r="I152" s="111"/>
      <c r="J152" s="121"/>
      <c r="K152" s="113"/>
      <c r="L152" s="136"/>
      <c r="M152" s="136"/>
      <c r="N152" s="162"/>
    </row>
    <row r="153" spans="1:14" s="122" customFormat="1" ht="35.1" customHeight="1">
      <c r="A153" s="130"/>
      <c r="B153" s="137" t="s">
        <v>352</v>
      </c>
      <c r="C153" s="118">
        <v>1</v>
      </c>
      <c r="D153" s="119">
        <v>4.8600000000000003</v>
      </c>
      <c r="E153" s="119"/>
      <c r="F153" s="119"/>
      <c r="G153" s="119"/>
      <c r="H153" s="120">
        <f t="shared" ref="H153:H159" si="2">+PRODUCT(C153:G153)</f>
        <v>4.8600000000000003</v>
      </c>
      <c r="I153" s="111"/>
      <c r="J153" s="121"/>
      <c r="K153" s="113"/>
      <c r="L153" s="136"/>
      <c r="M153" s="136"/>
      <c r="N153" s="162"/>
    </row>
    <row r="154" spans="1:14" s="122" customFormat="1" ht="35.1" customHeight="1">
      <c r="A154" s="130"/>
      <c r="B154" s="137" t="s">
        <v>353</v>
      </c>
      <c r="C154" s="118">
        <v>1</v>
      </c>
      <c r="D154" s="119">
        <v>37.47</v>
      </c>
      <c r="E154" s="119"/>
      <c r="F154" s="119"/>
      <c r="G154" s="119"/>
      <c r="H154" s="120">
        <f t="shared" si="2"/>
        <v>37.47</v>
      </c>
      <c r="I154" s="111"/>
      <c r="J154" s="121"/>
      <c r="K154" s="113"/>
      <c r="L154" s="136"/>
      <c r="M154" s="136"/>
      <c r="N154" s="162"/>
    </row>
    <row r="155" spans="1:14" s="122" customFormat="1" ht="35.1" customHeight="1">
      <c r="A155" s="130"/>
      <c r="B155" s="137" t="s">
        <v>354</v>
      </c>
      <c r="C155" s="118">
        <v>1</v>
      </c>
      <c r="D155" s="119">
        <v>24.17</v>
      </c>
      <c r="E155" s="119"/>
      <c r="F155" s="119"/>
      <c r="G155" s="119"/>
      <c r="H155" s="120">
        <f t="shared" si="2"/>
        <v>24.17</v>
      </c>
      <c r="I155" s="111"/>
      <c r="J155" s="121"/>
      <c r="K155" s="113"/>
      <c r="L155" s="136"/>
      <c r="M155" s="136"/>
      <c r="N155" s="162"/>
    </row>
    <row r="156" spans="1:14" s="122" customFormat="1" ht="35.1" customHeight="1">
      <c r="A156" s="130"/>
      <c r="B156" s="137" t="s">
        <v>355</v>
      </c>
      <c r="C156" s="118">
        <v>1</v>
      </c>
      <c r="D156" s="119">
        <v>23.25</v>
      </c>
      <c r="E156" s="119"/>
      <c r="F156" s="119"/>
      <c r="G156" s="119"/>
      <c r="H156" s="120">
        <f t="shared" si="2"/>
        <v>23.25</v>
      </c>
      <c r="I156" s="111"/>
      <c r="J156" s="121"/>
      <c r="K156" s="113"/>
      <c r="L156" s="136"/>
      <c r="M156" s="136"/>
      <c r="N156" s="162"/>
    </row>
    <row r="157" spans="1:14" s="122" customFormat="1" ht="35.1" customHeight="1">
      <c r="A157" s="130"/>
      <c r="B157" s="137" t="s">
        <v>356</v>
      </c>
      <c r="C157" s="118">
        <v>1</v>
      </c>
      <c r="D157" s="119">
        <v>9.41</v>
      </c>
      <c r="E157" s="119"/>
      <c r="F157" s="119"/>
      <c r="G157" s="119"/>
      <c r="H157" s="120">
        <f t="shared" si="2"/>
        <v>9.41</v>
      </c>
      <c r="I157" s="111"/>
      <c r="J157" s="121"/>
      <c r="K157" s="113"/>
      <c r="L157" s="136"/>
      <c r="M157" s="136"/>
      <c r="N157" s="162"/>
    </row>
    <row r="158" spans="1:14" s="122" customFormat="1" ht="35.1" customHeight="1">
      <c r="A158" s="130"/>
      <c r="B158" s="137" t="s">
        <v>357</v>
      </c>
      <c r="C158" s="118">
        <v>1</v>
      </c>
      <c r="D158" s="119">
        <v>40.65</v>
      </c>
      <c r="E158" s="119"/>
      <c r="F158" s="119"/>
      <c r="G158" s="119"/>
      <c r="H158" s="120">
        <f t="shared" si="2"/>
        <v>40.65</v>
      </c>
      <c r="I158" s="111"/>
      <c r="J158" s="121"/>
      <c r="K158" s="113"/>
      <c r="L158" s="136"/>
      <c r="M158" s="136"/>
      <c r="N158" s="162"/>
    </row>
    <row r="159" spans="1:14" s="122" customFormat="1" ht="35.1" customHeight="1">
      <c r="A159" s="130"/>
      <c r="B159" s="137" t="s">
        <v>358</v>
      </c>
      <c r="C159" s="118">
        <v>1</v>
      </c>
      <c r="D159" s="119">
        <v>3.35</v>
      </c>
      <c r="E159" s="119"/>
      <c r="F159" s="119"/>
      <c r="G159" s="119"/>
      <c r="H159" s="120">
        <f t="shared" si="2"/>
        <v>3.35</v>
      </c>
      <c r="I159" s="111"/>
      <c r="J159" s="121"/>
      <c r="K159" s="113"/>
      <c r="L159" s="136"/>
      <c r="M159" s="136"/>
      <c r="N159" s="162"/>
    </row>
    <row r="160" spans="1:14" s="106" customFormat="1" ht="35.1" customHeight="1">
      <c r="A160" s="123" t="s">
        <v>366</v>
      </c>
      <c r="B160" s="167" t="s">
        <v>250</v>
      </c>
      <c r="C160" s="125"/>
      <c r="D160" s="177"/>
      <c r="E160" s="126"/>
      <c r="F160" s="126"/>
      <c r="G160" s="126"/>
      <c r="H160" s="127"/>
      <c r="I160" s="128"/>
      <c r="J160" s="129"/>
      <c r="K160" s="105"/>
    </row>
    <row r="161" spans="1:11" s="151" customFormat="1" ht="35.1" customHeight="1">
      <c r="A161" s="143" t="s">
        <v>367</v>
      </c>
      <c r="B161" s="178" t="s">
        <v>368</v>
      </c>
      <c r="C161" s="145"/>
      <c r="D161" s="146"/>
      <c r="E161" s="146"/>
      <c r="F161" s="146"/>
      <c r="G161" s="146"/>
      <c r="H161" s="147"/>
      <c r="I161" s="148"/>
      <c r="J161" s="149"/>
      <c r="K161" s="150"/>
    </row>
    <row r="162" spans="1:11" s="114" customFormat="1" ht="35.1" customHeight="1">
      <c r="A162" s="107" t="s">
        <v>253</v>
      </c>
      <c r="B162" s="152" t="s">
        <v>369</v>
      </c>
      <c r="C162" s="109"/>
      <c r="D162" s="110"/>
      <c r="E162" s="110"/>
      <c r="F162" s="110"/>
      <c r="G162" s="110"/>
      <c r="H162" s="111"/>
      <c r="I162" s="111">
        <f>SUM(H163:H204)</f>
        <v>539.98020000000008</v>
      </c>
      <c r="J162" s="112" t="s">
        <v>294</v>
      </c>
      <c r="K162" s="113"/>
    </row>
    <row r="163" spans="1:11" s="122" customFormat="1" ht="35.1" customHeight="1">
      <c r="A163" s="130"/>
      <c r="B163" s="171" t="s">
        <v>337</v>
      </c>
      <c r="C163" s="118"/>
      <c r="D163" s="119"/>
      <c r="E163" s="119"/>
      <c r="F163" s="119"/>
      <c r="G163" s="119"/>
      <c r="H163" s="120"/>
      <c r="I163" s="111"/>
      <c r="J163" s="121"/>
      <c r="K163" s="113"/>
    </row>
    <row r="164" spans="1:11" s="122" customFormat="1" ht="35.1" customHeight="1">
      <c r="A164" s="130"/>
      <c r="B164" s="137" t="s">
        <v>338</v>
      </c>
      <c r="C164" s="118">
        <v>1</v>
      </c>
      <c r="D164" s="119">
        <v>1</v>
      </c>
      <c r="E164" s="119">
        <v>19.03</v>
      </c>
      <c r="F164" s="119">
        <v>0.9</v>
      </c>
      <c r="G164" s="119"/>
      <c r="H164" s="120">
        <f t="shared" ref="H164:H183" si="3">+PRODUCT(C164:G164)</f>
        <v>17.127000000000002</v>
      </c>
      <c r="I164" s="111"/>
      <c r="J164" s="121"/>
      <c r="K164" s="113"/>
    </row>
    <row r="165" spans="1:11" s="122" customFormat="1" ht="35.1" customHeight="1">
      <c r="A165" s="130"/>
      <c r="B165" s="137"/>
      <c r="C165" s="118">
        <v>1</v>
      </c>
      <c r="D165" s="119">
        <v>1</v>
      </c>
      <c r="E165" s="119">
        <v>14.24</v>
      </c>
      <c r="F165" s="119">
        <v>0.9</v>
      </c>
      <c r="G165" s="119"/>
      <c r="H165" s="120">
        <f t="shared" si="3"/>
        <v>12.816000000000001</v>
      </c>
      <c r="I165" s="111"/>
      <c r="J165" s="121"/>
      <c r="K165" s="113"/>
    </row>
    <row r="166" spans="1:11" s="122" customFormat="1" ht="35.1" customHeight="1">
      <c r="A166" s="130"/>
      <c r="B166" s="137"/>
      <c r="C166" s="118">
        <v>1</v>
      </c>
      <c r="D166" s="119">
        <v>1</v>
      </c>
      <c r="E166" s="119">
        <v>13.65</v>
      </c>
      <c r="F166" s="119">
        <v>0.9</v>
      </c>
      <c r="G166" s="119"/>
      <c r="H166" s="120">
        <f t="shared" si="3"/>
        <v>12.285</v>
      </c>
      <c r="I166" s="111"/>
      <c r="J166" s="121"/>
      <c r="K166" s="113"/>
    </row>
    <row r="167" spans="1:11" s="122" customFormat="1" ht="35.1" customHeight="1">
      <c r="A167" s="130"/>
      <c r="B167" s="137"/>
      <c r="C167" s="118">
        <v>1</v>
      </c>
      <c r="D167" s="119">
        <v>1</v>
      </c>
      <c r="E167" s="119">
        <v>8.9700000000000006</v>
      </c>
      <c r="F167" s="119">
        <v>0.9</v>
      </c>
      <c r="G167" s="119"/>
      <c r="H167" s="120">
        <f t="shared" si="3"/>
        <v>8.0730000000000004</v>
      </c>
      <c r="I167" s="111"/>
      <c r="J167" s="121"/>
      <c r="K167" s="113"/>
    </row>
    <row r="168" spans="1:11" s="122" customFormat="1" ht="35.1" customHeight="1">
      <c r="A168" s="130"/>
      <c r="B168" s="137"/>
      <c r="C168" s="118">
        <v>1</v>
      </c>
      <c r="D168" s="119">
        <v>1</v>
      </c>
      <c r="E168" s="119">
        <v>1.99</v>
      </c>
      <c r="F168" s="119">
        <v>0.9</v>
      </c>
      <c r="G168" s="119"/>
      <c r="H168" s="120">
        <f t="shared" si="3"/>
        <v>1.7909999999999999</v>
      </c>
      <c r="I168" s="111"/>
      <c r="J168" s="121"/>
      <c r="K168" s="113"/>
    </row>
    <row r="169" spans="1:11" s="122" customFormat="1" ht="35.1" customHeight="1">
      <c r="A169" s="130"/>
      <c r="B169" s="137"/>
      <c r="C169" s="118">
        <v>1</v>
      </c>
      <c r="D169" s="119">
        <v>1</v>
      </c>
      <c r="E169" s="119">
        <v>19.420000000000002</v>
      </c>
      <c r="F169" s="119">
        <v>0.9</v>
      </c>
      <c r="G169" s="119"/>
      <c r="H169" s="120">
        <f t="shared" si="3"/>
        <v>17.478000000000002</v>
      </c>
      <c r="I169" s="111"/>
      <c r="J169" s="121"/>
      <c r="K169" s="113"/>
    </row>
    <row r="170" spans="1:11" s="122" customFormat="1" ht="35.1" customHeight="1">
      <c r="A170" s="130"/>
      <c r="B170" s="137"/>
      <c r="C170" s="118">
        <v>1</v>
      </c>
      <c r="D170" s="119">
        <v>1</v>
      </c>
      <c r="E170" s="119">
        <v>8.39</v>
      </c>
      <c r="F170" s="119">
        <v>0.9</v>
      </c>
      <c r="G170" s="119"/>
      <c r="H170" s="120">
        <f t="shared" si="3"/>
        <v>7.551000000000001</v>
      </c>
      <c r="I170" s="111"/>
      <c r="J170" s="121"/>
      <c r="K170" s="113"/>
    </row>
    <row r="171" spans="1:11" s="122" customFormat="1" ht="35.1" customHeight="1">
      <c r="A171" s="130"/>
      <c r="B171" s="137"/>
      <c r="C171" s="118">
        <v>1</v>
      </c>
      <c r="D171" s="119">
        <v>1</v>
      </c>
      <c r="E171" s="119">
        <v>12.63</v>
      </c>
      <c r="F171" s="119">
        <v>0.9</v>
      </c>
      <c r="G171" s="119"/>
      <c r="H171" s="120">
        <f t="shared" si="3"/>
        <v>11.367000000000001</v>
      </c>
      <c r="I171" s="111"/>
      <c r="J171" s="121"/>
      <c r="K171" s="113"/>
    </row>
    <row r="172" spans="1:11" s="122" customFormat="1" ht="35.1" customHeight="1">
      <c r="A172" s="130"/>
      <c r="B172" s="137"/>
      <c r="C172" s="118">
        <v>1</v>
      </c>
      <c r="D172" s="119">
        <v>1</v>
      </c>
      <c r="E172" s="119">
        <v>7.29</v>
      </c>
      <c r="F172" s="119">
        <v>0.9</v>
      </c>
      <c r="G172" s="119"/>
      <c r="H172" s="120">
        <f t="shared" si="3"/>
        <v>6.5609999999999999</v>
      </c>
      <c r="I172" s="111"/>
      <c r="J172" s="121"/>
      <c r="K172" s="113"/>
    </row>
    <row r="173" spans="1:11" s="122" customFormat="1" ht="35.1" customHeight="1">
      <c r="A173" s="130"/>
      <c r="B173" s="137"/>
      <c r="C173" s="118">
        <v>1</v>
      </c>
      <c r="D173" s="119">
        <v>1</v>
      </c>
      <c r="E173" s="119">
        <v>16.52</v>
      </c>
      <c r="F173" s="119">
        <v>0.9</v>
      </c>
      <c r="G173" s="119"/>
      <c r="H173" s="120">
        <f t="shared" si="3"/>
        <v>14.868</v>
      </c>
      <c r="I173" s="111"/>
      <c r="J173" s="121"/>
      <c r="K173" s="113"/>
    </row>
    <row r="174" spans="1:11" s="122" customFormat="1" ht="35.1" customHeight="1">
      <c r="A174" s="130"/>
      <c r="B174" s="137"/>
      <c r="C174" s="118">
        <v>1</v>
      </c>
      <c r="D174" s="119">
        <v>1</v>
      </c>
      <c r="E174" s="119">
        <v>13.81</v>
      </c>
      <c r="F174" s="119">
        <v>0.9</v>
      </c>
      <c r="G174" s="119"/>
      <c r="H174" s="120">
        <f t="shared" si="3"/>
        <v>12.429</v>
      </c>
      <c r="I174" s="111"/>
      <c r="J174" s="121"/>
      <c r="K174" s="113"/>
    </row>
    <row r="175" spans="1:11" s="122" customFormat="1" ht="35.1" customHeight="1">
      <c r="A175" s="130"/>
      <c r="B175" s="137"/>
      <c r="C175" s="118">
        <v>1</v>
      </c>
      <c r="D175" s="119">
        <v>1</v>
      </c>
      <c r="E175" s="119">
        <v>16.760000000000002</v>
      </c>
      <c r="F175" s="119">
        <v>1.9</v>
      </c>
      <c r="G175" s="119"/>
      <c r="H175" s="120">
        <f t="shared" si="3"/>
        <v>31.844000000000001</v>
      </c>
      <c r="I175" s="111"/>
      <c r="J175" s="121"/>
      <c r="K175" s="113"/>
    </row>
    <row r="176" spans="1:11" s="122" customFormat="1" ht="35.1" customHeight="1">
      <c r="A176" s="130"/>
      <c r="B176" s="137"/>
      <c r="C176" s="118">
        <v>1</v>
      </c>
      <c r="D176" s="119">
        <v>1</v>
      </c>
      <c r="E176" s="119">
        <v>7.73</v>
      </c>
      <c r="F176" s="119">
        <v>1.1000000000000001</v>
      </c>
      <c r="G176" s="119"/>
      <c r="H176" s="120">
        <f t="shared" si="3"/>
        <v>8.5030000000000019</v>
      </c>
      <c r="I176" s="111"/>
      <c r="J176" s="121"/>
      <c r="K176" s="113"/>
    </row>
    <row r="177" spans="1:11" s="122" customFormat="1" ht="35.1" customHeight="1">
      <c r="A177" s="130"/>
      <c r="B177" s="137"/>
      <c r="C177" s="118">
        <v>1</v>
      </c>
      <c r="D177" s="119">
        <v>1</v>
      </c>
      <c r="E177" s="119">
        <v>19.11</v>
      </c>
      <c r="F177" s="119">
        <v>1.1000000000000001</v>
      </c>
      <c r="G177" s="119"/>
      <c r="H177" s="120">
        <f t="shared" si="3"/>
        <v>21.021000000000001</v>
      </c>
      <c r="I177" s="111"/>
      <c r="J177" s="121"/>
      <c r="K177" s="113"/>
    </row>
    <row r="178" spans="1:11" s="122" customFormat="1" ht="35.1" customHeight="1">
      <c r="A178" s="130"/>
      <c r="B178" s="137"/>
      <c r="C178" s="118">
        <v>1</v>
      </c>
      <c r="D178" s="119">
        <v>1</v>
      </c>
      <c r="E178" s="119">
        <v>9.57</v>
      </c>
      <c r="F178" s="119">
        <v>1.1000000000000001</v>
      </c>
      <c r="G178" s="119"/>
      <c r="H178" s="120">
        <f t="shared" si="3"/>
        <v>10.527000000000001</v>
      </c>
      <c r="I178" s="111"/>
      <c r="J178" s="121"/>
      <c r="K178" s="113"/>
    </row>
    <row r="179" spans="1:11" s="122" customFormat="1" ht="35.1" customHeight="1">
      <c r="A179" s="130"/>
      <c r="B179" s="137"/>
      <c r="C179" s="118">
        <v>1</v>
      </c>
      <c r="D179" s="119">
        <v>1</v>
      </c>
      <c r="E179" s="119">
        <v>4.7</v>
      </c>
      <c r="F179" s="119">
        <v>1.1000000000000001</v>
      </c>
      <c r="G179" s="119"/>
      <c r="H179" s="120">
        <f t="shared" si="3"/>
        <v>5.1700000000000008</v>
      </c>
      <c r="I179" s="111"/>
      <c r="J179" s="121"/>
      <c r="K179" s="113"/>
    </row>
    <row r="180" spans="1:11" s="122" customFormat="1" ht="35.1" customHeight="1">
      <c r="A180" s="130"/>
      <c r="B180" s="137"/>
      <c r="C180" s="118">
        <v>1</v>
      </c>
      <c r="D180" s="119">
        <v>1</v>
      </c>
      <c r="E180" s="119">
        <v>11.07</v>
      </c>
      <c r="F180" s="119">
        <v>1.1000000000000001</v>
      </c>
      <c r="G180" s="119"/>
      <c r="H180" s="120">
        <f t="shared" si="3"/>
        <v>12.177000000000001</v>
      </c>
      <c r="I180" s="111"/>
      <c r="J180" s="121"/>
      <c r="K180" s="113"/>
    </row>
    <row r="181" spans="1:11" s="122" customFormat="1" ht="35.1" customHeight="1">
      <c r="A181" s="130"/>
      <c r="B181" s="137"/>
      <c r="C181" s="118">
        <v>1</v>
      </c>
      <c r="D181" s="119">
        <v>1</v>
      </c>
      <c r="E181" s="119">
        <v>8.82</v>
      </c>
      <c r="F181" s="119">
        <v>0.9</v>
      </c>
      <c r="G181" s="119"/>
      <c r="H181" s="120">
        <f t="shared" si="3"/>
        <v>7.9380000000000006</v>
      </c>
      <c r="I181" s="111"/>
      <c r="J181" s="121"/>
      <c r="K181" s="113"/>
    </row>
    <row r="182" spans="1:11" s="122" customFormat="1" ht="35.1" customHeight="1">
      <c r="A182" s="130"/>
      <c r="B182" s="137"/>
      <c r="C182" s="118">
        <v>1</v>
      </c>
      <c r="D182" s="119">
        <v>1</v>
      </c>
      <c r="E182" s="119">
        <v>20.38</v>
      </c>
      <c r="F182" s="119">
        <v>1.1000000000000001</v>
      </c>
      <c r="G182" s="119"/>
      <c r="H182" s="120">
        <f t="shared" si="3"/>
        <v>22.417999999999999</v>
      </c>
      <c r="I182" s="111"/>
      <c r="J182" s="121"/>
      <c r="K182" s="113"/>
    </row>
    <row r="183" spans="1:11" s="122" customFormat="1" ht="35.1" customHeight="1">
      <c r="A183" s="130"/>
      <c r="B183" s="137"/>
      <c r="C183" s="118">
        <v>1</v>
      </c>
      <c r="D183" s="119">
        <v>1</v>
      </c>
      <c r="E183" s="119">
        <v>27.9</v>
      </c>
      <c r="F183" s="119">
        <v>1.47</v>
      </c>
      <c r="G183" s="119"/>
      <c r="H183" s="120">
        <f t="shared" si="3"/>
        <v>41.012999999999998</v>
      </c>
      <c r="I183" s="111"/>
      <c r="J183" s="121"/>
      <c r="K183" s="113"/>
    </row>
    <row r="184" spans="1:11" s="122" customFormat="1" ht="35.1" customHeight="1">
      <c r="A184" s="130"/>
      <c r="B184" s="137"/>
      <c r="C184" s="118"/>
      <c r="D184" s="119"/>
      <c r="E184" s="119"/>
      <c r="F184" s="119"/>
      <c r="G184" s="119"/>
      <c r="H184" s="120"/>
      <c r="I184" s="111"/>
      <c r="J184" s="121"/>
      <c r="K184" s="113"/>
    </row>
    <row r="185" spans="1:11" s="122" customFormat="1" ht="35.1" customHeight="1">
      <c r="A185" s="130"/>
      <c r="B185" s="137" t="s">
        <v>339</v>
      </c>
      <c r="C185" s="118">
        <v>1</v>
      </c>
      <c r="D185" s="119">
        <v>1</v>
      </c>
      <c r="E185" s="119">
        <v>14.92</v>
      </c>
      <c r="F185" s="119">
        <v>0.9</v>
      </c>
      <c r="G185" s="119"/>
      <c r="H185" s="120">
        <f t="shared" ref="H185:H204" si="4">+PRODUCT(C185:G185)</f>
        <v>13.428000000000001</v>
      </c>
      <c r="I185" s="111"/>
      <c r="J185" s="121"/>
      <c r="K185" s="113"/>
    </row>
    <row r="186" spans="1:11" s="122" customFormat="1" ht="35.1" customHeight="1">
      <c r="A186" s="130"/>
      <c r="B186" s="137"/>
      <c r="C186" s="118">
        <v>1</v>
      </c>
      <c r="D186" s="119">
        <v>1</v>
      </c>
      <c r="E186" s="119">
        <v>4.8600000000000003</v>
      </c>
      <c r="F186" s="119">
        <v>0.9</v>
      </c>
      <c r="G186" s="119"/>
      <c r="H186" s="120">
        <f t="shared" si="4"/>
        <v>4.3740000000000006</v>
      </c>
      <c r="I186" s="111"/>
      <c r="J186" s="121"/>
      <c r="K186" s="113"/>
    </row>
    <row r="187" spans="1:11" s="122" customFormat="1" ht="35.1" customHeight="1">
      <c r="A187" s="130"/>
      <c r="B187" s="137"/>
      <c r="C187" s="118">
        <v>1</v>
      </c>
      <c r="D187" s="119">
        <v>1</v>
      </c>
      <c r="E187" s="119">
        <v>23.99</v>
      </c>
      <c r="F187" s="119">
        <v>0.9</v>
      </c>
      <c r="G187" s="119"/>
      <c r="H187" s="120">
        <f t="shared" si="4"/>
        <v>21.590999999999998</v>
      </c>
      <c r="I187" s="111"/>
      <c r="J187" s="121"/>
      <c r="K187" s="113"/>
    </row>
    <row r="188" spans="1:11" s="122" customFormat="1" ht="35.1" customHeight="1">
      <c r="A188" s="130"/>
      <c r="B188" s="137"/>
      <c r="C188" s="118">
        <v>1</v>
      </c>
      <c r="D188" s="119">
        <v>1</v>
      </c>
      <c r="E188" s="119">
        <v>35.56</v>
      </c>
      <c r="F188" s="119">
        <v>0.9</v>
      </c>
      <c r="G188" s="119"/>
      <c r="H188" s="120">
        <f t="shared" si="4"/>
        <v>32.004000000000005</v>
      </c>
      <c r="I188" s="111"/>
      <c r="J188" s="121"/>
      <c r="K188" s="113"/>
    </row>
    <row r="189" spans="1:11" s="122" customFormat="1" ht="35.1" customHeight="1">
      <c r="A189" s="130"/>
      <c r="B189" s="137"/>
      <c r="C189" s="118">
        <v>1</v>
      </c>
      <c r="D189" s="119">
        <v>1</v>
      </c>
      <c r="E189" s="119">
        <v>9.48</v>
      </c>
      <c r="F189" s="119">
        <v>0.9</v>
      </c>
      <c r="G189" s="119"/>
      <c r="H189" s="120">
        <f t="shared" si="4"/>
        <v>8.532</v>
      </c>
      <c r="I189" s="111"/>
      <c r="J189" s="121"/>
      <c r="K189" s="113"/>
    </row>
    <row r="190" spans="1:11" s="122" customFormat="1" ht="35.1" customHeight="1">
      <c r="A190" s="130"/>
      <c r="B190" s="137"/>
      <c r="C190" s="118">
        <v>1</v>
      </c>
      <c r="D190" s="119">
        <v>1</v>
      </c>
      <c r="E190" s="119">
        <v>7.97</v>
      </c>
      <c r="F190" s="119">
        <v>0.9</v>
      </c>
      <c r="G190" s="119"/>
      <c r="H190" s="120">
        <f t="shared" si="4"/>
        <v>7.173</v>
      </c>
      <c r="I190" s="111"/>
      <c r="J190" s="121"/>
      <c r="K190" s="113"/>
    </row>
    <row r="191" spans="1:11" s="122" customFormat="1" ht="35.1" customHeight="1">
      <c r="A191" s="130"/>
      <c r="B191" s="137"/>
      <c r="C191" s="118">
        <v>1</v>
      </c>
      <c r="D191" s="119">
        <v>1</v>
      </c>
      <c r="E191" s="119">
        <v>12.61</v>
      </c>
      <c r="F191" s="119">
        <v>0.9</v>
      </c>
      <c r="G191" s="119"/>
      <c r="H191" s="120">
        <f t="shared" si="4"/>
        <v>11.349</v>
      </c>
      <c r="I191" s="111"/>
      <c r="J191" s="121"/>
      <c r="K191" s="113"/>
    </row>
    <row r="192" spans="1:11" s="122" customFormat="1" ht="35.1" customHeight="1">
      <c r="A192" s="130"/>
      <c r="B192" s="137"/>
      <c r="C192" s="118">
        <v>1</v>
      </c>
      <c r="D192" s="119">
        <v>1</v>
      </c>
      <c r="E192" s="119">
        <v>6.22</v>
      </c>
      <c r="F192" s="119">
        <v>0.9</v>
      </c>
      <c r="G192" s="119"/>
      <c r="H192" s="120">
        <f t="shared" si="4"/>
        <v>5.5979999999999999</v>
      </c>
      <c r="I192" s="111"/>
      <c r="J192" s="121"/>
      <c r="K192" s="113"/>
    </row>
    <row r="193" spans="1:11" s="122" customFormat="1" ht="35.1" customHeight="1">
      <c r="A193" s="130"/>
      <c r="B193" s="137"/>
      <c r="C193" s="118">
        <v>1</v>
      </c>
      <c r="D193" s="119">
        <v>1</v>
      </c>
      <c r="E193" s="119">
        <v>9.6199999999999992</v>
      </c>
      <c r="F193" s="119">
        <v>1.86</v>
      </c>
      <c r="G193" s="119"/>
      <c r="H193" s="120">
        <f t="shared" si="4"/>
        <v>17.8932</v>
      </c>
      <c r="I193" s="111"/>
      <c r="J193" s="121"/>
      <c r="K193" s="113"/>
    </row>
    <row r="194" spans="1:11" s="122" customFormat="1" ht="35.1" customHeight="1">
      <c r="A194" s="130"/>
      <c r="B194" s="137"/>
      <c r="C194" s="118">
        <v>1</v>
      </c>
      <c r="D194" s="119">
        <v>1</v>
      </c>
      <c r="E194" s="119">
        <v>24.3</v>
      </c>
      <c r="F194" s="119">
        <v>0.9</v>
      </c>
      <c r="G194" s="119"/>
      <c r="H194" s="120">
        <f t="shared" si="4"/>
        <v>21.87</v>
      </c>
      <c r="I194" s="111"/>
      <c r="J194" s="121"/>
      <c r="K194" s="113"/>
    </row>
    <row r="195" spans="1:11" s="122" customFormat="1" ht="35.1" customHeight="1">
      <c r="A195" s="130"/>
      <c r="B195" s="137"/>
      <c r="C195" s="118">
        <v>1</v>
      </c>
      <c r="D195" s="119">
        <v>1</v>
      </c>
      <c r="E195" s="119">
        <v>5.87</v>
      </c>
      <c r="F195" s="119">
        <v>0.9</v>
      </c>
      <c r="G195" s="119"/>
      <c r="H195" s="120">
        <f t="shared" si="4"/>
        <v>5.2830000000000004</v>
      </c>
      <c r="I195" s="111"/>
      <c r="J195" s="121"/>
      <c r="K195" s="113"/>
    </row>
    <row r="196" spans="1:11" s="122" customFormat="1" ht="35.1" customHeight="1">
      <c r="A196" s="130"/>
      <c r="B196" s="137"/>
      <c r="C196" s="118">
        <v>1</v>
      </c>
      <c r="D196" s="119">
        <v>1</v>
      </c>
      <c r="E196" s="119">
        <v>3.21</v>
      </c>
      <c r="F196" s="119">
        <v>0.9</v>
      </c>
      <c r="G196" s="119"/>
      <c r="H196" s="120">
        <f t="shared" si="4"/>
        <v>2.8890000000000002</v>
      </c>
      <c r="I196" s="111"/>
      <c r="J196" s="121"/>
      <c r="K196" s="113"/>
    </row>
    <row r="197" spans="1:11" s="122" customFormat="1" ht="35.1" customHeight="1">
      <c r="A197" s="130"/>
      <c r="B197" s="137"/>
      <c r="C197" s="118">
        <v>1</v>
      </c>
      <c r="D197" s="119">
        <v>1</v>
      </c>
      <c r="E197" s="119">
        <v>5.81</v>
      </c>
      <c r="F197" s="119">
        <v>1.1000000000000001</v>
      </c>
      <c r="G197" s="119"/>
      <c r="H197" s="120">
        <f t="shared" si="4"/>
        <v>6.391</v>
      </c>
      <c r="I197" s="111"/>
      <c r="J197" s="121"/>
      <c r="K197" s="113"/>
    </row>
    <row r="198" spans="1:11" s="122" customFormat="1" ht="35.1" customHeight="1">
      <c r="A198" s="130"/>
      <c r="B198" s="137"/>
      <c r="C198" s="118">
        <v>1</v>
      </c>
      <c r="D198" s="119">
        <v>1</v>
      </c>
      <c r="E198" s="119">
        <v>9.17</v>
      </c>
      <c r="F198" s="119">
        <v>1.1000000000000001</v>
      </c>
      <c r="G198" s="119"/>
      <c r="H198" s="120">
        <f t="shared" si="4"/>
        <v>10.087000000000002</v>
      </c>
      <c r="I198" s="111"/>
      <c r="J198" s="121"/>
      <c r="K198" s="113"/>
    </row>
    <row r="199" spans="1:11" s="122" customFormat="1" ht="35.1" customHeight="1">
      <c r="A199" s="130"/>
      <c r="B199" s="137"/>
      <c r="C199" s="118">
        <v>1</v>
      </c>
      <c r="D199" s="119">
        <v>1</v>
      </c>
      <c r="E199" s="119">
        <v>7.84</v>
      </c>
      <c r="F199" s="119">
        <v>1.1000000000000001</v>
      </c>
      <c r="G199" s="119"/>
      <c r="H199" s="120">
        <f t="shared" si="4"/>
        <v>8.6240000000000006</v>
      </c>
      <c r="I199" s="111"/>
      <c r="J199" s="121"/>
      <c r="K199" s="113"/>
    </row>
    <row r="200" spans="1:11" s="122" customFormat="1" ht="35.1" customHeight="1">
      <c r="A200" s="130"/>
      <c r="B200" s="137"/>
      <c r="C200" s="118">
        <v>1</v>
      </c>
      <c r="D200" s="119">
        <v>1</v>
      </c>
      <c r="E200" s="119">
        <v>17.95</v>
      </c>
      <c r="F200" s="119">
        <v>1.1000000000000001</v>
      </c>
      <c r="G200" s="119"/>
      <c r="H200" s="120">
        <f t="shared" si="4"/>
        <v>19.745000000000001</v>
      </c>
      <c r="I200" s="111"/>
      <c r="J200" s="121"/>
      <c r="K200" s="113"/>
    </row>
    <row r="201" spans="1:11" s="122" customFormat="1" ht="35.1" customHeight="1">
      <c r="A201" s="130"/>
      <c r="B201" s="137"/>
      <c r="C201" s="118">
        <v>1</v>
      </c>
      <c r="D201" s="119">
        <v>1</v>
      </c>
      <c r="E201" s="119">
        <v>12.52</v>
      </c>
      <c r="F201" s="119">
        <v>1.1000000000000001</v>
      </c>
      <c r="G201" s="119"/>
      <c r="H201" s="120">
        <f t="shared" si="4"/>
        <v>13.772</v>
      </c>
      <c r="I201" s="111"/>
      <c r="J201" s="121"/>
      <c r="K201" s="113"/>
    </row>
    <row r="202" spans="1:11" s="122" customFormat="1" ht="35.1" customHeight="1">
      <c r="A202" s="130"/>
      <c r="B202" s="137"/>
      <c r="C202" s="118">
        <v>1</v>
      </c>
      <c r="D202" s="119">
        <v>1</v>
      </c>
      <c r="E202" s="119">
        <v>8.41</v>
      </c>
      <c r="F202" s="119">
        <v>1.1000000000000001</v>
      </c>
      <c r="G202" s="119"/>
      <c r="H202" s="120">
        <f t="shared" si="4"/>
        <v>9.2510000000000012</v>
      </c>
      <c r="I202" s="111"/>
      <c r="J202" s="121"/>
      <c r="K202" s="113"/>
    </row>
    <row r="203" spans="1:11" s="122" customFormat="1" ht="35.1" customHeight="1">
      <c r="A203" s="130"/>
      <c r="B203" s="137"/>
      <c r="C203" s="118">
        <v>1</v>
      </c>
      <c r="D203" s="119">
        <v>1</v>
      </c>
      <c r="E203" s="119">
        <v>20.399999999999999</v>
      </c>
      <c r="F203" s="119">
        <v>1.1000000000000001</v>
      </c>
      <c r="G203" s="119"/>
      <c r="H203" s="120">
        <f t="shared" si="4"/>
        <v>22.44</v>
      </c>
      <c r="I203" s="111"/>
      <c r="J203" s="121"/>
      <c r="K203" s="113"/>
    </row>
    <row r="204" spans="1:11" s="122" customFormat="1" ht="35.1" customHeight="1">
      <c r="A204" s="130"/>
      <c r="B204" s="137"/>
      <c r="C204" s="118">
        <v>1</v>
      </c>
      <c r="D204" s="119">
        <v>1</v>
      </c>
      <c r="E204" s="119">
        <v>13.39</v>
      </c>
      <c r="F204" s="119">
        <v>1.1000000000000001</v>
      </c>
      <c r="G204" s="119"/>
      <c r="H204" s="120">
        <f t="shared" si="4"/>
        <v>14.729000000000001</v>
      </c>
      <c r="I204" s="111"/>
      <c r="J204" s="121"/>
      <c r="K204" s="113"/>
    </row>
    <row r="205" spans="1:11" s="122" customFormat="1" ht="35.1" customHeight="1">
      <c r="A205" s="130"/>
      <c r="B205" s="137"/>
      <c r="C205" s="179"/>
      <c r="D205" s="119"/>
      <c r="E205" s="173"/>
      <c r="F205" s="119"/>
      <c r="G205" s="119"/>
      <c r="H205" s="120"/>
      <c r="I205" s="111"/>
      <c r="J205" s="121"/>
      <c r="K205" s="113"/>
    </row>
    <row r="206" spans="1:11" s="114" customFormat="1" ht="35.1" customHeight="1">
      <c r="A206" s="107" t="s">
        <v>254</v>
      </c>
      <c r="B206" s="152" t="s">
        <v>370</v>
      </c>
      <c r="C206" s="180"/>
      <c r="D206" s="110"/>
      <c r="E206" s="163"/>
      <c r="F206" s="110"/>
      <c r="G206" s="110"/>
      <c r="H206" s="159"/>
      <c r="I206" s="111">
        <f>SUM(H208:H248)</f>
        <v>539.98020000000008</v>
      </c>
      <c r="J206" s="112" t="s">
        <v>294</v>
      </c>
      <c r="K206" s="113"/>
    </row>
    <row r="207" spans="1:11" s="122" customFormat="1" ht="35.1" customHeight="1">
      <c r="A207" s="130"/>
      <c r="B207" s="171" t="s">
        <v>337</v>
      </c>
      <c r="C207" s="118"/>
      <c r="D207" s="119"/>
      <c r="E207" s="119"/>
      <c r="F207" s="119"/>
      <c r="G207" s="119"/>
      <c r="H207" s="120"/>
      <c r="I207" s="111"/>
      <c r="J207" s="121"/>
      <c r="K207" s="113"/>
    </row>
    <row r="208" spans="1:11" s="122" customFormat="1" ht="35.1" customHeight="1">
      <c r="A208" s="130"/>
      <c r="B208" s="137" t="s">
        <v>338</v>
      </c>
      <c r="C208" s="118">
        <v>1</v>
      </c>
      <c r="D208" s="119">
        <v>1</v>
      </c>
      <c r="E208" s="119">
        <v>19.03</v>
      </c>
      <c r="F208" s="119">
        <v>0.9</v>
      </c>
      <c r="G208" s="119"/>
      <c r="H208" s="120">
        <f t="shared" ref="H208:H227" si="5">+PRODUCT(C208:G208)</f>
        <v>17.127000000000002</v>
      </c>
      <c r="I208" s="111"/>
      <c r="J208" s="121"/>
      <c r="K208" s="113"/>
    </row>
    <row r="209" spans="1:11" s="122" customFormat="1" ht="35.1" customHeight="1">
      <c r="A209" s="130"/>
      <c r="B209" s="137"/>
      <c r="C209" s="118">
        <v>1</v>
      </c>
      <c r="D209" s="119">
        <v>1</v>
      </c>
      <c r="E209" s="119">
        <v>14.24</v>
      </c>
      <c r="F209" s="119">
        <v>0.9</v>
      </c>
      <c r="G209" s="119"/>
      <c r="H209" s="120">
        <f t="shared" si="5"/>
        <v>12.816000000000001</v>
      </c>
      <c r="I209" s="111"/>
      <c r="J209" s="121"/>
      <c r="K209" s="113"/>
    </row>
    <row r="210" spans="1:11" s="122" customFormat="1" ht="35.1" customHeight="1">
      <c r="A210" s="130"/>
      <c r="B210" s="137"/>
      <c r="C210" s="118">
        <v>1</v>
      </c>
      <c r="D210" s="119">
        <v>1</v>
      </c>
      <c r="E210" s="119">
        <v>13.65</v>
      </c>
      <c r="F210" s="119">
        <v>0.9</v>
      </c>
      <c r="G210" s="119"/>
      <c r="H210" s="120">
        <f t="shared" si="5"/>
        <v>12.285</v>
      </c>
      <c r="I210" s="111"/>
      <c r="J210" s="121"/>
      <c r="K210" s="113"/>
    </row>
    <row r="211" spans="1:11" s="122" customFormat="1" ht="35.1" customHeight="1">
      <c r="A211" s="130"/>
      <c r="B211" s="137"/>
      <c r="C211" s="118">
        <v>1</v>
      </c>
      <c r="D211" s="119">
        <v>1</v>
      </c>
      <c r="E211" s="119">
        <v>8.9700000000000006</v>
      </c>
      <c r="F211" s="119">
        <v>0.9</v>
      </c>
      <c r="G211" s="119"/>
      <c r="H211" s="120">
        <f t="shared" si="5"/>
        <v>8.0730000000000004</v>
      </c>
      <c r="I211" s="111"/>
      <c r="J211" s="121"/>
      <c r="K211" s="113"/>
    </row>
    <row r="212" spans="1:11" s="122" customFormat="1" ht="35.1" customHeight="1">
      <c r="A212" s="130"/>
      <c r="B212" s="137"/>
      <c r="C212" s="118">
        <v>1</v>
      </c>
      <c r="D212" s="119">
        <v>1</v>
      </c>
      <c r="E212" s="119">
        <v>1.99</v>
      </c>
      <c r="F212" s="119">
        <v>0.9</v>
      </c>
      <c r="G212" s="119"/>
      <c r="H212" s="120">
        <f t="shared" si="5"/>
        <v>1.7909999999999999</v>
      </c>
      <c r="I212" s="111"/>
      <c r="J212" s="121"/>
      <c r="K212" s="113"/>
    </row>
    <row r="213" spans="1:11" s="122" customFormat="1" ht="35.1" customHeight="1">
      <c r="A213" s="130"/>
      <c r="B213" s="137"/>
      <c r="C213" s="118">
        <v>1</v>
      </c>
      <c r="D213" s="119">
        <v>1</v>
      </c>
      <c r="E213" s="119">
        <v>19.420000000000002</v>
      </c>
      <c r="F213" s="119">
        <v>0.9</v>
      </c>
      <c r="G213" s="119"/>
      <c r="H213" s="120">
        <f t="shared" si="5"/>
        <v>17.478000000000002</v>
      </c>
      <c r="I213" s="111"/>
      <c r="J213" s="121"/>
      <c r="K213" s="113"/>
    </row>
    <row r="214" spans="1:11" s="122" customFormat="1" ht="35.1" customHeight="1">
      <c r="A214" s="130"/>
      <c r="B214" s="137"/>
      <c r="C214" s="118">
        <v>1</v>
      </c>
      <c r="D214" s="119">
        <v>1</v>
      </c>
      <c r="E214" s="119">
        <v>8.39</v>
      </c>
      <c r="F214" s="119">
        <v>0.9</v>
      </c>
      <c r="G214" s="119"/>
      <c r="H214" s="120">
        <f t="shared" si="5"/>
        <v>7.551000000000001</v>
      </c>
      <c r="I214" s="111"/>
      <c r="J214" s="121"/>
      <c r="K214" s="113"/>
    </row>
    <row r="215" spans="1:11" s="122" customFormat="1" ht="35.1" customHeight="1">
      <c r="A215" s="130"/>
      <c r="B215" s="137"/>
      <c r="C215" s="118">
        <v>1</v>
      </c>
      <c r="D215" s="119">
        <v>1</v>
      </c>
      <c r="E215" s="119">
        <v>12.63</v>
      </c>
      <c r="F215" s="119">
        <v>0.9</v>
      </c>
      <c r="G215" s="119"/>
      <c r="H215" s="120">
        <f t="shared" si="5"/>
        <v>11.367000000000001</v>
      </c>
      <c r="I215" s="111"/>
      <c r="J215" s="121"/>
      <c r="K215" s="113"/>
    </row>
    <row r="216" spans="1:11" s="122" customFormat="1" ht="35.1" customHeight="1">
      <c r="A216" s="130"/>
      <c r="B216" s="137"/>
      <c r="C216" s="118">
        <v>1</v>
      </c>
      <c r="D216" s="119">
        <v>1</v>
      </c>
      <c r="E216" s="119">
        <v>7.29</v>
      </c>
      <c r="F216" s="119">
        <v>0.9</v>
      </c>
      <c r="G216" s="119"/>
      <c r="H216" s="120">
        <f t="shared" si="5"/>
        <v>6.5609999999999999</v>
      </c>
      <c r="I216" s="111"/>
      <c r="J216" s="121"/>
      <c r="K216" s="113"/>
    </row>
    <row r="217" spans="1:11" s="122" customFormat="1" ht="35.1" customHeight="1">
      <c r="A217" s="130"/>
      <c r="B217" s="137"/>
      <c r="C217" s="118">
        <v>1</v>
      </c>
      <c r="D217" s="119">
        <v>1</v>
      </c>
      <c r="E217" s="119">
        <v>16.52</v>
      </c>
      <c r="F217" s="119">
        <v>0.9</v>
      </c>
      <c r="G217" s="119"/>
      <c r="H217" s="120">
        <f t="shared" si="5"/>
        <v>14.868</v>
      </c>
      <c r="I217" s="111"/>
      <c r="J217" s="121"/>
      <c r="K217" s="113"/>
    </row>
    <row r="218" spans="1:11" s="122" customFormat="1" ht="35.1" customHeight="1">
      <c r="A218" s="130"/>
      <c r="B218" s="137"/>
      <c r="C218" s="118">
        <v>1</v>
      </c>
      <c r="D218" s="119">
        <v>1</v>
      </c>
      <c r="E218" s="119">
        <v>13.81</v>
      </c>
      <c r="F218" s="119">
        <v>0.9</v>
      </c>
      <c r="G218" s="119"/>
      <c r="H218" s="120">
        <f t="shared" si="5"/>
        <v>12.429</v>
      </c>
      <c r="I218" s="111"/>
      <c r="J218" s="121"/>
      <c r="K218" s="113"/>
    </row>
    <row r="219" spans="1:11" s="122" customFormat="1" ht="35.1" customHeight="1">
      <c r="A219" s="130"/>
      <c r="B219" s="137"/>
      <c r="C219" s="118">
        <v>1</v>
      </c>
      <c r="D219" s="119">
        <v>1</v>
      </c>
      <c r="E219" s="119">
        <v>16.760000000000002</v>
      </c>
      <c r="F219" s="119">
        <v>1.9</v>
      </c>
      <c r="G219" s="119"/>
      <c r="H219" s="120">
        <f t="shared" si="5"/>
        <v>31.844000000000001</v>
      </c>
      <c r="I219" s="111"/>
      <c r="J219" s="121"/>
      <c r="K219" s="113"/>
    </row>
    <row r="220" spans="1:11" s="122" customFormat="1" ht="35.1" customHeight="1">
      <c r="A220" s="130"/>
      <c r="B220" s="137"/>
      <c r="C220" s="118">
        <v>1</v>
      </c>
      <c r="D220" s="119">
        <v>1</v>
      </c>
      <c r="E220" s="119">
        <v>7.73</v>
      </c>
      <c r="F220" s="119">
        <v>1.1000000000000001</v>
      </c>
      <c r="G220" s="119"/>
      <c r="H220" s="120">
        <f t="shared" si="5"/>
        <v>8.5030000000000019</v>
      </c>
      <c r="I220" s="111"/>
      <c r="J220" s="121"/>
      <c r="K220" s="113"/>
    </row>
    <row r="221" spans="1:11" s="122" customFormat="1" ht="35.1" customHeight="1">
      <c r="A221" s="130"/>
      <c r="B221" s="137"/>
      <c r="C221" s="118">
        <v>1</v>
      </c>
      <c r="D221" s="119">
        <v>1</v>
      </c>
      <c r="E221" s="119">
        <v>19.11</v>
      </c>
      <c r="F221" s="119">
        <v>1.1000000000000001</v>
      </c>
      <c r="G221" s="119"/>
      <c r="H221" s="120">
        <f t="shared" si="5"/>
        <v>21.021000000000001</v>
      </c>
      <c r="I221" s="111"/>
      <c r="J221" s="121"/>
      <c r="K221" s="113"/>
    </row>
    <row r="222" spans="1:11" s="122" customFormat="1" ht="35.1" customHeight="1">
      <c r="A222" s="130"/>
      <c r="B222" s="137"/>
      <c r="C222" s="118">
        <v>1</v>
      </c>
      <c r="D222" s="119">
        <v>1</v>
      </c>
      <c r="E222" s="119">
        <v>9.57</v>
      </c>
      <c r="F222" s="119">
        <v>1.1000000000000001</v>
      </c>
      <c r="G222" s="119"/>
      <c r="H222" s="120">
        <f t="shared" si="5"/>
        <v>10.527000000000001</v>
      </c>
      <c r="I222" s="111"/>
      <c r="J222" s="121"/>
      <c r="K222" s="113"/>
    </row>
    <row r="223" spans="1:11" s="122" customFormat="1" ht="35.1" customHeight="1">
      <c r="A223" s="130"/>
      <c r="B223" s="137"/>
      <c r="C223" s="118">
        <v>1</v>
      </c>
      <c r="D223" s="119">
        <v>1</v>
      </c>
      <c r="E223" s="119">
        <v>4.7</v>
      </c>
      <c r="F223" s="119">
        <v>1.1000000000000001</v>
      </c>
      <c r="G223" s="119"/>
      <c r="H223" s="120">
        <f t="shared" si="5"/>
        <v>5.1700000000000008</v>
      </c>
      <c r="I223" s="111"/>
      <c r="J223" s="121"/>
      <c r="K223" s="113"/>
    </row>
    <row r="224" spans="1:11" s="122" customFormat="1" ht="35.1" customHeight="1">
      <c r="A224" s="130"/>
      <c r="B224" s="137"/>
      <c r="C224" s="118">
        <v>1</v>
      </c>
      <c r="D224" s="119">
        <v>1</v>
      </c>
      <c r="E224" s="119">
        <v>11.07</v>
      </c>
      <c r="F224" s="119">
        <v>1.1000000000000001</v>
      </c>
      <c r="G224" s="119"/>
      <c r="H224" s="120">
        <f t="shared" si="5"/>
        <v>12.177000000000001</v>
      </c>
      <c r="I224" s="111"/>
      <c r="J224" s="121"/>
      <c r="K224" s="113"/>
    </row>
    <row r="225" spans="1:11" s="122" customFormat="1" ht="35.1" customHeight="1">
      <c r="A225" s="130"/>
      <c r="B225" s="137"/>
      <c r="C225" s="118">
        <v>1</v>
      </c>
      <c r="D225" s="119">
        <v>1</v>
      </c>
      <c r="E225" s="119">
        <v>8.82</v>
      </c>
      <c r="F225" s="119">
        <v>0.9</v>
      </c>
      <c r="G225" s="119"/>
      <c r="H225" s="120">
        <f t="shared" si="5"/>
        <v>7.9380000000000006</v>
      </c>
      <c r="I225" s="111"/>
      <c r="J225" s="121"/>
      <c r="K225" s="113"/>
    </row>
    <row r="226" spans="1:11" s="122" customFormat="1" ht="35.1" customHeight="1">
      <c r="A226" s="130"/>
      <c r="B226" s="137"/>
      <c r="C226" s="118">
        <v>1</v>
      </c>
      <c r="D226" s="119">
        <v>1</v>
      </c>
      <c r="E226" s="119">
        <v>20.38</v>
      </c>
      <c r="F226" s="119">
        <v>1.1000000000000001</v>
      </c>
      <c r="G226" s="119"/>
      <c r="H226" s="120">
        <f t="shared" si="5"/>
        <v>22.417999999999999</v>
      </c>
      <c r="I226" s="111"/>
      <c r="J226" s="121"/>
      <c r="K226" s="113"/>
    </row>
    <row r="227" spans="1:11" s="122" customFormat="1" ht="35.1" customHeight="1">
      <c r="A227" s="130"/>
      <c r="B227" s="137"/>
      <c r="C227" s="118">
        <v>1</v>
      </c>
      <c r="D227" s="119">
        <v>1</v>
      </c>
      <c r="E227" s="119">
        <v>27.9</v>
      </c>
      <c r="F227" s="119">
        <v>1.47</v>
      </c>
      <c r="G227" s="119"/>
      <c r="H227" s="120">
        <f t="shared" si="5"/>
        <v>41.012999999999998</v>
      </c>
      <c r="I227" s="111"/>
      <c r="J227" s="121"/>
      <c r="K227" s="113"/>
    </row>
    <row r="228" spans="1:11" s="122" customFormat="1" ht="35.1" customHeight="1">
      <c r="A228" s="130"/>
      <c r="B228" s="137"/>
      <c r="C228" s="118"/>
      <c r="D228" s="119"/>
      <c r="E228" s="119"/>
      <c r="F228" s="119"/>
      <c r="G228" s="119"/>
      <c r="H228" s="120"/>
      <c r="I228" s="111"/>
      <c r="J228" s="121"/>
      <c r="K228" s="113"/>
    </row>
    <row r="229" spans="1:11" s="122" customFormat="1" ht="35.1" customHeight="1">
      <c r="A229" s="130"/>
      <c r="B229" s="137" t="s">
        <v>339</v>
      </c>
      <c r="C229" s="118">
        <v>1</v>
      </c>
      <c r="D229" s="119">
        <v>1</v>
      </c>
      <c r="E229" s="119">
        <v>14.92</v>
      </c>
      <c r="F229" s="119">
        <v>0.9</v>
      </c>
      <c r="G229" s="119"/>
      <c r="H229" s="120">
        <f t="shared" ref="H229:H248" si="6">+PRODUCT(C229:G229)</f>
        <v>13.428000000000001</v>
      </c>
      <c r="I229" s="111"/>
      <c r="J229" s="121"/>
      <c r="K229" s="113"/>
    </row>
    <row r="230" spans="1:11" s="122" customFormat="1" ht="35.1" customHeight="1">
      <c r="A230" s="130"/>
      <c r="B230" s="137"/>
      <c r="C230" s="118">
        <v>1</v>
      </c>
      <c r="D230" s="119">
        <v>1</v>
      </c>
      <c r="E230" s="119">
        <v>4.8600000000000003</v>
      </c>
      <c r="F230" s="119">
        <v>0.9</v>
      </c>
      <c r="G230" s="119"/>
      <c r="H230" s="120">
        <f t="shared" si="6"/>
        <v>4.3740000000000006</v>
      </c>
      <c r="I230" s="111"/>
      <c r="J230" s="121"/>
      <c r="K230" s="113"/>
    </row>
    <row r="231" spans="1:11" s="122" customFormat="1" ht="35.1" customHeight="1">
      <c r="A231" s="130"/>
      <c r="B231" s="137"/>
      <c r="C231" s="118">
        <v>1</v>
      </c>
      <c r="D231" s="119">
        <v>1</v>
      </c>
      <c r="E231" s="119">
        <v>23.99</v>
      </c>
      <c r="F231" s="119">
        <v>0.9</v>
      </c>
      <c r="G231" s="119"/>
      <c r="H231" s="120">
        <f t="shared" si="6"/>
        <v>21.590999999999998</v>
      </c>
      <c r="I231" s="111"/>
      <c r="J231" s="121"/>
      <c r="K231" s="113"/>
    </row>
    <row r="232" spans="1:11" s="122" customFormat="1" ht="35.1" customHeight="1">
      <c r="A232" s="130"/>
      <c r="B232" s="137"/>
      <c r="C232" s="118">
        <v>1</v>
      </c>
      <c r="D232" s="119">
        <v>1</v>
      </c>
      <c r="E232" s="119">
        <v>35.56</v>
      </c>
      <c r="F232" s="119">
        <v>0.9</v>
      </c>
      <c r="G232" s="119"/>
      <c r="H232" s="120">
        <f t="shared" si="6"/>
        <v>32.004000000000005</v>
      </c>
      <c r="I232" s="111"/>
      <c r="J232" s="121"/>
      <c r="K232" s="113"/>
    </row>
    <row r="233" spans="1:11" s="122" customFormat="1" ht="35.1" customHeight="1">
      <c r="A233" s="130"/>
      <c r="B233" s="137"/>
      <c r="C233" s="118">
        <v>1</v>
      </c>
      <c r="D233" s="119">
        <v>1</v>
      </c>
      <c r="E233" s="119">
        <v>9.48</v>
      </c>
      <c r="F233" s="119">
        <v>0.9</v>
      </c>
      <c r="G233" s="119"/>
      <c r="H233" s="120">
        <f t="shared" si="6"/>
        <v>8.532</v>
      </c>
      <c r="I233" s="111"/>
      <c r="J233" s="121"/>
      <c r="K233" s="113"/>
    </row>
    <row r="234" spans="1:11" s="122" customFormat="1" ht="35.1" customHeight="1">
      <c r="A234" s="130"/>
      <c r="B234" s="137"/>
      <c r="C234" s="118">
        <v>1</v>
      </c>
      <c r="D234" s="119">
        <v>1</v>
      </c>
      <c r="E234" s="119">
        <v>7.97</v>
      </c>
      <c r="F234" s="119">
        <v>0.9</v>
      </c>
      <c r="G234" s="119"/>
      <c r="H234" s="120">
        <f t="shared" si="6"/>
        <v>7.173</v>
      </c>
      <c r="I234" s="111"/>
      <c r="J234" s="121"/>
      <c r="K234" s="113"/>
    </row>
    <row r="235" spans="1:11" s="122" customFormat="1" ht="35.1" customHeight="1">
      <c r="A235" s="130"/>
      <c r="B235" s="137"/>
      <c r="C235" s="118">
        <v>1</v>
      </c>
      <c r="D235" s="119">
        <v>1</v>
      </c>
      <c r="E235" s="119">
        <v>12.61</v>
      </c>
      <c r="F235" s="119">
        <v>0.9</v>
      </c>
      <c r="G235" s="119"/>
      <c r="H235" s="120">
        <f t="shared" si="6"/>
        <v>11.349</v>
      </c>
      <c r="I235" s="111"/>
      <c r="J235" s="121"/>
      <c r="K235" s="113"/>
    </row>
    <row r="236" spans="1:11" s="122" customFormat="1" ht="35.1" customHeight="1">
      <c r="A236" s="130"/>
      <c r="B236" s="137"/>
      <c r="C236" s="118">
        <v>1</v>
      </c>
      <c r="D236" s="119">
        <v>1</v>
      </c>
      <c r="E236" s="119">
        <v>6.22</v>
      </c>
      <c r="F236" s="119">
        <v>0.9</v>
      </c>
      <c r="G236" s="119"/>
      <c r="H236" s="120">
        <f t="shared" si="6"/>
        <v>5.5979999999999999</v>
      </c>
      <c r="I236" s="111"/>
      <c r="J236" s="121"/>
      <c r="K236" s="113"/>
    </row>
    <row r="237" spans="1:11" s="122" customFormat="1" ht="35.1" customHeight="1">
      <c r="A237" s="130"/>
      <c r="B237" s="137"/>
      <c r="C237" s="118">
        <v>1</v>
      </c>
      <c r="D237" s="119">
        <v>1</v>
      </c>
      <c r="E237" s="119">
        <v>9.6199999999999992</v>
      </c>
      <c r="F237" s="119">
        <v>1.86</v>
      </c>
      <c r="G237" s="119"/>
      <c r="H237" s="120">
        <f t="shared" si="6"/>
        <v>17.8932</v>
      </c>
      <c r="I237" s="111"/>
      <c r="J237" s="121"/>
      <c r="K237" s="113"/>
    </row>
    <row r="238" spans="1:11" s="122" customFormat="1" ht="35.1" customHeight="1">
      <c r="A238" s="130"/>
      <c r="B238" s="137"/>
      <c r="C238" s="118">
        <v>1</v>
      </c>
      <c r="D238" s="119">
        <v>1</v>
      </c>
      <c r="E238" s="119">
        <v>24.3</v>
      </c>
      <c r="F238" s="119">
        <v>0.9</v>
      </c>
      <c r="G238" s="119"/>
      <c r="H238" s="120">
        <f t="shared" si="6"/>
        <v>21.87</v>
      </c>
      <c r="I238" s="111"/>
      <c r="J238" s="121"/>
      <c r="K238" s="113"/>
    </row>
    <row r="239" spans="1:11" s="122" customFormat="1" ht="35.1" customHeight="1">
      <c r="A239" s="130"/>
      <c r="B239" s="137"/>
      <c r="C239" s="118">
        <v>1</v>
      </c>
      <c r="D239" s="119">
        <v>1</v>
      </c>
      <c r="E239" s="119">
        <v>5.87</v>
      </c>
      <c r="F239" s="119">
        <v>0.9</v>
      </c>
      <c r="G239" s="119"/>
      <c r="H239" s="120">
        <f t="shared" si="6"/>
        <v>5.2830000000000004</v>
      </c>
      <c r="I239" s="111"/>
      <c r="J239" s="121"/>
      <c r="K239" s="113"/>
    </row>
    <row r="240" spans="1:11" s="122" customFormat="1" ht="35.1" customHeight="1">
      <c r="A240" s="130"/>
      <c r="B240" s="137"/>
      <c r="C240" s="118">
        <v>1</v>
      </c>
      <c r="D240" s="119">
        <v>1</v>
      </c>
      <c r="E240" s="119">
        <v>3.21</v>
      </c>
      <c r="F240" s="119">
        <v>0.9</v>
      </c>
      <c r="G240" s="119"/>
      <c r="H240" s="120">
        <f t="shared" si="6"/>
        <v>2.8890000000000002</v>
      </c>
      <c r="I240" s="111"/>
      <c r="J240" s="121"/>
      <c r="K240" s="113"/>
    </row>
    <row r="241" spans="1:11" s="122" customFormat="1" ht="35.1" customHeight="1">
      <c r="A241" s="130"/>
      <c r="B241" s="137"/>
      <c r="C241" s="118">
        <v>1</v>
      </c>
      <c r="D241" s="119">
        <v>1</v>
      </c>
      <c r="E241" s="119">
        <v>5.81</v>
      </c>
      <c r="F241" s="119">
        <v>1.1000000000000001</v>
      </c>
      <c r="G241" s="119"/>
      <c r="H241" s="120">
        <f t="shared" si="6"/>
        <v>6.391</v>
      </c>
      <c r="I241" s="111"/>
      <c r="J241" s="121"/>
      <c r="K241" s="113"/>
    </row>
    <row r="242" spans="1:11" s="122" customFormat="1" ht="35.1" customHeight="1">
      <c r="A242" s="130"/>
      <c r="B242" s="137"/>
      <c r="C242" s="118">
        <v>1</v>
      </c>
      <c r="D242" s="119">
        <v>1</v>
      </c>
      <c r="E242" s="119">
        <v>9.17</v>
      </c>
      <c r="F242" s="119">
        <v>1.1000000000000001</v>
      </c>
      <c r="G242" s="119"/>
      <c r="H242" s="120">
        <f t="shared" si="6"/>
        <v>10.087000000000002</v>
      </c>
      <c r="I242" s="111"/>
      <c r="J242" s="121"/>
      <c r="K242" s="113"/>
    </row>
    <row r="243" spans="1:11" s="122" customFormat="1" ht="35.1" customHeight="1">
      <c r="A243" s="130"/>
      <c r="B243" s="137"/>
      <c r="C243" s="118">
        <v>1</v>
      </c>
      <c r="D243" s="119">
        <v>1</v>
      </c>
      <c r="E243" s="119">
        <v>7.84</v>
      </c>
      <c r="F243" s="119">
        <v>1.1000000000000001</v>
      </c>
      <c r="G243" s="119"/>
      <c r="H243" s="120">
        <f t="shared" si="6"/>
        <v>8.6240000000000006</v>
      </c>
      <c r="I243" s="111"/>
      <c r="J243" s="121"/>
      <c r="K243" s="113"/>
    </row>
    <row r="244" spans="1:11" s="122" customFormat="1" ht="35.1" customHeight="1">
      <c r="A244" s="130"/>
      <c r="B244" s="137"/>
      <c r="C244" s="118">
        <v>1</v>
      </c>
      <c r="D244" s="119">
        <v>1</v>
      </c>
      <c r="E244" s="119">
        <v>17.95</v>
      </c>
      <c r="F244" s="119">
        <v>1.1000000000000001</v>
      </c>
      <c r="G244" s="119"/>
      <c r="H244" s="120">
        <f t="shared" si="6"/>
        <v>19.745000000000001</v>
      </c>
      <c r="I244" s="111"/>
      <c r="J244" s="121"/>
      <c r="K244" s="113"/>
    </row>
    <row r="245" spans="1:11" s="122" customFormat="1" ht="35.1" customHeight="1">
      <c r="A245" s="130"/>
      <c r="B245" s="137"/>
      <c r="C245" s="118">
        <v>1</v>
      </c>
      <c r="D245" s="119">
        <v>1</v>
      </c>
      <c r="E245" s="119">
        <v>12.52</v>
      </c>
      <c r="F245" s="119">
        <v>1.1000000000000001</v>
      </c>
      <c r="G245" s="119"/>
      <c r="H245" s="120">
        <f t="shared" si="6"/>
        <v>13.772</v>
      </c>
      <c r="I245" s="111"/>
      <c r="J245" s="121"/>
      <c r="K245" s="113"/>
    </row>
    <row r="246" spans="1:11" s="122" customFormat="1" ht="35.1" customHeight="1">
      <c r="A246" s="130"/>
      <c r="B246" s="137"/>
      <c r="C246" s="118">
        <v>1</v>
      </c>
      <c r="D246" s="119">
        <v>1</v>
      </c>
      <c r="E246" s="119">
        <v>8.41</v>
      </c>
      <c r="F246" s="119">
        <v>1.1000000000000001</v>
      </c>
      <c r="G246" s="119"/>
      <c r="H246" s="120">
        <f t="shared" si="6"/>
        <v>9.2510000000000012</v>
      </c>
      <c r="I246" s="111"/>
      <c r="J246" s="121"/>
      <c r="K246" s="113"/>
    </row>
    <row r="247" spans="1:11" s="122" customFormat="1" ht="35.1" customHeight="1">
      <c r="A247" s="130"/>
      <c r="B247" s="137"/>
      <c r="C247" s="118">
        <v>1</v>
      </c>
      <c r="D247" s="119">
        <v>1</v>
      </c>
      <c r="E247" s="119">
        <v>20.399999999999999</v>
      </c>
      <c r="F247" s="119">
        <v>1.1000000000000001</v>
      </c>
      <c r="G247" s="119"/>
      <c r="H247" s="120">
        <f t="shared" si="6"/>
        <v>22.44</v>
      </c>
      <c r="I247" s="111"/>
      <c r="J247" s="121"/>
      <c r="K247" s="113"/>
    </row>
    <row r="248" spans="1:11" s="122" customFormat="1" ht="35.1" customHeight="1">
      <c r="A248" s="130"/>
      <c r="B248" s="137"/>
      <c r="C248" s="118">
        <v>1</v>
      </c>
      <c r="D248" s="119">
        <v>1</v>
      </c>
      <c r="E248" s="119">
        <v>13.39</v>
      </c>
      <c r="F248" s="119">
        <v>1.1000000000000001</v>
      </c>
      <c r="G248" s="119"/>
      <c r="H248" s="120">
        <f t="shared" si="6"/>
        <v>14.729000000000001</v>
      </c>
      <c r="I248" s="111"/>
      <c r="J248" s="121"/>
      <c r="K248" s="113"/>
    </row>
    <row r="249" spans="1:11" s="106" customFormat="1" ht="35.1" customHeight="1">
      <c r="A249" s="185" t="s">
        <v>386</v>
      </c>
      <c r="B249" s="185" t="s">
        <v>265</v>
      </c>
      <c r="C249" s="185"/>
      <c r="D249" s="185"/>
      <c r="E249" s="185"/>
      <c r="F249" s="185"/>
      <c r="G249" s="185"/>
      <c r="H249" s="185"/>
      <c r="I249" s="186"/>
      <c r="J249" s="185"/>
      <c r="K249" s="105"/>
    </row>
    <row r="250" spans="1:11" s="122" customFormat="1" ht="35.1" customHeight="1">
      <c r="A250" s="182" t="s">
        <v>387</v>
      </c>
      <c r="B250" s="187" t="s">
        <v>265</v>
      </c>
      <c r="C250" s="188"/>
      <c r="D250" s="188"/>
      <c r="E250" s="188"/>
      <c r="F250" s="188"/>
      <c r="G250" s="188"/>
      <c r="H250" s="183"/>
      <c r="I250" s="184">
        <f>SUM(H251:H257)</f>
        <v>23</v>
      </c>
      <c r="J250" s="181" t="s">
        <v>13</v>
      </c>
      <c r="K250" s="113"/>
    </row>
    <row r="251" spans="1:11" s="122" customFormat="1" ht="35.1" customHeight="1">
      <c r="A251" s="182"/>
      <c r="B251" s="137"/>
      <c r="C251" s="118">
        <v>3</v>
      </c>
      <c r="D251" s="119"/>
      <c r="E251" s="119"/>
      <c r="F251" s="119"/>
      <c r="G251" s="119"/>
      <c r="H251" s="120">
        <f t="shared" ref="H251:H257" si="7">+PRODUCT(C251:G251)</f>
        <v>3</v>
      </c>
      <c r="I251" s="184"/>
      <c r="J251" s="181"/>
      <c r="K251" s="113"/>
    </row>
    <row r="252" spans="1:11" s="122" customFormat="1" ht="35.1" customHeight="1">
      <c r="A252" s="182"/>
      <c r="B252" s="137"/>
      <c r="C252" s="118">
        <v>5</v>
      </c>
      <c r="D252" s="119"/>
      <c r="E252" s="119"/>
      <c r="F252" s="119"/>
      <c r="G252" s="119"/>
      <c r="H252" s="120">
        <f t="shared" si="7"/>
        <v>5</v>
      </c>
      <c r="I252" s="184"/>
      <c r="J252" s="181"/>
      <c r="K252" s="113"/>
    </row>
    <row r="253" spans="1:11" s="122" customFormat="1" ht="35.1" customHeight="1">
      <c r="A253" s="182"/>
      <c r="B253" s="137"/>
      <c r="C253" s="118">
        <v>4</v>
      </c>
      <c r="D253" s="119"/>
      <c r="E253" s="119"/>
      <c r="F253" s="119"/>
      <c r="G253" s="119"/>
      <c r="H253" s="120">
        <f t="shared" si="7"/>
        <v>4</v>
      </c>
      <c r="I253" s="184"/>
      <c r="J253" s="181"/>
      <c r="K253" s="113"/>
    </row>
    <row r="254" spans="1:11" s="122" customFormat="1" ht="35.1" customHeight="1">
      <c r="A254" s="182"/>
      <c r="B254" s="137"/>
      <c r="C254" s="118">
        <v>2</v>
      </c>
      <c r="D254" s="119"/>
      <c r="E254" s="119"/>
      <c r="F254" s="119"/>
      <c r="G254" s="119"/>
      <c r="H254" s="120">
        <f t="shared" si="7"/>
        <v>2</v>
      </c>
      <c r="I254" s="184"/>
      <c r="J254" s="181"/>
      <c r="K254" s="113"/>
    </row>
    <row r="255" spans="1:11" s="122" customFormat="1" ht="35.1" customHeight="1">
      <c r="A255" s="182"/>
      <c r="B255" s="137"/>
      <c r="C255" s="118">
        <v>3</v>
      </c>
      <c r="D255" s="119"/>
      <c r="E255" s="119"/>
      <c r="F255" s="119"/>
      <c r="G255" s="119"/>
      <c r="H255" s="120">
        <f t="shared" si="7"/>
        <v>3</v>
      </c>
      <c r="I255" s="184"/>
      <c r="J255" s="181"/>
      <c r="K255" s="113"/>
    </row>
    <row r="256" spans="1:11" s="122" customFormat="1" ht="35.1" customHeight="1">
      <c r="A256" s="182"/>
      <c r="B256" s="137"/>
      <c r="C256" s="118">
        <v>4</v>
      </c>
      <c r="D256" s="119"/>
      <c r="E256" s="119"/>
      <c r="F256" s="119"/>
      <c r="G256" s="119"/>
      <c r="H256" s="120">
        <f t="shared" si="7"/>
        <v>4</v>
      </c>
      <c r="I256" s="184"/>
      <c r="J256" s="181"/>
      <c r="K256" s="113"/>
    </row>
    <row r="257" spans="1:12" s="122" customFormat="1" ht="35.1" customHeight="1">
      <c r="A257" s="182"/>
      <c r="B257" s="137"/>
      <c r="C257" s="118">
        <v>2</v>
      </c>
      <c r="D257" s="119"/>
      <c r="E257" s="119"/>
      <c r="F257" s="119"/>
      <c r="G257" s="119"/>
      <c r="H257" s="120">
        <f t="shared" si="7"/>
        <v>2</v>
      </c>
      <c r="I257" s="184"/>
      <c r="J257" s="181"/>
      <c r="K257" s="113"/>
    </row>
    <row r="258" spans="1:12" s="122" customFormat="1" ht="35.1" customHeight="1">
      <c r="A258" s="182"/>
      <c r="B258" s="137"/>
      <c r="C258" s="118"/>
      <c r="D258" s="119"/>
      <c r="E258" s="119"/>
      <c r="F258" s="119"/>
      <c r="G258" s="119"/>
      <c r="H258" s="120"/>
      <c r="I258" s="184"/>
      <c r="J258" s="181"/>
      <c r="K258" s="113"/>
    </row>
    <row r="259" spans="1:12" s="106" customFormat="1" ht="35.1" customHeight="1">
      <c r="A259" s="185" t="s">
        <v>388</v>
      </c>
      <c r="B259" s="185" t="s">
        <v>266</v>
      </c>
      <c r="C259" s="185"/>
      <c r="D259" s="185"/>
      <c r="E259" s="185"/>
      <c r="F259" s="185"/>
      <c r="G259" s="185"/>
      <c r="H259" s="185"/>
      <c r="I259" s="186"/>
      <c r="J259" s="185"/>
      <c r="K259" s="105"/>
    </row>
    <row r="260" spans="1:12" s="122" customFormat="1" ht="35.1" customHeight="1">
      <c r="A260" s="182" t="s">
        <v>389</v>
      </c>
      <c r="B260" s="187" t="s">
        <v>266</v>
      </c>
      <c r="C260" s="188">
        <v>1</v>
      </c>
      <c r="D260" s="188">
        <v>1</v>
      </c>
      <c r="E260" s="188"/>
      <c r="F260" s="188"/>
      <c r="G260" s="188"/>
      <c r="H260" s="120">
        <v>0.4</v>
      </c>
      <c r="I260" s="184">
        <f>+H260</f>
        <v>0.4</v>
      </c>
      <c r="J260" s="181" t="s">
        <v>291</v>
      </c>
      <c r="K260" s="113"/>
    </row>
    <row r="261" spans="1:12" s="122" customFormat="1" ht="35.1" customHeight="1">
      <c r="A261" s="182"/>
      <c r="B261" s="137"/>
      <c r="C261" s="118"/>
      <c r="D261" s="119"/>
      <c r="E261" s="119"/>
      <c r="F261" s="119"/>
      <c r="G261" s="119"/>
      <c r="H261" s="120"/>
      <c r="I261" s="184"/>
      <c r="J261" s="181"/>
      <c r="K261" s="113"/>
    </row>
    <row r="262" spans="1:12" s="106" customFormat="1" ht="35.1" customHeight="1">
      <c r="A262" s="185" t="s">
        <v>390</v>
      </c>
      <c r="B262" s="185" t="s">
        <v>267</v>
      </c>
      <c r="C262" s="185"/>
      <c r="D262" s="185"/>
      <c r="E262" s="185"/>
      <c r="F262" s="185"/>
      <c r="G262" s="185"/>
      <c r="H262" s="185"/>
      <c r="I262" s="186"/>
      <c r="J262" s="185"/>
      <c r="K262" s="105"/>
    </row>
    <row r="263" spans="1:12" s="122" customFormat="1" ht="35.1" customHeight="1">
      <c r="A263" s="182" t="s">
        <v>391</v>
      </c>
      <c r="B263" s="187" t="s">
        <v>267</v>
      </c>
      <c r="C263" s="188">
        <v>1</v>
      </c>
      <c r="D263" s="188">
        <v>1</v>
      </c>
      <c r="E263" s="188"/>
      <c r="F263" s="188"/>
      <c r="G263" s="188"/>
      <c r="H263" s="120">
        <v>0.4</v>
      </c>
      <c r="I263" s="184">
        <f>+H263</f>
        <v>0.4</v>
      </c>
      <c r="J263" s="181" t="s">
        <v>291</v>
      </c>
      <c r="K263" s="113"/>
    </row>
    <row r="264" spans="1:12" s="122" customFormat="1" ht="35.1" customHeight="1">
      <c r="A264" s="182"/>
      <c r="B264" s="174"/>
      <c r="C264" s="118"/>
      <c r="D264" s="119"/>
      <c r="E264" s="119"/>
      <c r="F264" s="119"/>
      <c r="G264" s="119"/>
      <c r="H264" s="120"/>
      <c r="I264" s="184"/>
      <c r="J264" s="181"/>
      <c r="K264" s="113"/>
    </row>
    <row r="265" spans="1:12" s="106" customFormat="1" ht="35.1" hidden="1" customHeight="1">
      <c r="A265" s="185" t="s">
        <v>392</v>
      </c>
      <c r="B265" s="185" t="s">
        <v>41</v>
      </c>
      <c r="C265" s="185"/>
      <c r="D265" s="185"/>
      <c r="E265" s="185"/>
      <c r="F265" s="185"/>
      <c r="G265" s="185"/>
      <c r="H265" s="185"/>
      <c r="I265" s="186"/>
      <c r="J265" s="185"/>
      <c r="K265" s="105"/>
    </row>
    <row r="266" spans="1:12" s="122" customFormat="1" ht="35.1" hidden="1" customHeight="1">
      <c r="A266" s="189" t="s">
        <v>393</v>
      </c>
      <c r="B266" s="190" t="s">
        <v>394</v>
      </c>
      <c r="C266" s="191"/>
      <c r="D266" s="191"/>
      <c r="E266" s="191"/>
      <c r="F266" s="191"/>
      <c r="G266" s="191"/>
      <c r="H266" s="192"/>
      <c r="I266" s="193">
        <f>SUM(H267:H270)</f>
        <v>3923.25</v>
      </c>
      <c r="J266" s="194" t="s">
        <v>294</v>
      </c>
      <c r="K266" s="113"/>
    </row>
    <row r="267" spans="1:12" s="122" customFormat="1" ht="35.1" hidden="1" customHeight="1">
      <c r="A267" s="189"/>
      <c r="B267" s="138" t="s">
        <v>395</v>
      </c>
      <c r="C267" s="118"/>
      <c r="D267" s="119"/>
      <c r="E267" s="119"/>
      <c r="F267" s="119"/>
      <c r="G267" s="119"/>
      <c r="H267" s="120"/>
      <c r="I267" s="111">
        <f>SUM(H268:H270)</f>
        <v>3923.25</v>
      </c>
      <c r="J267" s="194"/>
      <c r="K267" s="113"/>
      <c r="L267" s="136">
        <f>+I266-I18</f>
        <v>0</v>
      </c>
    </row>
    <row r="268" spans="1:12" s="122" customFormat="1" ht="35.1" hidden="1" customHeight="1">
      <c r="A268" s="189"/>
      <c r="B268" s="131" t="s">
        <v>295</v>
      </c>
      <c r="C268" s="132"/>
      <c r="D268" s="133"/>
      <c r="E268" s="133"/>
      <c r="F268" s="133"/>
      <c r="G268" s="133"/>
      <c r="H268" s="133"/>
      <c r="I268" s="111"/>
      <c r="J268" s="194"/>
      <c r="K268" s="113"/>
    </row>
    <row r="269" spans="1:12" s="122" customFormat="1" ht="35.1" hidden="1" customHeight="1">
      <c r="A269" s="189"/>
      <c r="B269" s="135" t="s">
        <v>296</v>
      </c>
      <c r="C269" s="133">
        <v>1</v>
      </c>
      <c r="D269" s="133">
        <v>1</v>
      </c>
      <c r="E269" s="133">
        <v>523.1</v>
      </c>
      <c r="F269" s="133">
        <v>7.5</v>
      </c>
      <c r="G269" s="133"/>
      <c r="H269" s="134">
        <f>+PRODUCT(C269:G269)</f>
        <v>3923.25</v>
      </c>
      <c r="I269" s="111"/>
      <c r="J269" s="194"/>
      <c r="K269" s="113"/>
    </row>
    <row r="270" spans="1:12" s="122" customFormat="1" ht="35.1" hidden="1" customHeight="1">
      <c r="A270" s="189"/>
      <c r="B270" s="156"/>
      <c r="C270" s="133"/>
      <c r="D270" s="133"/>
      <c r="E270" s="133"/>
      <c r="F270" s="133"/>
      <c r="G270" s="133"/>
      <c r="H270" s="134"/>
      <c r="I270" s="111"/>
      <c r="J270" s="194"/>
      <c r="K270" s="113"/>
    </row>
  </sheetData>
  <mergeCells count="4">
    <mergeCell ref="A1:J1"/>
    <mergeCell ref="A3:A4"/>
    <mergeCell ref="B3:J4"/>
    <mergeCell ref="E30:G30"/>
  </mergeCells>
  <pageMargins left="0.59055118110236227" right="0.19685039370078741" top="0.62992125984251968" bottom="0.6692913385826772" header="0.31496062992125984" footer="0.51181102362204722"/>
  <pageSetup paperSize="9" scale="53" orientation="portrait" horizontalDpi="4294967293" verticalDpi="4294967293" r:id="rId1"/>
  <rowBreaks count="3" manualBreakCount="3">
    <brk id="149" max="9" man="1"/>
    <brk id="185" max="9" man="1"/>
    <brk id="218" max="9" man="1"/>
  </rowBreaks>
  <drawing r:id="rId2"/>
  <legacyDrawingHF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dimension ref="A1:D89"/>
  <sheetViews>
    <sheetView view="pageBreakPreview" topLeftCell="A6" zoomScaleNormal="100" zoomScaleSheetLayoutView="100" workbookViewId="0">
      <selection activeCell="C9" sqref="C9"/>
    </sheetView>
  </sheetViews>
  <sheetFormatPr baseColWidth="10" defaultColWidth="11.42578125" defaultRowHeight="12.75"/>
  <cols>
    <col min="1" max="1" width="11.42578125" style="196"/>
    <col min="2" max="2" width="54.7109375" style="196" bestFit="1" customWidth="1"/>
    <col min="3" max="3" width="8.85546875" style="196" customWidth="1"/>
    <col min="4" max="4" width="11.28515625" style="196" customWidth="1"/>
    <col min="5" max="257" width="11.42578125" style="196"/>
    <col min="258" max="258" width="54.7109375" style="196" bestFit="1" customWidth="1"/>
    <col min="259" max="259" width="8.85546875" style="196" customWidth="1"/>
    <col min="260" max="260" width="11.28515625" style="196" customWidth="1"/>
    <col min="261" max="513" width="11.42578125" style="196"/>
    <col min="514" max="514" width="54.7109375" style="196" bestFit="1" customWidth="1"/>
    <col min="515" max="515" width="8.85546875" style="196" customWidth="1"/>
    <col min="516" max="516" width="11.28515625" style="196" customWidth="1"/>
    <col min="517" max="769" width="11.42578125" style="196"/>
    <col min="770" max="770" width="54.7109375" style="196" bestFit="1" customWidth="1"/>
    <col min="771" max="771" width="8.85546875" style="196" customWidth="1"/>
    <col min="772" max="772" width="11.28515625" style="196" customWidth="1"/>
    <col min="773" max="1025" width="11.42578125" style="196"/>
    <col min="1026" max="1026" width="54.7109375" style="196" bestFit="1" customWidth="1"/>
    <col min="1027" max="1027" width="8.85546875" style="196" customWidth="1"/>
    <col min="1028" max="1028" width="11.28515625" style="196" customWidth="1"/>
    <col min="1029" max="1281" width="11.42578125" style="196"/>
    <col min="1282" max="1282" width="54.7109375" style="196" bestFit="1" customWidth="1"/>
    <col min="1283" max="1283" width="8.85546875" style="196" customWidth="1"/>
    <col min="1284" max="1284" width="11.28515625" style="196" customWidth="1"/>
    <col min="1285" max="1537" width="11.42578125" style="196"/>
    <col min="1538" max="1538" width="54.7109375" style="196" bestFit="1" customWidth="1"/>
    <col min="1539" max="1539" width="8.85546875" style="196" customWidth="1"/>
    <col min="1540" max="1540" width="11.28515625" style="196" customWidth="1"/>
    <col min="1541" max="1793" width="11.42578125" style="196"/>
    <col min="1794" max="1794" width="54.7109375" style="196" bestFit="1" customWidth="1"/>
    <col min="1795" max="1795" width="8.85546875" style="196" customWidth="1"/>
    <col min="1796" max="1796" width="11.28515625" style="196" customWidth="1"/>
    <col min="1797" max="2049" width="11.42578125" style="196"/>
    <col min="2050" max="2050" width="54.7109375" style="196" bestFit="1" customWidth="1"/>
    <col min="2051" max="2051" width="8.85546875" style="196" customWidth="1"/>
    <col min="2052" max="2052" width="11.28515625" style="196" customWidth="1"/>
    <col min="2053" max="2305" width="11.42578125" style="196"/>
    <col min="2306" max="2306" width="54.7109375" style="196" bestFit="1" customWidth="1"/>
    <col min="2307" max="2307" width="8.85546875" style="196" customWidth="1"/>
    <col min="2308" max="2308" width="11.28515625" style="196" customWidth="1"/>
    <col min="2309" max="2561" width="11.42578125" style="196"/>
    <col min="2562" max="2562" width="54.7109375" style="196" bestFit="1" customWidth="1"/>
    <col min="2563" max="2563" width="8.85546875" style="196" customWidth="1"/>
    <col min="2564" max="2564" width="11.28515625" style="196" customWidth="1"/>
    <col min="2565" max="2817" width="11.42578125" style="196"/>
    <col min="2818" max="2818" width="54.7109375" style="196" bestFit="1" customWidth="1"/>
    <col min="2819" max="2819" width="8.85546875" style="196" customWidth="1"/>
    <col min="2820" max="2820" width="11.28515625" style="196" customWidth="1"/>
    <col min="2821" max="3073" width="11.42578125" style="196"/>
    <col min="3074" max="3074" width="54.7109375" style="196" bestFit="1" customWidth="1"/>
    <col min="3075" max="3075" width="8.85546875" style="196" customWidth="1"/>
    <col min="3076" max="3076" width="11.28515625" style="196" customWidth="1"/>
    <col min="3077" max="3329" width="11.42578125" style="196"/>
    <col min="3330" max="3330" width="54.7109375" style="196" bestFit="1" customWidth="1"/>
    <col min="3331" max="3331" width="8.85546875" style="196" customWidth="1"/>
    <col min="3332" max="3332" width="11.28515625" style="196" customWidth="1"/>
    <col min="3333" max="3585" width="11.42578125" style="196"/>
    <col min="3586" max="3586" width="54.7109375" style="196" bestFit="1" customWidth="1"/>
    <col min="3587" max="3587" width="8.85546875" style="196" customWidth="1"/>
    <col min="3588" max="3588" width="11.28515625" style="196" customWidth="1"/>
    <col min="3589" max="3841" width="11.42578125" style="196"/>
    <col min="3842" max="3842" width="54.7109375" style="196" bestFit="1" customWidth="1"/>
    <col min="3843" max="3843" width="8.85546875" style="196" customWidth="1"/>
    <col min="3844" max="3844" width="11.28515625" style="196" customWidth="1"/>
    <col min="3845" max="4097" width="11.42578125" style="196"/>
    <col min="4098" max="4098" width="54.7109375" style="196" bestFit="1" customWidth="1"/>
    <col min="4099" max="4099" width="8.85546875" style="196" customWidth="1"/>
    <col min="4100" max="4100" width="11.28515625" style="196" customWidth="1"/>
    <col min="4101" max="4353" width="11.42578125" style="196"/>
    <col min="4354" max="4354" width="54.7109375" style="196" bestFit="1" customWidth="1"/>
    <col min="4355" max="4355" width="8.85546875" style="196" customWidth="1"/>
    <col min="4356" max="4356" width="11.28515625" style="196" customWidth="1"/>
    <col min="4357" max="4609" width="11.42578125" style="196"/>
    <col min="4610" max="4610" width="54.7109375" style="196" bestFit="1" customWidth="1"/>
    <col min="4611" max="4611" width="8.85546875" style="196" customWidth="1"/>
    <col min="4612" max="4612" width="11.28515625" style="196" customWidth="1"/>
    <col min="4613" max="4865" width="11.42578125" style="196"/>
    <col min="4866" max="4866" width="54.7109375" style="196" bestFit="1" customWidth="1"/>
    <col min="4867" max="4867" width="8.85546875" style="196" customWidth="1"/>
    <col min="4868" max="4868" width="11.28515625" style="196" customWidth="1"/>
    <col min="4869" max="5121" width="11.42578125" style="196"/>
    <col min="5122" max="5122" width="54.7109375" style="196" bestFit="1" customWidth="1"/>
    <col min="5123" max="5123" width="8.85546875" style="196" customWidth="1"/>
    <col min="5124" max="5124" width="11.28515625" style="196" customWidth="1"/>
    <col min="5125" max="5377" width="11.42578125" style="196"/>
    <col min="5378" max="5378" width="54.7109375" style="196" bestFit="1" customWidth="1"/>
    <col min="5379" max="5379" width="8.85546875" style="196" customWidth="1"/>
    <col min="5380" max="5380" width="11.28515625" style="196" customWidth="1"/>
    <col min="5381" max="5633" width="11.42578125" style="196"/>
    <col min="5634" max="5634" width="54.7109375" style="196" bestFit="1" customWidth="1"/>
    <col min="5635" max="5635" width="8.85546875" style="196" customWidth="1"/>
    <col min="5636" max="5636" width="11.28515625" style="196" customWidth="1"/>
    <col min="5637" max="5889" width="11.42578125" style="196"/>
    <col min="5890" max="5890" width="54.7109375" style="196" bestFit="1" customWidth="1"/>
    <col min="5891" max="5891" width="8.85546875" style="196" customWidth="1"/>
    <col min="5892" max="5892" width="11.28515625" style="196" customWidth="1"/>
    <col min="5893" max="6145" width="11.42578125" style="196"/>
    <col min="6146" max="6146" width="54.7109375" style="196" bestFit="1" customWidth="1"/>
    <col min="6147" max="6147" width="8.85546875" style="196" customWidth="1"/>
    <col min="6148" max="6148" width="11.28515625" style="196" customWidth="1"/>
    <col min="6149" max="6401" width="11.42578125" style="196"/>
    <col min="6402" max="6402" width="54.7109375" style="196" bestFit="1" customWidth="1"/>
    <col min="6403" max="6403" width="8.85546875" style="196" customWidth="1"/>
    <col min="6404" max="6404" width="11.28515625" style="196" customWidth="1"/>
    <col min="6405" max="6657" width="11.42578125" style="196"/>
    <col min="6658" max="6658" width="54.7109375" style="196" bestFit="1" customWidth="1"/>
    <col min="6659" max="6659" width="8.85546875" style="196" customWidth="1"/>
    <col min="6660" max="6660" width="11.28515625" style="196" customWidth="1"/>
    <col min="6661" max="6913" width="11.42578125" style="196"/>
    <col min="6914" max="6914" width="54.7109375" style="196" bestFit="1" customWidth="1"/>
    <col min="6915" max="6915" width="8.85546875" style="196" customWidth="1"/>
    <col min="6916" max="6916" width="11.28515625" style="196" customWidth="1"/>
    <col min="6917" max="7169" width="11.42578125" style="196"/>
    <col min="7170" max="7170" width="54.7109375" style="196" bestFit="1" customWidth="1"/>
    <col min="7171" max="7171" width="8.85546875" style="196" customWidth="1"/>
    <col min="7172" max="7172" width="11.28515625" style="196" customWidth="1"/>
    <col min="7173" max="7425" width="11.42578125" style="196"/>
    <col min="7426" max="7426" width="54.7109375" style="196" bestFit="1" customWidth="1"/>
    <col min="7427" max="7427" width="8.85546875" style="196" customWidth="1"/>
    <col min="7428" max="7428" width="11.28515625" style="196" customWidth="1"/>
    <col min="7429" max="7681" width="11.42578125" style="196"/>
    <col min="7682" max="7682" width="54.7109375" style="196" bestFit="1" customWidth="1"/>
    <col min="7683" max="7683" width="8.85546875" style="196" customWidth="1"/>
    <col min="7684" max="7684" width="11.28515625" style="196" customWidth="1"/>
    <col min="7685" max="7937" width="11.42578125" style="196"/>
    <col min="7938" max="7938" width="54.7109375" style="196" bestFit="1" customWidth="1"/>
    <col min="7939" max="7939" width="8.85546875" style="196" customWidth="1"/>
    <col min="7940" max="7940" width="11.28515625" style="196" customWidth="1"/>
    <col min="7941" max="8193" width="11.42578125" style="196"/>
    <col min="8194" max="8194" width="54.7109375" style="196" bestFit="1" customWidth="1"/>
    <col min="8195" max="8195" width="8.85546875" style="196" customWidth="1"/>
    <col min="8196" max="8196" width="11.28515625" style="196" customWidth="1"/>
    <col min="8197" max="8449" width="11.42578125" style="196"/>
    <col min="8450" max="8450" width="54.7109375" style="196" bestFit="1" customWidth="1"/>
    <col min="8451" max="8451" width="8.85546875" style="196" customWidth="1"/>
    <col min="8452" max="8452" width="11.28515625" style="196" customWidth="1"/>
    <col min="8453" max="8705" width="11.42578125" style="196"/>
    <col min="8706" max="8706" width="54.7109375" style="196" bestFit="1" customWidth="1"/>
    <col min="8707" max="8707" width="8.85546875" style="196" customWidth="1"/>
    <col min="8708" max="8708" width="11.28515625" style="196" customWidth="1"/>
    <col min="8709" max="8961" width="11.42578125" style="196"/>
    <col min="8962" max="8962" width="54.7109375" style="196" bestFit="1" customWidth="1"/>
    <col min="8963" max="8963" width="8.85546875" style="196" customWidth="1"/>
    <col min="8964" max="8964" width="11.28515625" style="196" customWidth="1"/>
    <col min="8965" max="9217" width="11.42578125" style="196"/>
    <col min="9218" max="9218" width="54.7109375" style="196" bestFit="1" customWidth="1"/>
    <col min="9219" max="9219" width="8.85546875" style="196" customWidth="1"/>
    <col min="9220" max="9220" width="11.28515625" style="196" customWidth="1"/>
    <col min="9221" max="9473" width="11.42578125" style="196"/>
    <col min="9474" max="9474" width="54.7109375" style="196" bestFit="1" customWidth="1"/>
    <col min="9475" max="9475" width="8.85546875" style="196" customWidth="1"/>
    <col min="9476" max="9476" width="11.28515625" style="196" customWidth="1"/>
    <col min="9477" max="9729" width="11.42578125" style="196"/>
    <col min="9730" max="9730" width="54.7109375" style="196" bestFit="1" customWidth="1"/>
    <col min="9731" max="9731" width="8.85546875" style="196" customWidth="1"/>
    <col min="9732" max="9732" width="11.28515625" style="196" customWidth="1"/>
    <col min="9733" max="9985" width="11.42578125" style="196"/>
    <col min="9986" max="9986" width="54.7109375" style="196" bestFit="1" customWidth="1"/>
    <col min="9987" max="9987" width="8.85546875" style="196" customWidth="1"/>
    <col min="9988" max="9988" width="11.28515625" style="196" customWidth="1"/>
    <col min="9989" max="10241" width="11.42578125" style="196"/>
    <col min="10242" max="10242" width="54.7109375" style="196" bestFit="1" customWidth="1"/>
    <col min="10243" max="10243" width="8.85546875" style="196" customWidth="1"/>
    <col min="10244" max="10244" width="11.28515625" style="196" customWidth="1"/>
    <col min="10245" max="10497" width="11.42578125" style="196"/>
    <col min="10498" max="10498" width="54.7109375" style="196" bestFit="1" customWidth="1"/>
    <col min="10499" max="10499" width="8.85546875" style="196" customWidth="1"/>
    <col min="10500" max="10500" width="11.28515625" style="196" customWidth="1"/>
    <col min="10501" max="10753" width="11.42578125" style="196"/>
    <col min="10754" max="10754" width="54.7109375" style="196" bestFit="1" customWidth="1"/>
    <col min="10755" max="10755" width="8.85546875" style="196" customWidth="1"/>
    <col min="10756" max="10756" width="11.28515625" style="196" customWidth="1"/>
    <col min="10757" max="11009" width="11.42578125" style="196"/>
    <col min="11010" max="11010" width="54.7109375" style="196" bestFit="1" customWidth="1"/>
    <col min="11011" max="11011" width="8.85546875" style="196" customWidth="1"/>
    <col min="11012" max="11012" width="11.28515625" style="196" customWidth="1"/>
    <col min="11013" max="11265" width="11.42578125" style="196"/>
    <col min="11266" max="11266" width="54.7109375" style="196" bestFit="1" customWidth="1"/>
    <col min="11267" max="11267" width="8.85546875" style="196" customWidth="1"/>
    <col min="11268" max="11268" width="11.28515625" style="196" customWidth="1"/>
    <col min="11269" max="11521" width="11.42578125" style="196"/>
    <col min="11522" max="11522" width="54.7109375" style="196" bestFit="1" customWidth="1"/>
    <col min="11523" max="11523" width="8.85546875" style="196" customWidth="1"/>
    <col min="11524" max="11524" width="11.28515625" style="196" customWidth="1"/>
    <col min="11525" max="11777" width="11.42578125" style="196"/>
    <col min="11778" max="11778" width="54.7109375" style="196" bestFit="1" customWidth="1"/>
    <col min="11779" max="11779" width="8.85546875" style="196" customWidth="1"/>
    <col min="11780" max="11780" width="11.28515625" style="196" customWidth="1"/>
    <col min="11781" max="12033" width="11.42578125" style="196"/>
    <col min="12034" max="12034" width="54.7109375" style="196" bestFit="1" customWidth="1"/>
    <col min="12035" max="12035" width="8.85546875" style="196" customWidth="1"/>
    <col min="12036" max="12036" width="11.28515625" style="196" customWidth="1"/>
    <col min="12037" max="12289" width="11.42578125" style="196"/>
    <col min="12290" max="12290" width="54.7109375" style="196" bestFit="1" customWidth="1"/>
    <col min="12291" max="12291" width="8.85546875" style="196" customWidth="1"/>
    <col min="12292" max="12292" width="11.28515625" style="196" customWidth="1"/>
    <col min="12293" max="12545" width="11.42578125" style="196"/>
    <col min="12546" max="12546" width="54.7109375" style="196" bestFit="1" customWidth="1"/>
    <col min="12547" max="12547" width="8.85546875" style="196" customWidth="1"/>
    <col min="12548" max="12548" width="11.28515625" style="196" customWidth="1"/>
    <col min="12549" max="12801" width="11.42578125" style="196"/>
    <col min="12802" max="12802" width="54.7109375" style="196" bestFit="1" customWidth="1"/>
    <col min="12803" max="12803" width="8.85546875" style="196" customWidth="1"/>
    <col min="12804" max="12804" width="11.28515625" style="196" customWidth="1"/>
    <col min="12805" max="13057" width="11.42578125" style="196"/>
    <col min="13058" max="13058" width="54.7109375" style="196" bestFit="1" customWidth="1"/>
    <col min="13059" max="13059" width="8.85546875" style="196" customWidth="1"/>
    <col min="13060" max="13060" width="11.28515625" style="196" customWidth="1"/>
    <col min="13061" max="13313" width="11.42578125" style="196"/>
    <col min="13314" max="13314" width="54.7109375" style="196" bestFit="1" customWidth="1"/>
    <col min="13315" max="13315" width="8.85546875" style="196" customWidth="1"/>
    <col min="13316" max="13316" width="11.28515625" style="196" customWidth="1"/>
    <col min="13317" max="13569" width="11.42578125" style="196"/>
    <col min="13570" max="13570" width="54.7109375" style="196" bestFit="1" customWidth="1"/>
    <col min="13571" max="13571" width="8.85546875" style="196" customWidth="1"/>
    <col min="13572" max="13572" width="11.28515625" style="196" customWidth="1"/>
    <col min="13573" max="13825" width="11.42578125" style="196"/>
    <col min="13826" max="13826" width="54.7109375" style="196" bestFit="1" customWidth="1"/>
    <col min="13827" max="13827" width="8.85546875" style="196" customWidth="1"/>
    <col min="13828" max="13828" width="11.28515625" style="196" customWidth="1"/>
    <col min="13829" max="14081" width="11.42578125" style="196"/>
    <col min="14082" max="14082" width="54.7109375" style="196" bestFit="1" customWidth="1"/>
    <col min="14083" max="14083" width="8.85546875" style="196" customWidth="1"/>
    <col min="14084" max="14084" width="11.28515625" style="196" customWidth="1"/>
    <col min="14085" max="14337" width="11.42578125" style="196"/>
    <col min="14338" max="14338" width="54.7109375" style="196" bestFit="1" customWidth="1"/>
    <col min="14339" max="14339" width="8.85546875" style="196" customWidth="1"/>
    <col min="14340" max="14340" width="11.28515625" style="196" customWidth="1"/>
    <col min="14341" max="14593" width="11.42578125" style="196"/>
    <col min="14594" max="14594" width="54.7109375" style="196" bestFit="1" customWidth="1"/>
    <col min="14595" max="14595" width="8.85546875" style="196" customWidth="1"/>
    <col min="14596" max="14596" width="11.28515625" style="196" customWidth="1"/>
    <col min="14597" max="14849" width="11.42578125" style="196"/>
    <col min="14850" max="14850" width="54.7109375" style="196" bestFit="1" customWidth="1"/>
    <col min="14851" max="14851" width="8.85546875" style="196" customWidth="1"/>
    <col min="14852" max="14852" width="11.28515625" style="196" customWidth="1"/>
    <col min="14853" max="15105" width="11.42578125" style="196"/>
    <col min="15106" max="15106" width="54.7109375" style="196" bestFit="1" customWidth="1"/>
    <col min="15107" max="15107" width="8.85546875" style="196" customWidth="1"/>
    <col min="15108" max="15108" width="11.28515625" style="196" customWidth="1"/>
    <col min="15109" max="15361" width="11.42578125" style="196"/>
    <col min="15362" max="15362" width="54.7109375" style="196" bestFit="1" customWidth="1"/>
    <col min="15363" max="15363" width="8.85546875" style="196" customWidth="1"/>
    <col min="15364" max="15364" width="11.28515625" style="196" customWidth="1"/>
    <col min="15365" max="15617" width="11.42578125" style="196"/>
    <col min="15618" max="15618" width="54.7109375" style="196" bestFit="1" customWidth="1"/>
    <col min="15619" max="15619" width="8.85546875" style="196" customWidth="1"/>
    <col min="15620" max="15620" width="11.28515625" style="196" customWidth="1"/>
    <col min="15621" max="15873" width="11.42578125" style="196"/>
    <col min="15874" max="15874" width="54.7109375" style="196" bestFit="1" customWidth="1"/>
    <col min="15875" max="15875" width="8.85546875" style="196" customWidth="1"/>
    <col min="15876" max="15876" width="11.28515625" style="196" customWidth="1"/>
    <col min="15877" max="16129" width="11.42578125" style="196"/>
    <col min="16130" max="16130" width="54.7109375" style="196" bestFit="1" customWidth="1"/>
    <col min="16131" max="16131" width="8.85546875" style="196" customWidth="1"/>
    <col min="16132" max="16132" width="11.28515625" style="196" customWidth="1"/>
    <col min="16133" max="16384" width="11.42578125" style="196"/>
  </cols>
  <sheetData>
    <row r="1" spans="1:4" ht="42" customHeight="1">
      <c r="A1" s="2954" t="s">
        <v>396</v>
      </c>
      <c r="B1" s="2954"/>
      <c r="C1" s="2954"/>
      <c r="D1" s="2954"/>
    </row>
    <row r="2" spans="1:4" ht="45" customHeight="1">
      <c r="A2" s="197" t="s">
        <v>397</v>
      </c>
      <c r="B2" s="2955" t="s">
        <v>398</v>
      </c>
      <c r="C2" s="2956"/>
      <c r="D2" s="2956"/>
    </row>
    <row r="3" spans="1:4" ht="6" customHeight="1">
      <c r="A3" s="197"/>
      <c r="B3" s="198"/>
      <c r="C3" s="199"/>
      <c r="D3" s="200"/>
    </row>
    <row r="4" spans="1:4">
      <c r="A4" s="197" t="s">
        <v>399</v>
      </c>
      <c r="B4" s="201">
        <f ca="1">+TODAY()</f>
        <v>45306</v>
      </c>
      <c r="C4" s="199"/>
      <c r="D4" s="202"/>
    </row>
    <row r="5" spans="1:4" ht="21.75" customHeight="1">
      <c r="A5" s="197" t="s">
        <v>400</v>
      </c>
      <c r="B5" s="197" t="s">
        <v>401</v>
      </c>
      <c r="C5" s="199"/>
      <c r="D5" s="202"/>
    </row>
    <row r="6" spans="1:4" ht="18" customHeight="1" thickBot="1">
      <c r="A6" s="203" t="s">
        <v>31</v>
      </c>
      <c r="B6" s="203" t="s">
        <v>2</v>
      </c>
      <c r="C6" s="203" t="s">
        <v>37</v>
      </c>
      <c r="D6" s="203" t="s">
        <v>402</v>
      </c>
    </row>
    <row r="7" spans="1:4" ht="18" customHeight="1">
      <c r="A7" s="204" t="s">
        <v>282</v>
      </c>
      <c r="B7" s="205" t="s">
        <v>243</v>
      </c>
      <c r="C7" s="206"/>
      <c r="D7" s="207"/>
    </row>
    <row r="8" spans="1:4" ht="18" hidden="1" customHeight="1">
      <c r="A8" s="208" t="s">
        <v>284</v>
      </c>
      <c r="B8" s="209" t="s">
        <v>285</v>
      </c>
      <c r="C8" s="210" t="s">
        <v>13</v>
      </c>
      <c r="D8" s="211">
        <v>1</v>
      </c>
    </row>
    <row r="9" spans="1:4" ht="18" customHeight="1">
      <c r="A9" s="208" t="s">
        <v>286</v>
      </c>
      <c r="B9" s="209" t="s">
        <v>287</v>
      </c>
      <c r="C9" s="210" t="s">
        <v>19</v>
      </c>
      <c r="D9" s="211">
        <v>1</v>
      </c>
    </row>
    <row r="10" spans="1:4" ht="18" hidden="1" customHeight="1">
      <c r="A10" s="212"/>
      <c r="B10" s="213"/>
      <c r="C10" s="214"/>
      <c r="D10" s="215"/>
    </row>
    <row r="11" spans="1:4" ht="18" hidden="1" customHeight="1">
      <c r="A11" s="216" t="s">
        <v>288</v>
      </c>
      <c r="B11" s="217" t="s">
        <v>151</v>
      </c>
      <c r="C11" s="218"/>
      <c r="D11" s="219"/>
    </row>
    <row r="12" spans="1:4" ht="18" hidden="1" customHeight="1">
      <c r="A12" s="208" t="s">
        <v>289</v>
      </c>
      <c r="B12" s="209" t="s">
        <v>290</v>
      </c>
      <c r="C12" s="210" t="s">
        <v>291</v>
      </c>
      <c r="D12" s="211">
        <v>1</v>
      </c>
    </row>
    <row r="13" spans="1:4" ht="18" hidden="1" customHeight="1">
      <c r="A13" s="208" t="s">
        <v>292</v>
      </c>
      <c r="B13" s="209" t="s">
        <v>293</v>
      </c>
      <c r="C13" s="210" t="s">
        <v>294</v>
      </c>
      <c r="D13" s="211">
        <v>3923.25</v>
      </c>
    </row>
    <row r="14" spans="1:4" ht="18" hidden="1" customHeight="1">
      <c r="A14" s="208" t="s">
        <v>297</v>
      </c>
      <c r="B14" s="209" t="s">
        <v>298</v>
      </c>
      <c r="C14" s="210" t="s">
        <v>294</v>
      </c>
      <c r="D14" s="211">
        <v>3923.25</v>
      </c>
    </row>
    <row r="15" spans="1:4" ht="18" hidden="1" customHeight="1">
      <c r="A15" s="212"/>
      <c r="B15" s="213"/>
      <c r="C15" s="214"/>
      <c r="D15" s="215"/>
    </row>
    <row r="16" spans="1:4" ht="18" hidden="1" customHeight="1">
      <c r="A16" s="216" t="s">
        <v>299</v>
      </c>
      <c r="B16" s="217" t="s">
        <v>150</v>
      </c>
      <c r="C16" s="218"/>
      <c r="D16" s="219"/>
    </row>
    <row r="17" spans="1:4" ht="18" hidden="1" customHeight="1">
      <c r="A17" s="208" t="s">
        <v>301</v>
      </c>
      <c r="B17" s="209" t="s">
        <v>302</v>
      </c>
      <c r="C17" s="210" t="s">
        <v>130</v>
      </c>
      <c r="D17" s="211">
        <v>1391.51</v>
      </c>
    </row>
    <row r="18" spans="1:4" ht="18" hidden="1" customHeight="1">
      <c r="A18" s="208" t="s">
        <v>304</v>
      </c>
      <c r="B18" s="209" t="s">
        <v>305</v>
      </c>
      <c r="C18" s="210" t="s">
        <v>130</v>
      </c>
      <c r="D18" s="211">
        <v>2090.4048625000005</v>
      </c>
    </row>
    <row r="19" spans="1:4" ht="18" hidden="1" customHeight="1">
      <c r="A19" s="212"/>
      <c r="B19" s="213"/>
      <c r="C19" s="214"/>
      <c r="D19" s="215"/>
    </row>
    <row r="20" spans="1:4" ht="18" customHeight="1">
      <c r="A20" s="216" t="s">
        <v>313</v>
      </c>
      <c r="B20" s="217" t="s">
        <v>314</v>
      </c>
      <c r="C20" s="218"/>
      <c r="D20" s="219"/>
    </row>
    <row r="21" spans="1:4" ht="18" customHeight="1">
      <c r="A21" s="220" t="s">
        <v>315</v>
      </c>
      <c r="B21" s="221" t="s">
        <v>244</v>
      </c>
      <c r="C21" s="222"/>
      <c r="D21" s="223"/>
    </row>
    <row r="22" spans="1:4" ht="18" customHeight="1">
      <c r="A22" s="208" t="s">
        <v>117</v>
      </c>
      <c r="B22" s="224" t="s">
        <v>316</v>
      </c>
      <c r="C22" s="210" t="s">
        <v>294</v>
      </c>
      <c r="D22" s="211">
        <v>2512.1000000000004</v>
      </c>
    </row>
    <row r="23" spans="1:4" ht="18" customHeight="1">
      <c r="A23" s="208" t="s">
        <v>149</v>
      </c>
      <c r="B23" s="224" t="s">
        <v>319</v>
      </c>
      <c r="C23" s="210" t="s">
        <v>294</v>
      </c>
      <c r="D23" s="211">
        <v>2512.1000000000004</v>
      </c>
    </row>
    <row r="24" spans="1:4" ht="18" hidden="1" customHeight="1">
      <c r="A24" s="208" t="s">
        <v>245</v>
      </c>
      <c r="B24" s="224" t="s">
        <v>320</v>
      </c>
      <c r="C24" s="210" t="s">
        <v>294</v>
      </c>
      <c r="D24" s="211">
        <v>434.69333333333338</v>
      </c>
    </row>
    <row r="25" spans="1:4" ht="18" hidden="1" customHeight="1">
      <c r="A25" s="208" t="s">
        <v>246</v>
      </c>
      <c r="B25" s="224" t="s">
        <v>324</v>
      </c>
      <c r="C25" s="210" t="s">
        <v>130</v>
      </c>
      <c r="D25" s="211">
        <v>502.42000000000007</v>
      </c>
    </row>
    <row r="26" spans="1:4" ht="18" hidden="1" customHeight="1">
      <c r="A26" s="208" t="s">
        <v>247</v>
      </c>
      <c r="B26" s="224" t="s">
        <v>325</v>
      </c>
      <c r="C26" s="210" t="s">
        <v>294</v>
      </c>
      <c r="D26" s="211">
        <v>2512.1000000000004</v>
      </c>
    </row>
    <row r="27" spans="1:4" ht="18" hidden="1" customHeight="1">
      <c r="A27" s="208" t="s">
        <v>248</v>
      </c>
      <c r="B27" s="224" t="s">
        <v>326</v>
      </c>
      <c r="C27" s="210" t="s">
        <v>327</v>
      </c>
      <c r="D27" s="211">
        <v>1082.1916666666668</v>
      </c>
    </row>
    <row r="28" spans="1:4" ht="18" hidden="1" customHeight="1">
      <c r="A28" s="208" t="s">
        <v>330</v>
      </c>
      <c r="B28" s="224" t="s">
        <v>331</v>
      </c>
      <c r="C28" s="210" t="s">
        <v>241</v>
      </c>
      <c r="D28" s="211">
        <v>2649.2052000000003</v>
      </c>
    </row>
    <row r="29" spans="1:4" ht="18" hidden="1" customHeight="1">
      <c r="A29" s="212"/>
      <c r="B29" s="213"/>
      <c r="C29" s="214"/>
      <c r="D29" s="215"/>
    </row>
    <row r="30" spans="1:4" ht="18" hidden="1" customHeight="1">
      <c r="A30" s="216" t="s">
        <v>333</v>
      </c>
      <c r="B30" s="217" t="s">
        <v>334</v>
      </c>
      <c r="C30" s="218"/>
      <c r="D30" s="219"/>
    </row>
    <row r="31" spans="1:4" ht="18" hidden="1" customHeight="1">
      <c r="A31" s="208" t="s">
        <v>335</v>
      </c>
      <c r="B31" s="224" t="s">
        <v>336</v>
      </c>
      <c r="C31" s="210" t="s">
        <v>11</v>
      </c>
      <c r="D31" s="211">
        <v>363.38</v>
      </c>
    </row>
    <row r="32" spans="1:4" ht="18" hidden="1" customHeight="1">
      <c r="A32" s="208" t="s">
        <v>340</v>
      </c>
      <c r="B32" s="224" t="s">
        <v>341</v>
      </c>
      <c r="C32" s="210" t="s">
        <v>13</v>
      </c>
      <c r="D32" s="211">
        <v>6</v>
      </c>
    </row>
    <row r="33" spans="1:4" ht="18" hidden="1" customHeight="1">
      <c r="A33" s="208" t="s">
        <v>343</v>
      </c>
      <c r="B33" s="224" t="s">
        <v>344</v>
      </c>
      <c r="C33" s="210" t="s">
        <v>294</v>
      </c>
      <c r="D33" s="211">
        <v>36.94</v>
      </c>
    </row>
    <row r="34" spans="1:4" ht="18" hidden="1" customHeight="1">
      <c r="A34" s="212"/>
      <c r="B34" s="213"/>
      <c r="C34" s="214"/>
      <c r="D34" s="215"/>
    </row>
    <row r="35" spans="1:4" ht="18" customHeight="1">
      <c r="A35" s="216" t="s">
        <v>350</v>
      </c>
      <c r="B35" s="217" t="s">
        <v>249</v>
      </c>
      <c r="C35" s="218"/>
      <c r="D35" s="219"/>
    </row>
    <row r="36" spans="1:4" ht="18" hidden="1" customHeight="1">
      <c r="A36" s="208" t="s">
        <v>351</v>
      </c>
      <c r="B36" s="224" t="s">
        <v>298</v>
      </c>
      <c r="C36" s="210" t="s">
        <v>294</v>
      </c>
      <c r="D36" s="211">
        <v>143.16</v>
      </c>
    </row>
    <row r="37" spans="1:4" ht="18" hidden="1" customHeight="1">
      <c r="A37" s="208" t="s">
        <v>359</v>
      </c>
      <c r="B37" s="224" t="s">
        <v>428</v>
      </c>
      <c r="C37" s="210" t="s">
        <v>130</v>
      </c>
      <c r="D37" s="211">
        <v>42.948</v>
      </c>
    </row>
    <row r="38" spans="1:4" ht="18" customHeight="1">
      <c r="A38" s="208" t="s">
        <v>360</v>
      </c>
      <c r="B38" s="224" t="s">
        <v>361</v>
      </c>
      <c r="C38" s="210" t="s">
        <v>294</v>
      </c>
      <c r="D38" s="211">
        <v>143.16</v>
      </c>
    </row>
    <row r="39" spans="1:4" ht="18" customHeight="1">
      <c r="A39" s="208" t="s">
        <v>362</v>
      </c>
      <c r="B39" s="224" t="s">
        <v>363</v>
      </c>
      <c r="C39" s="210" t="s">
        <v>294</v>
      </c>
      <c r="D39" s="211">
        <v>143.16</v>
      </c>
    </row>
    <row r="40" spans="1:4" ht="18" hidden="1" customHeight="1">
      <c r="A40" s="208" t="s">
        <v>364</v>
      </c>
      <c r="B40" s="224" t="s">
        <v>429</v>
      </c>
      <c r="C40" s="210" t="s">
        <v>130</v>
      </c>
      <c r="D40" s="211">
        <v>21.474</v>
      </c>
    </row>
    <row r="41" spans="1:4" ht="18" hidden="1" customHeight="1">
      <c r="A41" s="208" t="s">
        <v>365</v>
      </c>
      <c r="B41" s="224" t="s">
        <v>430</v>
      </c>
      <c r="C41" s="210" t="s">
        <v>294</v>
      </c>
      <c r="D41" s="211">
        <v>143.16</v>
      </c>
    </row>
    <row r="42" spans="1:4" ht="18" hidden="1" customHeight="1">
      <c r="A42" s="212"/>
      <c r="B42" s="213"/>
      <c r="C42" s="214"/>
      <c r="D42" s="215"/>
    </row>
    <row r="43" spans="1:4" ht="18" customHeight="1">
      <c r="A43" s="216" t="s">
        <v>366</v>
      </c>
      <c r="B43" s="217" t="s">
        <v>250</v>
      </c>
      <c r="C43" s="218"/>
      <c r="D43" s="219"/>
    </row>
    <row r="44" spans="1:4" ht="18" customHeight="1">
      <c r="A44" s="220" t="s">
        <v>367</v>
      </c>
      <c r="B44" s="221" t="s">
        <v>368</v>
      </c>
      <c r="C44" s="222"/>
      <c r="D44" s="223"/>
    </row>
    <row r="45" spans="1:4" ht="18" hidden="1" customHeight="1">
      <c r="A45" s="208" t="s">
        <v>251</v>
      </c>
      <c r="B45" s="224" t="s">
        <v>298</v>
      </c>
      <c r="C45" s="210" t="s">
        <v>294</v>
      </c>
      <c r="D45" s="211">
        <v>539.98020000000008</v>
      </c>
    </row>
    <row r="46" spans="1:4" ht="18" hidden="1" customHeight="1">
      <c r="A46" s="208" t="s">
        <v>252</v>
      </c>
      <c r="B46" s="224" t="s">
        <v>428</v>
      </c>
      <c r="C46" s="210" t="s">
        <v>130</v>
      </c>
      <c r="D46" s="211">
        <v>107.99604000000002</v>
      </c>
    </row>
    <row r="47" spans="1:4" ht="18" customHeight="1">
      <c r="A47" s="208" t="s">
        <v>253</v>
      </c>
      <c r="B47" s="224" t="s">
        <v>369</v>
      </c>
      <c r="C47" s="210" t="s">
        <v>294</v>
      </c>
      <c r="D47" s="211">
        <v>539.98020000000008</v>
      </c>
    </row>
    <row r="48" spans="1:4" ht="18" customHeight="1">
      <c r="A48" s="208" t="s">
        <v>254</v>
      </c>
      <c r="B48" s="224" t="s">
        <v>370</v>
      </c>
      <c r="C48" s="210" t="s">
        <v>294</v>
      </c>
      <c r="D48" s="211">
        <v>539.98020000000008</v>
      </c>
    </row>
    <row r="49" spans="1:4" ht="18" hidden="1" customHeight="1">
      <c r="A49" s="208" t="s">
        <v>255</v>
      </c>
      <c r="B49" s="224" t="s">
        <v>431</v>
      </c>
      <c r="C49" s="210" t="s">
        <v>130</v>
      </c>
      <c r="D49" s="211">
        <v>80.997030000000009</v>
      </c>
    </row>
    <row r="50" spans="1:4" ht="18" hidden="1" customHeight="1">
      <c r="A50" s="208" t="s">
        <v>256</v>
      </c>
      <c r="B50" s="224" t="s">
        <v>326</v>
      </c>
      <c r="C50" s="210" t="s">
        <v>11</v>
      </c>
      <c r="D50" s="211">
        <v>171.76400000000001</v>
      </c>
    </row>
    <row r="51" spans="1:4" ht="18" hidden="1" customHeight="1">
      <c r="A51" s="208" t="s">
        <v>257</v>
      </c>
      <c r="B51" s="224" t="s">
        <v>432</v>
      </c>
      <c r="C51" s="210" t="s">
        <v>294</v>
      </c>
      <c r="D51" s="211">
        <v>515.29199999999992</v>
      </c>
    </row>
    <row r="52" spans="1:4" ht="18" hidden="1" customHeight="1">
      <c r="A52" s="212"/>
      <c r="B52" s="213"/>
      <c r="C52" s="214"/>
      <c r="D52" s="215"/>
    </row>
    <row r="53" spans="1:4" ht="18" hidden="1" customHeight="1">
      <c r="A53" s="220" t="s">
        <v>371</v>
      </c>
      <c r="B53" s="221" t="s">
        <v>433</v>
      </c>
      <c r="C53" s="222"/>
      <c r="D53" s="223"/>
    </row>
    <row r="54" spans="1:4" ht="18" hidden="1" customHeight="1">
      <c r="A54" s="208" t="s">
        <v>258</v>
      </c>
      <c r="B54" s="225" t="s">
        <v>298</v>
      </c>
      <c r="C54" s="210" t="s">
        <v>294</v>
      </c>
      <c r="D54" s="211">
        <v>51.60799999999999</v>
      </c>
    </row>
    <row r="55" spans="1:4" ht="18" hidden="1" customHeight="1">
      <c r="A55" s="208" t="s">
        <v>259</v>
      </c>
      <c r="B55" s="224" t="s">
        <v>428</v>
      </c>
      <c r="C55" s="210" t="s">
        <v>130</v>
      </c>
      <c r="D55" s="211">
        <v>10.3216</v>
      </c>
    </row>
    <row r="56" spans="1:4" ht="18" hidden="1" customHeight="1">
      <c r="A56" s="208" t="s">
        <v>260</v>
      </c>
      <c r="B56" s="224" t="s">
        <v>434</v>
      </c>
      <c r="C56" s="210" t="s">
        <v>130</v>
      </c>
      <c r="D56" s="211">
        <v>25.803999999999995</v>
      </c>
    </row>
    <row r="57" spans="1:4" ht="18" hidden="1" customHeight="1">
      <c r="A57" s="208" t="s">
        <v>261</v>
      </c>
      <c r="B57" s="224" t="s">
        <v>435</v>
      </c>
      <c r="C57" s="210" t="s">
        <v>294</v>
      </c>
      <c r="D57" s="211">
        <v>258.03999999999996</v>
      </c>
    </row>
    <row r="58" spans="1:4" ht="18" hidden="1" customHeight="1">
      <c r="A58" s="208" t="s">
        <v>262</v>
      </c>
      <c r="B58" s="224" t="s">
        <v>326</v>
      </c>
      <c r="C58" s="210" t="s">
        <v>11</v>
      </c>
      <c r="D58" s="211">
        <v>51.60799999999999</v>
      </c>
    </row>
    <row r="59" spans="1:4" ht="18" hidden="1" customHeight="1">
      <c r="A59" s="208" t="s">
        <v>263</v>
      </c>
      <c r="B59" s="224" t="s">
        <v>436</v>
      </c>
      <c r="C59" s="210" t="s">
        <v>294</v>
      </c>
      <c r="D59" s="211">
        <v>51.60799999999999</v>
      </c>
    </row>
    <row r="60" spans="1:4" ht="18" hidden="1" customHeight="1">
      <c r="A60" s="212"/>
      <c r="B60" s="213"/>
      <c r="C60" s="214"/>
      <c r="D60" s="215"/>
    </row>
    <row r="61" spans="1:4" ht="18" hidden="1" customHeight="1">
      <c r="A61" s="216" t="s">
        <v>372</v>
      </c>
      <c r="B61" s="217" t="s">
        <v>264</v>
      </c>
      <c r="C61" s="218"/>
      <c r="D61" s="219"/>
    </row>
    <row r="62" spans="1:4" ht="18" hidden="1" customHeight="1">
      <c r="A62" s="208" t="s">
        <v>373</v>
      </c>
      <c r="B62" s="209" t="s">
        <v>298</v>
      </c>
      <c r="C62" s="210" t="s">
        <v>294</v>
      </c>
      <c r="D62" s="211">
        <v>235.48050000000001</v>
      </c>
    </row>
    <row r="63" spans="1:4" ht="18" hidden="1" customHeight="1">
      <c r="A63" s="208" t="s">
        <v>374</v>
      </c>
      <c r="B63" s="209" t="s">
        <v>428</v>
      </c>
      <c r="C63" s="210" t="s">
        <v>130</v>
      </c>
      <c r="D63" s="211">
        <v>117.74025</v>
      </c>
    </row>
    <row r="64" spans="1:4" ht="18" hidden="1" customHeight="1">
      <c r="A64" s="208" t="s">
        <v>375</v>
      </c>
      <c r="B64" s="209" t="s">
        <v>437</v>
      </c>
      <c r="C64" s="210" t="s">
        <v>130</v>
      </c>
      <c r="D64" s="211">
        <v>68.027700000000024</v>
      </c>
    </row>
    <row r="65" spans="1:4" ht="18" hidden="1" customHeight="1">
      <c r="A65" s="208" t="s">
        <v>376</v>
      </c>
      <c r="B65" s="209" t="s">
        <v>438</v>
      </c>
      <c r="C65" s="210" t="s">
        <v>294</v>
      </c>
      <c r="D65" s="211">
        <v>418.63200000000006</v>
      </c>
    </row>
    <row r="66" spans="1:4" ht="18" hidden="1" customHeight="1">
      <c r="A66" s="208" t="s">
        <v>377</v>
      </c>
      <c r="B66" s="209" t="s">
        <v>326</v>
      </c>
      <c r="C66" s="210" t="s">
        <v>11</v>
      </c>
      <c r="D66" s="211">
        <v>226.75900000000004</v>
      </c>
    </row>
    <row r="67" spans="1:4" ht="18" hidden="1" customHeight="1">
      <c r="A67" s="208" t="s">
        <v>378</v>
      </c>
      <c r="B67" s="209" t="s">
        <v>439</v>
      </c>
      <c r="C67" s="210" t="s">
        <v>294</v>
      </c>
      <c r="D67" s="211">
        <v>209.316</v>
      </c>
    </row>
    <row r="68" spans="1:4" ht="18" hidden="1" customHeight="1">
      <c r="A68" s="212"/>
      <c r="B68" s="213"/>
      <c r="C68" s="214"/>
      <c r="D68" s="215"/>
    </row>
    <row r="69" spans="1:4" ht="18" hidden="1" customHeight="1">
      <c r="A69" s="216" t="s">
        <v>379</v>
      </c>
      <c r="B69" s="217" t="s">
        <v>403</v>
      </c>
      <c r="C69" s="218"/>
      <c r="D69" s="219"/>
    </row>
    <row r="70" spans="1:4" ht="18" hidden="1" customHeight="1">
      <c r="A70" s="208" t="s">
        <v>380</v>
      </c>
      <c r="B70" s="209" t="s">
        <v>298</v>
      </c>
      <c r="C70" s="210" t="s">
        <v>294</v>
      </c>
      <c r="D70" s="211">
        <v>3.6</v>
      </c>
    </row>
    <row r="71" spans="1:4" ht="18" hidden="1" customHeight="1">
      <c r="A71" s="208" t="s">
        <v>381</v>
      </c>
      <c r="B71" s="209" t="s">
        <v>428</v>
      </c>
      <c r="C71" s="210" t="s">
        <v>130</v>
      </c>
      <c r="D71" s="211">
        <v>1.8</v>
      </c>
    </row>
    <row r="72" spans="1:4" ht="18" hidden="1" customHeight="1">
      <c r="A72" s="208" t="s">
        <v>382</v>
      </c>
      <c r="B72" s="209" t="s">
        <v>440</v>
      </c>
      <c r="C72" s="210" t="s">
        <v>294</v>
      </c>
      <c r="D72" s="211">
        <v>5.7600000000000007</v>
      </c>
    </row>
    <row r="73" spans="1:4" ht="18" hidden="1" customHeight="1">
      <c r="A73" s="208" t="s">
        <v>383</v>
      </c>
      <c r="B73" s="209" t="s">
        <v>441</v>
      </c>
      <c r="C73" s="210" t="s">
        <v>130</v>
      </c>
      <c r="D73" s="211">
        <v>0.93600000000000017</v>
      </c>
    </row>
    <row r="74" spans="1:4" ht="18" hidden="1" customHeight="1">
      <c r="A74" s="208" t="s">
        <v>384</v>
      </c>
      <c r="B74" s="209" t="s">
        <v>442</v>
      </c>
      <c r="C74" s="210" t="s">
        <v>294</v>
      </c>
      <c r="D74" s="211">
        <v>5.7600000000000007</v>
      </c>
    </row>
    <row r="75" spans="1:4" ht="18" hidden="1" customHeight="1">
      <c r="A75" s="208" t="s">
        <v>385</v>
      </c>
      <c r="B75" s="209" t="s">
        <v>443</v>
      </c>
      <c r="C75" s="210" t="s">
        <v>11</v>
      </c>
      <c r="D75" s="211">
        <v>7.2</v>
      </c>
    </row>
    <row r="76" spans="1:4" ht="18" hidden="1" customHeight="1">
      <c r="A76" s="208"/>
      <c r="B76" s="209"/>
      <c r="C76" s="210"/>
      <c r="D76" s="211"/>
    </row>
    <row r="77" spans="1:4" ht="18" customHeight="1">
      <c r="A77" s="216" t="s">
        <v>386</v>
      </c>
      <c r="B77" s="217" t="s">
        <v>265</v>
      </c>
      <c r="C77" s="218"/>
      <c r="D77" s="219"/>
    </row>
    <row r="78" spans="1:4" ht="18" customHeight="1">
      <c r="A78" s="208" t="s">
        <v>387</v>
      </c>
      <c r="B78" s="209" t="s">
        <v>265</v>
      </c>
      <c r="C78" s="210" t="s">
        <v>13</v>
      </c>
      <c r="D78" s="211">
        <v>23</v>
      </c>
    </row>
    <row r="79" spans="1:4" ht="18" hidden="1" customHeight="1">
      <c r="A79" s="208"/>
      <c r="B79" s="209"/>
      <c r="C79" s="210"/>
      <c r="D79" s="211"/>
    </row>
    <row r="80" spans="1:4" ht="18" customHeight="1">
      <c r="A80" s="216" t="s">
        <v>388</v>
      </c>
      <c r="B80" s="217" t="s">
        <v>266</v>
      </c>
      <c r="C80" s="218"/>
      <c r="D80" s="219"/>
    </row>
    <row r="81" spans="1:4" ht="18" customHeight="1">
      <c r="A81" s="208" t="s">
        <v>389</v>
      </c>
      <c r="B81" s="209" t="s">
        <v>266</v>
      </c>
      <c r="C81" s="210" t="s">
        <v>291</v>
      </c>
      <c r="D81" s="211">
        <f>+P.M!I260</f>
        <v>0.4</v>
      </c>
    </row>
    <row r="82" spans="1:4" ht="18" hidden="1" customHeight="1">
      <c r="A82" s="208"/>
      <c r="B82" s="209"/>
      <c r="C82" s="210"/>
      <c r="D82" s="211"/>
    </row>
    <row r="83" spans="1:4" ht="18" customHeight="1">
      <c r="A83" s="216" t="s">
        <v>390</v>
      </c>
      <c r="B83" s="217" t="s">
        <v>267</v>
      </c>
      <c r="C83" s="218"/>
      <c r="D83" s="219"/>
    </row>
    <row r="84" spans="1:4" ht="18" customHeight="1">
      <c r="A84" s="208" t="s">
        <v>391</v>
      </c>
      <c r="B84" s="209" t="s">
        <v>267</v>
      </c>
      <c r="C84" s="210" t="s">
        <v>291</v>
      </c>
      <c r="D84" s="211">
        <f>+P.M!I263</f>
        <v>0.4</v>
      </c>
    </row>
    <row r="85" spans="1:4" ht="18" hidden="1" customHeight="1">
      <c r="A85" s="208"/>
      <c r="B85" s="209"/>
      <c r="C85" s="210"/>
      <c r="D85" s="211"/>
    </row>
    <row r="86" spans="1:4" ht="18" hidden="1" customHeight="1">
      <c r="A86" s="216" t="s">
        <v>392</v>
      </c>
      <c r="B86" s="217" t="s">
        <v>41</v>
      </c>
      <c r="C86" s="218"/>
      <c r="D86" s="219"/>
    </row>
    <row r="87" spans="1:4" ht="18" hidden="1" customHeight="1" thickBot="1">
      <c r="A87" s="226" t="s">
        <v>393</v>
      </c>
      <c r="B87" s="227" t="s">
        <v>394</v>
      </c>
      <c r="C87" s="228" t="s">
        <v>294</v>
      </c>
      <c r="D87" s="229">
        <v>3923.25</v>
      </c>
    </row>
    <row r="88" spans="1:4" ht="18" customHeight="1"/>
    <row r="89" spans="1:4" ht="18" customHeight="1"/>
  </sheetData>
  <mergeCells count="2">
    <mergeCell ref="A1:D1"/>
    <mergeCell ref="B2:D2"/>
  </mergeCells>
  <pageMargins left="1.1299999999999999" right="0.39370078740157483" top="0.43307086614173229" bottom="0.51181102362204722" header="0.31496062992125984" footer="0.31496062992125984"/>
  <pageSetup paperSize="9" scale="99" orientation="portrait" horizontalDpi="4294967293"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28</vt:i4>
      </vt:variant>
      <vt:variant>
        <vt:lpstr>Rangos con nombre</vt:lpstr>
      </vt:variant>
      <vt:variant>
        <vt:i4>38</vt:i4>
      </vt:variant>
    </vt:vector>
  </HeadingPairs>
  <TitlesOfParts>
    <vt:vector size="66" baseType="lpstr">
      <vt:lpstr>R- FE-1</vt:lpstr>
      <vt:lpstr>Datos</vt:lpstr>
      <vt:lpstr>FE-2</vt:lpstr>
      <vt:lpstr>C</vt:lpstr>
      <vt:lpstr>C.1</vt:lpstr>
      <vt:lpstr>VAL ADI-OBRA N°01</vt:lpstr>
      <vt:lpstr>FE3-1 </vt:lpstr>
      <vt:lpstr>FE-05</vt:lpstr>
      <vt:lpstr>FE-05 (2)</vt:lpstr>
      <vt:lpstr> FE 07</vt:lpstr>
      <vt:lpstr>F-09</vt:lpstr>
      <vt:lpstr>F-10 </vt:lpstr>
      <vt:lpstr>FE-11</vt:lpstr>
      <vt:lpstr>FE-12</vt:lpstr>
      <vt:lpstr>VAL-PARTIDAS NUEVAS</vt:lpstr>
      <vt:lpstr>VAL ADI-OBRA N°03 (2)</vt:lpstr>
      <vt:lpstr>VAL ADI-OBRA N°02</vt:lpstr>
      <vt:lpstr>VAL ADI-OBRA N°04</vt:lpstr>
      <vt:lpstr>FE-16</vt:lpstr>
      <vt:lpstr>FE-17</vt:lpstr>
      <vt:lpstr>Curva S-1</vt:lpstr>
      <vt:lpstr>TAREO</vt:lpstr>
      <vt:lpstr>F-12</vt:lpstr>
      <vt:lpstr>FE-14</vt:lpstr>
      <vt:lpstr>Curva S</vt:lpstr>
      <vt:lpstr>CRONOGRAMA VALORIZADO (3)</vt:lpstr>
      <vt:lpstr>P.M</vt:lpstr>
      <vt:lpstr>R.M</vt:lpstr>
      <vt:lpstr>' FE 07'!Área_de_impresión</vt:lpstr>
      <vt:lpstr>'C'!Área_de_impresión</vt:lpstr>
      <vt:lpstr>C.1!Área_de_impresión</vt:lpstr>
      <vt:lpstr>'CRONOGRAMA VALORIZADO (3)'!Área_de_impresión</vt:lpstr>
      <vt:lpstr>'Curva S'!Área_de_impresión</vt:lpstr>
      <vt:lpstr>'Curva S-1'!Área_de_impresión</vt:lpstr>
      <vt:lpstr>'F-09'!Área_de_impresión</vt:lpstr>
      <vt:lpstr>'F-10 '!Área_de_impresión</vt:lpstr>
      <vt:lpstr>'F-12'!Área_de_impresión</vt:lpstr>
      <vt:lpstr>'FE-05'!Área_de_impresión</vt:lpstr>
      <vt:lpstr>'FE-05 (2)'!Área_de_impresión</vt:lpstr>
      <vt:lpstr>'FE-11'!Área_de_impresión</vt:lpstr>
      <vt:lpstr>'FE-12'!Área_de_impresión</vt:lpstr>
      <vt:lpstr>'FE-14'!Área_de_impresión</vt:lpstr>
      <vt:lpstr>'FE-16'!Área_de_impresión</vt:lpstr>
      <vt:lpstr>'FE3-1 '!Área_de_impresión</vt:lpstr>
      <vt:lpstr>P.M!Área_de_impresión</vt:lpstr>
      <vt:lpstr>'R- FE-1'!Área_de_impresión</vt:lpstr>
      <vt:lpstr>R.M!Área_de_impresión</vt:lpstr>
      <vt:lpstr>'VAL ADI-OBRA N°01'!Área_de_impresión</vt:lpstr>
      <vt:lpstr>'VAL ADI-OBRA N°02'!Área_de_impresión</vt:lpstr>
      <vt:lpstr>'VAL ADI-OBRA N°03 (2)'!Área_de_impresión</vt:lpstr>
      <vt:lpstr>'VAL ADI-OBRA N°04'!Área_de_impresión</vt:lpstr>
      <vt:lpstr>'VAL-PARTIDAS NUEVAS'!Área_de_impresión</vt:lpstr>
      <vt:lpstr>'FE3-1 '!OLE_LINK1</vt:lpstr>
      <vt:lpstr>'VAL ADI-OBRA N°01'!OLE_LINK1</vt:lpstr>
      <vt:lpstr>'VAL ADI-OBRA N°02'!OLE_LINK1</vt:lpstr>
      <vt:lpstr>'VAL ADI-OBRA N°03 (2)'!OLE_LINK1</vt:lpstr>
      <vt:lpstr>'VAL ADI-OBRA N°04'!OLE_LINK1</vt:lpstr>
      <vt:lpstr>'VAL-PARTIDAS NUEVAS'!OLE_LINK1</vt:lpstr>
      <vt:lpstr>'CRONOGRAMA VALORIZADO (3)'!Títulos_a_imprimir</vt:lpstr>
      <vt:lpstr>'FE-05 (2)'!Títulos_a_imprimir</vt:lpstr>
      <vt:lpstr>'FE-14'!Títulos_a_imprimir</vt:lpstr>
      <vt:lpstr>'FE3-1 '!Títulos_a_imprimir</vt:lpstr>
      <vt:lpstr>P.M!Títulos_a_imprimir</vt:lpstr>
      <vt:lpstr>'R- FE-1'!Títulos_a_imprimir</vt:lpstr>
      <vt:lpstr>'VAL ADI-OBRA N°04'!Títulos_a_imprimir</vt:lpstr>
      <vt:lpstr>'VAL-PARTIDAS NUEVAS'!Títulos_a_imprimir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2024-01-15T23:06:17Z</dcterms:modified>
</cp:coreProperties>
</file>